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pivotCache/pivotCacheDefinition2.xml" ContentType="application/vnd.openxmlformats-officedocument.spreadsheetml.pivotCacheDefinition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2136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 activeTab="9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Proventos" sheetId="19" r:id="rId9"/>
    <sheet name="Plan1" sheetId="22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6" localSheetId="1">Cotacao!$C$7:$C$113</definedName>
    <definedName name="DadosExternos_267" localSheetId="1">Cotacao!$C$7:$C$113</definedName>
    <definedName name="DadosExternos_268" localSheetId="1">Cotacao!$C$7:$C$113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1">Cotacao!$C$7:$C$113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1">Cotacao!$C$7:$C$113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1">Cotacao!$C$7:$C$113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2">'Cotacao 2'!$C$7:$C$113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2">'Cotacao 2'!$C$7:$C$113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2">'Cotacao 2'!$C$7:$C$113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2">'Cotacao 2'!$C$7:$C$113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3" localSheetId="2">'Cotacao 2'!$C$7:$C$113</definedName>
    <definedName name="DadosExternos_394" localSheetId="2">'Cotacao 2'!$C$7:$C$113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7" localSheetId="5">'Cotacao 5'!$C$7:$C$98</definedName>
    <definedName name="DadosExternos_478" localSheetId="3">'Cotacao 3'!$C$7:$C$113</definedName>
    <definedName name="DadosExternos_478" localSheetId="4">'Cotacao 4'!$C$7:$C$112</definedName>
    <definedName name="DadosExternos_478" localSheetId="5">'Cotacao 5'!$C$7:$C$99</definedName>
    <definedName name="DadosExternos_479" localSheetId="3">'Cotacao 3'!$C$7:$C$113</definedName>
    <definedName name="DadosExternos_479" localSheetId="4">'Cotacao 4'!$C$7:$C$112</definedName>
    <definedName name="DadosExternos_479" localSheetId="5">'Cotacao 5'!$C$7:$C$99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80" localSheetId="3">'Cotacao 3'!$C$7:$C$113</definedName>
    <definedName name="DadosExternos_480" localSheetId="4">'Cotacao 4'!$C$7:$C$112</definedName>
    <definedName name="DadosExternos_480" localSheetId="5">'Cotacao 5'!$C$7:$C$99</definedName>
    <definedName name="DadosExternos_481" localSheetId="3">'Cotacao 3'!$C$7:$C$113</definedName>
    <definedName name="DadosExternos_481" localSheetId="4">'Cotacao 4'!$C$7:$C$112</definedName>
    <definedName name="DadosExternos_481" localSheetId="5">'Cotacao 5'!$C$7:$C$99</definedName>
    <definedName name="DadosExternos_482" localSheetId="3">'Cotacao 3'!$C$7:$C$113</definedName>
    <definedName name="DadosExternos_482" localSheetId="4">'Cotacao 4'!$C$7:$C$112</definedName>
    <definedName name="DadosExternos_482" localSheetId="5">'Cotacao 5'!$C$7:$C$99</definedName>
    <definedName name="DadosExternos_483" localSheetId="3">'Cotacao 3'!$C$7:$C$113</definedName>
    <definedName name="DadosExternos_483" localSheetId="4">'Cotacao 4'!$C$7:$C$112</definedName>
    <definedName name="DadosExternos_483" localSheetId="5">'Cotacao 5'!$C$7:$C$100</definedName>
    <definedName name="DadosExternos_484" localSheetId="3">'Cotacao 3'!$C$7:$C$113</definedName>
    <definedName name="DadosExternos_484" localSheetId="4">'Cotacao 4'!$C$7:$C$112</definedName>
    <definedName name="DadosExternos_484" localSheetId="5">'Cotacao 5'!$C$7:$C$100</definedName>
    <definedName name="DadosExternos_485" localSheetId="4">'Cotacao 4'!$C$7:$C$112</definedName>
    <definedName name="DadosExternos_485" localSheetId="5">'Cotacao 5'!$C$7:$C$100</definedName>
    <definedName name="DadosExternos_486" localSheetId="5">'Cotacao 5'!$C$7:$C$100</definedName>
    <definedName name="DadosExternos_487" localSheetId="5">'Cotacao 5'!$C$7:$C$101</definedName>
    <definedName name="DadosExternos_488" localSheetId="5">'Cotacao 5'!$C$7:$C$100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56" r:id="rId12"/>
    <pivotCache cacheId="57" r:id="rId13"/>
  </pivotCaches>
</workbook>
</file>

<file path=xl/calcChain.xml><?xml version="1.0" encoding="utf-8"?>
<calcChain xmlns="http://schemas.openxmlformats.org/spreadsheetml/2006/main">
  <c r="F1131" i="19"/>
  <c r="F1130"/>
  <c r="F1129"/>
  <c r="F1128"/>
  <c r="F1127"/>
  <c r="F1126"/>
  <c r="F1125"/>
  <c r="F1124"/>
  <c r="F1123"/>
  <c r="F1122"/>
  <c r="F1121"/>
  <c r="F1120"/>
  <c r="F1119"/>
  <c r="F1118"/>
  <c r="F1117"/>
  <c r="F1116"/>
  <c r="F1115"/>
  <c r="F1114"/>
  <c r="F1113"/>
  <c r="F1112"/>
  <c r="F1111"/>
  <c r="J1129"/>
  <c r="J1130"/>
  <c r="J1131"/>
  <c r="M1129"/>
  <c r="M1130"/>
  <c r="M1131"/>
  <c r="P1129"/>
  <c r="P1130"/>
  <c r="P1131"/>
  <c r="Q1129"/>
  <c r="Q1130"/>
  <c r="Q1131"/>
  <c r="R1129"/>
  <c r="R1130"/>
  <c r="R1131"/>
  <c r="S1129"/>
  <c r="S1130"/>
  <c r="S1131"/>
  <c r="T1129"/>
  <c r="T1130"/>
  <c r="T1131"/>
  <c r="U1129"/>
  <c r="U1130"/>
  <c r="U1131"/>
  <c r="V1129"/>
  <c r="V1130"/>
  <c r="V1131"/>
  <c r="W1129"/>
  <c r="W1130"/>
  <c r="W1131"/>
  <c r="Y1129"/>
  <c r="Y1130"/>
  <c r="Y1131"/>
  <c r="Z1129"/>
  <c r="Z1130"/>
  <c r="Z1131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Q1111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R1111"/>
  <c r="R1112"/>
  <c r="R1113"/>
  <c r="R1114"/>
  <c r="R1115"/>
  <c r="R1116"/>
  <c r="R1117"/>
  <c r="R1118"/>
  <c r="R1119"/>
  <c r="R1120"/>
  <c r="R1121"/>
  <c r="R1122"/>
  <c r="R1123"/>
  <c r="R1124"/>
  <c r="R1125"/>
  <c r="R1126"/>
  <c r="R1127"/>
  <c r="R1128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Y1111"/>
  <c r="Y1112"/>
  <c r="Y1113"/>
  <c r="Y1114"/>
  <c r="Y1115"/>
  <c r="Y1116"/>
  <c r="Y1117"/>
  <c r="Y1118"/>
  <c r="Y1119"/>
  <c r="Y1120"/>
  <c r="Y1121"/>
  <c r="Y1122"/>
  <c r="Y1123"/>
  <c r="Y1124"/>
  <c r="Y1125"/>
  <c r="Y1126"/>
  <c r="Y1127"/>
  <c r="Y1128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F1110"/>
  <c r="F1109"/>
  <c r="F1108"/>
  <c r="F1107"/>
  <c r="F1106"/>
  <c r="F1105"/>
  <c r="F1104"/>
  <c r="F1103"/>
  <c r="F1102"/>
  <c r="J1102"/>
  <c r="J1103"/>
  <c r="J1104"/>
  <c r="J1105"/>
  <c r="J1106"/>
  <c r="J1107"/>
  <c r="J1108"/>
  <c r="J1109"/>
  <c r="J1110"/>
  <c r="M1102"/>
  <c r="M1103"/>
  <c r="M1104"/>
  <c r="M1105"/>
  <c r="M1106"/>
  <c r="M1107"/>
  <c r="M1108"/>
  <c r="M1109"/>
  <c r="M1110"/>
  <c r="P1102"/>
  <c r="P1103"/>
  <c r="P1104"/>
  <c r="P1105"/>
  <c r="P1106"/>
  <c r="P1107"/>
  <c r="P1108"/>
  <c r="P1109"/>
  <c r="P1110"/>
  <c r="Q1102"/>
  <c r="Q1103"/>
  <c r="Q1104"/>
  <c r="Q1105"/>
  <c r="Q1106"/>
  <c r="Q1107"/>
  <c r="Q1108"/>
  <c r="Q1109"/>
  <c r="Q1110"/>
  <c r="R1102"/>
  <c r="R1103"/>
  <c r="R1104"/>
  <c r="R1105"/>
  <c r="R1106"/>
  <c r="R1107"/>
  <c r="R1108"/>
  <c r="R1109"/>
  <c r="R1110"/>
  <c r="S1102"/>
  <c r="S1103"/>
  <c r="S1104"/>
  <c r="S1105"/>
  <c r="S1106"/>
  <c r="S1107"/>
  <c r="S1108"/>
  <c r="S1109"/>
  <c r="S1110"/>
  <c r="T1102"/>
  <c r="T1103"/>
  <c r="T1104"/>
  <c r="T1105"/>
  <c r="T1106"/>
  <c r="T1107"/>
  <c r="T1108"/>
  <c r="T1109"/>
  <c r="T1110"/>
  <c r="U1102"/>
  <c r="U1103"/>
  <c r="U1104"/>
  <c r="U1105"/>
  <c r="U1106"/>
  <c r="U1107"/>
  <c r="U1108"/>
  <c r="U1109"/>
  <c r="U1110"/>
  <c r="V1102"/>
  <c r="V1103"/>
  <c r="V1104"/>
  <c r="V1105"/>
  <c r="V1106"/>
  <c r="V1107"/>
  <c r="V1108"/>
  <c r="V1109"/>
  <c r="V1110"/>
  <c r="W1102"/>
  <c r="W1103"/>
  <c r="W1104"/>
  <c r="W1105"/>
  <c r="W1106"/>
  <c r="W1107"/>
  <c r="W1108"/>
  <c r="W1109"/>
  <c r="W1110"/>
  <c r="Y1102"/>
  <c r="Y1103"/>
  <c r="Y1104"/>
  <c r="Y1105"/>
  <c r="Y1106"/>
  <c r="Y1107"/>
  <c r="Y1108"/>
  <c r="Y1109"/>
  <c r="Y1110"/>
  <c r="Z1102"/>
  <c r="Z1103"/>
  <c r="Z1104"/>
  <c r="Z1105"/>
  <c r="Z1106"/>
  <c r="Z1107"/>
  <c r="Z1108"/>
  <c r="Z1109"/>
  <c r="Z1110"/>
  <c r="J1099"/>
  <c r="J1100"/>
  <c r="J1101"/>
  <c r="P1099"/>
  <c r="P1100"/>
  <c r="P1101"/>
  <c r="Q1099"/>
  <c r="Q1100"/>
  <c r="Q1101"/>
  <c r="R1099"/>
  <c r="R1100"/>
  <c r="R1101"/>
  <c r="S1099"/>
  <c r="S1100"/>
  <c r="S1101"/>
  <c r="T1099"/>
  <c r="T1100"/>
  <c r="T1101"/>
  <c r="U1099"/>
  <c r="U1100"/>
  <c r="U1101"/>
  <c r="V1099"/>
  <c r="V1100"/>
  <c r="V1101"/>
  <c r="W1099"/>
  <c r="W1100"/>
  <c r="W1101"/>
  <c r="Y1099"/>
  <c r="Y1100"/>
  <c r="Y1101"/>
  <c r="Z1099"/>
  <c r="Z1100"/>
  <c r="Z1101"/>
  <c r="J1096"/>
  <c r="J1097"/>
  <c r="J1098"/>
  <c r="P1096"/>
  <c r="P1097"/>
  <c r="P1098"/>
  <c r="Q1096"/>
  <c r="Q1097"/>
  <c r="Q1098"/>
  <c r="R1096"/>
  <c r="R1097"/>
  <c r="R1098"/>
  <c r="S1096"/>
  <c r="S1097"/>
  <c r="S1098"/>
  <c r="T1096"/>
  <c r="T1097"/>
  <c r="T1098"/>
  <c r="U1096"/>
  <c r="U1097"/>
  <c r="U1098"/>
  <c r="V1096"/>
  <c r="V1097"/>
  <c r="V1098"/>
  <c r="W1096"/>
  <c r="W1097"/>
  <c r="W1098"/>
  <c r="Y1096"/>
  <c r="Y1097"/>
  <c r="Y1098"/>
  <c r="Z1096"/>
  <c r="Z1097"/>
  <c r="Z1098"/>
  <c r="J1093"/>
  <c r="J1094"/>
  <c r="J1095"/>
  <c r="P1093"/>
  <c r="P1094"/>
  <c r="P1095"/>
  <c r="Q1093"/>
  <c r="Q1094"/>
  <c r="Q1095"/>
  <c r="R1093"/>
  <c r="R1094"/>
  <c r="R1095"/>
  <c r="S1093"/>
  <c r="S1094"/>
  <c r="S1095"/>
  <c r="T1093"/>
  <c r="T1094"/>
  <c r="T1095"/>
  <c r="U1093"/>
  <c r="U1094"/>
  <c r="U1095"/>
  <c r="V1093"/>
  <c r="V1094"/>
  <c r="V1095"/>
  <c r="W1093"/>
  <c r="W1094"/>
  <c r="W1095"/>
  <c r="Y1093"/>
  <c r="Y1094"/>
  <c r="Y1095"/>
  <c r="Z1093"/>
  <c r="Z1094"/>
  <c r="Z1095"/>
  <c r="F1092"/>
  <c r="F1090"/>
  <c r="F1091"/>
  <c r="J1088"/>
  <c r="J1089"/>
  <c r="J1090"/>
  <c r="J1091"/>
  <c r="J1092"/>
  <c r="L1088"/>
  <c r="L1089"/>
  <c r="L1090"/>
  <c r="L1091"/>
  <c r="P1088"/>
  <c r="P1089"/>
  <c r="P1090"/>
  <c r="P1091"/>
  <c r="P1092"/>
  <c r="Q1088"/>
  <c r="Q1089"/>
  <c r="Q1090"/>
  <c r="Q1091"/>
  <c r="Q1092"/>
  <c r="R1088"/>
  <c r="R1089"/>
  <c r="R1090"/>
  <c r="R1091"/>
  <c r="R1092"/>
  <c r="S1088"/>
  <c r="S1089"/>
  <c r="S1090"/>
  <c r="S1091"/>
  <c r="S1092"/>
  <c r="T1088"/>
  <c r="T1089"/>
  <c r="T1090"/>
  <c r="T1091"/>
  <c r="T1092"/>
  <c r="U1088"/>
  <c r="U1089"/>
  <c r="U1090"/>
  <c r="U1091"/>
  <c r="U1092"/>
  <c r="V1088"/>
  <c r="V1089"/>
  <c r="V1090"/>
  <c r="V1091"/>
  <c r="V1092"/>
  <c r="W1088"/>
  <c r="W1089"/>
  <c r="W1090"/>
  <c r="W1091"/>
  <c r="W1092"/>
  <c r="Y1088"/>
  <c r="Y1089"/>
  <c r="Y1090"/>
  <c r="Y1091"/>
  <c r="Y1092"/>
  <c r="Z1088"/>
  <c r="Z1089"/>
  <c r="Z1090"/>
  <c r="Z1091"/>
  <c r="Z1092"/>
  <c r="J1086"/>
  <c r="J1087"/>
  <c r="P1086"/>
  <c r="P1087"/>
  <c r="Q1086"/>
  <c r="Q1087"/>
  <c r="R1086"/>
  <c r="R1087"/>
  <c r="S1086"/>
  <c r="S1087"/>
  <c r="T1086"/>
  <c r="T1087"/>
  <c r="U1086"/>
  <c r="U1087"/>
  <c r="V1086"/>
  <c r="V1087"/>
  <c r="W1086"/>
  <c r="W1087"/>
  <c r="Y1086"/>
  <c r="Y1087"/>
  <c r="Z1086"/>
  <c r="Z1087"/>
  <c r="F1085"/>
  <c r="F1084"/>
  <c r="I1085"/>
  <c r="I1084"/>
  <c r="J1084"/>
  <c r="J1085"/>
  <c r="P1084"/>
  <c r="P1085"/>
  <c r="Q1084"/>
  <c r="Q1085"/>
  <c r="R1084"/>
  <c r="R1085"/>
  <c r="S1084"/>
  <c r="S1085"/>
  <c r="T1084"/>
  <c r="T1085"/>
  <c r="U1084"/>
  <c r="U1085"/>
  <c r="V1084"/>
  <c r="V1085"/>
  <c r="W1084"/>
  <c r="W1085"/>
  <c r="Y1084"/>
  <c r="Y1085"/>
  <c r="Z1084"/>
  <c r="Z1085"/>
  <c r="F1083"/>
  <c r="F1082"/>
  <c r="J1082"/>
  <c r="J1083"/>
  <c r="L1082"/>
  <c r="L1083"/>
  <c r="P1082"/>
  <c r="P1083"/>
  <c r="Q1082"/>
  <c r="Q1083"/>
  <c r="R1082"/>
  <c r="R1083"/>
  <c r="S1082"/>
  <c r="S1083"/>
  <c r="T1082"/>
  <c r="T1083"/>
  <c r="U1082"/>
  <c r="U1083"/>
  <c r="V1082"/>
  <c r="V1083"/>
  <c r="W1082"/>
  <c r="W1083"/>
  <c r="Y1082"/>
  <c r="Y1083"/>
  <c r="Z1082"/>
  <c r="Z1083"/>
  <c r="F1081"/>
  <c r="F1080"/>
  <c r="I1081"/>
  <c r="I1080"/>
  <c r="J1080"/>
  <c r="J1081"/>
  <c r="P1080"/>
  <c r="P1081"/>
  <c r="Q1080"/>
  <c r="Q1081"/>
  <c r="R1080"/>
  <c r="R1081"/>
  <c r="S1080"/>
  <c r="S1081"/>
  <c r="T1080"/>
  <c r="T1081"/>
  <c r="U1080"/>
  <c r="U1081"/>
  <c r="V1080"/>
  <c r="V1081"/>
  <c r="W1080"/>
  <c r="W1081"/>
  <c r="Y1080"/>
  <c r="Y1081"/>
  <c r="Z1080"/>
  <c r="Z1081"/>
  <c r="F646"/>
  <c r="F645"/>
  <c r="M1099" s="1"/>
  <c r="I646"/>
  <c r="I645"/>
  <c r="I644"/>
  <c r="I643"/>
  <c r="I642"/>
  <c r="I641"/>
  <c r="I207"/>
  <c r="I206"/>
  <c r="J206"/>
  <c r="J207"/>
  <c r="J641"/>
  <c r="J642"/>
  <c r="J643"/>
  <c r="J644"/>
  <c r="J645"/>
  <c r="J646"/>
  <c r="K206"/>
  <c r="K207"/>
  <c r="K641"/>
  <c r="K642"/>
  <c r="K643"/>
  <c r="K644"/>
  <c r="L206"/>
  <c r="L207"/>
  <c r="L641"/>
  <c r="L642"/>
  <c r="L643"/>
  <c r="L644"/>
  <c r="M206"/>
  <c r="O206" s="1"/>
  <c r="M207"/>
  <c r="O207" s="1"/>
  <c r="M641"/>
  <c r="O641" s="1"/>
  <c r="M642"/>
  <c r="O642" s="1"/>
  <c r="M643"/>
  <c r="O643" s="1"/>
  <c r="M644"/>
  <c r="O644" s="1"/>
  <c r="N206"/>
  <c r="N207"/>
  <c r="N641"/>
  <c r="N642"/>
  <c r="N643"/>
  <c r="N644"/>
  <c r="P206"/>
  <c r="P207"/>
  <c r="P641"/>
  <c r="P642"/>
  <c r="P643"/>
  <c r="P644"/>
  <c r="P645"/>
  <c r="P646"/>
  <c r="Q206"/>
  <c r="Q207"/>
  <c r="Q641"/>
  <c r="Q642"/>
  <c r="Q643"/>
  <c r="Q644"/>
  <c r="Q645"/>
  <c r="Q646"/>
  <c r="R206"/>
  <c r="R207"/>
  <c r="R641"/>
  <c r="R642"/>
  <c r="R643"/>
  <c r="R644"/>
  <c r="R645"/>
  <c r="R646"/>
  <c r="S206"/>
  <c r="S207"/>
  <c r="S641"/>
  <c r="S642"/>
  <c r="S643"/>
  <c r="S644"/>
  <c r="S645"/>
  <c r="S646"/>
  <c r="T206"/>
  <c r="T207"/>
  <c r="T641"/>
  <c r="T642"/>
  <c r="T643"/>
  <c r="T644"/>
  <c r="T645"/>
  <c r="T646"/>
  <c r="U206"/>
  <c r="U207"/>
  <c r="U641"/>
  <c r="U642"/>
  <c r="U643"/>
  <c r="U644"/>
  <c r="U645"/>
  <c r="U646"/>
  <c r="V206"/>
  <c r="V207"/>
  <c r="V641"/>
  <c r="V642"/>
  <c r="V643"/>
  <c r="V644"/>
  <c r="V645"/>
  <c r="V646"/>
  <c r="W206"/>
  <c r="W207"/>
  <c r="W641"/>
  <c r="W642"/>
  <c r="W643"/>
  <c r="W644"/>
  <c r="W645"/>
  <c r="W646"/>
  <c r="X206"/>
  <c r="X207"/>
  <c r="X641"/>
  <c r="X642"/>
  <c r="X643"/>
  <c r="X644"/>
  <c r="Y206"/>
  <c r="Y207"/>
  <c r="Y641"/>
  <c r="Y642"/>
  <c r="Y643"/>
  <c r="Y644"/>
  <c r="Y645"/>
  <c r="Y646"/>
  <c r="Z206"/>
  <c r="Z207"/>
  <c r="Z641"/>
  <c r="Z642"/>
  <c r="Z643"/>
  <c r="Z644"/>
  <c r="Z645"/>
  <c r="Z646"/>
  <c r="F648"/>
  <c r="F647"/>
  <c r="M645" s="1"/>
  <c r="I648"/>
  <c r="I647"/>
  <c r="J647"/>
  <c r="J648"/>
  <c r="P647"/>
  <c r="P648"/>
  <c r="Q647"/>
  <c r="Q648"/>
  <c r="R647"/>
  <c r="R648"/>
  <c r="S647"/>
  <c r="S648"/>
  <c r="T647"/>
  <c r="T648"/>
  <c r="U647"/>
  <c r="U648"/>
  <c r="V647"/>
  <c r="V648"/>
  <c r="W647"/>
  <c r="W648"/>
  <c r="Y647"/>
  <c r="Y648"/>
  <c r="Z647"/>
  <c r="Z648"/>
  <c r="F650"/>
  <c r="F649"/>
  <c r="M647" s="1"/>
  <c r="F652"/>
  <c r="F651"/>
  <c r="F654"/>
  <c r="F653"/>
  <c r="F656"/>
  <c r="F655"/>
  <c r="F658"/>
  <c r="F657"/>
  <c r="J649"/>
  <c r="J650"/>
  <c r="L649"/>
  <c r="L650"/>
  <c r="P649"/>
  <c r="P650"/>
  <c r="Q649"/>
  <c r="Q650"/>
  <c r="R649"/>
  <c r="R650"/>
  <c r="S649"/>
  <c r="S650"/>
  <c r="T649"/>
  <c r="T650"/>
  <c r="U649"/>
  <c r="U650"/>
  <c r="V649"/>
  <c r="V650"/>
  <c r="W649"/>
  <c r="W650"/>
  <c r="Y649"/>
  <c r="Y650"/>
  <c r="Z649"/>
  <c r="Z650"/>
  <c r="J651"/>
  <c r="J652"/>
  <c r="P651"/>
  <c r="P652"/>
  <c r="Q651"/>
  <c r="Q652"/>
  <c r="R651"/>
  <c r="R652"/>
  <c r="S651"/>
  <c r="S652"/>
  <c r="T651"/>
  <c r="T652"/>
  <c r="U651"/>
  <c r="U652"/>
  <c r="V651"/>
  <c r="V652"/>
  <c r="W651"/>
  <c r="W652"/>
  <c r="Y651"/>
  <c r="Y652"/>
  <c r="Z651"/>
  <c r="Z652"/>
  <c r="J653"/>
  <c r="J654"/>
  <c r="P653"/>
  <c r="P654"/>
  <c r="Q653"/>
  <c r="Q654"/>
  <c r="R653"/>
  <c r="R654"/>
  <c r="S653"/>
  <c r="S654"/>
  <c r="T653"/>
  <c r="T654"/>
  <c r="U653"/>
  <c r="U654"/>
  <c r="V653"/>
  <c r="V654"/>
  <c r="W653"/>
  <c r="W654"/>
  <c r="Y653"/>
  <c r="Y654"/>
  <c r="Z653"/>
  <c r="Z654"/>
  <c r="J655"/>
  <c r="J656"/>
  <c r="L655"/>
  <c r="L656"/>
  <c r="P655"/>
  <c r="P656"/>
  <c r="Q655"/>
  <c r="Q656"/>
  <c r="R655"/>
  <c r="R656"/>
  <c r="S655"/>
  <c r="S656"/>
  <c r="T655"/>
  <c r="T656"/>
  <c r="U655"/>
  <c r="U656"/>
  <c r="V655"/>
  <c r="V656"/>
  <c r="W655"/>
  <c r="W656"/>
  <c r="Y655"/>
  <c r="Y656"/>
  <c r="Z655"/>
  <c r="Z656"/>
  <c r="J657"/>
  <c r="J658"/>
  <c r="P657"/>
  <c r="P658"/>
  <c r="Q657"/>
  <c r="Q658"/>
  <c r="R657"/>
  <c r="R658"/>
  <c r="S657"/>
  <c r="S658"/>
  <c r="T657"/>
  <c r="T658"/>
  <c r="U657"/>
  <c r="U658"/>
  <c r="V657"/>
  <c r="V658"/>
  <c r="W657"/>
  <c r="W658"/>
  <c r="Y657"/>
  <c r="Y658"/>
  <c r="Z657"/>
  <c r="Z658"/>
  <c r="F1043"/>
  <c r="F1042"/>
  <c r="M649" s="1"/>
  <c r="I1043"/>
  <c r="I1042"/>
  <c r="I662"/>
  <c r="I661"/>
  <c r="I660"/>
  <c r="I659"/>
  <c r="J659"/>
  <c r="J660"/>
  <c r="J661"/>
  <c r="J662"/>
  <c r="J1042"/>
  <c r="J1043"/>
  <c r="K659"/>
  <c r="K660"/>
  <c r="K661"/>
  <c r="K662"/>
  <c r="L659"/>
  <c r="L660"/>
  <c r="L661"/>
  <c r="L662"/>
  <c r="M659"/>
  <c r="O659" s="1"/>
  <c r="M660"/>
  <c r="O660" s="1"/>
  <c r="M661"/>
  <c r="O661" s="1"/>
  <c r="M662"/>
  <c r="O662" s="1"/>
  <c r="M1042"/>
  <c r="M1043"/>
  <c r="N659"/>
  <c r="N660"/>
  <c r="N661"/>
  <c r="N662"/>
  <c r="P659"/>
  <c r="P660"/>
  <c r="P661"/>
  <c r="P662"/>
  <c r="P1042"/>
  <c r="P1043"/>
  <c r="Q659"/>
  <c r="Q660"/>
  <c r="Q661"/>
  <c r="Q662"/>
  <c r="Q1042"/>
  <c r="Q1043"/>
  <c r="R659"/>
  <c r="R660"/>
  <c r="R661"/>
  <c r="R662"/>
  <c r="R1042"/>
  <c r="R1043"/>
  <c r="S659"/>
  <c r="S660"/>
  <c r="S661"/>
  <c r="S662"/>
  <c r="S1042"/>
  <c r="S1043"/>
  <c r="T659"/>
  <c r="T660"/>
  <c r="T661"/>
  <c r="T662"/>
  <c r="T1042"/>
  <c r="T1043"/>
  <c r="U659"/>
  <c r="U660"/>
  <c r="U661"/>
  <c r="U662"/>
  <c r="U1042"/>
  <c r="U1043"/>
  <c r="V659"/>
  <c r="V660"/>
  <c r="V661"/>
  <c r="V662"/>
  <c r="V1042"/>
  <c r="V1043"/>
  <c r="W659"/>
  <c r="W660"/>
  <c r="W661"/>
  <c r="W662"/>
  <c r="W1042"/>
  <c r="W1043"/>
  <c r="X659"/>
  <c r="X660"/>
  <c r="X661"/>
  <c r="X662"/>
  <c r="Y659"/>
  <c r="Y660"/>
  <c r="Y661"/>
  <c r="Y662"/>
  <c r="Y1042"/>
  <c r="Y1043"/>
  <c r="Z659"/>
  <c r="Z660"/>
  <c r="Z661"/>
  <c r="Z662"/>
  <c r="Z1042"/>
  <c r="Z1043"/>
  <c r="J1047"/>
  <c r="J1048"/>
  <c r="J1049"/>
  <c r="K1047"/>
  <c r="L1047"/>
  <c r="M1047"/>
  <c r="O1047" s="1"/>
  <c r="M1048"/>
  <c r="M1049"/>
  <c r="N1047"/>
  <c r="P1047"/>
  <c r="P1048"/>
  <c r="P1049"/>
  <c r="Q1047"/>
  <c r="Q1048"/>
  <c r="Q1049"/>
  <c r="R1047"/>
  <c r="R1048"/>
  <c r="R1049"/>
  <c r="S1047"/>
  <c r="S1048"/>
  <c r="S1049"/>
  <c r="T1047"/>
  <c r="T1048"/>
  <c r="T1049"/>
  <c r="U1047"/>
  <c r="U1048"/>
  <c r="U1049"/>
  <c r="V1047"/>
  <c r="V1048"/>
  <c r="V1049"/>
  <c r="W1047"/>
  <c r="W1048"/>
  <c r="W1049"/>
  <c r="X1047"/>
  <c r="Y1047"/>
  <c r="Y1048"/>
  <c r="Y1049"/>
  <c r="Z1047"/>
  <c r="Z1048"/>
  <c r="Z1049"/>
  <c r="J1044"/>
  <c r="J1045"/>
  <c r="J1046"/>
  <c r="K1044"/>
  <c r="K1045"/>
  <c r="K1046"/>
  <c r="L1044"/>
  <c r="L1045"/>
  <c r="L1046"/>
  <c r="M1044"/>
  <c r="O1044" s="1"/>
  <c r="M1045"/>
  <c r="O1045" s="1"/>
  <c r="M1046"/>
  <c r="O1046" s="1"/>
  <c r="N1044"/>
  <c r="N1045"/>
  <c r="N1046"/>
  <c r="P1044"/>
  <c r="P1045"/>
  <c r="P1046"/>
  <c r="Q1044"/>
  <c r="Q1045"/>
  <c r="Q1046"/>
  <c r="R1044"/>
  <c r="R1045"/>
  <c r="R1046"/>
  <c r="S1044"/>
  <c r="S1045"/>
  <c r="S1046"/>
  <c r="T1044"/>
  <c r="T1045"/>
  <c r="T1046"/>
  <c r="U1044"/>
  <c r="U1045"/>
  <c r="U1046"/>
  <c r="V1044"/>
  <c r="V1045"/>
  <c r="V1046"/>
  <c r="W1044"/>
  <c r="W1045"/>
  <c r="W1046"/>
  <c r="X1044"/>
  <c r="X1045"/>
  <c r="X1046"/>
  <c r="Y1044"/>
  <c r="Y1045"/>
  <c r="Y1046"/>
  <c r="Z1044"/>
  <c r="Z1045"/>
  <c r="Z1046"/>
  <c r="J1050"/>
  <c r="J1051"/>
  <c r="J1052"/>
  <c r="J1053"/>
  <c r="J1054"/>
  <c r="J1055"/>
  <c r="K1050"/>
  <c r="K1051"/>
  <c r="K1052"/>
  <c r="K1053"/>
  <c r="L1050"/>
  <c r="L1051"/>
  <c r="L1052"/>
  <c r="L1053"/>
  <c r="M1050"/>
  <c r="O1050" s="1"/>
  <c r="M1051"/>
  <c r="O1051" s="1"/>
  <c r="M1052"/>
  <c r="O1052" s="1"/>
  <c r="M1053"/>
  <c r="O1053" s="1"/>
  <c r="M1054"/>
  <c r="M1055"/>
  <c r="N1050"/>
  <c r="N1051"/>
  <c r="N1052"/>
  <c r="N1053"/>
  <c r="P1050"/>
  <c r="P1051"/>
  <c r="P1052"/>
  <c r="P1053"/>
  <c r="P1054"/>
  <c r="P1055"/>
  <c r="Q1050"/>
  <c r="Q1051"/>
  <c r="Q1052"/>
  <c r="Q1053"/>
  <c r="Q1054"/>
  <c r="Q1055"/>
  <c r="R1050"/>
  <c r="R1051"/>
  <c r="R1052"/>
  <c r="R1053"/>
  <c r="R1054"/>
  <c r="R1055"/>
  <c r="S1050"/>
  <c r="S1051"/>
  <c r="S1052"/>
  <c r="S1053"/>
  <c r="S1054"/>
  <c r="S1055"/>
  <c r="T1050"/>
  <c r="T1051"/>
  <c r="T1052"/>
  <c r="T1053"/>
  <c r="T1054"/>
  <c r="T1055"/>
  <c r="U1050"/>
  <c r="U1051"/>
  <c r="U1052"/>
  <c r="U1053"/>
  <c r="U1054"/>
  <c r="U1055"/>
  <c r="V1050"/>
  <c r="V1051"/>
  <c r="V1052"/>
  <c r="V1053"/>
  <c r="V1054"/>
  <c r="V1055"/>
  <c r="W1050"/>
  <c r="W1051"/>
  <c r="W1052"/>
  <c r="W1053"/>
  <c r="W1054"/>
  <c r="W1055"/>
  <c r="X1050"/>
  <c r="X1051"/>
  <c r="X1052"/>
  <c r="X1053"/>
  <c r="Y1050"/>
  <c r="Y1051"/>
  <c r="Y1052"/>
  <c r="Y1053"/>
  <c r="Y1054"/>
  <c r="Y1055"/>
  <c r="Z1050"/>
  <c r="Z1051"/>
  <c r="Z1052"/>
  <c r="Z1053"/>
  <c r="Z1054"/>
  <c r="Z1055"/>
  <c r="J1040"/>
  <c r="J1041"/>
  <c r="K1040"/>
  <c r="L1040"/>
  <c r="M1040"/>
  <c r="O1040" s="1"/>
  <c r="M1041"/>
  <c r="N1040"/>
  <c r="P1040"/>
  <c r="P1041"/>
  <c r="Q1040"/>
  <c r="Q1041"/>
  <c r="R1040"/>
  <c r="R1041"/>
  <c r="S1040"/>
  <c r="S1041"/>
  <c r="T1040"/>
  <c r="T1041"/>
  <c r="U1040"/>
  <c r="U1041"/>
  <c r="V1040"/>
  <c r="V1041"/>
  <c r="W1040"/>
  <c r="W1041"/>
  <c r="X1040"/>
  <c r="Y1040"/>
  <c r="Y1041"/>
  <c r="Z1040"/>
  <c r="Z1041"/>
  <c r="J1039"/>
  <c r="K1039"/>
  <c r="L1039"/>
  <c r="M1039"/>
  <c r="O1039" s="1"/>
  <c r="N1039"/>
  <c r="P1039"/>
  <c r="Q1039"/>
  <c r="R1039"/>
  <c r="S1039"/>
  <c r="T1039"/>
  <c r="U1039"/>
  <c r="V1039"/>
  <c r="W1039"/>
  <c r="X1039"/>
  <c r="Y1039"/>
  <c r="Z1039"/>
  <c r="J1037"/>
  <c r="J1038"/>
  <c r="K1037"/>
  <c r="L1037"/>
  <c r="M1037"/>
  <c r="O1037" s="1"/>
  <c r="M1038"/>
  <c r="N1037"/>
  <c r="P1037"/>
  <c r="P1038"/>
  <c r="Q1037"/>
  <c r="Q1038"/>
  <c r="R1037"/>
  <c r="R1038"/>
  <c r="S1037"/>
  <c r="S1038"/>
  <c r="T1037"/>
  <c r="T1038"/>
  <c r="U1037"/>
  <c r="U1038"/>
  <c r="V1037"/>
  <c r="V1038"/>
  <c r="W1037"/>
  <c r="W1038"/>
  <c r="X1037"/>
  <c r="Y1037"/>
  <c r="Y1038"/>
  <c r="Z1037"/>
  <c r="Z1038"/>
  <c r="J1032"/>
  <c r="J1033"/>
  <c r="J1034"/>
  <c r="J938"/>
  <c r="J1036"/>
  <c r="K1032"/>
  <c r="K1034"/>
  <c r="L1032"/>
  <c r="L1033"/>
  <c r="L1034"/>
  <c r="L938"/>
  <c r="L1036"/>
  <c r="M1032"/>
  <c r="O1032" s="1"/>
  <c r="M1033"/>
  <c r="M1034"/>
  <c r="O1034" s="1"/>
  <c r="M938"/>
  <c r="M1036"/>
  <c r="N1032"/>
  <c r="N1034"/>
  <c r="P1032"/>
  <c r="P1033"/>
  <c r="P1034"/>
  <c r="P938"/>
  <c r="P1036"/>
  <c r="Q1032"/>
  <c r="Q1033"/>
  <c r="Q1034"/>
  <c r="Q938"/>
  <c r="Q1036"/>
  <c r="R1032"/>
  <c r="R1033"/>
  <c r="R1034"/>
  <c r="R938"/>
  <c r="R1036"/>
  <c r="S1032"/>
  <c r="S1033"/>
  <c r="S1034"/>
  <c r="S938"/>
  <c r="S1036"/>
  <c r="T1032"/>
  <c r="T1033"/>
  <c r="T1034"/>
  <c r="T938"/>
  <c r="T1036"/>
  <c r="U1032"/>
  <c r="U1033"/>
  <c r="U1034"/>
  <c r="U938"/>
  <c r="U1036"/>
  <c r="V1032"/>
  <c r="V1033"/>
  <c r="V1034"/>
  <c r="V938"/>
  <c r="V1036"/>
  <c r="W1032"/>
  <c r="W1033"/>
  <c r="W1034"/>
  <c r="W938"/>
  <c r="W1036"/>
  <c r="X1032"/>
  <c r="X1034"/>
  <c r="Y1032"/>
  <c r="Y1033"/>
  <c r="Y1034"/>
  <c r="Y938"/>
  <c r="Y1036"/>
  <c r="Z1032"/>
  <c r="Z1033"/>
  <c r="Z1034"/>
  <c r="Z938"/>
  <c r="Z1036"/>
  <c r="J1020"/>
  <c r="J1021"/>
  <c r="J941"/>
  <c r="J1023"/>
  <c r="J1024"/>
  <c r="J944"/>
  <c r="J1026"/>
  <c r="J1027"/>
  <c r="J947"/>
  <c r="J1029"/>
  <c r="J1030"/>
  <c r="J950"/>
  <c r="K1020"/>
  <c r="K1021"/>
  <c r="K941"/>
  <c r="K1023"/>
  <c r="K1024"/>
  <c r="K944"/>
  <c r="K1026"/>
  <c r="K1027"/>
  <c r="K947"/>
  <c r="L1020"/>
  <c r="L1021"/>
  <c r="L941"/>
  <c r="L1023"/>
  <c r="L1024"/>
  <c r="L944"/>
  <c r="L1026"/>
  <c r="L1027"/>
  <c r="L947"/>
  <c r="L1029"/>
  <c r="L1030"/>
  <c r="L950"/>
  <c r="M1020"/>
  <c r="O1020" s="1"/>
  <c r="M1021"/>
  <c r="O1021" s="1"/>
  <c r="M941"/>
  <c r="O941" s="1"/>
  <c r="M1023"/>
  <c r="O1023" s="1"/>
  <c r="M1024"/>
  <c r="O1024" s="1"/>
  <c r="M944"/>
  <c r="O944" s="1"/>
  <c r="M1026"/>
  <c r="O1026" s="1"/>
  <c r="M1027"/>
  <c r="O1027" s="1"/>
  <c r="M947"/>
  <c r="O947" s="1"/>
  <c r="M1029"/>
  <c r="M1030"/>
  <c r="M950"/>
  <c r="N1020"/>
  <c r="N1021"/>
  <c r="N941"/>
  <c r="N1023"/>
  <c r="N1024"/>
  <c r="N944"/>
  <c r="N1026"/>
  <c r="N1027"/>
  <c r="N947"/>
  <c r="P1020"/>
  <c r="P1021"/>
  <c r="P941"/>
  <c r="P1023"/>
  <c r="P1024"/>
  <c r="P944"/>
  <c r="P1026"/>
  <c r="P1027"/>
  <c r="P947"/>
  <c r="P1029"/>
  <c r="P1030"/>
  <c r="P950"/>
  <c r="Q1020"/>
  <c r="Q1021"/>
  <c r="Q941"/>
  <c r="Q1023"/>
  <c r="Q1024"/>
  <c r="Q944"/>
  <c r="Q1026"/>
  <c r="Q1027"/>
  <c r="Q947"/>
  <c r="Q1029"/>
  <c r="Q1030"/>
  <c r="Q950"/>
  <c r="R1020"/>
  <c r="R1021"/>
  <c r="R941"/>
  <c r="R1023"/>
  <c r="R1024"/>
  <c r="R944"/>
  <c r="R1026"/>
  <c r="R1027"/>
  <c r="R947"/>
  <c r="R1029"/>
  <c r="R1030"/>
  <c r="R950"/>
  <c r="S1020"/>
  <c r="S1021"/>
  <c r="S941"/>
  <c r="S1023"/>
  <c r="S1024"/>
  <c r="S944"/>
  <c r="S1026"/>
  <c r="S1027"/>
  <c r="S947"/>
  <c r="S1029"/>
  <c r="S1030"/>
  <c r="S950"/>
  <c r="T1020"/>
  <c r="T1021"/>
  <c r="T941"/>
  <c r="T1023"/>
  <c r="T1024"/>
  <c r="T944"/>
  <c r="T1026"/>
  <c r="T1027"/>
  <c r="T947"/>
  <c r="T1029"/>
  <c r="T1030"/>
  <c r="T950"/>
  <c r="U1020"/>
  <c r="U1021"/>
  <c r="U941"/>
  <c r="U1023"/>
  <c r="U1024"/>
  <c r="U944"/>
  <c r="U1026"/>
  <c r="U1027"/>
  <c r="U947"/>
  <c r="U1029"/>
  <c r="U1030"/>
  <c r="U950"/>
  <c r="V1020"/>
  <c r="V1021"/>
  <c r="V941"/>
  <c r="V1023"/>
  <c r="V1024"/>
  <c r="V944"/>
  <c r="V1026"/>
  <c r="V1027"/>
  <c r="V947"/>
  <c r="V1029"/>
  <c r="V1030"/>
  <c r="V950"/>
  <c r="W1020"/>
  <c r="W1021"/>
  <c r="W941"/>
  <c r="W1023"/>
  <c r="W1024"/>
  <c r="W944"/>
  <c r="W1026"/>
  <c r="W1027"/>
  <c r="W947"/>
  <c r="W1029"/>
  <c r="W1030"/>
  <c r="W950"/>
  <c r="X1020"/>
  <c r="X1021"/>
  <c r="X941"/>
  <c r="X1023"/>
  <c r="X1024"/>
  <c r="X944"/>
  <c r="X1026"/>
  <c r="X1027"/>
  <c r="X947"/>
  <c r="Y1020"/>
  <c r="Y1021"/>
  <c r="Y941"/>
  <c r="Y1023"/>
  <c r="Y1024"/>
  <c r="Y944"/>
  <c r="Y1026"/>
  <c r="Y1027"/>
  <c r="Y947"/>
  <c r="Y1029"/>
  <c r="Y1030"/>
  <c r="Y950"/>
  <c r="Z1020"/>
  <c r="Z1021"/>
  <c r="Z941"/>
  <c r="Z1023"/>
  <c r="Z1024"/>
  <c r="Z944"/>
  <c r="Z1026"/>
  <c r="Z1027"/>
  <c r="Z947"/>
  <c r="Z1029"/>
  <c r="Z1030"/>
  <c r="Z950"/>
  <c r="J1008"/>
  <c r="J1009"/>
  <c r="J953"/>
  <c r="J1011"/>
  <c r="J1012"/>
  <c r="J956"/>
  <c r="J1014"/>
  <c r="J1015"/>
  <c r="J959"/>
  <c r="J1017"/>
  <c r="J1018"/>
  <c r="J962"/>
  <c r="K1008"/>
  <c r="K1009"/>
  <c r="K953"/>
  <c r="K1011"/>
  <c r="K1012"/>
  <c r="K956"/>
  <c r="K1014"/>
  <c r="K1015"/>
  <c r="K959"/>
  <c r="L1008"/>
  <c r="L1009"/>
  <c r="L953"/>
  <c r="L1011"/>
  <c r="L1012"/>
  <c r="L956"/>
  <c r="L1014"/>
  <c r="L1015"/>
  <c r="L959"/>
  <c r="M1008"/>
  <c r="O1008" s="1"/>
  <c r="M1009"/>
  <c r="O1009" s="1"/>
  <c r="M953"/>
  <c r="O953" s="1"/>
  <c r="M1011"/>
  <c r="O1011" s="1"/>
  <c r="M1012"/>
  <c r="O1012" s="1"/>
  <c r="M956"/>
  <c r="O956" s="1"/>
  <c r="M1014"/>
  <c r="O1014" s="1"/>
  <c r="M1015"/>
  <c r="O1015" s="1"/>
  <c r="M959"/>
  <c r="O959" s="1"/>
  <c r="M1017"/>
  <c r="M1018"/>
  <c r="M962"/>
  <c r="N1008"/>
  <c r="N1009"/>
  <c r="N953"/>
  <c r="N1011"/>
  <c r="N1012"/>
  <c r="N956"/>
  <c r="N1014"/>
  <c r="N1015"/>
  <c r="N959"/>
  <c r="P1008"/>
  <c r="P1009"/>
  <c r="P953"/>
  <c r="P1011"/>
  <c r="P1012"/>
  <c r="P956"/>
  <c r="P1014"/>
  <c r="P1015"/>
  <c r="P959"/>
  <c r="P1017"/>
  <c r="P1018"/>
  <c r="P962"/>
  <c r="Q1008"/>
  <c r="Q1009"/>
  <c r="Q953"/>
  <c r="Q1011"/>
  <c r="Q1012"/>
  <c r="Q956"/>
  <c r="Q1014"/>
  <c r="Q1015"/>
  <c r="Q959"/>
  <c r="Q1017"/>
  <c r="Q1018"/>
  <c r="Q962"/>
  <c r="R1008"/>
  <c r="R1009"/>
  <c r="R953"/>
  <c r="R1011"/>
  <c r="R1012"/>
  <c r="R956"/>
  <c r="R1014"/>
  <c r="R1015"/>
  <c r="R959"/>
  <c r="R1017"/>
  <c r="R1018"/>
  <c r="R962"/>
  <c r="S1008"/>
  <c r="S1009"/>
  <c r="S953"/>
  <c r="S1011"/>
  <c r="S1012"/>
  <c r="S956"/>
  <c r="S1014"/>
  <c r="S1015"/>
  <c r="S959"/>
  <c r="S1017"/>
  <c r="S1018"/>
  <c r="S962"/>
  <c r="T1008"/>
  <c r="T1009"/>
  <c r="T953"/>
  <c r="T1011"/>
  <c r="T1012"/>
  <c r="T956"/>
  <c r="T1014"/>
  <c r="T1015"/>
  <c r="T959"/>
  <c r="T1017"/>
  <c r="T1018"/>
  <c r="T962"/>
  <c r="U1008"/>
  <c r="U1009"/>
  <c r="U953"/>
  <c r="U1011"/>
  <c r="U1012"/>
  <c r="U956"/>
  <c r="U1014"/>
  <c r="U1015"/>
  <c r="U959"/>
  <c r="U1017"/>
  <c r="U1018"/>
  <c r="U962"/>
  <c r="V1008"/>
  <c r="V1009"/>
  <c r="V953"/>
  <c r="V1011"/>
  <c r="V1012"/>
  <c r="V956"/>
  <c r="V1014"/>
  <c r="V1015"/>
  <c r="V959"/>
  <c r="V1017"/>
  <c r="V1018"/>
  <c r="V962"/>
  <c r="W1008"/>
  <c r="W1009"/>
  <c r="W953"/>
  <c r="W1011"/>
  <c r="W1012"/>
  <c r="W956"/>
  <c r="W1014"/>
  <c r="W1015"/>
  <c r="W959"/>
  <c r="W1017"/>
  <c r="W1018"/>
  <c r="W962"/>
  <c r="X1008"/>
  <c r="X1009"/>
  <c r="X953"/>
  <c r="X1011"/>
  <c r="X1012"/>
  <c r="X956"/>
  <c r="X1014"/>
  <c r="X1015"/>
  <c r="X959"/>
  <c r="Y1008"/>
  <c r="Y1009"/>
  <c r="Y953"/>
  <c r="Y1011"/>
  <c r="Y1012"/>
  <c r="Y956"/>
  <c r="Y1014"/>
  <c r="Y1015"/>
  <c r="Y959"/>
  <c r="Y1017"/>
  <c r="Y1018"/>
  <c r="Y962"/>
  <c r="Z1008"/>
  <c r="Z1009"/>
  <c r="Z953"/>
  <c r="Z1011"/>
  <c r="Z1012"/>
  <c r="Z956"/>
  <c r="Z1014"/>
  <c r="Z1015"/>
  <c r="Z959"/>
  <c r="Z1017"/>
  <c r="Z1018"/>
  <c r="Z962"/>
  <c r="J996"/>
  <c r="J997"/>
  <c r="J965"/>
  <c r="J999"/>
  <c r="J1000"/>
  <c r="J968"/>
  <c r="J1002"/>
  <c r="J1003"/>
  <c r="J971"/>
  <c r="J1005"/>
  <c r="J1006"/>
  <c r="J974"/>
  <c r="K996"/>
  <c r="K997"/>
  <c r="K965"/>
  <c r="K999"/>
  <c r="K1000"/>
  <c r="K968"/>
  <c r="K1002"/>
  <c r="K1003"/>
  <c r="K971"/>
  <c r="L996"/>
  <c r="L997"/>
  <c r="L965"/>
  <c r="L999"/>
  <c r="L1000"/>
  <c r="L968"/>
  <c r="L1002"/>
  <c r="L1003"/>
  <c r="L971"/>
  <c r="M996"/>
  <c r="O996" s="1"/>
  <c r="M997"/>
  <c r="O997" s="1"/>
  <c r="M965"/>
  <c r="O965" s="1"/>
  <c r="M999"/>
  <c r="O999" s="1"/>
  <c r="M1000"/>
  <c r="O1000" s="1"/>
  <c r="M968"/>
  <c r="O968" s="1"/>
  <c r="M1002"/>
  <c r="O1002" s="1"/>
  <c r="M1003"/>
  <c r="O1003" s="1"/>
  <c r="M971"/>
  <c r="O971" s="1"/>
  <c r="M1005"/>
  <c r="M1006"/>
  <c r="M974"/>
  <c r="N996"/>
  <c r="N997"/>
  <c r="N965"/>
  <c r="N999"/>
  <c r="N1000"/>
  <c r="N968"/>
  <c r="N1002"/>
  <c r="N1003"/>
  <c r="N971"/>
  <c r="P996"/>
  <c r="P997"/>
  <c r="P965"/>
  <c r="P999"/>
  <c r="P1000"/>
  <c r="P968"/>
  <c r="P1002"/>
  <c r="P1003"/>
  <c r="P971"/>
  <c r="P1005"/>
  <c r="P1006"/>
  <c r="P974"/>
  <c r="Q996"/>
  <c r="Q997"/>
  <c r="Q965"/>
  <c r="Q999"/>
  <c r="Q1000"/>
  <c r="Q968"/>
  <c r="Q1002"/>
  <c r="Q1003"/>
  <c r="Q971"/>
  <c r="Q1005"/>
  <c r="Q1006"/>
  <c r="Q974"/>
  <c r="R996"/>
  <c r="R997"/>
  <c r="R965"/>
  <c r="R999"/>
  <c r="R1000"/>
  <c r="R968"/>
  <c r="R1002"/>
  <c r="R1003"/>
  <c r="R971"/>
  <c r="R1005"/>
  <c r="R1006"/>
  <c r="R974"/>
  <c r="S996"/>
  <c r="S997"/>
  <c r="S965"/>
  <c r="S999"/>
  <c r="S1000"/>
  <c r="S968"/>
  <c r="S1002"/>
  <c r="S1003"/>
  <c r="S971"/>
  <c r="S1005"/>
  <c r="S1006"/>
  <c r="S974"/>
  <c r="T996"/>
  <c r="T997"/>
  <c r="T965"/>
  <c r="T999"/>
  <c r="T1000"/>
  <c r="T968"/>
  <c r="T1002"/>
  <c r="T1003"/>
  <c r="T971"/>
  <c r="T1005"/>
  <c r="T1006"/>
  <c r="T974"/>
  <c r="U996"/>
  <c r="U997"/>
  <c r="U965"/>
  <c r="U999"/>
  <c r="U1000"/>
  <c r="U968"/>
  <c r="U1002"/>
  <c r="U1003"/>
  <c r="U971"/>
  <c r="U1005"/>
  <c r="U1006"/>
  <c r="U974"/>
  <c r="V996"/>
  <c r="V997"/>
  <c r="V965"/>
  <c r="V999"/>
  <c r="V1000"/>
  <c r="V968"/>
  <c r="V1002"/>
  <c r="V1003"/>
  <c r="V971"/>
  <c r="V1005"/>
  <c r="V1006"/>
  <c r="V974"/>
  <c r="W996"/>
  <c r="W997"/>
  <c r="W965"/>
  <c r="W999"/>
  <c r="W1000"/>
  <c r="W968"/>
  <c r="W1002"/>
  <c r="W1003"/>
  <c r="W971"/>
  <c r="W1005"/>
  <c r="W1006"/>
  <c r="W974"/>
  <c r="X996"/>
  <c r="X997"/>
  <c r="X965"/>
  <c r="X999"/>
  <c r="X1000"/>
  <c r="X968"/>
  <c r="X1002"/>
  <c r="X1003"/>
  <c r="X971"/>
  <c r="Y996"/>
  <c r="Y997"/>
  <c r="Y965"/>
  <c r="Y999"/>
  <c r="Y1000"/>
  <c r="Y968"/>
  <c r="Y1002"/>
  <c r="Y1003"/>
  <c r="Y971"/>
  <c r="Y1005"/>
  <c r="Y1006"/>
  <c r="Y974"/>
  <c r="Z996"/>
  <c r="Z997"/>
  <c r="Z965"/>
  <c r="Z999"/>
  <c r="Z1000"/>
  <c r="Z968"/>
  <c r="Z1002"/>
  <c r="Z1003"/>
  <c r="Z971"/>
  <c r="Z1005"/>
  <c r="Z1006"/>
  <c r="Z974"/>
  <c r="J981"/>
  <c r="J982"/>
  <c r="J977"/>
  <c r="J984"/>
  <c r="J985"/>
  <c r="J980"/>
  <c r="J987"/>
  <c r="J988"/>
  <c r="J983"/>
  <c r="J990"/>
  <c r="J991"/>
  <c r="J986"/>
  <c r="J993"/>
  <c r="J994"/>
  <c r="J989"/>
  <c r="K981"/>
  <c r="K982"/>
  <c r="K977"/>
  <c r="K984"/>
  <c r="K985"/>
  <c r="K980"/>
  <c r="K987"/>
  <c r="K988"/>
  <c r="K983"/>
  <c r="K990"/>
  <c r="K991"/>
  <c r="K986"/>
  <c r="L981"/>
  <c r="L982"/>
  <c r="L977"/>
  <c r="L984"/>
  <c r="L985"/>
  <c r="L980"/>
  <c r="L987"/>
  <c r="L988"/>
  <c r="L983"/>
  <c r="L990"/>
  <c r="L991"/>
  <c r="L986"/>
  <c r="M981"/>
  <c r="O981" s="1"/>
  <c r="M982"/>
  <c r="O982" s="1"/>
  <c r="M977"/>
  <c r="O977" s="1"/>
  <c r="M984"/>
  <c r="O984" s="1"/>
  <c r="M985"/>
  <c r="O985" s="1"/>
  <c r="M980"/>
  <c r="O980" s="1"/>
  <c r="M987"/>
  <c r="O987" s="1"/>
  <c r="M988"/>
  <c r="O988" s="1"/>
  <c r="M983"/>
  <c r="O983" s="1"/>
  <c r="M990"/>
  <c r="O990" s="1"/>
  <c r="M991"/>
  <c r="O991" s="1"/>
  <c r="M986"/>
  <c r="O986" s="1"/>
  <c r="M993"/>
  <c r="M994"/>
  <c r="M989"/>
  <c r="N981"/>
  <c r="N982"/>
  <c r="N977"/>
  <c r="N984"/>
  <c r="N985"/>
  <c r="N980"/>
  <c r="N987"/>
  <c r="N988"/>
  <c r="N983"/>
  <c r="N990"/>
  <c r="N991"/>
  <c r="N986"/>
  <c r="P981"/>
  <c r="P982"/>
  <c r="P977"/>
  <c r="P984"/>
  <c r="P985"/>
  <c r="P980"/>
  <c r="P987"/>
  <c r="P988"/>
  <c r="P983"/>
  <c r="P990"/>
  <c r="P991"/>
  <c r="P986"/>
  <c r="P993"/>
  <c r="P994"/>
  <c r="P989"/>
  <c r="Q981"/>
  <c r="Q982"/>
  <c r="Q977"/>
  <c r="Q984"/>
  <c r="Q985"/>
  <c r="Q980"/>
  <c r="Q987"/>
  <c r="Q988"/>
  <c r="Q983"/>
  <c r="Q990"/>
  <c r="Q991"/>
  <c r="Q986"/>
  <c r="Q993"/>
  <c r="Q994"/>
  <c r="Q989"/>
  <c r="R981"/>
  <c r="R982"/>
  <c r="R977"/>
  <c r="R984"/>
  <c r="R985"/>
  <c r="R980"/>
  <c r="R987"/>
  <c r="R988"/>
  <c r="R983"/>
  <c r="R990"/>
  <c r="R991"/>
  <c r="R986"/>
  <c r="R993"/>
  <c r="R994"/>
  <c r="R989"/>
  <c r="S981"/>
  <c r="S982"/>
  <c r="S977"/>
  <c r="S984"/>
  <c r="S985"/>
  <c r="S980"/>
  <c r="S987"/>
  <c r="S988"/>
  <c r="S983"/>
  <c r="S990"/>
  <c r="S991"/>
  <c r="S986"/>
  <c r="S993"/>
  <c r="S994"/>
  <c r="S989"/>
  <c r="T981"/>
  <c r="T982"/>
  <c r="T977"/>
  <c r="T984"/>
  <c r="T985"/>
  <c r="T980"/>
  <c r="T987"/>
  <c r="T988"/>
  <c r="T983"/>
  <c r="T990"/>
  <c r="T991"/>
  <c r="T986"/>
  <c r="T993"/>
  <c r="T994"/>
  <c r="T989"/>
  <c r="U981"/>
  <c r="U982"/>
  <c r="U977"/>
  <c r="U984"/>
  <c r="U985"/>
  <c r="U980"/>
  <c r="U987"/>
  <c r="U988"/>
  <c r="U983"/>
  <c r="U990"/>
  <c r="U991"/>
  <c r="U986"/>
  <c r="U993"/>
  <c r="U994"/>
  <c r="U989"/>
  <c r="V981"/>
  <c r="V982"/>
  <c r="V977"/>
  <c r="V984"/>
  <c r="V985"/>
  <c r="V980"/>
  <c r="V987"/>
  <c r="V988"/>
  <c r="V983"/>
  <c r="V990"/>
  <c r="V991"/>
  <c r="V986"/>
  <c r="V993"/>
  <c r="V994"/>
  <c r="V989"/>
  <c r="W981"/>
  <c r="W982"/>
  <c r="W977"/>
  <c r="W984"/>
  <c r="W985"/>
  <c r="W980"/>
  <c r="W987"/>
  <c r="W988"/>
  <c r="W983"/>
  <c r="W990"/>
  <c r="W991"/>
  <c r="W986"/>
  <c r="W993"/>
  <c r="W994"/>
  <c r="W989"/>
  <c r="X981"/>
  <c r="X982"/>
  <c r="X977"/>
  <c r="X984"/>
  <c r="X985"/>
  <c r="X980"/>
  <c r="X987"/>
  <c r="X988"/>
  <c r="X983"/>
  <c r="X990"/>
  <c r="X991"/>
  <c r="X986"/>
  <c r="Y981"/>
  <c r="Y982"/>
  <c r="Y977"/>
  <c r="Y984"/>
  <c r="Y985"/>
  <c r="Y980"/>
  <c r="Y987"/>
  <c r="Y988"/>
  <c r="Y983"/>
  <c r="Y990"/>
  <c r="Y991"/>
  <c r="Y986"/>
  <c r="Y993"/>
  <c r="Y994"/>
  <c r="Y989"/>
  <c r="Z981"/>
  <c r="Z982"/>
  <c r="Z977"/>
  <c r="Z984"/>
  <c r="Z985"/>
  <c r="Z980"/>
  <c r="Z987"/>
  <c r="Z988"/>
  <c r="Z983"/>
  <c r="Z990"/>
  <c r="Z991"/>
  <c r="Z986"/>
  <c r="Z993"/>
  <c r="Z994"/>
  <c r="Z989"/>
  <c r="J969"/>
  <c r="J970"/>
  <c r="J992"/>
  <c r="J972"/>
  <c r="J973"/>
  <c r="J995"/>
  <c r="J975"/>
  <c r="J976"/>
  <c r="J998"/>
  <c r="J978"/>
  <c r="J979"/>
  <c r="J1001"/>
  <c r="K969"/>
  <c r="K970"/>
  <c r="K992"/>
  <c r="K972"/>
  <c r="K973"/>
  <c r="K995"/>
  <c r="K975"/>
  <c r="K976"/>
  <c r="K998"/>
  <c r="L969"/>
  <c r="L970"/>
  <c r="L992"/>
  <c r="L972"/>
  <c r="L973"/>
  <c r="L995"/>
  <c r="L975"/>
  <c r="L976"/>
  <c r="L998"/>
  <c r="M969"/>
  <c r="O969" s="1"/>
  <c r="M970"/>
  <c r="O970" s="1"/>
  <c r="M992"/>
  <c r="O992" s="1"/>
  <c r="M972"/>
  <c r="O972" s="1"/>
  <c r="M973"/>
  <c r="O973" s="1"/>
  <c r="M995"/>
  <c r="O995" s="1"/>
  <c r="M975"/>
  <c r="O975" s="1"/>
  <c r="M976"/>
  <c r="O976" s="1"/>
  <c r="M998"/>
  <c r="O998" s="1"/>
  <c r="M978"/>
  <c r="M979"/>
  <c r="M1001"/>
  <c r="N969"/>
  <c r="N970"/>
  <c r="N992"/>
  <c r="N972"/>
  <c r="N973"/>
  <c r="N995"/>
  <c r="N975"/>
  <c r="N976"/>
  <c r="N998"/>
  <c r="P969"/>
  <c r="P970"/>
  <c r="P992"/>
  <c r="P972"/>
  <c r="P973"/>
  <c r="P995"/>
  <c r="P975"/>
  <c r="P976"/>
  <c r="P998"/>
  <c r="P978"/>
  <c r="P979"/>
  <c r="P1001"/>
  <c r="Q969"/>
  <c r="Q970"/>
  <c r="Q992"/>
  <c r="Q972"/>
  <c r="Q973"/>
  <c r="Q995"/>
  <c r="Q975"/>
  <c r="Q976"/>
  <c r="Q998"/>
  <c r="Q978"/>
  <c r="Q979"/>
  <c r="Q1001"/>
  <c r="R969"/>
  <c r="R970"/>
  <c r="R992"/>
  <c r="R972"/>
  <c r="R973"/>
  <c r="R995"/>
  <c r="R975"/>
  <c r="R976"/>
  <c r="R998"/>
  <c r="R978"/>
  <c r="R979"/>
  <c r="R1001"/>
  <c r="S969"/>
  <c r="S970"/>
  <c r="S992"/>
  <c r="S972"/>
  <c r="S973"/>
  <c r="S995"/>
  <c r="S975"/>
  <c r="S976"/>
  <c r="S998"/>
  <c r="S978"/>
  <c r="S979"/>
  <c r="S1001"/>
  <c r="T969"/>
  <c r="T970"/>
  <c r="T992"/>
  <c r="T972"/>
  <c r="T973"/>
  <c r="T995"/>
  <c r="T975"/>
  <c r="T976"/>
  <c r="T998"/>
  <c r="T978"/>
  <c r="T979"/>
  <c r="T1001"/>
  <c r="U969"/>
  <c r="U970"/>
  <c r="U992"/>
  <c r="U972"/>
  <c r="U973"/>
  <c r="U995"/>
  <c r="U975"/>
  <c r="U976"/>
  <c r="U998"/>
  <c r="U978"/>
  <c r="U979"/>
  <c r="U1001"/>
  <c r="V969"/>
  <c r="V970"/>
  <c r="V992"/>
  <c r="V972"/>
  <c r="V973"/>
  <c r="V995"/>
  <c r="V975"/>
  <c r="V976"/>
  <c r="V998"/>
  <c r="V978"/>
  <c r="V979"/>
  <c r="V1001"/>
  <c r="W969"/>
  <c r="W970"/>
  <c r="W992"/>
  <c r="W972"/>
  <c r="W973"/>
  <c r="W995"/>
  <c r="W975"/>
  <c r="W976"/>
  <c r="W998"/>
  <c r="W978"/>
  <c r="W979"/>
  <c r="W1001"/>
  <c r="X969"/>
  <c r="X970"/>
  <c r="X992"/>
  <c r="X972"/>
  <c r="X973"/>
  <c r="X995"/>
  <c r="X975"/>
  <c r="X976"/>
  <c r="X998"/>
  <c r="Y969"/>
  <c r="Y970"/>
  <c r="Y992"/>
  <c r="Y972"/>
  <c r="Y973"/>
  <c r="Y995"/>
  <c r="Y975"/>
  <c r="Y976"/>
  <c r="Y998"/>
  <c r="Y978"/>
  <c r="Y979"/>
  <c r="Y1001"/>
  <c r="Z969"/>
  <c r="Z970"/>
  <c r="Z992"/>
  <c r="Z972"/>
  <c r="Z973"/>
  <c r="Z995"/>
  <c r="Z975"/>
  <c r="Z976"/>
  <c r="Z998"/>
  <c r="Z978"/>
  <c r="Z979"/>
  <c r="Z1001"/>
  <c r="J960"/>
  <c r="J961"/>
  <c r="J1004"/>
  <c r="J963"/>
  <c r="J964"/>
  <c r="J1007"/>
  <c r="J966"/>
  <c r="J967"/>
  <c r="J1010"/>
  <c r="K960"/>
  <c r="K961"/>
  <c r="K1004"/>
  <c r="K963"/>
  <c r="K964"/>
  <c r="K1007"/>
  <c r="L960"/>
  <c r="L961"/>
  <c r="L1004"/>
  <c r="L963"/>
  <c r="L964"/>
  <c r="L1007"/>
  <c r="M960"/>
  <c r="O960" s="1"/>
  <c r="M961"/>
  <c r="O961" s="1"/>
  <c r="M1004"/>
  <c r="O1004" s="1"/>
  <c r="M963"/>
  <c r="O963" s="1"/>
  <c r="M964"/>
  <c r="O964" s="1"/>
  <c r="M1007"/>
  <c r="O1007" s="1"/>
  <c r="M966"/>
  <c r="M967"/>
  <c r="M1010"/>
  <c r="N960"/>
  <c r="N961"/>
  <c r="N1004"/>
  <c r="N963"/>
  <c r="N964"/>
  <c r="N1007"/>
  <c r="P960"/>
  <c r="P961"/>
  <c r="P1004"/>
  <c r="P963"/>
  <c r="P964"/>
  <c r="P1007"/>
  <c r="P966"/>
  <c r="P967"/>
  <c r="P1010"/>
  <c r="Q960"/>
  <c r="Q961"/>
  <c r="Q1004"/>
  <c r="Q963"/>
  <c r="Q964"/>
  <c r="Q1007"/>
  <c r="Q966"/>
  <c r="Q967"/>
  <c r="Q1010"/>
  <c r="R960"/>
  <c r="R961"/>
  <c r="R1004"/>
  <c r="R963"/>
  <c r="R964"/>
  <c r="R1007"/>
  <c r="R966"/>
  <c r="R967"/>
  <c r="R1010"/>
  <c r="S960"/>
  <c r="S961"/>
  <c r="S1004"/>
  <c r="S963"/>
  <c r="S964"/>
  <c r="S1007"/>
  <c r="S966"/>
  <c r="S967"/>
  <c r="S1010"/>
  <c r="T960"/>
  <c r="T961"/>
  <c r="T1004"/>
  <c r="T963"/>
  <c r="T964"/>
  <c r="T1007"/>
  <c r="T966"/>
  <c r="T967"/>
  <c r="T1010"/>
  <c r="U960"/>
  <c r="U961"/>
  <c r="U1004"/>
  <c r="U963"/>
  <c r="U964"/>
  <c r="U1007"/>
  <c r="U966"/>
  <c r="U967"/>
  <c r="U1010"/>
  <c r="V960"/>
  <c r="V961"/>
  <c r="V1004"/>
  <c r="V963"/>
  <c r="V964"/>
  <c r="V1007"/>
  <c r="V966"/>
  <c r="V967"/>
  <c r="V1010"/>
  <c r="W960"/>
  <c r="W961"/>
  <c r="W1004"/>
  <c r="W963"/>
  <c r="W964"/>
  <c r="W1007"/>
  <c r="W966"/>
  <c r="W967"/>
  <c r="W1010"/>
  <c r="X960"/>
  <c r="X961"/>
  <c r="X1004"/>
  <c r="X963"/>
  <c r="X964"/>
  <c r="X1007"/>
  <c r="Y960"/>
  <c r="Y961"/>
  <c r="Y1004"/>
  <c r="Y963"/>
  <c r="Y964"/>
  <c r="Y1007"/>
  <c r="Y966"/>
  <c r="Y967"/>
  <c r="Y1010"/>
  <c r="Z960"/>
  <c r="Z961"/>
  <c r="Z1004"/>
  <c r="Z963"/>
  <c r="Z964"/>
  <c r="Z1007"/>
  <c r="Z966"/>
  <c r="Z967"/>
  <c r="Z1010"/>
  <c r="J951"/>
  <c r="J952"/>
  <c r="J1013"/>
  <c r="J954"/>
  <c r="J955"/>
  <c r="J1016"/>
  <c r="J957"/>
  <c r="J958"/>
  <c r="J1019"/>
  <c r="K951"/>
  <c r="K952"/>
  <c r="K1013"/>
  <c r="K954"/>
  <c r="K955"/>
  <c r="K1016"/>
  <c r="L951"/>
  <c r="L952"/>
  <c r="L1013"/>
  <c r="L954"/>
  <c r="L955"/>
  <c r="L1016"/>
  <c r="M951"/>
  <c r="O951" s="1"/>
  <c r="M952"/>
  <c r="O952" s="1"/>
  <c r="M1013"/>
  <c r="O1013" s="1"/>
  <c r="M954"/>
  <c r="O954" s="1"/>
  <c r="M955"/>
  <c r="O955" s="1"/>
  <c r="M1016"/>
  <c r="O1016" s="1"/>
  <c r="M957"/>
  <c r="M958"/>
  <c r="M1019"/>
  <c r="N951"/>
  <c r="N952"/>
  <c r="N1013"/>
  <c r="N954"/>
  <c r="N955"/>
  <c r="N1016"/>
  <c r="P951"/>
  <c r="P952"/>
  <c r="P1013"/>
  <c r="P954"/>
  <c r="P955"/>
  <c r="P1016"/>
  <c r="P957"/>
  <c r="P958"/>
  <c r="P1019"/>
  <c r="Q951"/>
  <c r="Q952"/>
  <c r="Q1013"/>
  <c r="Q954"/>
  <c r="Q955"/>
  <c r="Q1016"/>
  <c r="Q957"/>
  <c r="Q958"/>
  <c r="Q1019"/>
  <c r="R951"/>
  <c r="R952"/>
  <c r="R1013"/>
  <c r="R954"/>
  <c r="R955"/>
  <c r="R1016"/>
  <c r="R957"/>
  <c r="R958"/>
  <c r="R1019"/>
  <c r="S951"/>
  <c r="S952"/>
  <c r="S1013"/>
  <c r="S954"/>
  <c r="S955"/>
  <c r="S1016"/>
  <c r="S957"/>
  <c r="S958"/>
  <c r="S1019"/>
  <c r="T951"/>
  <c r="T952"/>
  <c r="T1013"/>
  <c r="T954"/>
  <c r="T955"/>
  <c r="T1016"/>
  <c r="T957"/>
  <c r="T958"/>
  <c r="T1019"/>
  <c r="U951"/>
  <c r="U952"/>
  <c r="U1013"/>
  <c r="U954"/>
  <c r="U955"/>
  <c r="U1016"/>
  <c r="U957"/>
  <c r="U958"/>
  <c r="U1019"/>
  <c r="V951"/>
  <c r="V952"/>
  <c r="V1013"/>
  <c r="V954"/>
  <c r="V955"/>
  <c r="V1016"/>
  <c r="V957"/>
  <c r="V958"/>
  <c r="V1019"/>
  <c r="W951"/>
  <c r="W952"/>
  <c r="W1013"/>
  <c r="W954"/>
  <c r="W955"/>
  <c r="W1016"/>
  <c r="W957"/>
  <c r="W958"/>
  <c r="W1019"/>
  <c r="X951"/>
  <c r="X952"/>
  <c r="X1013"/>
  <c r="X954"/>
  <c r="X955"/>
  <c r="X1016"/>
  <c r="Y951"/>
  <c r="Y952"/>
  <c r="Y1013"/>
  <c r="Y954"/>
  <c r="Y955"/>
  <c r="Y1016"/>
  <c r="Y957"/>
  <c r="Y958"/>
  <c r="Y1019"/>
  <c r="Z951"/>
  <c r="Z952"/>
  <c r="Z1013"/>
  <c r="Z954"/>
  <c r="Z955"/>
  <c r="Z1016"/>
  <c r="Z957"/>
  <c r="Z958"/>
  <c r="Z1019"/>
  <c r="J948"/>
  <c r="J949"/>
  <c r="J1031"/>
  <c r="M948"/>
  <c r="M949"/>
  <c r="M1031"/>
  <c r="P948"/>
  <c r="P949"/>
  <c r="P1031"/>
  <c r="Q948"/>
  <c r="Q949"/>
  <c r="Q1031"/>
  <c r="R948"/>
  <c r="R949"/>
  <c r="R1031"/>
  <c r="S948"/>
  <c r="S949"/>
  <c r="S1031"/>
  <c r="T948"/>
  <c r="T949"/>
  <c r="T1031"/>
  <c r="U948"/>
  <c r="U949"/>
  <c r="U1031"/>
  <c r="V948"/>
  <c r="V949"/>
  <c r="V1031"/>
  <c r="W948"/>
  <c r="W949"/>
  <c r="W1031"/>
  <c r="Y948"/>
  <c r="Y949"/>
  <c r="Y1031"/>
  <c r="Z948"/>
  <c r="Z949"/>
  <c r="Z1031"/>
  <c r="J945"/>
  <c r="J946"/>
  <c r="J1028"/>
  <c r="K945"/>
  <c r="K946"/>
  <c r="K1028"/>
  <c r="L945"/>
  <c r="L946"/>
  <c r="L1028"/>
  <c r="M945"/>
  <c r="O945" s="1"/>
  <c r="M946"/>
  <c r="O946" s="1"/>
  <c r="M1028"/>
  <c r="O1028" s="1"/>
  <c r="N945"/>
  <c r="N946"/>
  <c r="N1028"/>
  <c r="P945"/>
  <c r="P946"/>
  <c r="P1028"/>
  <c r="Q945"/>
  <c r="Q946"/>
  <c r="Q1028"/>
  <c r="R945"/>
  <c r="R946"/>
  <c r="R1028"/>
  <c r="S945"/>
  <c r="S946"/>
  <c r="S1028"/>
  <c r="T945"/>
  <c r="T946"/>
  <c r="T1028"/>
  <c r="U945"/>
  <c r="U946"/>
  <c r="U1028"/>
  <c r="V945"/>
  <c r="V946"/>
  <c r="V1028"/>
  <c r="W945"/>
  <c r="W946"/>
  <c r="W1028"/>
  <c r="X945"/>
  <c r="X946"/>
  <c r="X1028"/>
  <c r="Y945"/>
  <c r="Y946"/>
  <c r="Y1028"/>
  <c r="Z945"/>
  <c r="Z946"/>
  <c r="Z1028"/>
  <c r="J942"/>
  <c r="J943"/>
  <c r="J1025"/>
  <c r="K942"/>
  <c r="K943"/>
  <c r="K1025"/>
  <c r="L942"/>
  <c r="L943"/>
  <c r="L1025"/>
  <c r="M942"/>
  <c r="O942" s="1"/>
  <c r="M943"/>
  <c r="O943" s="1"/>
  <c r="M1025"/>
  <c r="O1025" s="1"/>
  <c r="N942"/>
  <c r="N943"/>
  <c r="N1025"/>
  <c r="P942"/>
  <c r="P943"/>
  <c r="P1025"/>
  <c r="Q942"/>
  <c r="Q943"/>
  <c r="Q1025"/>
  <c r="R942"/>
  <c r="R943"/>
  <c r="R1025"/>
  <c r="S942"/>
  <c r="S943"/>
  <c r="S1025"/>
  <c r="T942"/>
  <c r="T943"/>
  <c r="T1025"/>
  <c r="U942"/>
  <c r="U943"/>
  <c r="U1025"/>
  <c r="V942"/>
  <c r="V943"/>
  <c r="V1025"/>
  <c r="W942"/>
  <c r="W943"/>
  <c r="W1025"/>
  <c r="X942"/>
  <c r="X943"/>
  <c r="X1025"/>
  <c r="Y942"/>
  <c r="Y943"/>
  <c r="Y1025"/>
  <c r="Z942"/>
  <c r="Z943"/>
  <c r="Z1025"/>
  <c r="J939"/>
  <c r="J940"/>
  <c r="J1022"/>
  <c r="K939"/>
  <c r="K940"/>
  <c r="K1022"/>
  <c r="L939"/>
  <c r="L940"/>
  <c r="L1022"/>
  <c r="M939"/>
  <c r="O939" s="1"/>
  <c r="M940"/>
  <c r="O940" s="1"/>
  <c r="M1022"/>
  <c r="O1022" s="1"/>
  <c r="N939"/>
  <c r="N940"/>
  <c r="N1022"/>
  <c r="P939"/>
  <c r="P940"/>
  <c r="P1022"/>
  <c r="Q939"/>
  <c r="Q940"/>
  <c r="Q1022"/>
  <c r="R939"/>
  <c r="R940"/>
  <c r="R1022"/>
  <c r="S939"/>
  <c r="S940"/>
  <c r="S1022"/>
  <c r="T939"/>
  <c r="T940"/>
  <c r="T1022"/>
  <c r="U939"/>
  <c r="U940"/>
  <c r="U1022"/>
  <c r="V939"/>
  <c r="V940"/>
  <c r="V1022"/>
  <c r="W939"/>
  <c r="W940"/>
  <c r="W1022"/>
  <c r="X939"/>
  <c r="X940"/>
  <c r="X1022"/>
  <c r="Y939"/>
  <c r="Y940"/>
  <c r="Y1022"/>
  <c r="Z939"/>
  <c r="Z940"/>
  <c r="Z1022"/>
  <c r="J936"/>
  <c r="J937"/>
  <c r="J1035"/>
  <c r="M936"/>
  <c r="M937"/>
  <c r="M1035"/>
  <c r="P936"/>
  <c r="P937"/>
  <c r="P1035"/>
  <c r="Q936"/>
  <c r="Q937"/>
  <c r="Q1035"/>
  <c r="R936"/>
  <c r="R937"/>
  <c r="R1035"/>
  <c r="S936"/>
  <c r="S937"/>
  <c r="S1035"/>
  <c r="T936"/>
  <c r="T937"/>
  <c r="T1035"/>
  <c r="U936"/>
  <c r="U937"/>
  <c r="U1035"/>
  <c r="V936"/>
  <c r="V937"/>
  <c r="V1035"/>
  <c r="W936"/>
  <c r="W937"/>
  <c r="W1035"/>
  <c r="Y936"/>
  <c r="Y937"/>
  <c r="Y1035"/>
  <c r="Z936"/>
  <c r="Z937"/>
  <c r="Z1035"/>
  <c r="J932"/>
  <c r="J933"/>
  <c r="J934"/>
  <c r="J935"/>
  <c r="K932"/>
  <c r="K933"/>
  <c r="L932"/>
  <c r="L933"/>
  <c r="M932"/>
  <c r="O932" s="1"/>
  <c r="M933"/>
  <c r="O933" s="1"/>
  <c r="M934"/>
  <c r="M935"/>
  <c r="N932"/>
  <c r="N933"/>
  <c r="P932"/>
  <c r="P933"/>
  <c r="P934"/>
  <c r="P935"/>
  <c r="Y932"/>
  <c r="Y933"/>
  <c r="Y934"/>
  <c r="Y935"/>
  <c r="Z932"/>
  <c r="Z933"/>
  <c r="Z934"/>
  <c r="Z935"/>
  <c r="J924"/>
  <c r="J925"/>
  <c r="J926"/>
  <c r="J927"/>
  <c r="J928"/>
  <c r="J929"/>
  <c r="J930"/>
  <c r="J931"/>
  <c r="K924"/>
  <c r="K925"/>
  <c r="K926"/>
  <c r="K927"/>
  <c r="K928"/>
  <c r="K929"/>
  <c r="L924"/>
  <c r="L925"/>
  <c r="L926"/>
  <c r="L927"/>
  <c r="L928"/>
  <c r="L929"/>
  <c r="M924"/>
  <c r="O924" s="1"/>
  <c r="M925"/>
  <c r="O925" s="1"/>
  <c r="M926"/>
  <c r="O926" s="1"/>
  <c r="M927"/>
  <c r="O927" s="1"/>
  <c r="M928"/>
  <c r="O928" s="1"/>
  <c r="M929"/>
  <c r="O929" s="1"/>
  <c r="M930"/>
  <c r="M931"/>
  <c r="N924"/>
  <c r="N925"/>
  <c r="N926"/>
  <c r="N927"/>
  <c r="N928"/>
  <c r="N929"/>
  <c r="P924"/>
  <c r="P925"/>
  <c r="P926"/>
  <c r="P927"/>
  <c r="P928"/>
  <c r="P929"/>
  <c r="P930"/>
  <c r="P931"/>
  <c r="Y924"/>
  <c r="Y925"/>
  <c r="Y926"/>
  <c r="Y927"/>
  <c r="Y928"/>
  <c r="Y929"/>
  <c r="Y930"/>
  <c r="Y931"/>
  <c r="Z924"/>
  <c r="Z925"/>
  <c r="Z926"/>
  <c r="Z927"/>
  <c r="Z928"/>
  <c r="Z929"/>
  <c r="Z930"/>
  <c r="Z931"/>
  <c r="J922"/>
  <c r="J923"/>
  <c r="M922"/>
  <c r="M923"/>
  <c r="P922"/>
  <c r="P923"/>
  <c r="Y922"/>
  <c r="Y923"/>
  <c r="Z922"/>
  <c r="Z923"/>
  <c r="J912"/>
  <c r="J913"/>
  <c r="J914"/>
  <c r="J915"/>
  <c r="J916"/>
  <c r="J917"/>
  <c r="J918"/>
  <c r="J919"/>
  <c r="J920"/>
  <c r="J921"/>
  <c r="K912"/>
  <c r="K913"/>
  <c r="K914"/>
  <c r="K915"/>
  <c r="K916"/>
  <c r="K917"/>
  <c r="K918"/>
  <c r="K919"/>
  <c r="K920"/>
  <c r="K921"/>
  <c r="L912"/>
  <c r="L913"/>
  <c r="L914"/>
  <c r="L915"/>
  <c r="L916"/>
  <c r="L917"/>
  <c r="L918"/>
  <c r="L919"/>
  <c r="L920"/>
  <c r="L921"/>
  <c r="M912"/>
  <c r="O912" s="1"/>
  <c r="M913"/>
  <c r="O913" s="1"/>
  <c r="M914"/>
  <c r="O914" s="1"/>
  <c r="M915"/>
  <c r="O915" s="1"/>
  <c r="M916"/>
  <c r="O916" s="1"/>
  <c r="M917"/>
  <c r="O917" s="1"/>
  <c r="M918"/>
  <c r="O918" s="1"/>
  <c r="M919"/>
  <c r="O919" s="1"/>
  <c r="M920"/>
  <c r="O920" s="1"/>
  <c r="M921"/>
  <c r="O921" s="1"/>
  <c r="N912"/>
  <c r="N913"/>
  <c r="N914"/>
  <c r="N915"/>
  <c r="N916"/>
  <c r="N917"/>
  <c r="N918"/>
  <c r="N919"/>
  <c r="N920"/>
  <c r="N921"/>
  <c r="P912"/>
  <c r="P913"/>
  <c r="P914"/>
  <c r="P915"/>
  <c r="P916"/>
  <c r="P917"/>
  <c r="P918"/>
  <c r="P919"/>
  <c r="P920"/>
  <c r="P921"/>
  <c r="Y912"/>
  <c r="Y913"/>
  <c r="Y914"/>
  <c r="Y915"/>
  <c r="Y916"/>
  <c r="Y917"/>
  <c r="Y918"/>
  <c r="Y919"/>
  <c r="Y920"/>
  <c r="Y921"/>
  <c r="Z912"/>
  <c r="Z913"/>
  <c r="Z914"/>
  <c r="Z915"/>
  <c r="Z916"/>
  <c r="Z917"/>
  <c r="Z918"/>
  <c r="Z919"/>
  <c r="Z920"/>
  <c r="Z921"/>
  <c r="J910"/>
  <c r="J911"/>
  <c r="K910"/>
  <c r="K911"/>
  <c r="L910"/>
  <c r="L911"/>
  <c r="M910"/>
  <c r="O910" s="1"/>
  <c r="M911"/>
  <c r="O911" s="1"/>
  <c r="N910"/>
  <c r="N911"/>
  <c r="P910"/>
  <c r="P911"/>
  <c r="Y910"/>
  <c r="Y911"/>
  <c r="Z910"/>
  <c r="Z911"/>
  <c r="J908"/>
  <c r="J909"/>
  <c r="M908"/>
  <c r="M909"/>
  <c r="P908"/>
  <c r="P909"/>
  <c r="Y908"/>
  <c r="Y909"/>
  <c r="Z908"/>
  <c r="Z909"/>
  <c r="J906"/>
  <c r="J907"/>
  <c r="K906"/>
  <c r="K907"/>
  <c r="L906"/>
  <c r="L907"/>
  <c r="M906"/>
  <c r="O906" s="1"/>
  <c r="M907"/>
  <c r="O907" s="1"/>
  <c r="N906"/>
  <c r="N907"/>
  <c r="P906"/>
  <c r="P907"/>
  <c r="Y906"/>
  <c r="Y907"/>
  <c r="Z906"/>
  <c r="Z907"/>
  <c r="J904"/>
  <c r="J905"/>
  <c r="K904"/>
  <c r="K905"/>
  <c r="L904"/>
  <c r="L905"/>
  <c r="M904"/>
  <c r="O904" s="1"/>
  <c r="M905"/>
  <c r="O905" s="1"/>
  <c r="N904"/>
  <c r="N905"/>
  <c r="P904"/>
  <c r="P905"/>
  <c r="Y904"/>
  <c r="Y905"/>
  <c r="Z904"/>
  <c r="Z905"/>
  <c r="J902"/>
  <c r="J903"/>
  <c r="K902"/>
  <c r="K903"/>
  <c r="L902"/>
  <c r="L903"/>
  <c r="M902"/>
  <c r="O902" s="1"/>
  <c r="M903"/>
  <c r="O903" s="1"/>
  <c r="N902"/>
  <c r="N903"/>
  <c r="P902"/>
  <c r="P903"/>
  <c r="Y902"/>
  <c r="Y903"/>
  <c r="Z902"/>
  <c r="Z903"/>
  <c r="J900"/>
  <c r="J901"/>
  <c r="K900"/>
  <c r="K901"/>
  <c r="L900"/>
  <c r="L901"/>
  <c r="M900"/>
  <c r="O900" s="1"/>
  <c r="M901"/>
  <c r="O901" s="1"/>
  <c r="N900"/>
  <c r="N901"/>
  <c r="P900"/>
  <c r="P901"/>
  <c r="Y900"/>
  <c r="Y901"/>
  <c r="Z900"/>
  <c r="Z901"/>
  <c r="J899"/>
  <c r="M899"/>
  <c r="P899"/>
  <c r="Y899"/>
  <c r="Z899"/>
  <c r="J898"/>
  <c r="M898"/>
  <c r="P898"/>
  <c r="Y898"/>
  <c r="Z898"/>
  <c r="J897"/>
  <c r="M897"/>
  <c r="P897"/>
  <c r="Y897"/>
  <c r="Z897"/>
  <c r="J896"/>
  <c r="K896"/>
  <c r="L896"/>
  <c r="M896"/>
  <c r="O896" s="1"/>
  <c r="N896"/>
  <c r="P896"/>
  <c r="Y896"/>
  <c r="Z896"/>
  <c r="J895"/>
  <c r="K895"/>
  <c r="L895"/>
  <c r="M895"/>
  <c r="O895" s="1"/>
  <c r="N895"/>
  <c r="P895"/>
  <c r="Y895"/>
  <c r="Z895"/>
  <c r="J894"/>
  <c r="K894"/>
  <c r="L894"/>
  <c r="M894"/>
  <c r="O894" s="1"/>
  <c r="N894"/>
  <c r="P894"/>
  <c r="Y894"/>
  <c r="Z894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M874"/>
  <c r="O874" s="1"/>
  <c r="M875"/>
  <c r="O875" s="1"/>
  <c r="M876"/>
  <c r="O876" s="1"/>
  <c r="M877"/>
  <c r="O877" s="1"/>
  <c r="M878"/>
  <c r="O878" s="1"/>
  <c r="M879"/>
  <c r="O879" s="1"/>
  <c r="M880"/>
  <c r="O880" s="1"/>
  <c r="M881"/>
  <c r="O881" s="1"/>
  <c r="M882"/>
  <c r="O882" s="1"/>
  <c r="M883"/>
  <c r="O883" s="1"/>
  <c r="M884"/>
  <c r="O884" s="1"/>
  <c r="M885"/>
  <c r="O885" s="1"/>
  <c r="M886"/>
  <c r="O886" s="1"/>
  <c r="M887"/>
  <c r="O887" s="1"/>
  <c r="M888"/>
  <c r="O888" s="1"/>
  <c r="M889"/>
  <c r="O889" s="1"/>
  <c r="M890"/>
  <c r="O890" s="1"/>
  <c r="M891"/>
  <c r="O891" s="1"/>
  <c r="M892"/>
  <c r="O892" s="1"/>
  <c r="M893"/>
  <c r="O893" s="1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Y874"/>
  <c r="Y875"/>
  <c r="Y876"/>
  <c r="Y877"/>
  <c r="Y878"/>
  <c r="Y879"/>
  <c r="Y880"/>
  <c r="Y881"/>
  <c r="Y882"/>
  <c r="Y883"/>
  <c r="Y884"/>
  <c r="Y885"/>
  <c r="Y886"/>
  <c r="Y887"/>
  <c r="Y888"/>
  <c r="Y889"/>
  <c r="Y890"/>
  <c r="Y891"/>
  <c r="Y892"/>
  <c r="Y893"/>
  <c r="Z874"/>
  <c r="Z875"/>
  <c r="Z876"/>
  <c r="Z877"/>
  <c r="Z878"/>
  <c r="Z879"/>
  <c r="Z880"/>
  <c r="Z881"/>
  <c r="Z882"/>
  <c r="Z883"/>
  <c r="Z884"/>
  <c r="Z885"/>
  <c r="Z886"/>
  <c r="Z887"/>
  <c r="Z888"/>
  <c r="Z889"/>
  <c r="Z890"/>
  <c r="Z891"/>
  <c r="Z892"/>
  <c r="Z893"/>
  <c r="J872"/>
  <c r="J873"/>
  <c r="M872"/>
  <c r="M873"/>
  <c r="P872"/>
  <c r="P873"/>
  <c r="Y872"/>
  <c r="Y873"/>
  <c r="Z872"/>
  <c r="Z873"/>
  <c r="J863"/>
  <c r="J864"/>
  <c r="J865"/>
  <c r="J866"/>
  <c r="J867"/>
  <c r="J868"/>
  <c r="J869"/>
  <c r="J870"/>
  <c r="J871"/>
  <c r="K863"/>
  <c r="K864"/>
  <c r="K865"/>
  <c r="K866"/>
  <c r="K867"/>
  <c r="K868"/>
  <c r="K869"/>
  <c r="K871"/>
  <c r="L863"/>
  <c r="L864"/>
  <c r="L865"/>
  <c r="L866"/>
  <c r="L867"/>
  <c r="L868"/>
  <c r="L869"/>
  <c r="L871"/>
  <c r="M863"/>
  <c r="O863" s="1"/>
  <c r="M864"/>
  <c r="O864" s="1"/>
  <c r="M865"/>
  <c r="O865" s="1"/>
  <c r="M866"/>
  <c r="O866" s="1"/>
  <c r="M867"/>
  <c r="O867" s="1"/>
  <c r="M868"/>
  <c r="O868" s="1"/>
  <c r="M869"/>
  <c r="O869" s="1"/>
  <c r="M870"/>
  <c r="M871"/>
  <c r="O871" s="1"/>
  <c r="N863"/>
  <c r="N864"/>
  <c r="N865"/>
  <c r="N866"/>
  <c r="N867"/>
  <c r="N868"/>
  <c r="N869"/>
  <c r="N871"/>
  <c r="P863"/>
  <c r="P864"/>
  <c r="P865"/>
  <c r="P866"/>
  <c r="P867"/>
  <c r="P868"/>
  <c r="P869"/>
  <c r="P870"/>
  <c r="P871"/>
  <c r="Y863"/>
  <c r="Y864"/>
  <c r="Y865"/>
  <c r="Y866"/>
  <c r="Y867"/>
  <c r="Y868"/>
  <c r="Y869"/>
  <c r="Y870"/>
  <c r="Y871"/>
  <c r="Z863"/>
  <c r="Z864"/>
  <c r="Z865"/>
  <c r="Z866"/>
  <c r="Z867"/>
  <c r="Z868"/>
  <c r="Z869"/>
  <c r="Z870"/>
  <c r="Z871"/>
  <c r="J854"/>
  <c r="J855"/>
  <c r="J856"/>
  <c r="J857"/>
  <c r="J858"/>
  <c r="J859"/>
  <c r="J860"/>
  <c r="J861"/>
  <c r="J862"/>
  <c r="K854"/>
  <c r="K855"/>
  <c r="K856"/>
  <c r="K857"/>
  <c r="K858"/>
  <c r="K859"/>
  <c r="K860"/>
  <c r="K861"/>
  <c r="K862"/>
  <c r="L854"/>
  <c r="L855"/>
  <c r="L856"/>
  <c r="L857"/>
  <c r="L858"/>
  <c r="L859"/>
  <c r="L860"/>
  <c r="L861"/>
  <c r="L862"/>
  <c r="M854"/>
  <c r="O854" s="1"/>
  <c r="M855"/>
  <c r="O855" s="1"/>
  <c r="M856"/>
  <c r="O856" s="1"/>
  <c r="M857"/>
  <c r="O857" s="1"/>
  <c r="M858"/>
  <c r="O858" s="1"/>
  <c r="M859"/>
  <c r="O859" s="1"/>
  <c r="M860"/>
  <c r="O860" s="1"/>
  <c r="M861"/>
  <c r="O861" s="1"/>
  <c r="M862"/>
  <c r="O862" s="1"/>
  <c r="N854"/>
  <c r="N855"/>
  <c r="N856"/>
  <c r="N857"/>
  <c r="N858"/>
  <c r="N859"/>
  <c r="N860"/>
  <c r="N861"/>
  <c r="N862"/>
  <c r="P854"/>
  <c r="P855"/>
  <c r="P856"/>
  <c r="P857"/>
  <c r="P858"/>
  <c r="P859"/>
  <c r="P860"/>
  <c r="P861"/>
  <c r="P862"/>
  <c r="Y854"/>
  <c r="Y855"/>
  <c r="Y856"/>
  <c r="Y857"/>
  <c r="Y858"/>
  <c r="Y859"/>
  <c r="Y860"/>
  <c r="Y861"/>
  <c r="Y862"/>
  <c r="Z854"/>
  <c r="Z855"/>
  <c r="Z856"/>
  <c r="Z857"/>
  <c r="Z858"/>
  <c r="Z859"/>
  <c r="Z860"/>
  <c r="Z861"/>
  <c r="Z862"/>
  <c r="J848"/>
  <c r="J849"/>
  <c r="J850"/>
  <c r="J851"/>
  <c r="J852"/>
  <c r="J853"/>
  <c r="K848"/>
  <c r="K849"/>
  <c r="K850"/>
  <c r="L848"/>
  <c r="L849"/>
  <c r="L850"/>
  <c r="M848"/>
  <c r="O848" s="1"/>
  <c r="M849"/>
  <c r="O849" s="1"/>
  <c r="M850"/>
  <c r="O850" s="1"/>
  <c r="M851"/>
  <c r="M852"/>
  <c r="M853"/>
  <c r="N848"/>
  <c r="N849"/>
  <c r="N850"/>
  <c r="P848"/>
  <c r="P849"/>
  <c r="P850"/>
  <c r="P851"/>
  <c r="P852"/>
  <c r="P853"/>
  <c r="Y848"/>
  <c r="Y849"/>
  <c r="Y850"/>
  <c r="Y851"/>
  <c r="Y852"/>
  <c r="Y853"/>
  <c r="Z848"/>
  <c r="Z849"/>
  <c r="Z850"/>
  <c r="Z851"/>
  <c r="Z852"/>
  <c r="Z853"/>
  <c r="J845"/>
  <c r="J846"/>
  <c r="J847"/>
  <c r="K845"/>
  <c r="K846"/>
  <c r="K847"/>
  <c r="L845"/>
  <c r="L846"/>
  <c r="L847"/>
  <c r="M845"/>
  <c r="O845" s="1"/>
  <c r="M846"/>
  <c r="O846" s="1"/>
  <c r="M847"/>
  <c r="O847" s="1"/>
  <c r="N845"/>
  <c r="N846"/>
  <c r="N847"/>
  <c r="P845"/>
  <c r="P846"/>
  <c r="P847"/>
  <c r="Y845"/>
  <c r="Y846"/>
  <c r="Y847"/>
  <c r="Z845"/>
  <c r="Z846"/>
  <c r="Z847"/>
  <c r="J842"/>
  <c r="J843"/>
  <c r="J844"/>
  <c r="M842"/>
  <c r="M843"/>
  <c r="M844"/>
  <c r="P842"/>
  <c r="P843"/>
  <c r="P844"/>
  <c r="Y842"/>
  <c r="Y843"/>
  <c r="Y844"/>
  <c r="Z842"/>
  <c r="Z843"/>
  <c r="Z844"/>
  <c r="J839"/>
  <c r="J840"/>
  <c r="J841"/>
  <c r="K839"/>
  <c r="K840"/>
  <c r="K841"/>
  <c r="L839"/>
  <c r="L840"/>
  <c r="L841"/>
  <c r="M839"/>
  <c r="O839" s="1"/>
  <c r="M840"/>
  <c r="O840" s="1"/>
  <c r="M841"/>
  <c r="O841" s="1"/>
  <c r="N839"/>
  <c r="N840"/>
  <c r="N841"/>
  <c r="P839"/>
  <c r="P840"/>
  <c r="P841"/>
  <c r="Y839"/>
  <c r="Y840"/>
  <c r="Y841"/>
  <c r="Z839"/>
  <c r="Z840"/>
  <c r="Z841"/>
  <c r="J836"/>
  <c r="J837"/>
  <c r="J838"/>
  <c r="K836"/>
  <c r="K837"/>
  <c r="L836"/>
  <c r="L837"/>
  <c r="M836"/>
  <c r="O836" s="1"/>
  <c r="M837"/>
  <c r="O837" s="1"/>
  <c r="M838"/>
  <c r="N836"/>
  <c r="N837"/>
  <c r="P836"/>
  <c r="P837"/>
  <c r="P838"/>
  <c r="Y836"/>
  <c r="Y837"/>
  <c r="Y838"/>
  <c r="Z836"/>
  <c r="Z837"/>
  <c r="Z838"/>
  <c r="J833"/>
  <c r="J834"/>
  <c r="J835"/>
  <c r="K833"/>
  <c r="K834"/>
  <c r="L833"/>
  <c r="L834"/>
  <c r="M833"/>
  <c r="O833" s="1"/>
  <c r="M834"/>
  <c r="O834" s="1"/>
  <c r="M835"/>
  <c r="N833"/>
  <c r="N834"/>
  <c r="P833"/>
  <c r="P834"/>
  <c r="P835"/>
  <c r="Y833"/>
  <c r="Y834"/>
  <c r="Y835"/>
  <c r="Z833"/>
  <c r="Z834"/>
  <c r="Z835"/>
  <c r="L2"/>
  <c r="L3"/>
  <c r="L4"/>
  <c r="L5"/>
  <c r="L6"/>
  <c r="L7"/>
  <c r="L8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1056"/>
  <c r="L105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1"/>
  <c r="L525"/>
  <c r="L527"/>
  <c r="L529"/>
  <c r="L531"/>
  <c r="L532"/>
  <c r="L533"/>
  <c r="L534"/>
  <c r="L535"/>
  <c r="L536"/>
  <c r="L543"/>
  <c r="L544"/>
  <c r="L545"/>
  <c r="L546"/>
  <c r="L548"/>
  <c r="L549"/>
  <c r="L550"/>
  <c r="L551"/>
  <c r="L552"/>
  <c r="L553"/>
  <c r="L554"/>
  <c r="L555"/>
  <c r="L557"/>
  <c r="L558"/>
  <c r="L559"/>
  <c r="L560"/>
  <c r="L561"/>
  <c r="L562"/>
  <c r="L563"/>
  <c r="L564"/>
  <c r="L565"/>
  <c r="L567"/>
  <c r="L568"/>
  <c r="L569"/>
  <c r="L570"/>
  <c r="L571"/>
  <c r="L572"/>
  <c r="L573"/>
  <c r="L574"/>
  <c r="L578"/>
  <c r="L583"/>
  <c r="L586"/>
  <c r="L590"/>
  <c r="L591"/>
  <c r="L592"/>
  <c r="L596"/>
  <c r="L597"/>
  <c r="L598"/>
  <c r="L602"/>
  <c r="L603"/>
  <c r="L604"/>
  <c r="L608"/>
  <c r="L609"/>
  <c r="L610"/>
  <c r="L614"/>
  <c r="L615"/>
  <c r="L617"/>
  <c r="L618"/>
  <c r="L619"/>
  <c r="L621"/>
  <c r="L622"/>
  <c r="L623"/>
  <c r="L624"/>
  <c r="L627"/>
  <c r="L629"/>
  <c r="L630"/>
  <c r="L633"/>
  <c r="L634"/>
  <c r="L637"/>
  <c r="L638"/>
  <c r="L1060"/>
  <c r="L1061"/>
  <c r="L1062"/>
  <c r="L1063"/>
  <c r="L1064"/>
  <c r="L1065"/>
  <c r="L1068"/>
  <c r="L1069"/>
  <c r="L1070"/>
  <c r="L1071"/>
  <c r="L1074"/>
  <c r="L1075"/>
  <c r="L1076"/>
  <c r="L1077"/>
  <c r="L663"/>
  <c r="L664"/>
  <c r="L665"/>
  <c r="L672"/>
  <c r="L673"/>
  <c r="L674"/>
  <c r="L675"/>
  <c r="L676"/>
  <c r="L677"/>
  <c r="L678"/>
  <c r="L679"/>
  <c r="L680"/>
  <c r="L690"/>
  <c r="L693"/>
  <c r="L694"/>
  <c r="L695"/>
  <c r="L696"/>
  <c r="L697"/>
  <c r="L698"/>
  <c r="L701"/>
  <c r="L702"/>
  <c r="L703"/>
  <c r="L704"/>
  <c r="L705"/>
  <c r="L706"/>
  <c r="L707"/>
  <c r="L708"/>
  <c r="L709"/>
  <c r="L710"/>
  <c r="L711"/>
  <c r="L712"/>
  <c r="L713"/>
  <c r="L714"/>
  <c r="L731"/>
  <c r="L732"/>
  <c r="L733"/>
  <c r="L734"/>
  <c r="L735"/>
  <c r="L736"/>
  <c r="L737"/>
  <c r="L738"/>
  <c r="L739"/>
  <c r="L740"/>
  <c r="L741"/>
  <c r="L742"/>
  <c r="L745"/>
  <c r="L746"/>
  <c r="L747"/>
  <c r="L748"/>
  <c r="L749"/>
  <c r="L750"/>
  <c r="L751"/>
  <c r="L752"/>
  <c r="L753"/>
  <c r="L754"/>
  <c r="L755"/>
  <c r="L756"/>
  <c r="L759"/>
  <c r="L760"/>
  <c r="L761"/>
  <c r="L762"/>
  <c r="L763"/>
  <c r="L764"/>
  <c r="L773"/>
  <c r="L774"/>
  <c r="L777"/>
  <c r="L778"/>
  <c r="L779"/>
  <c r="L780"/>
  <c r="L781"/>
  <c r="L782"/>
  <c r="L783"/>
  <c r="L784"/>
  <c r="L785"/>
  <c r="L786"/>
  <c r="L787"/>
  <c r="L788"/>
  <c r="L792"/>
  <c r="L793"/>
  <c r="L794"/>
  <c r="L795"/>
  <c r="L796"/>
  <c r="L797"/>
  <c r="L798"/>
  <c r="L799"/>
  <c r="L800"/>
  <c r="L801"/>
  <c r="L802"/>
  <c r="L803"/>
  <c r="L804"/>
  <c r="L805"/>
  <c r="L806"/>
  <c r="L810"/>
  <c r="L811"/>
  <c r="L812"/>
  <c r="L813"/>
  <c r="L814"/>
  <c r="L815"/>
  <c r="L816"/>
  <c r="L817"/>
  <c r="L818"/>
  <c r="L819"/>
  <c r="L820"/>
  <c r="L821"/>
  <c r="L828"/>
  <c r="L830"/>
  <c r="L831"/>
  <c r="J831"/>
  <c r="J832"/>
  <c r="K831"/>
  <c r="M831"/>
  <c r="O831" s="1"/>
  <c r="M832"/>
  <c r="N831"/>
  <c r="P831"/>
  <c r="P832"/>
  <c r="Y831"/>
  <c r="Y832"/>
  <c r="Z831"/>
  <c r="Z832"/>
  <c r="J830"/>
  <c r="K830"/>
  <c r="M830"/>
  <c r="O830" s="1"/>
  <c r="N830"/>
  <c r="P830"/>
  <c r="Y830"/>
  <c r="Z830"/>
  <c r="J829"/>
  <c r="M829"/>
  <c r="P829"/>
  <c r="Y829"/>
  <c r="Z829"/>
  <c r="J828"/>
  <c r="K828"/>
  <c r="M828"/>
  <c r="O828" s="1"/>
  <c r="N828"/>
  <c r="P828"/>
  <c r="Y828"/>
  <c r="Z828"/>
  <c r="J825"/>
  <c r="J826"/>
  <c r="J827"/>
  <c r="M825"/>
  <c r="M826"/>
  <c r="M827"/>
  <c r="P825"/>
  <c r="P826"/>
  <c r="P827"/>
  <c r="Y825"/>
  <c r="Y826"/>
  <c r="Y827"/>
  <c r="Z825"/>
  <c r="Z826"/>
  <c r="Z827"/>
  <c r="J810"/>
  <c r="J811"/>
  <c r="J812"/>
  <c r="J813"/>
  <c r="J814"/>
  <c r="J815"/>
  <c r="J816"/>
  <c r="J817"/>
  <c r="J818"/>
  <c r="J819"/>
  <c r="J820"/>
  <c r="J821"/>
  <c r="J822"/>
  <c r="J823"/>
  <c r="J824"/>
  <c r="K810"/>
  <c r="K811"/>
  <c r="K812"/>
  <c r="K813"/>
  <c r="K814"/>
  <c r="K815"/>
  <c r="K816"/>
  <c r="K817"/>
  <c r="K818"/>
  <c r="K819"/>
  <c r="K820"/>
  <c r="K821"/>
  <c r="M810"/>
  <c r="O810" s="1"/>
  <c r="M811"/>
  <c r="O811" s="1"/>
  <c r="M812"/>
  <c r="O812" s="1"/>
  <c r="M813"/>
  <c r="O813" s="1"/>
  <c r="M814"/>
  <c r="O814" s="1"/>
  <c r="M815"/>
  <c r="O815" s="1"/>
  <c r="M816"/>
  <c r="O816" s="1"/>
  <c r="M817"/>
  <c r="O817" s="1"/>
  <c r="M818"/>
  <c r="O818" s="1"/>
  <c r="M819"/>
  <c r="O819" s="1"/>
  <c r="M820"/>
  <c r="O820" s="1"/>
  <c r="M821"/>
  <c r="O821" s="1"/>
  <c r="M822"/>
  <c r="M823"/>
  <c r="M824"/>
  <c r="N810"/>
  <c r="N811"/>
  <c r="N812"/>
  <c r="N813"/>
  <c r="N814"/>
  <c r="N815"/>
  <c r="N816"/>
  <c r="N817"/>
  <c r="N818"/>
  <c r="N819"/>
  <c r="N820"/>
  <c r="N821"/>
  <c r="P810"/>
  <c r="P811"/>
  <c r="P812"/>
  <c r="P813"/>
  <c r="P814"/>
  <c r="P815"/>
  <c r="P816"/>
  <c r="P817"/>
  <c r="P818"/>
  <c r="P819"/>
  <c r="P820"/>
  <c r="P821"/>
  <c r="P822"/>
  <c r="P823"/>
  <c r="P824"/>
  <c r="Y810"/>
  <c r="Y811"/>
  <c r="Y812"/>
  <c r="Y813"/>
  <c r="Y814"/>
  <c r="Y815"/>
  <c r="Y816"/>
  <c r="Y817"/>
  <c r="Y818"/>
  <c r="Y819"/>
  <c r="Y820"/>
  <c r="Y821"/>
  <c r="Y822"/>
  <c r="Y823"/>
  <c r="Y824"/>
  <c r="Z810"/>
  <c r="Z811"/>
  <c r="Z812"/>
  <c r="Z813"/>
  <c r="Z814"/>
  <c r="Z815"/>
  <c r="Z816"/>
  <c r="Z817"/>
  <c r="Z818"/>
  <c r="Z819"/>
  <c r="Z820"/>
  <c r="Z821"/>
  <c r="Z822"/>
  <c r="Z823"/>
  <c r="Z824"/>
  <c r="J795"/>
  <c r="J796"/>
  <c r="J797"/>
  <c r="J798"/>
  <c r="J799"/>
  <c r="J800"/>
  <c r="J801"/>
  <c r="J802"/>
  <c r="J803"/>
  <c r="J804"/>
  <c r="J805"/>
  <c r="J806"/>
  <c r="J807"/>
  <c r="J808"/>
  <c r="J809"/>
  <c r="K795"/>
  <c r="K796"/>
  <c r="K797"/>
  <c r="K798"/>
  <c r="K799"/>
  <c r="K800"/>
  <c r="K801"/>
  <c r="K802"/>
  <c r="K803"/>
  <c r="K804"/>
  <c r="K805"/>
  <c r="K806"/>
  <c r="M795"/>
  <c r="O795" s="1"/>
  <c r="M796"/>
  <c r="O796" s="1"/>
  <c r="M797"/>
  <c r="O797" s="1"/>
  <c r="M798"/>
  <c r="O798" s="1"/>
  <c r="M799"/>
  <c r="O799" s="1"/>
  <c r="M800"/>
  <c r="O800" s="1"/>
  <c r="M801"/>
  <c r="O801" s="1"/>
  <c r="M802"/>
  <c r="O802" s="1"/>
  <c r="M803"/>
  <c r="O803" s="1"/>
  <c r="M804"/>
  <c r="O804" s="1"/>
  <c r="M805"/>
  <c r="O805" s="1"/>
  <c r="M806"/>
  <c r="O806" s="1"/>
  <c r="M807"/>
  <c r="M808"/>
  <c r="M809"/>
  <c r="N795"/>
  <c r="N796"/>
  <c r="N797"/>
  <c r="N798"/>
  <c r="N799"/>
  <c r="N800"/>
  <c r="N801"/>
  <c r="N802"/>
  <c r="N803"/>
  <c r="N804"/>
  <c r="N805"/>
  <c r="N806"/>
  <c r="P795"/>
  <c r="P796"/>
  <c r="P797"/>
  <c r="P798"/>
  <c r="P799"/>
  <c r="P800"/>
  <c r="P801"/>
  <c r="P802"/>
  <c r="P803"/>
  <c r="P804"/>
  <c r="P805"/>
  <c r="P806"/>
  <c r="P807"/>
  <c r="P808"/>
  <c r="P809"/>
  <c r="Y795"/>
  <c r="Y796"/>
  <c r="Y797"/>
  <c r="Y798"/>
  <c r="Y799"/>
  <c r="Y800"/>
  <c r="Y801"/>
  <c r="Y802"/>
  <c r="Y803"/>
  <c r="Y804"/>
  <c r="Y805"/>
  <c r="Y806"/>
  <c r="Y807"/>
  <c r="Y808"/>
  <c r="Y809"/>
  <c r="Z795"/>
  <c r="Z796"/>
  <c r="Z797"/>
  <c r="Z798"/>
  <c r="Z799"/>
  <c r="Z800"/>
  <c r="Z801"/>
  <c r="Z802"/>
  <c r="Z803"/>
  <c r="Z804"/>
  <c r="Z805"/>
  <c r="Z806"/>
  <c r="Z807"/>
  <c r="Z808"/>
  <c r="Z809"/>
  <c r="J792"/>
  <c r="J793"/>
  <c r="J794"/>
  <c r="K792"/>
  <c r="K793"/>
  <c r="K794"/>
  <c r="M792"/>
  <c r="O792" s="1"/>
  <c r="M793"/>
  <c r="O793" s="1"/>
  <c r="M794"/>
  <c r="O794" s="1"/>
  <c r="N792"/>
  <c r="N793"/>
  <c r="N794"/>
  <c r="P792"/>
  <c r="P793"/>
  <c r="P794"/>
  <c r="Y792"/>
  <c r="Y793"/>
  <c r="Y794"/>
  <c r="Z792"/>
  <c r="Z793"/>
  <c r="Z794"/>
  <c r="J789"/>
  <c r="J790"/>
  <c r="J791"/>
  <c r="M789"/>
  <c r="M790"/>
  <c r="M791"/>
  <c r="P789"/>
  <c r="P790"/>
  <c r="P791"/>
  <c r="Y789"/>
  <c r="Y790"/>
  <c r="Y791"/>
  <c r="Z789"/>
  <c r="Z790"/>
  <c r="Z791"/>
  <c r="J786"/>
  <c r="J787"/>
  <c r="J788"/>
  <c r="K786"/>
  <c r="K787"/>
  <c r="K788"/>
  <c r="M786"/>
  <c r="O786" s="1"/>
  <c r="M787"/>
  <c r="O787" s="1"/>
  <c r="M788"/>
  <c r="O788" s="1"/>
  <c r="N786"/>
  <c r="N787"/>
  <c r="N788"/>
  <c r="P786"/>
  <c r="P787"/>
  <c r="P788"/>
  <c r="Y786"/>
  <c r="Y787"/>
  <c r="Y788"/>
  <c r="Z786"/>
  <c r="Z787"/>
  <c r="Z788"/>
  <c r="J783"/>
  <c r="J784"/>
  <c r="J785"/>
  <c r="K783"/>
  <c r="K784"/>
  <c r="K785"/>
  <c r="M783"/>
  <c r="O783" s="1"/>
  <c r="M784"/>
  <c r="O784" s="1"/>
  <c r="M785"/>
  <c r="O785" s="1"/>
  <c r="N783"/>
  <c r="N784"/>
  <c r="N785"/>
  <c r="P783"/>
  <c r="P784"/>
  <c r="P785"/>
  <c r="Y783"/>
  <c r="Y784"/>
  <c r="Y785"/>
  <c r="Z783"/>
  <c r="Z784"/>
  <c r="Z785"/>
  <c r="J780"/>
  <c r="J781"/>
  <c r="J782"/>
  <c r="K780"/>
  <c r="K781"/>
  <c r="K782"/>
  <c r="M780"/>
  <c r="O780" s="1"/>
  <c r="M781"/>
  <c r="O781" s="1"/>
  <c r="M782"/>
  <c r="O782" s="1"/>
  <c r="N780"/>
  <c r="N781"/>
  <c r="N782"/>
  <c r="P780"/>
  <c r="P781"/>
  <c r="P782"/>
  <c r="Y780"/>
  <c r="Y781"/>
  <c r="Y782"/>
  <c r="Z780"/>
  <c r="Z781"/>
  <c r="Z782"/>
  <c r="J777"/>
  <c r="J778"/>
  <c r="J779"/>
  <c r="K777"/>
  <c r="K778"/>
  <c r="K779"/>
  <c r="M777"/>
  <c r="O777" s="1"/>
  <c r="M778"/>
  <c r="O778" s="1"/>
  <c r="M779"/>
  <c r="O779" s="1"/>
  <c r="N777"/>
  <c r="N778"/>
  <c r="N779"/>
  <c r="P777"/>
  <c r="P778"/>
  <c r="P779"/>
  <c r="Y777"/>
  <c r="Y778"/>
  <c r="Y779"/>
  <c r="Z777"/>
  <c r="Z778"/>
  <c r="Z779"/>
  <c r="Z2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1056"/>
  <c r="Z105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689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572"/>
  <c r="Z573"/>
  <c r="Z574"/>
  <c r="Z575"/>
  <c r="Z576"/>
  <c r="Z577"/>
  <c r="Z578"/>
  <c r="Z579"/>
  <c r="Z580"/>
  <c r="Z581"/>
  <c r="Z582"/>
  <c r="Z583"/>
  <c r="Z584"/>
  <c r="Z585"/>
  <c r="Z586"/>
  <c r="Z587"/>
  <c r="Z588"/>
  <c r="Z589"/>
  <c r="Z590"/>
  <c r="Z591"/>
  <c r="Z592"/>
  <c r="Z593"/>
  <c r="Z594"/>
  <c r="Z595"/>
  <c r="Z596"/>
  <c r="Z597"/>
  <c r="Z598"/>
  <c r="Z599"/>
  <c r="Z600"/>
  <c r="Z601"/>
  <c r="Z602"/>
  <c r="Z603"/>
  <c r="Z604"/>
  <c r="Z605"/>
  <c r="Z606"/>
  <c r="Z607"/>
  <c r="Z608"/>
  <c r="Z609"/>
  <c r="Z610"/>
  <c r="Z611"/>
  <c r="Z612"/>
  <c r="Z613"/>
  <c r="Z614"/>
  <c r="Z615"/>
  <c r="Z616"/>
  <c r="Z617"/>
  <c r="Z618"/>
  <c r="Z619"/>
  <c r="Z620"/>
  <c r="Z621"/>
  <c r="Z622"/>
  <c r="Z623"/>
  <c r="Z624"/>
  <c r="Z625"/>
  <c r="Z626"/>
  <c r="Z627"/>
  <c r="Z628"/>
  <c r="Z629"/>
  <c r="Z630"/>
  <c r="Z631"/>
  <c r="Z632"/>
  <c r="Z633"/>
  <c r="Z634"/>
  <c r="Z635"/>
  <c r="Z636"/>
  <c r="Z637"/>
  <c r="Z638"/>
  <c r="Z639"/>
  <c r="Z640"/>
  <c r="Z1058"/>
  <c r="Z1059"/>
  <c r="Z1060"/>
  <c r="Z1061"/>
  <c r="Z1062"/>
  <c r="Z1063"/>
  <c r="Z1064"/>
  <c r="Z1065"/>
  <c r="Z1066"/>
  <c r="Z1067"/>
  <c r="Z1068"/>
  <c r="Z1069"/>
  <c r="Z1070"/>
  <c r="Z1071"/>
  <c r="Z1072"/>
  <c r="Z1073"/>
  <c r="Z1074"/>
  <c r="Z1075"/>
  <c r="Z1076"/>
  <c r="Z1077"/>
  <c r="Z1078"/>
  <c r="Z1079"/>
  <c r="Z663"/>
  <c r="Z664"/>
  <c r="Z665"/>
  <c r="Z666"/>
  <c r="Z667"/>
  <c r="Z668"/>
  <c r="Z669"/>
  <c r="Z670"/>
  <c r="Z671"/>
  <c r="Z672"/>
  <c r="Z673"/>
  <c r="Z674"/>
  <c r="Z675"/>
  <c r="Z676"/>
  <c r="Z677"/>
  <c r="Z678"/>
  <c r="Z679"/>
  <c r="Z680"/>
  <c r="Z681"/>
  <c r="Z682"/>
  <c r="Z686"/>
  <c r="Z684"/>
  <c r="Z685"/>
  <c r="Z683"/>
  <c r="Z687"/>
  <c r="Z688"/>
  <c r="Z494"/>
  <c r="Z690"/>
  <c r="Z691"/>
  <c r="Z692"/>
  <c r="Z693"/>
  <c r="Z694"/>
  <c r="Z695"/>
  <c r="Z696"/>
  <c r="Z697"/>
  <c r="Z698"/>
  <c r="Z699"/>
  <c r="Z700"/>
  <c r="Z701"/>
  <c r="Z702"/>
  <c r="Z703"/>
  <c r="Z704"/>
  <c r="Z705"/>
  <c r="Z706"/>
  <c r="Z707"/>
  <c r="Z708"/>
  <c r="Z709"/>
  <c r="Z710"/>
  <c r="Z711"/>
  <c r="Z712"/>
  <c r="Z713"/>
  <c r="Z714"/>
  <c r="Z715"/>
  <c r="Z716"/>
  <c r="Z717"/>
  <c r="Z718"/>
  <c r="Z719"/>
  <c r="Z720"/>
  <c r="Z721"/>
  <c r="Z722"/>
  <c r="Z723"/>
  <c r="Z724"/>
  <c r="Z725"/>
  <c r="Z726"/>
  <c r="Z727"/>
  <c r="Z728"/>
  <c r="Z729"/>
  <c r="Z730"/>
  <c r="Z731"/>
  <c r="Z732"/>
  <c r="Z733"/>
  <c r="Z734"/>
  <c r="Z735"/>
  <c r="Z736"/>
  <c r="Z737"/>
  <c r="Z738"/>
  <c r="Z739"/>
  <c r="Z740"/>
  <c r="Z741"/>
  <c r="Z742"/>
  <c r="Z743"/>
  <c r="Z744"/>
  <c r="Z745"/>
  <c r="Z746"/>
  <c r="Z747"/>
  <c r="Z748"/>
  <c r="Z749"/>
  <c r="Z750"/>
  <c r="Z751"/>
  <c r="Z752"/>
  <c r="Z753"/>
  <c r="Z754"/>
  <c r="Z755"/>
  <c r="Z756"/>
  <c r="Z757"/>
  <c r="Z758"/>
  <c r="Z759"/>
  <c r="Z760"/>
  <c r="Z761"/>
  <c r="Z762"/>
  <c r="Z763"/>
  <c r="Z764"/>
  <c r="Z765"/>
  <c r="Z766"/>
  <c r="Z767"/>
  <c r="Z768"/>
  <c r="Z769"/>
  <c r="Z770"/>
  <c r="Z771"/>
  <c r="Z772"/>
  <c r="Z773"/>
  <c r="Z774"/>
  <c r="Z775"/>
  <c r="Z776"/>
  <c r="Y2"/>
  <c r="Y3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1056"/>
  <c r="Y105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689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1058"/>
  <c r="Y1059"/>
  <c r="Y1060"/>
  <c r="Y1061"/>
  <c r="Y1062"/>
  <c r="Y1063"/>
  <c r="Y1064"/>
  <c r="Y1065"/>
  <c r="Y1066"/>
  <c r="Y1067"/>
  <c r="Y1068"/>
  <c r="Y1069"/>
  <c r="Y1070"/>
  <c r="Y1071"/>
  <c r="Y1072"/>
  <c r="Y1073"/>
  <c r="Y1074"/>
  <c r="Y1075"/>
  <c r="Y1076"/>
  <c r="Y1077"/>
  <c r="Y1078"/>
  <c r="Y1079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6"/>
  <c r="Y684"/>
  <c r="Y685"/>
  <c r="Y683"/>
  <c r="Y687"/>
  <c r="Y688"/>
  <c r="Y494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Y720"/>
  <c r="Y721"/>
  <c r="Y722"/>
  <c r="Y723"/>
  <c r="Y724"/>
  <c r="Y725"/>
  <c r="Y726"/>
  <c r="Y727"/>
  <c r="Y728"/>
  <c r="Y729"/>
  <c r="Y730"/>
  <c r="Y731"/>
  <c r="Y732"/>
  <c r="Y733"/>
  <c r="Y734"/>
  <c r="Y735"/>
  <c r="Y736"/>
  <c r="Y737"/>
  <c r="Y738"/>
  <c r="Y739"/>
  <c r="Y740"/>
  <c r="Y741"/>
  <c r="Y742"/>
  <c r="Y743"/>
  <c r="Y744"/>
  <c r="Y745"/>
  <c r="Y746"/>
  <c r="Y747"/>
  <c r="Y748"/>
  <c r="Y749"/>
  <c r="Y750"/>
  <c r="Y751"/>
  <c r="Y752"/>
  <c r="Y753"/>
  <c r="Y754"/>
  <c r="Y755"/>
  <c r="Y756"/>
  <c r="Y757"/>
  <c r="Y758"/>
  <c r="Y759"/>
  <c r="Y760"/>
  <c r="Y761"/>
  <c r="Y762"/>
  <c r="Y763"/>
  <c r="Y764"/>
  <c r="Y765"/>
  <c r="Y766"/>
  <c r="Y767"/>
  <c r="Y768"/>
  <c r="Y769"/>
  <c r="Y770"/>
  <c r="Y771"/>
  <c r="Y772"/>
  <c r="Y773"/>
  <c r="Y774"/>
  <c r="Y775"/>
  <c r="Y776"/>
  <c r="J775"/>
  <c r="J776"/>
  <c r="M775"/>
  <c r="M776"/>
  <c r="J773"/>
  <c r="J774"/>
  <c r="M773"/>
  <c r="M774"/>
  <c r="P773"/>
  <c r="P774"/>
  <c r="J771"/>
  <c r="J772"/>
  <c r="M771"/>
  <c r="M772"/>
  <c r="P771"/>
  <c r="P772"/>
  <c r="J770"/>
  <c r="M770"/>
  <c r="P770"/>
  <c r="J769"/>
  <c r="M769"/>
  <c r="P769"/>
  <c r="J767"/>
  <c r="J768"/>
  <c r="M767"/>
  <c r="M768"/>
  <c r="P767"/>
  <c r="P768"/>
  <c r="J759"/>
  <c r="J760"/>
  <c r="J761"/>
  <c r="J762"/>
  <c r="J763"/>
  <c r="J764"/>
  <c r="J765"/>
  <c r="J766"/>
  <c r="K759"/>
  <c r="K760"/>
  <c r="K761"/>
  <c r="K762"/>
  <c r="K763"/>
  <c r="K764"/>
  <c r="M759"/>
  <c r="O759" s="1"/>
  <c r="M760"/>
  <c r="O760" s="1"/>
  <c r="M761"/>
  <c r="O761" s="1"/>
  <c r="M762"/>
  <c r="O762" s="1"/>
  <c r="M763"/>
  <c r="O763" s="1"/>
  <c r="M764"/>
  <c r="O764" s="1"/>
  <c r="M765"/>
  <c r="M766"/>
  <c r="N759"/>
  <c r="N760"/>
  <c r="N761"/>
  <c r="N762"/>
  <c r="N763"/>
  <c r="N764"/>
  <c r="P759"/>
  <c r="P760"/>
  <c r="P761"/>
  <c r="P762"/>
  <c r="P763"/>
  <c r="P764"/>
  <c r="P765"/>
  <c r="P766"/>
  <c r="J745"/>
  <c r="J746"/>
  <c r="J747"/>
  <c r="J748"/>
  <c r="J749"/>
  <c r="J750"/>
  <c r="J751"/>
  <c r="J752"/>
  <c r="J753"/>
  <c r="J754"/>
  <c r="J755"/>
  <c r="J756"/>
  <c r="J757"/>
  <c r="J758"/>
  <c r="K745"/>
  <c r="K746"/>
  <c r="K747"/>
  <c r="K748"/>
  <c r="K749"/>
  <c r="K750"/>
  <c r="K751"/>
  <c r="K752"/>
  <c r="K753"/>
  <c r="K754"/>
  <c r="K755"/>
  <c r="K756"/>
  <c r="M745"/>
  <c r="O745" s="1"/>
  <c r="M746"/>
  <c r="O746" s="1"/>
  <c r="M747"/>
  <c r="O747" s="1"/>
  <c r="M748"/>
  <c r="O748" s="1"/>
  <c r="M749"/>
  <c r="O749" s="1"/>
  <c r="M750"/>
  <c r="O750" s="1"/>
  <c r="M751"/>
  <c r="O751" s="1"/>
  <c r="M752"/>
  <c r="O752" s="1"/>
  <c r="M753"/>
  <c r="O753" s="1"/>
  <c r="M754"/>
  <c r="O754" s="1"/>
  <c r="M755"/>
  <c r="O755" s="1"/>
  <c r="M756"/>
  <c r="O756" s="1"/>
  <c r="M757"/>
  <c r="M758"/>
  <c r="N745"/>
  <c r="N746"/>
  <c r="N747"/>
  <c r="N748"/>
  <c r="N749"/>
  <c r="N750"/>
  <c r="N751"/>
  <c r="N752"/>
  <c r="N753"/>
  <c r="N754"/>
  <c r="N755"/>
  <c r="N756"/>
  <c r="P745"/>
  <c r="P746"/>
  <c r="P747"/>
  <c r="P748"/>
  <c r="P749"/>
  <c r="P750"/>
  <c r="P751"/>
  <c r="P752"/>
  <c r="P753"/>
  <c r="P754"/>
  <c r="P755"/>
  <c r="P756"/>
  <c r="P757"/>
  <c r="P758"/>
  <c r="J743"/>
  <c r="J744"/>
  <c r="M743"/>
  <c r="M744"/>
  <c r="P743"/>
  <c r="P744"/>
  <c r="J741"/>
  <c r="J742"/>
  <c r="K741"/>
  <c r="K742"/>
  <c r="M741"/>
  <c r="O741" s="1"/>
  <c r="M742"/>
  <c r="O742" s="1"/>
  <c r="N741"/>
  <c r="N742"/>
  <c r="P741"/>
  <c r="P742"/>
  <c r="J739"/>
  <c r="J740"/>
  <c r="K739"/>
  <c r="K740"/>
  <c r="M739"/>
  <c r="O739" s="1"/>
  <c r="M740"/>
  <c r="O740" s="1"/>
  <c r="N739"/>
  <c r="N740"/>
  <c r="P739"/>
  <c r="P740"/>
  <c r="J737"/>
  <c r="J738"/>
  <c r="K737"/>
  <c r="K738"/>
  <c r="M737"/>
  <c r="O737" s="1"/>
  <c r="M738"/>
  <c r="O738" s="1"/>
  <c r="N737"/>
  <c r="N738"/>
  <c r="P737"/>
  <c r="P738"/>
  <c r="J735"/>
  <c r="J736"/>
  <c r="K735"/>
  <c r="K736"/>
  <c r="M735"/>
  <c r="O735" s="1"/>
  <c r="M736"/>
  <c r="O736" s="1"/>
  <c r="N735"/>
  <c r="N736"/>
  <c r="P735"/>
  <c r="P736"/>
  <c r="J733"/>
  <c r="J734"/>
  <c r="K733"/>
  <c r="K734"/>
  <c r="M733"/>
  <c r="O733" s="1"/>
  <c r="M734"/>
  <c r="O734" s="1"/>
  <c r="N733"/>
  <c r="N734"/>
  <c r="P733"/>
  <c r="P734"/>
  <c r="J731"/>
  <c r="J732"/>
  <c r="K731"/>
  <c r="K732"/>
  <c r="M731"/>
  <c r="O731" s="1"/>
  <c r="M732"/>
  <c r="O732" s="1"/>
  <c r="N731"/>
  <c r="N732"/>
  <c r="P731"/>
  <c r="P732"/>
  <c r="J728"/>
  <c r="J729"/>
  <c r="J730"/>
  <c r="M728"/>
  <c r="M729"/>
  <c r="M730"/>
  <c r="P728"/>
  <c r="P729"/>
  <c r="P730"/>
  <c r="J725"/>
  <c r="J726"/>
  <c r="J727"/>
  <c r="M725"/>
  <c r="M726"/>
  <c r="M727"/>
  <c r="P725"/>
  <c r="P726"/>
  <c r="P727"/>
  <c r="J722"/>
  <c r="J723"/>
  <c r="J724"/>
  <c r="M722"/>
  <c r="M723"/>
  <c r="M724"/>
  <c r="P722"/>
  <c r="P723"/>
  <c r="P724"/>
  <c r="J721"/>
  <c r="M721"/>
  <c r="P721"/>
  <c r="J720"/>
  <c r="M720"/>
  <c r="P720"/>
  <c r="J719"/>
  <c r="M719"/>
  <c r="P719"/>
  <c r="J718"/>
  <c r="M718"/>
  <c r="P718"/>
  <c r="J717"/>
  <c r="M717"/>
  <c r="P717"/>
  <c r="J715"/>
  <c r="J716"/>
  <c r="M715"/>
  <c r="M716"/>
  <c r="P715"/>
  <c r="P716"/>
  <c r="J713"/>
  <c r="J714"/>
  <c r="K713"/>
  <c r="K714"/>
  <c r="M713"/>
  <c r="O713" s="1"/>
  <c r="M714"/>
  <c r="O714" s="1"/>
  <c r="N713"/>
  <c r="N714"/>
  <c r="P713"/>
  <c r="P714"/>
  <c r="J711"/>
  <c r="J712"/>
  <c r="K711"/>
  <c r="K712"/>
  <c r="M711"/>
  <c r="O711" s="1"/>
  <c r="M712"/>
  <c r="O712" s="1"/>
  <c r="N711"/>
  <c r="N712"/>
  <c r="P711"/>
  <c r="P712"/>
  <c r="J709"/>
  <c r="J710"/>
  <c r="K709"/>
  <c r="K710"/>
  <c r="M709"/>
  <c r="O709" s="1"/>
  <c r="M710"/>
  <c r="O710" s="1"/>
  <c r="N709"/>
  <c r="N710"/>
  <c r="P709"/>
  <c r="P710"/>
  <c r="J707"/>
  <c r="J708"/>
  <c r="K707"/>
  <c r="K708"/>
  <c r="M707"/>
  <c r="O707" s="1"/>
  <c r="M708"/>
  <c r="O708" s="1"/>
  <c r="N707"/>
  <c r="N708"/>
  <c r="P707"/>
  <c r="P708"/>
  <c r="J705"/>
  <c r="J706"/>
  <c r="K705"/>
  <c r="K706"/>
  <c r="M705"/>
  <c r="O705" s="1"/>
  <c r="M706"/>
  <c r="O706" s="1"/>
  <c r="N705"/>
  <c r="N706"/>
  <c r="P705"/>
  <c r="P706"/>
  <c r="J703"/>
  <c r="J704"/>
  <c r="K703"/>
  <c r="K704"/>
  <c r="M703"/>
  <c r="O703" s="1"/>
  <c r="M704"/>
  <c r="O704" s="1"/>
  <c r="N703"/>
  <c r="N704"/>
  <c r="P703"/>
  <c r="P704"/>
  <c r="J701"/>
  <c r="J702"/>
  <c r="K701"/>
  <c r="K702"/>
  <c r="M701"/>
  <c r="O701" s="1"/>
  <c r="M702"/>
  <c r="O702" s="1"/>
  <c r="N701"/>
  <c r="N702"/>
  <c r="P701"/>
  <c r="P702"/>
  <c r="J700"/>
  <c r="M700"/>
  <c r="P700"/>
  <c r="J699"/>
  <c r="M699"/>
  <c r="P699"/>
  <c r="J698"/>
  <c r="K698"/>
  <c r="M698"/>
  <c r="O698" s="1"/>
  <c r="N698"/>
  <c r="P698"/>
  <c r="J697"/>
  <c r="K697"/>
  <c r="M697"/>
  <c r="O697" s="1"/>
  <c r="N697"/>
  <c r="P697"/>
  <c r="J694"/>
  <c r="J695"/>
  <c r="J696"/>
  <c r="K694"/>
  <c r="K695"/>
  <c r="K696"/>
  <c r="M694"/>
  <c r="O694" s="1"/>
  <c r="M695"/>
  <c r="O695" s="1"/>
  <c r="M696"/>
  <c r="O696" s="1"/>
  <c r="N694"/>
  <c r="N695"/>
  <c r="N696"/>
  <c r="P694"/>
  <c r="P695"/>
  <c r="P696"/>
  <c r="J693"/>
  <c r="K693"/>
  <c r="M693"/>
  <c r="O693" s="1"/>
  <c r="N693"/>
  <c r="P693"/>
  <c r="J692"/>
  <c r="M692"/>
  <c r="P692"/>
  <c r="J690"/>
  <c r="J691"/>
  <c r="K690"/>
  <c r="M690"/>
  <c r="O690" s="1"/>
  <c r="M691"/>
  <c r="N690"/>
  <c r="P690"/>
  <c r="P691"/>
  <c r="J687"/>
  <c r="J688"/>
  <c r="J494"/>
  <c r="M687"/>
  <c r="M688"/>
  <c r="M494"/>
  <c r="P687"/>
  <c r="P688"/>
  <c r="P494"/>
  <c r="J684"/>
  <c r="J685"/>
  <c r="J683"/>
  <c r="M684"/>
  <c r="M685"/>
  <c r="M683"/>
  <c r="P684"/>
  <c r="P685"/>
  <c r="P683"/>
  <c r="J681"/>
  <c r="J682"/>
  <c r="J686"/>
  <c r="M681"/>
  <c r="M682"/>
  <c r="M686"/>
  <c r="P681"/>
  <c r="P682"/>
  <c r="P686"/>
  <c r="P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1056"/>
  <c r="P105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689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1"/>
  <c r="P582"/>
  <c r="P583"/>
  <c r="P584"/>
  <c r="P586"/>
  <c r="P587"/>
  <c r="P588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1058"/>
  <c r="P1059"/>
  <c r="P1060"/>
  <c r="P1061"/>
  <c r="P1062"/>
  <c r="P1063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J678"/>
  <c r="J679"/>
  <c r="J680"/>
  <c r="M678"/>
  <c r="M679"/>
  <c r="M680"/>
  <c r="J672"/>
  <c r="J673"/>
  <c r="J674"/>
  <c r="J675"/>
  <c r="J676"/>
  <c r="J677"/>
  <c r="K672"/>
  <c r="K673"/>
  <c r="K674"/>
  <c r="M672"/>
  <c r="O672" s="1"/>
  <c r="M673"/>
  <c r="O673" s="1"/>
  <c r="M674"/>
  <c r="O674" s="1"/>
  <c r="M675"/>
  <c r="M676"/>
  <c r="M677"/>
  <c r="N672"/>
  <c r="N673"/>
  <c r="N674"/>
  <c r="J669"/>
  <c r="J670"/>
  <c r="J671"/>
  <c r="M669"/>
  <c r="M670"/>
  <c r="M671"/>
  <c r="J666"/>
  <c r="J667"/>
  <c r="J668"/>
  <c r="M666"/>
  <c r="M667"/>
  <c r="M668"/>
  <c r="J663"/>
  <c r="J664"/>
  <c r="J665"/>
  <c r="K663"/>
  <c r="K664"/>
  <c r="K665"/>
  <c r="M663"/>
  <c r="O663" s="1"/>
  <c r="M664"/>
  <c r="O664" s="1"/>
  <c r="M665"/>
  <c r="O665" s="1"/>
  <c r="N663"/>
  <c r="N664"/>
  <c r="N665"/>
  <c r="J1074"/>
  <c r="J1075"/>
  <c r="J1076"/>
  <c r="J1077"/>
  <c r="J1078"/>
  <c r="J1079"/>
  <c r="K1074"/>
  <c r="K1075"/>
  <c r="K1076"/>
  <c r="K1077"/>
  <c r="M1074"/>
  <c r="O1074" s="1"/>
  <c r="M1075"/>
  <c r="O1075" s="1"/>
  <c r="M1076"/>
  <c r="O1076" s="1"/>
  <c r="M1077"/>
  <c r="O1077" s="1"/>
  <c r="M1078"/>
  <c r="M1079"/>
  <c r="N1074"/>
  <c r="N1075"/>
  <c r="N1076"/>
  <c r="N1077"/>
  <c r="J1068"/>
  <c r="J1069"/>
  <c r="J1070"/>
  <c r="J1071"/>
  <c r="J1072"/>
  <c r="J1073"/>
  <c r="K1068"/>
  <c r="K1069"/>
  <c r="K1070"/>
  <c r="K1071"/>
  <c r="M1068"/>
  <c r="O1068" s="1"/>
  <c r="M1069"/>
  <c r="O1069" s="1"/>
  <c r="M1070"/>
  <c r="O1070" s="1"/>
  <c r="M1071"/>
  <c r="O1071" s="1"/>
  <c r="M1072"/>
  <c r="M1073"/>
  <c r="N1068"/>
  <c r="N1069"/>
  <c r="N1070"/>
  <c r="N1071"/>
  <c r="K2"/>
  <c r="K3"/>
  <c r="K4"/>
  <c r="K5"/>
  <c r="K6"/>
  <c r="K7"/>
  <c r="K8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1056"/>
  <c r="K105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8"/>
  <c r="K519"/>
  <c r="K521"/>
  <c r="K525"/>
  <c r="K527"/>
  <c r="K529"/>
  <c r="K531"/>
  <c r="K532"/>
  <c r="K533"/>
  <c r="K534"/>
  <c r="K535"/>
  <c r="K536"/>
  <c r="K543"/>
  <c r="K544"/>
  <c r="K545"/>
  <c r="K546"/>
  <c r="K548"/>
  <c r="K549"/>
  <c r="K550"/>
  <c r="K551"/>
  <c r="K552"/>
  <c r="K553"/>
  <c r="K554"/>
  <c r="K555"/>
  <c r="K557"/>
  <c r="K558"/>
  <c r="K559"/>
  <c r="K560"/>
  <c r="K561"/>
  <c r="K562"/>
  <c r="K563"/>
  <c r="K564"/>
  <c r="K565"/>
  <c r="K567"/>
  <c r="K568"/>
  <c r="K569"/>
  <c r="K570"/>
  <c r="K571"/>
  <c r="K572"/>
  <c r="K573"/>
  <c r="K574"/>
  <c r="K578"/>
  <c r="K583"/>
  <c r="K586"/>
  <c r="K590"/>
  <c r="K591"/>
  <c r="K592"/>
  <c r="K596"/>
  <c r="K597"/>
  <c r="K598"/>
  <c r="K602"/>
  <c r="K603"/>
  <c r="K604"/>
  <c r="K608"/>
  <c r="K609"/>
  <c r="K610"/>
  <c r="K614"/>
  <c r="K615"/>
  <c r="K617"/>
  <c r="K618"/>
  <c r="K619"/>
  <c r="K621"/>
  <c r="K622"/>
  <c r="K623"/>
  <c r="K624"/>
  <c r="K627"/>
  <c r="K629"/>
  <c r="K630"/>
  <c r="K633"/>
  <c r="K634"/>
  <c r="K637"/>
  <c r="K638"/>
  <c r="K1060"/>
  <c r="K1061"/>
  <c r="K1062"/>
  <c r="K1063"/>
  <c r="K1064"/>
  <c r="K1065"/>
  <c r="J1066"/>
  <c r="J1067"/>
  <c r="M1066"/>
  <c r="M1067"/>
  <c r="J1064"/>
  <c r="J1065"/>
  <c r="M1064"/>
  <c r="O1064" s="1"/>
  <c r="M1065"/>
  <c r="O1065" s="1"/>
  <c r="N1064"/>
  <c r="N1065"/>
  <c r="J1062"/>
  <c r="J1063"/>
  <c r="M1062"/>
  <c r="O1062" s="1"/>
  <c r="M1063"/>
  <c r="O1063" s="1"/>
  <c r="N1062"/>
  <c r="N1063"/>
  <c r="J1060"/>
  <c r="J1061"/>
  <c r="M1060"/>
  <c r="O1060" s="1"/>
  <c r="M1061"/>
  <c r="O1061" s="1"/>
  <c r="N1060"/>
  <c r="N1061"/>
  <c r="J1058"/>
  <c r="J1059"/>
  <c r="M1058"/>
  <c r="M1059"/>
  <c r="J637"/>
  <c r="J638"/>
  <c r="J639"/>
  <c r="J640"/>
  <c r="M637"/>
  <c r="O637" s="1"/>
  <c r="M638"/>
  <c r="O638" s="1"/>
  <c r="M639"/>
  <c r="M640"/>
  <c r="N637"/>
  <c r="N638"/>
  <c r="J633"/>
  <c r="J634"/>
  <c r="J635"/>
  <c r="J636"/>
  <c r="M633"/>
  <c r="O633" s="1"/>
  <c r="M634"/>
  <c r="O634" s="1"/>
  <c r="M635"/>
  <c r="M636"/>
  <c r="N633"/>
  <c r="N634"/>
  <c r="J631"/>
  <c r="J632"/>
  <c r="M631"/>
  <c r="M632"/>
  <c r="J629"/>
  <c r="J630"/>
  <c r="M629"/>
  <c r="O629" s="1"/>
  <c r="M630"/>
  <c r="O630" s="1"/>
  <c r="N629"/>
  <c r="N630"/>
  <c r="J627"/>
  <c r="J628"/>
  <c r="M627"/>
  <c r="O627" s="1"/>
  <c r="M628"/>
  <c r="N627"/>
  <c r="J626"/>
  <c r="M626"/>
  <c r="J625"/>
  <c r="M625"/>
  <c r="J621"/>
  <c r="J622"/>
  <c r="J623"/>
  <c r="J624"/>
  <c r="M621"/>
  <c r="O621" s="1"/>
  <c r="M622"/>
  <c r="O622" s="1"/>
  <c r="M623"/>
  <c r="O623" s="1"/>
  <c r="M624"/>
  <c r="O624" s="1"/>
  <c r="N621"/>
  <c r="N622"/>
  <c r="N623"/>
  <c r="J618"/>
  <c r="M618"/>
  <c r="O618" s="1"/>
  <c r="N618"/>
  <c r="J619"/>
  <c r="M619"/>
  <c r="O619" s="1"/>
  <c r="N619"/>
  <c r="J620"/>
  <c r="M620"/>
  <c r="J614"/>
  <c r="M614"/>
  <c r="O614" s="1"/>
  <c r="N614"/>
  <c r="J615"/>
  <c r="M615"/>
  <c r="O615" s="1"/>
  <c r="J103"/>
  <c r="M103"/>
  <c r="O103" s="1"/>
  <c r="N103"/>
  <c r="J617"/>
  <c r="M617"/>
  <c r="O617" s="1"/>
  <c r="J616"/>
  <c r="M616"/>
  <c r="J608"/>
  <c r="J609"/>
  <c r="J610"/>
  <c r="J611"/>
  <c r="J612"/>
  <c r="J613"/>
  <c r="M608"/>
  <c r="O608" s="1"/>
  <c r="M609"/>
  <c r="O609" s="1"/>
  <c r="M610"/>
  <c r="O610" s="1"/>
  <c r="M611"/>
  <c r="M612"/>
  <c r="M613"/>
  <c r="N608"/>
  <c r="N609"/>
  <c r="N610"/>
  <c r="J602"/>
  <c r="J603"/>
  <c r="J604"/>
  <c r="J605"/>
  <c r="J606"/>
  <c r="J607"/>
  <c r="M602"/>
  <c r="O602" s="1"/>
  <c r="M603"/>
  <c r="O603" s="1"/>
  <c r="M604"/>
  <c r="O604" s="1"/>
  <c r="M605"/>
  <c r="M606"/>
  <c r="M607"/>
  <c r="N602"/>
  <c r="N603"/>
  <c r="N604"/>
  <c r="J596"/>
  <c r="J597"/>
  <c r="J598"/>
  <c r="J599"/>
  <c r="J600"/>
  <c r="J601"/>
  <c r="M596"/>
  <c r="O596" s="1"/>
  <c r="M597"/>
  <c r="O597" s="1"/>
  <c r="M598"/>
  <c r="O598" s="1"/>
  <c r="M599"/>
  <c r="M600"/>
  <c r="M601"/>
  <c r="N596"/>
  <c r="N597"/>
  <c r="N598"/>
  <c r="J593"/>
  <c r="J594"/>
  <c r="J595"/>
  <c r="M593"/>
  <c r="M594"/>
  <c r="M595"/>
  <c r="J590"/>
  <c r="J591"/>
  <c r="J592"/>
  <c r="M590"/>
  <c r="O590" s="1"/>
  <c r="M591"/>
  <c r="O591" s="1"/>
  <c r="M592"/>
  <c r="O592" s="1"/>
  <c r="N590"/>
  <c r="N591"/>
  <c r="N592"/>
  <c r="J589"/>
  <c r="M589"/>
  <c r="J588"/>
  <c r="M588"/>
  <c r="J587"/>
  <c r="M587"/>
  <c r="J586"/>
  <c r="M586"/>
  <c r="O586" s="1"/>
  <c r="N586"/>
  <c r="N2"/>
  <c r="N3"/>
  <c r="N4"/>
  <c r="N5"/>
  <c r="N6"/>
  <c r="N7"/>
  <c r="N8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521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1056"/>
  <c r="N105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37"/>
  <c r="N458"/>
  <c r="N459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8"/>
  <c r="N519"/>
  <c r="N525"/>
  <c r="N527"/>
  <c r="N529"/>
  <c r="N531"/>
  <c r="N532"/>
  <c r="N533"/>
  <c r="N534"/>
  <c r="N535"/>
  <c r="N536"/>
  <c r="N578"/>
  <c r="N583"/>
  <c r="N543"/>
  <c r="N544"/>
  <c r="N545"/>
  <c r="N546"/>
  <c r="N548"/>
  <c r="N549"/>
  <c r="N550"/>
  <c r="N551"/>
  <c r="N552"/>
  <c r="N553"/>
  <c r="N554"/>
  <c r="N555"/>
  <c r="N557"/>
  <c r="N558"/>
  <c r="N559"/>
  <c r="N560"/>
  <c r="N561"/>
  <c r="N562"/>
  <c r="N563"/>
  <c r="N564"/>
  <c r="N565"/>
  <c r="N567"/>
  <c r="N568"/>
  <c r="N569"/>
  <c r="N570"/>
  <c r="N571"/>
  <c r="N572"/>
  <c r="N573"/>
  <c r="N574"/>
  <c r="M547"/>
  <c r="M2"/>
  <c r="O2" s="1"/>
  <c r="M3"/>
  <c r="O3" s="1"/>
  <c r="M4"/>
  <c r="O4" s="1"/>
  <c r="M5"/>
  <c r="O5" s="1"/>
  <c r="M6"/>
  <c r="O6" s="1"/>
  <c r="M7"/>
  <c r="O7" s="1"/>
  <c r="M8"/>
  <c r="O8" s="1"/>
  <c r="M9"/>
  <c r="M10"/>
  <c r="M11"/>
  <c r="O11" s="1"/>
  <c r="M12"/>
  <c r="O12" s="1"/>
  <c r="M13"/>
  <c r="O13" s="1"/>
  <c r="M14"/>
  <c r="O14" s="1"/>
  <c r="M15"/>
  <c r="O15" s="1"/>
  <c r="M16"/>
  <c r="O16" s="1"/>
  <c r="M17"/>
  <c r="O17" s="1"/>
  <c r="M18"/>
  <c r="O18" s="1"/>
  <c r="M19"/>
  <c r="O19" s="1"/>
  <c r="M20"/>
  <c r="O20" s="1"/>
  <c r="M21"/>
  <c r="O21" s="1"/>
  <c r="M22"/>
  <c r="O22" s="1"/>
  <c r="M23"/>
  <c r="O23" s="1"/>
  <c r="M24"/>
  <c r="O24" s="1"/>
  <c r="M25"/>
  <c r="O25" s="1"/>
  <c r="M26"/>
  <c r="O26" s="1"/>
  <c r="M27"/>
  <c r="O27" s="1"/>
  <c r="M28"/>
  <c r="O28" s="1"/>
  <c r="M29"/>
  <c r="O29" s="1"/>
  <c r="M30"/>
  <c r="O30" s="1"/>
  <c r="M31"/>
  <c r="O31" s="1"/>
  <c r="M32"/>
  <c r="O32" s="1"/>
  <c r="M33"/>
  <c r="O33" s="1"/>
  <c r="M34"/>
  <c r="O34" s="1"/>
  <c r="M35"/>
  <c r="O35" s="1"/>
  <c r="M36"/>
  <c r="O36" s="1"/>
  <c r="M521"/>
  <c r="O521" s="1"/>
  <c r="M38"/>
  <c r="O38" s="1"/>
  <c r="M39"/>
  <c r="O39" s="1"/>
  <c r="M40"/>
  <c r="O40" s="1"/>
  <c r="M41"/>
  <c r="O41" s="1"/>
  <c r="M42"/>
  <c r="O42" s="1"/>
  <c r="M43"/>
  <c r="O43" s="1"/>
  <c r="M44"/>
  <c r="O44" s="1"/>
  <c r="M45"/>
  <c r="O45" s="1"/>
  <c r="M46"/>
  <c r="O46" s="1"/>
  <c r="M47"/>
  <c r="O47" s="1"/>
  <c r="M48"/>
  <c r="O48" s="1"/>
  <c r="M49"/>
  <c r="O49" s="1"/>
  <c r="M50"/>
  <c r="O50" s="1"/>
  <c r="M51"/>
  <c r="O51" s="1"/>
  <c r="M52"/>
  <c r="O52" s="1"/>
  <c r="M53"/>
  <c r="O53" s="1"/>
  <c r="M54"/>
  <c r="O54" s="1"/>
  <c r="M55"/>
  <c r="O55" s="1"/>
  <c r="M56"/>
  <c r="O56" s="1"/>
  <c r="M57"/>
  <c r="O57" s="1"/>
  <c r="M58"/>
  <c r="O58" s="1"/>
  <c r="M59"/>
  <c r="O59" s="1"/>
  <c r="M60"/>
  <c r="O60" s="1"/>
  <c r="M61"/>
  <c r="O61" s="1"/>
  <c r="M62"/>
  <c r="O62" s="1"/>
  <c r="M63"/>
  <c r="O63" s="1"/>
  <c r="M64"/>
  <c r="O64" s="1"/>
  <c r="M65"/>
  <c r="O65" s="1"/>
  <c r="M66"/>
  <c r="O66" s="1"/>
  <c r="M67"/>
  <c r="O67" s="1"/>
  <c r="M68"/>
  <c r="O68" s="1"/>
  <c r="M69"/>
  <c r="O69" s="1"/>
  <c r="M70"/>
  <c r="O70" s="1"/>
  <c r="M71"/>
  <c r="O71" s="1"/>
  <c r="M72"/>
  <c r="O72" s="1"/>
  <c r="M73"/>
  <c r="O73" s="1"/>
  <c r="M74"/>
  <c r="O74" s="1"/>
  <c r="M75"/>
  <c r="O75" s="1"/>
  <c r="M76"/>
  <c r="O76" s="1"/>
  <c r="M77"/>
  <c r="O77" s="1"/>
  <c r="M78"/>
  <c r="O78" s="1"/>
  <c r="M79"/>
  <c r="O79" s="1"/>
  <c r="M80"/>
  <c r="O80" s="1"/>
  <c r="M81"/>
  <c r="O81" s="1"/>
  <c r="M82"/>
  <c r="O82" s="1"/>
  <c r="M83"/>
  <c r="O83" s="1"/>
  <c r="M84"/>
  <c r="O84" s="1"/>
  <c r="M85"/>
  <c r="O85" s="1"/>
  <c r="M86"/>
  <c r="O86" s="1"/>
  <c r="M87"/>
  <c r="O87" s="1"/>
  <c r="M88"/>
  <c r="O88" s="1"/>
  <c r="M89"/>
  <c r="O89" s="1"/>
  <c r="M90"/>
  <c r="O90" s="1"/>
  <c r="M91"/>
  <c r="O91" s="1"/>
  <c r="M92"/>
  <c r="O92" s="1"/>
  <c r="M93"/>
  <c r="O93" s="1"/>
  <c r="M94"/>
  <c r="O94" s="1"/>
  <c r="M95"/>
  <c r="O95" s="1"/>
  <c r="M96"/>
  <c r="O96" s="1"/>
  <c r="M97"/>
  <c r="O97" s="1"/>
  <c r="M98"/>
  <c r="O98" s="1"/>
  <c r="M99"/>
  <c r="O99" s="1"/>
  <c r="M100"/>
  <c r="O100" s="1"/>
  <c r="M101"/>
  <c r="O101" s="1"/>
  <c r="M102"/>
  <c r="O102" s="1"/>
  <c r="M104"/>
  <c r="O104" s="1"/>
  <c r="M105"/>
  <c r="O105" s="1"/>
  <c r="M106"/>
  <c r="O106" s="1"/>
  <c r="M107"/>
  <c r="O107" s="1"/>
  <c r="M108"/>
  <c r="O108" s="1"/>
  <c r="M109"/>
  <c r="O109" s="1"/>
  <c r="M110"/>
  <c r="O110" s="1"/>
  <c r="M111"/>
  <c r="O111" s="1"/>
  <c r="M112"/>
  <c r="O112" s="1"/>
  <c r="M113"/>
  <c r="O113" s="1"/>
  <c r="M114"/>
  <c r="O114" s="1"/>
  <c r="M115"/>
  <c r="O115" s="1"/>
  <c r="M116"/>
  <c r="O116" s="1"/>
  <c r="M117"/>
  <c r="O117" s="1"/>
  <c r="M118"/>
  <c r="O118" s="1"/>
  <c r="M119"/>
  <c r="O119" s="1"/>
  <c r="M120"/>
  <c r="O120" s="1"/>
  <c r="M121"/>
  <c r="O121" s="1"/>
  <c r="M122"/>
  <c r="O122" s="1"/>
  <c r="M123"/>
  <c r="O123" s="1"/>
  <c r="M124"/>
  <c r="O124" s="1"/>
  <c r="M125"/>
  <c r="O125" s="1"/>
  <c r="M126"/>
  <c r="O126" s="1"/>
  <c r="M127"/>
  <c r="O127" s="1"/>
  <c r="M128"/>
  <c r="O128" s="1"/>
  <c r="M129"/>
  <c r="O129" s="1"/>
  <c r="M130"/>
  <c r="O130" s="1"/>
  <c r="M131"/>
  <c r="O131" s="1"/>
  <c r="M132"/>
  <c r="O132" s="1"/>
  <c r="M133"/>
  <c r="O133" s="1"/>
  <c r="M134"/>
  <c r="O134" s="1"/>
  <c r="M135"/>
  <c r="O135" s="1"/>
  <c r="M136"/>
  <c r="O136" s="1"/>
  <c r="M137"/>
  <c r="O137" s="1"/>
  <c r="M138"/>
  <c r="O138" s="1"/>
  <c r="M139"/>
  <c r="O139" s="1"/>
  <c r="M140"/>
  <c r="O140" s="1"/>
  <c r="M141"/>
  <c r="O141" s="1"/>
  <c r="M142"/>
  <c r="O142" s="1"/>
  <c r="M143"/>
  <c r="M144"/>
  <c r="M145"/>
  <c r="M146"/>
  <c r="O146" s="1"/>
  <c r="M147"/>
  <c r="O147" s="1"/>
  <c r="M148"/>
  <c r="O148" s="1"/>
  <c r="M149"/>
  <c r="O149" s="1"/>
  <c r="M150"/>
  <c r="O150" s="1"/>
  <c r="M151"/>
  <c r="O151" s="1"/>
  <c r="M152"/>
  <c r="O152" s="1"/>
  <c r="M153"/>
  <c r="O153" s="1"/>
  <c r="M154"/>
  <c r="O154" s="1"/>
  <c r="M155"/>
  <c r="O155" s="1"/>
  <c r="M156"/>
  <c r="O156" s="1"/>
  <c r="M157"/>
  <c r="O157" s="1"/>
  <c r="M158"/>
  <c r="O158" s="1"/>
  <c r="M159"/>
  <c r="O159" s="1"/>
  <c r="M160"/>
  <c r="O160" s="1"/>
  <c r="M161"/>
  <c r="O161" s="1"/>
  <c r="M162"/>
  <c r="O162" s="1"/>
  <c r="M163"/>
  <c r="O163" s="1"/>
  <c r="M164"/>
  <c r="O164" s="1"/>
  <c r="M165"/>
  <c r="O165" s="1"/>
  <c r="M166"/>
  <c r="O166" s="1"/>
  <c r="M167"/>
  <c r="O167" s="1"/>
  <c r="M168"/>
  <c r="O168" s="1"/>
  <c r="M169"/>
  <c r="O169" s="1"/>
  <c r="M170"/>
  <c r="O170" s="1"/>
  <c r="M171"/>
  <c r="O171" s="1"/>
  <c r="M172"/>
  <c r="O172" s="1"/>
  <c r="M173"/>
  <c r="O173" s="1"/>
  <c r="M174"/>
  <c r="O174" s="1"/>
  <c r="M175"/>
  <c r="O175" s="1"/>
  <c r="M176"/>
  <c r="O176" s="1"/>
  <c r="M177"/>
  <c r="O177" s="1"/>
  <c r="M178"/>
  <c r="O178" s="1"/>
  <c r="M179"/>
  <c r="O179" s="1"/>
  <c r="M180"/>
  <c r="O180" s="1"/>
  <c r="M181"/>
  <c r="O181" s="1"/>
  <c r="M182"/>
  <c r="O182" s="1"/>
  <c r="M183"/>
  <c r="O183" s="1"/>
  <c r="M184"/>
  <c r="O184" s="1"/>
  <c r="M185"/>
  <c r="O185" s="1"/>
  <c r="M186"/>
  <c r="O186" s="1"/>
  <c r="M187"/>
  <c r="O187" s="1"/>
  <c r="M188"/>
  <c r="O188" s="1"/>
  <c r="M189"/>
  <c r="O189" s="1"/>
  <c r="M190"/>
  <c r="O190" s="1"/>
  <c r="M191"/>
  <c r="O191" s="1"/>
  <c r="M192"/>
  <c r="O192" s="1"/>
  <c r="M193"/>
  <c r="O193" s="1"/>
  <c r="M194"/>
  <c r="O194" s="1"/>
  <c r="M195"/>
  <c r="O195" s="1"/>
  <c r="M196"/>
  <c r="O196" s="1"/>
  <c r="M197"/>
  <c r="O197" s="1"/>
  <c r="M198"/>
  <c r="O198" s="1"/>
  <c r="M199"/>
  <c r="O199" s="1"/>
  <c r="M200"/>
  <c r="O200" s="1"/>
  <c r="M201"/>
  <c r="O201" s="1"/>
  <c r="M202"/>
  <c r="O202" s="1"/>
  <c r="M203"/>
  <c r="O203" s="1"/>
  <c r="M204"/>
  <c r="O204" s="1"/>
  <c r="M205"/>
  <c r="O205" s="1"/>
  <c r="M1056"/>
  <c r="O1056" s="1"/>
  <c r="M1057"/>
  <c r="O1057" s="1"/>
  <c r="M208"/>
  <c r="O208" s="1"/>
  <c r="M209"/>
  <c r="O209" s="1"/>
  <c r="M210"/>
  <c r="O210" s="1"/>
  <c r="M211"/>
  <c r="O211" s="1"/>
  <c r="M212"/>
  <c r="O212" s="1"/>
  <c r="M213"/>
  <c r="O213" s="1"/>
  <c r="M214"/>
  <c r="O214" s="1"/>
  <c r="M215"/>
  <c r="O215" s="1"/>
  <c r="M216"/>
  <c r="O216" s="1"/>
  <c r="M217"/>
  <c r="O217" s="1"/>
  <c r="M218"/>
  <c r="O218" s="1"/>
  <c r="M219"/>
  <c r="O219" s="1"/>
  <c r="M220"/>
  <c r="O220" s="1"/>
  <c r="M221"/>
  <c r="O221" s="1"/>
  <c r="M222"/>
  <c r="O222" s="1"/>
  <c r="M223"/>
  <c r="O223" s="1"/>
  <c r="M224"/>
  <c r="O224" s="1"/>
  <c r="M225"/>
  <c r="O225" s="1"/>
  <c r="M226"/>
  <c r="O226" s="1"/>
  <c r="M227"/>
  <c r="O227" s="1"/>
  <c r="M228"/>
  <c r="O228" s="1"/>
  <c r="M229"/>
  <c r="O229" s="1"/>
  <c r="M230"/>
  <c r="O230" s="1"/>
  <c r="M231"/>
  <c r="O231" s="1"/>
  <c r="M232"/>
  <c r="O232" s="1"/>
  <c r="M233"/>
  <c r="O233" s="1"/>
  <c r="M234"/>
  <c r="O234" s="1"/>
  <c r="M235"/>
  <c r="O235" s="1"/>
  <c r="M236"/>
  <c r="O236" s="1"/>
  <c r="M237"/>
  <c r="O237" s="1"/>
  <c r="M238"/>
  <c r="O238" s="1"/>
  <c r="M239"/>
  <c r="O239" s="1"/>
  <c r="M240"/>
  <c r="O240" s="1"/>
  <c r="M241"/>
  <c r="O241" s="1"/>
  <c r="M242"/>
  <c r="O242" s="1"/>
  <c r="M243"/>
  <c r="O243" s="1"/>
  <c r="M244"/>
  <c r="O244" s="1"/>
  <c r="M245"/>
  <c r="O245" s="1"/>
  <c r="M246"/>
  <c r="O246" s="1"/>
  <c r="M247"/>
  <c r="O247" s="1"/>
  <c r="M248"/>
  <c r="O248" s="1"/>
  <c r="M249"/>
  <c r="O249" s="1"/>
  <c r="M250"/>
  <c r="O250" s="1"/>
  <c r="M251"/>
  <c r="O251" s="1"/>
  <c r="M252"/>
  <c r="O252" s="1"/>
  <c r="M253"/>
  <c r="O253" s="1"/>
  <c r="M254"/>
  <c r="M255"/>
  <c r="O255" s="1"/>
  <c r="M256"/>
  <c r="O256" s="1"/>
  <c r="M257"/>
  <c r="O257" s="1"/>
  <c r="M258"/>
  <c r="O258" s="1"/>
  <c r="M259"/>
  <c r="O259" s="1"/>
  <c r="M260"/>
  <c r="O260" s="1"/>
  <c r="M261"/>
  <c r="O261" s="1"/>
  <c r="M262"/>
  <c r="O262" s="1"/>
  <c r="M263"/>
  <c r="O263" s="1"/>
  <c r="M264"/>
  <c r="O264" s="1"/>
  <c r="M265"/>
  <c r="O265" s="1"/>
  <c r="M266"/>
  <c r="O266" s="1"/>
  <c r="M267"/>
  <c r="O267" s="1"/>
  <c r="M268"/>
  <c r="O268" s="1"/>
  <c r="M269"/>
  <c r="O269" s="1"/>
  <c r="M270"/>
  <c r="O270" s="1"/>
  <c r="M271"/>
  <c r="O271" s="1"/>
  <c r="M272"/>
  <c r="O272" s="1"/>
  <c r="M273"/>
  <c r="O273" s="1"/>
  <c r="M274"/>
  <c r="O274" s="1"/>
  <c r="M275"/>
  <c r="O275" s="1"/>
  <c r="M276"/>
  <c r="O276" s="1"/>
  <c r="M277"/>
  <c r="O277" s="1"/>
  <c r="M278"/>
  <c r="O278" s="1"/>
  <c r="M279"/>
  <c r="O279" s="1"/>
  <c r="M280"/>
  <c r="O280" s="1"/>
  <c r="M281"/>
  <c r="O281" s="1"/>
  <c r="M282"/>
  <c r="O282" s="1"/>
  <c r="M283"/>
  <c r="O283" s="1"/>
  <c r="M284"/>
  <c r="O284" s="1"/>
  <c r="M285"/>
  <c r="O285" s="1"/>
  <c r="M286"/>
  <c r="O286" s="1"/>
  <c r="M287"/>
  <c r="O287" s="1"/>
  <c r="M288"/>
  <c r="O288" s="1"/>
  <c r="M289"/>
  <c r="O289" s="1"/>
  <c r="M290"/>
  <c r="O290" s="1"/>
  <c r="M291"/>
  <c r="O291" s="1"/>
  <c r="M292"/>
  <c r="O292" s="1"/>
  <c r="M293"/>
  <c r="O293" s="1"/>
  <c r="M294"/>
  <c r="O294" s="1"/>
  <c r="M295"/>
  <c r="O295" s="1"/>
  <c r="M296"/>
  <c r="O296" s="1"/>
  <c r="M297"/>
  <c r="O297" s="1"/>
  <c r="M298"/>
  <c r="O298" s="1"/>
  <c r="M299"/>
  <c r="O299" s="1"/>
  <c r="M300"/>
  <c r="O300" s="1"/>
  <c r="M301"/>
  <c r="O301" s="1"/>
  <c r="M302"/>
  <c r="O302" s="1"/>
  <c r="M303"/>
  <c r="O303" s="1"/>
  <c r="M304"/>
  <c r="O304" s="1"/>
  <c r="M305"/>
  <c r="O305" s="1"/>
  <c r="M306"/>
  <c r="O306" s="1"/>
  <c r="M307"/>
  <c r="O307" s="1"/>
  <c r="M308"/>
  <c r="M309"/>
  <c r="O309" s="1"/>
  <c r="M310"/>
  <c r="O310" s="1"/>
  <c r="M311"/>
  <c r="O311" s="1"/>
  <c r="M312"/>
  <c r="O312" s="1"/>
  <c r="M313"/>
  <c r="O313" s="1"/>
  <c r="M314"/>
  <c r="O314" s="1"/>
  <c r="M315"/>
  <c r="O315" s="1"/>
  <c r="M316"/>
  <c r="O316" s="1"/>
  <c r="M317"/>
  <c r="O317" s="1"/>
  <c r="M318"/>
  <c r="O318" s="1"/>
  <c r="M319"/>
  <c r="O319" s="1"/>
  <c r="M320"/>
  <c r="O320" s="1"/>
  <c r="M321"/>
  <c r="O321" s="1"/>
  <c r="M322"/>
  <c r="O322" s="1"/>
  <c r="M323"/>
  <c r="O323" s="1"/>
  <c r="M324"/>
  <c r="O324" s="1"/>
  <c r="M325"/>
  <c r="O325" s="1"/>
  <c r="M326"/>
  <c r="O326" s="1"/>
  <c r="M327"/>
  <c r="O327" s="1"/>
  <c r="M328"/>
  <c r="O328" s="1"/>
  <c r="M329"/>
  <c r="O329" s="1"/>
  <c r="M330"/>
  <c r="O330" s="1"/>
  <c r="M331"/>
  <c r="O331" s="1"/>
  <c r="M332"/>
  <c r="O332" s="1"/>
  <c r="M333"/>
  <c r="O333" s="1"/>
  <c r="M334"/>
  <c r="O334" s="1"/>
  <c r="M335"/>
  <c r="O335" s="1"/>
  <c r="M336"/>
  <c r="O336" s="1"/>
  <c r="M337"/>
  <c r="O337" s="1"/>
  <c r="M338"/>
  <c r="O338" s="1"/>
  <c r="M339"/>
  <c r="O339" s="1"/>
  <c r="M340"/>
  <c r="O340" s="1"/>
  <c r="M341"/>
  <c r="O341" s="1"/>
  <c r="M342"/>
  <c r="O342" s="1"/>
  <c r="M343"/>
  <c r="O343" s="1"/>
  <c r="M344"/>
  <c r="O344" s="1"/>
  <c r="M345"/>
  <c r="O345" s="1"/>
  <c r="M346"/>
  <c r="O346" s="1"/>
  <c r="M347"/>
  <c r="O347" s="1"/>
  <c r="M348"/>
  <c r="O348" s="1"/>
  <c r="M349"/>
  <c r="O349" s="1"/>
  <c r="M350"/>
  <c r="O350" s="1"/>
  <c r="M351"/>
  <c r="O351" s="1"/>
  <c r="M352"/>
  <c r="O352" s="1"/>
  <c r="M353"/>
  <c r="O353" s="1"/>
  <c r="M354"/>
  <c r="O354" s="1"/>
  <c r="M355"/>
  <c r="O355" s="1"/>
  <c r="M356"/>
  <c r="O356" s="1"/>
  <c r="M357"/>
  <c r="O357" s="1"/>
  <c r="M358"/>
  <c r="O358" s="1"/>
  <c r="M359"/>
  <c r="O359" s="1"/>
  <c r="M360"/>
  <c r="O360" s="1"/>
  <c r="M361"/>
  <c r="O361" s="1"/>
  <c r="M362"/>
  <c r="O362" s="1"/>
  <c r="M363"/>
  <c r="O363" s="1"/>
  <c r="M364"/>
  <c r="O364" s="1"/>
  <c r="M365"/>
  <c r="O365" s="1"/>
  <c r="M366"/>
  <c r="O366" s="1"/>
  <c r="M367"/>
  <c r="O367" s="1"/>
  <c r="M368"/>
  <c r="O368" s="1"/>
  <c r="M369"/>
  <c r="O369" s="1"/>
  <c r="M370"/>
  <c r="O370" s="1"/>
  <c r="M371"/>
  <c r="O371" s="1"/>
  <c r="M372"/>
  <c r="O372" s="1"/>
  <c r="M373"/>
  <c r="O373" s="1"/>
  <c r="M374"/>
  <c r="O374" s="1"/>
  <c r="M375"/>
  <c r="O375" s="1"/>
  <c r="M376"/>
  <c r="O376" s="1"/>
  <c r="M377"/>
  <c r="O377" s="1"/>
  <c r="M378"/>
  <c r="O378" s="1"/>
  <c r="M379"/>
  <c r="O379" s="1"/>
  <c r="M380"/>
  <c r="O380" s="1"/>
  <c r="M381"/>
  <c r="O381" s="1"/>
  <c r="M382"/>
  <c r="O382" s="1"/>
  <c r="M383"/>
  <c r="O383" s="1"/>
  <c r="M384"/>
  <c r="O384" s="1"/>
  <c r="M385"/>
  <c r="O385" s="1"/>
  <c r="M386"/>
  <c r="O386" s="1"/>
  <c r="M387"/>
  <c r="O387" s="1"/>
  <c r="M388"/>
  <c r="O388" s="1"/>
  <c r="M389"/>
  <c r="O389" s="1"/>
  <c r="M390"/>
  <c r="O390" s="1"/>
  <c r="M391"/>
  <c r="O391" s="1"/>
  <c r="M392"/>
  <c r="O392" s="1"/>
  <c r="M393"/>
  <c r="O393" s="1"/>
  <c r="M394"/>
  <c r="O394" s="1"/>
  <c r="M395"/>
  <c r="O395" s="1"/>
  <c r="M396"/>
  <c r="O396" s="1"/>
  <c r="M397"/>
  <c r="O397" s="1"/>
  <c r="M398"/>
  <c r="O398" s="1"/>
  <c r="M399"/>
  <c r="O399" s="1"/>
  <c r="M400"/>
  <c r="O400" s="1"/>
  <c r="M401"/>
  <c r="O401" s="1"/>
  <c r="M402"/>
  <c r="O402" s="1"/>
  <c r="M403"/>
  <c r="O403" s="1"/>
  <c r="M404"/>
  <c r="O404" s="1"/>
  <c r="M405"/>
  <c r="O405" s="1"/>
  <c r="M406"/>
  <c r="O406" s="1"/>
  <c r="M407"/>
  <c r="O407" s="1"/>
  <c r="M408"/>
  <c r="O408" s="1"/>
  <c r="M409"/>
  <c r="O409" s="1"/>
  <c r="M410"/>
  <c r="O410" s="1"/>
  <c r="M411"/>
  <c r="O411" s="1"/>
  <c r="M412"/>
  <c r="O412" s="1"/>
  <c r="M413"/>
  <c r="O413" s="1"/>
  <c r="M414"/>
  <c r="O414" s="1"/>
  <c r="M415"/>
  <c r="O415" s="1"/>
  <c r="M416"/>
  <c r="O416" s="1"/>
  <c r="M417"/>
  <c r="O417" s="1"/>
  <c r="M418"/>
  <c r="O418" s="1"/>
  <c r="M419"/>
  <c r="O419" s="1"/>
  <c r="M420"/>
  <c r="O420" s="1"/>
  <c r="M421"/>
  <c r="O421" s="1"/>
  <c r="M422"/>
  <c r="O422" s="1"/>
  <c r="M423"/>
  <c r="O423" s="1"/>
  <c r="M424"/>
  <c r="O424" s="1"/>
  <c r="M425"/>
  <c r="O425" s="1"/>
  <c r="M426"/>
  <c r="O426" s="1"/>
  <c r="M427"/>
  <c r="O427" s="1"/>
  <c r="M428"/>
  <c r="O428" s="1"/>
  <c r="M429"/>
  <c r="O429" s="1"/>
  <c r="M430"/>
  <c r="O430" s="1"/>
  <c r="M431"/>
  <c r="O431" s="1"/>
  <c r="M432"/>
  <c r="O432" s="1"/>
  <c r="M433"/>
  <c r="O433" s="1"/>
  <c r="M434"/>
  <c r="O434" s="1"/>
  <c r="M435"/>
  <c r="O435" s="1"/>
  <c r="M436"/>
  <c r="O436" s="1"/>
  <c r="M437"/>
  <c r="O437" s="1"/>
  <c r="M438"/>
  <c r="O438" s="1"/>
  <c r="M439"/>
  <c r="O439" s="1"/>
  <c r="M440"/>
  <c r="O440" s="1"/>
  <c r="M441"/>
  <c r="O441" s="1"/>
  <c r="M442"/>
  <c r="O442" s="1"/>
  <c r="M443"/>
  <c r="O443" s="1"/>
  <c r="M444"/>
  <c r="O444" s="1"/>
  <c r="M445"/>
  <c r="O445" s="1"/>
  <c r="M446"/>
  <c r="O446" s="1"/>
  <c r="M447"/>
  <c r="O447" s="1"/>
  <c r="M448"/>
  <c r="O448" s="1"/>
  <c r="M449"/>
  <c r="O449" s="1"/>
  <c r="M450"/>
  <c r="O450" s="1"/>
  <c r="M451"/>
  <c r="O451" s="1"/>
  <c r="M452"/>
  <c r="O452" s="1"/>
  <c r="M453"/>
  <c r="O453" s="1"/>
  <c r="M454"/>
  <c r="O454" s="1"/>
  <c r="M455"/>
  <c r="O455" s="1"/>
  <c r="M456"/>
  <c r="O456" s="1"/>
  <c r="M457"/>
  <c r="O457" s="1"/>
  <c r="M37"/>
  <c r="O37" s="1"/>
  <c r="M458"/>
  <c r="O458" s="1"/>
  <c r="M459"/>
  <c r="O459" s="1"/>
  <c r="M461"/>
  <c r="O461" s="1"/>
  <c r="M462"/>
  <c r="O462" s="1"/>
  <c r="M463"/>
  <c r="O463" s="1"/>
  <c r="M464"/>
  <c r="O464" s="1"/>
  <c r="M465"/>
  <c r="O465" s="1"/>
  <c r="M466"/>
  <c r="O466" s="1"/>
  <c r="M467"/>
  <c r="O467" s="1"/>
  <c r="M468"/>
  <c r="O468" s="1"/>
  <c r="M469"/>
  <c r="O469" s="1"/>
  <c r="M470"/>
  <c r="O470" s="1"/>
  <c r="M471"/>
  <c r="O471" s="1"/>
  <c r="M472"/>
  <c r="O472" s="1"/>
  <c r="M473"/>
  <c r="O473" s="1"/>
  <c r="M474"/>
  <c r="O474" s="1"/>
  <c r="M475"/>
  <c r="O475" s="1"/>
  <c r="M476"/>
  <c r="O476" s="1"/>
  <c r="M477"/>
  <c r="O477" s="1"/>
  <c r="M478"/>
  <c r="O478" s="1"/>
  <c r="M479"/>
  <c r="O479" s="1"/>
  <c r="M480"/>
  <c r="O480" s="1"/>
  <c r="M481"/>
  <c r="O481" s="1"/>
  <c r="M482"/>
  <c r="O482" s="1"/>
  <c r="M483"/>
  <c r="O483" s="1"/>
  <c r="M484"/>
  <c r="O484" s="1"/>
  <c r="M485"/>
  <c r="O485" s="1"/>
  <c r="M486"/>
  <c r="O486" s="1"/>
  <c r="M487"/>
  <c r="O487" s="1"/>
  <c r="M488"/>
  <c r="O488" s="1"/>
  <c r="M489"/>
  <c r="O489" s="1"/>
  <c r="M490"/>
  <c r="O490" s="1"/>
  <c r="M491"/>
  <c r="O491" s="1"/>
  <c r="M492"/>
  <c r="M493"/>
  <c r="M689"/>
  <c r="M495"/>
  <c r="O495" s="1"/>
  <c r="M496"/>
  <c r="O496" s="1"/>
  <c r="M497"/>
  <c r="O497" s="1"/>
  <c r="M498"/>
  <c r="O498" s="1"/>
  <c r="M499"/>
  <c r="O499" s="1"/>
  <c r="M500"/>
  <c r="O500" s="1"/>
  <c r="M501"/>
  <c r="O501" s="1"/>
  <c r="M502"/>
  <c r="O502" s="1"/>
  <c r="M503"/>
  <c r="O503" s="1"/>
  <c r="M504"/>
  <c r="O504" s="1"/>
  <c r="M505"/>
  <c r="O505" s="1"/>
  <c r="M506"/>
  <c r="O506" s="1"/>
  <c r="M507"/>
  <c r="O507" s="1"/>
  <c r="M508"/>
  <c r="O508" s="1"/>
  <c r="M509"/>
  <c r="O509" s="1"/>
  <c r="M510"/>
  <c r="O510" s="1"/>
  <c r="M511"/>
  <c r="O511" s="1"/>
  <c r="M512"/>
  <c r="O512" s="1"/>
  <c r="M513"/>
  <c r="O513" s="1"/>
  <c r="M514"/>
  <c r="O514" s="1"/>
  <c r="M515"/>
  <c r="O515" s="1"/>
  <c r="M460"/>
  <c r="M516"/>
  <c r="O516" s="1"/>
  <c r="M517"/>
  <c r="M518"/>
  <c r="O518" s="1"/>
  <c r="M519"/>
  <c r="O519" s="1"/>
  <c r="M520"/>
  <c r="M522"/>
  <c r="M523"/>
  <c r="M524"/>
  <c r="M525"/>
  <c r="O525" s="1"/>
  <c r="M526"/>
  <c r="M527"/>
  <c r="O527" s="1"/>
  <c r="M528"/>
  <c r="M529"/>
  <c r="O529" s="1"/>
  <c r="M530"/>
  <c r="M531"/>
  <c r="O531" s="1"/>
  <c r="M532"/>
  <c r="O532" s="1"/>
  <c r="M533"/>
  <c r="O533" s="1"/>
  <c r="M534"/>
  <c r="O534" s="1"/>
  <c r="M535"/>
  <c r="O535" s="1"/>
  <c r="M536"/>
  <c r="O536" s="1"/>
  <c r="M537"/>
  <c r="M538"/>
  <c r="M539"/>
  <c r="M540"/>
  <c r="M541"/>
  <c r="M542"/>
  <c r="M576"/>
  <c r="M581"/>
  <c r="M577"/>
  <c r="M582"/>
  <c r="M578"/>
  <c r="O578" s="1"/>
  <c r="M583"/>
  <c r="O583" s="1"/>
  <c r="M579"/>
  <c r="M584"/>
  <c r="M580"/>
  <c r="M585"/>
  <c r="M543"/>
  <c r="O543" s="1"/>
  <c r="M544"/>
  <c r="O544" s="1"/>
  <c r="M545"/>
  <c r="O545" s="1"/>
  <c r="M546"/>
  <c r="O546" s="1"/>
  <c r="M548"/>
  <c r="O548" s="1"/>
  <c r="M549"/>
  <c r="O549" s="1"/>
  <c r="M550"/>
  <c r="O550" s="1"/>
  <c r="M551"/>
  <c r="O551" s="1"/>
  <c r="M552"/>
  <c r="O552" s="1"/>
  <c r="M553"/>
  <c r="O553" s="1"/>
  <c r="M554"/>
  <c r="O554" s="1"/>
  <c r="M555"/>
  <c r="O555" s="1"/>
  <c r="M556"/>
  <c r="M557"/>
  <c r="O557" s="1"/>
  <c r="M558"/>
  <c r="O558" s="1"/>
  <c r="M559"/>
  <c r="O559" s="1"/>
  <c r="M560"/>
  <c r="O560" s="1"/>
  <c r="M561"/>
  <c r="O561" s="1"/>
  <c r="M562"/>
  <c r="O562" s="1"/>
  <c r="M563"/>
  <c r="O563" s="1"/>
  <c r="M564"/>
  <c r="O564" s="1"/>
  <c r="M565"/>
  <c r="O565" s="1"/>
  <c r="M566"/>
  <c r="M567"/>
  <c r="O567" s="1"/>
  <c r="M568"/>
  <c r="O568" s="1"/>
  <c r="M569"/>
  <c r="O569" s="1"/>
  <c r="M570"/>
  <c r="O570" s="1"/>
  <c r="M571"/>
  <c r="O571" s="1"/>
  <c r="M572"/>
  <c r="O572" s="1"/>
  <c r="M573"/>
  <c r="O573" s="1"/>
  <c r="M574"/>
  <c r="O574" s="1"/>
  <c r="M575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80"/>
  <c r="J585"/>
  <c r="J579"/>
  <c r="J584"/>
  <c r="J578"/>
  <c r="J583"/>
  <c r="J577"/>
  <c r="J582"/>
  <c r="J581"/>
  <c r="J576"/>
  <c r="J519"/>
  <c r="J520"/>
  <c r="J518"/>
  <c r="J540"/>
  <c r="J541"/>
  <c r="J542"/>
  <c r="J537"/>
  <c r="J538"/>
  <c r="J539"/>
  <c r="J532"/>
  <c r="J534"/>
  <c r="J536"/>
  <c r="J531"/>
  <c r="J533"/>
  <c r="J535"/>
  <c r="J526"/>
  <c r="J528"/>
  <c r="J530"/>
  <c r="J525"/>
  <c r="J527"/>
  <c r="J529"/>
  <c r="J517"/>
  <c r="J516"/>
  <c r="J459"/>
  <c r="J458"/>
  <c r="J460"/>
  <c r="J37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521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1056"/>
  <c r="J105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522"/>
  <c r="J523"/>
  <c r="J524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689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B4" i="15"/>
  <c r="C4"/>
  <c r="D4"/>
  <c r="L4"/>
  <c r="M4"/>
  <c r="N4"/>
  <c r="C321" i="1"/>
  <c r="R321"/>
  <c r="T321"/>
  <c r="V321"/>
  <c r="X321"/>
  <c r="Z321"/>
  <c r="AA321"/>
  <c r="AB321"/>
  <c r="AC321"/>
  <c r="V2"/>
  <c r="V308"/>
  <c r="V357"/>
  <c r="V428"/>
  <c r="V3"/>
  <c r="V4"/>
  <c r="V248"/>
  <c r="V162"/>
  <c r="V229"/>
  <c r="V30"/>
  <c r="V31"/>
  <c r="V272"/>
  <c r="V395"/>
  <c r="V399"/>
  <c r="V464"/>
  <c r="V244"/>
  <c r="V307"/>
  <c r="V320"/>
  <c r="V375"/>
  <c r="V372"/>
  <c r="V32"/>
  <c r="V33"/>
  <c r="V328"/>
  <c r="V381"/>
  <c r="V425"/>
  <c r="V341"/>
  <c r="V148"/>
  <c r="V135"/>
  <c r="V221"/>
  <c r="V90"/>
  <c r="V512"/>
  <c r="V5"/>
  <c r="V283"/>
  <c r="V85"/>
  <c r="V99"/>
  <c r="V441"/>
  <c r="V436"/>
  <c r="V211"/>
  <c r="V413"/>
  <c r="V481"/>
  <c r="V473"/>
  <c r="V290"/>
  <c r="V93"/>
  <c r="V91"/>
  <c r="V260"/>
  <c r="V477"/>
  <c r="V476"/>
  <c r="V253"/>
  <c r="V249"/>
  <c r="V289"/>
  <c r="V132"/>
  <c r="V314"/>
  <c r="V240"/>
  <c r="V118"/>
  <c r="V77"/>
  <c r="V520"/>
  <c r="V107"/>
  <c r="V114"/>
  <c r="V420"/>
  <c r="V433"/>
  <c r="V6"/>
  <c r="V236"/>
  <c r="V210"/>
  <c r="V7"/>
  <c r="V8"/>
  <c r="V351"/>
  <c r="V390"/>
  <c r="V478"/>
  <c r="V189"/>
  <c r="V190"/>
  <c r="V191"/>
  <c r="V176"/>
  <c r="V233"/>
  <c r="V181"/>
  <c r="V184"/>
  <c r="V347"/>
  <c r="V234"/>
  <c r="V230"/>
  <c r="V325"/>
  <c r="V355"/>
  <c r="V295"/>
  <c r="V382"/>
  <c r="V362"/>
  <c r="V319"/>
  <c r="V315"/>
  <c r="V313"/>
  <c r="V276"/>
  <c r="V430"/>
  <c r="V438"/>
  <c r="V419"/>
  <c r="V109"/>
  <c r="V115"/>
  <c r="V298"/>
  <c r="V513"/>
  <c r="V519"/>
  <c r="V9"/>
  <c r="V155"/>
  <c r="V154"/>
  <c r="V202"/>
  <c r="V10"/>
  <c r="V122"/>
  <c r="V57"/>
  <c r="V58"/>
  <c r="V68"/>
  <c r="V65"/>
  <c r="V387"/>
  <c r="V360"/>
  <c r="V117"/>
  <c r="V337"/>
  <c r="V402"/>
  <c r="V369"/>
  <c r="V292"/>
  <c r="V301"/>
  <c r="V434"/>
  <c r="V457"/>
  <c r="V34"/>
  <c r="V119"/>
  <c r="V140"/>
  <c r="V508"/>
  <c r="V125"/>
  <c r="V120"/>
  <c r="V106"/>
  <c r="V94"/>
  <c r="V415"/>
  <c r="V377"/>
  <c r="V379"/>
  <c r="V383"/>
  <c r="V407"/>
  <c r="V408"/>
  <c r="V490"/>
  <c r="V489"/>
  <c r="V359"/>
  <c r="V370"/>
  <c r="V500"/>
  <c r="V103"/>
  <c r="V336"/>
  <c r="V11"/>
  <c r="V169"/>
  <c r="V470"/>
  <c r="V350"/>
  <c r="V174"/>
  <c r="V330"/>
  <c r="V486"/>
  <c r="V468"/>
  <c r="V463"/>
  <c r="V12"/>
  <c r="V518"/>
  <c r="V364"/>
  <c r="V391"/>
  <c r="V446"/>
  <c r="V427"/>
  <c r="V175"/>
  <c r="V353"/>
  <c r="V201"/>
  <c r="V188"/>
  <c r="V405"/>
  <c r="V447"/>
  <c r="V448"/>
  <c r="V460"/>
  <c r="V462"/>
  <c r="V288"/>
  <c r="V278"/>
  <c r="V294"/>
  <c r="V282"/>
  <c r="V385"/>
  <c r="V231"/>
  <c r="V179"/>
  <c r="V421"/>
  <c r="V141"/>
  <c r="V102"/>
  <c r="V153"/>
  <c r="V157"/>
  <c r="V212"/>
  <c r="V232"/>
  <c r="V13"/>
  <c r="V339"/>
  <c r="V322"/>
  <c r="V332"/>
  <c r="V14"/>
  <c r="V271"/>
  <c r="V491"/>
  <c r="V263"/>
  <c r="V286"/>
  <c r="V304"/>
  <c r="V216"/>
  <c r="V228"/>
  <c r="V222"/>
  <c r="V86"/>
  <c r="V15"/>
  <c r="V303"/>
  <c r="V439"/>
  <c r="V195"/>
  <c r="V440"/>
  <c r="V417"/>
  <c r="V251"/>
  <c r="V254"/>
  <c r="V324"/>
  <c r="V456"/>
  <c r="V487"/>
  <c r="V128"/>
  <c r="V139"/>
  <c r="V403"/>
  <c r="V365"/>
  <c r="V280"/>
  <c r="V284"/>
  <c r="V225"/>
  <c r="V410"/>
  <c r="V287"/>
  <c r="V345"/>
  <c r="V261"/>
  <c r="V42"/>
  <c r="V227"/>
  <c r="V398"/>
  <c r="V281"/>
  <c r="V142"/>
  <c r="V302"/>
  <c r="V161"/>
  <c r="V147"/>
  <c r="V348"/>
  <c r="V43"/>
  <c r="V44"/>
  <c r="V393"/>
  <c r="V214"/>
  <c r="V78"/>
  <c r="V273"/>
  <c r="V246"/>
  <c r="V219"/>
  <c r="V242"/>
  <c r="V426"/>
  <c r="V503"/>
  <c r="V424"/>
  <c r="V388"/>
  <c r="V305"/>
  <c r="V16"/>
  <c r="V416"/>
  <c r="V146"/>
  <c r="V130"/>
  <c r="V392"/>
  <c r="V205"/>
  <c r="V143"/>
  <c r="V498"/>
  <c r="V493"/>
  <c r="V343"/>
  <c r="V366"/>
  <c r="V397"/>
  <c r="V311"/>
  <c r="V340"/>
  <c r="V334"/>
  <c r="V371"/>
  <c r="V17"/>
  <c r="V299"/>
  <c r="V318"/>
  <c r="V96"/>
  <c r="V18"/>
  <c r="V257"/>
  <c r="V69"/>
  <c r="V70"/>
  <c r="V509"/>
  <c r="V504"/>
  <c r="V149"/>
  <c r="V129"/>
  <c r="V333"/>
  <c r="V19"/>
  <c r="V338"/>
  <c r="V20"/>
  <c r="V101"/>
  <c r="V84"/>
  <c r="V431"/>
  <c r="V352"/>
  <c r="V138"/>
  <c r="V238"/>
  <c r="V206"/>
  <c r="V217"/>
  <c r="V400"/>
  <c r="V196"/>
  <c r="V163"/>
  <c r="V178"/>
  <c r="V123"/>
  <c r="V104"/>
  <c r="V354"/>
  <c r="V111"/>
  <c r="V105"/>
  <c r="V73"/>
  <c r="V389"/>
  <c r="V275"/>
  <c r="V266"/>
  <c r="V442"/>
  <c r="V451"/>
  <c r="V81"/>
  <c r="V72"/>
  <c r="V255"/>
  <c r="V224"/>
  <c r="V200"/>
  <c r="V367"/>
  <c r="V380"/>
  <c r="V335"/>
  <c r="V467"/>
  <c r="V494"/>
  <c r="V310"/>
  <c r="V309"/>
  <c r="V329"/>
  <c r="V349"/>
  <c r="V185"/>
  <c r="V409"/>
  <c r="V150"/>
  <c r="V151"/>
  <c r="V21"/>
  <c r="V499"/>
  <c r="V363"/>
  <c r="V484"/>
  <c r="V488"/>
  <c r="V165"/>
  <c r="V166"/>
  <c r="V235"/>
  <c r="V116"/>
  <c r="V268"/>
  <c r="V327"/>
  <c r="V495"/>
  <c r="V485"/>
  <c r="V452"/>
  <c r="V213"/>
  <c r="V505"/>
  <c r="V22"/>
  <c r="V297"/>
  <c r="V316"/>
  <c r="V506"/>
  <c r="V269"/>
  <c r="V418"/>
  <c r="V97"/>
  <c r="V237"/>
  <c r="V423"/>
  <c r="V145"/>
  <c r="V137"/>
  <c r="V164"/>
  <c r="V279"/>
  <c r="V61"/>
  <c r="V514"/>
  <c r="V193"/>
  <c r="V247"/>
  <c r="V435"/>
  <c r="V432"/>
  <c r="V95"/>
  <c r="V66"/>
  <c r="V496"/>
  <c r="V361"/>
  <c r="V483"/>
  <c r="V23"/>
  <c r="V197"/>
  <c r="V133"/>
  <c r="V412"/>
  <c r="V24"/>
  <c r="V346"/>
  <c r="V465"/>
  <c r="V443"/>
  <c r="V437"/>
  <c r="V136"/>
  <c r="V274"/>
  <c r="V25"/>
  <c r="V186"/>
  <c r="V180"/>
  <c r="V26"/>
  <c r="V471"/>
  <c r="V394"/>
  <c r="V502"/>
  <c r="V511"/>
  <c r="V126"/>
  <c r="V449"/>
  <c r="V450"/>
  <c r="V326"/>
  <c r="V331"/>
  <c r="V376"/>
  <c r="V27"/>
  <c r="V256"/>
  <c r="V89"/>
  <c r="V172"/>
  <c r="V516"/>
  <c r="V515"/>
  <c r="V204"/>
  <c r="V209"/>
  <c r="V160"/>
  <c r="V28"/>
  <c r="V296"/>
  <c r="V259"/>
  <c r="V459"/>
  <c r="V203"/>
  <c r="V156"/>
  <c r="V127"/>
  <c r="V29"/>
  <c r="V497"/>
  <c r="V267"/>
  <c r="V401"/>
  <c r="V373"/>
  <c r="V177"/>
  <c r="V182"/>
  <c r="V252"/>
  <c r="V262"/>
  <c r="V62"/>
  <c r="V59"/>
  <c r="V291"/>
  <c r="V218"/>
  <c r="V110"/>
  <c r="V112"/>
  <c r="V454"/>
  <c r="V63"/>
  <c r="V74"/>
  <c r="V472"/>
  <c r="V517"/>
  <c r="V45"/>
  <c r="V220"/>
  <c r="V173"/>
  <c r="V223"/>
  <c r="V158"/>
  <c r="V82"/>
  <c r="V83"/>
  <c r="V134"/>
  <c r="V35"/>
  <c r="V445"/>
  <c r="V317"/>
  <c r="V67"/>
  <c r="V71"/>
  <c r="V265"/>
  <c r="V226"/>
  <c r="V404"/>
  <c r="V466"/>
  <c r="V36"/>
  <c r="V167"/>
  <c r="V501"/>
  <c r="V507"/>
  <c r="V215"/>
  <c r="V100"/>
  <c r="V131"/>
  <c r="V207"/>
  <c r="V37"/>
  <c r="V293"/>
  <c r="V368"/>
  <c r="V414"/>
  <c r="V396"/>
  <c r="V444"/>
  <c r="V300"/>
  <c r="V152"/>
  <c r="V113"/>
  <c r="V170"/>
  <c r="V475"/>
  <c r="V474"/>
  <c r="V479"/>
  <c r="V88"/>
  <c r="V92"/>
  <c r="V87"/>
  <c r="V378"/>
  <c r="V356"/>
  <c r="V38"/>
  <c r="V39"/>
  <c r="V342"/>
  <c r="V40"/>
  <c r="V41"/>
  <c r="V124"/>
  <c r="V121"/>
  <c r="V198"/>
  <c r="V277"/>
  <c r="V258"/>
  <c r="V386"/>
  <c r="V49"/>
  <c r="V50"/>
  <c r="V458"/>
  <c r="V64"/>
  <c r="V60"/>
  <c r="V250"/>
  <c r="V344"/>
  <c r="V208"/>
  <c r="V159"/>
  <c r="V183"/>
  <c r="V46"/>
  <c r="V98"/>
  <c r="V47"/>
  <c r="V108"/>
  <c r="V144"/>
  <c r="V374"/>
  <c r="V75"/>
  <c r="V79"/>
  <c r="V80"/>
  <c r="V312"/>
  <c r="V48"/>
  <c r="V510"/>
  <c r="V461"/>
  <c r="V55"/>
  <c r="V56"/>
  <c r="V264"/>
  <c r="V187"/>
  <c r="V482"/>
  <c r="V411"/>
  <c r="V323"/>
  <c r="V358"/>
  <c r="V199"/>
  <c r="V492"/>
  <c r="V241"/>
  <c r="V384"/>
  <c r="V245"/>
  <c r="V270"/>
  <c r="V285"/>
  <c r="V306"/>
  <c r="V168"/>
  <c r="V51"/>
  <c r="V429"/>
  <c r="V243"/>
  <c r="V76"/>
  <c r="V469"/>
  <c r="V480"/>
  <c r="V455"/>
  <c r="V171"/>
  <c r="V52"/>
  <c r="V53"/>
  <c r="V406"/>
  <c r="V239"/>
  <c r="V54"/>
  <c r="V453"/>
  <c r="V192"/>
  <c r="V194"/>
  <c r="V422"/>
  <c r="R2"/>
  <c r="X2" s="1"/>
  <c r="R308"/>
  <c r="X308" s="1"/>
  <c r="R357"/>
  <c r="X357" s="1"/>
  <c r="R428"/>
  <c r="X428" s="1"/>
  <c r="R3"/>
  <c r="X3" s="1"/>
  <c r="R4"/>
  <c r="X4" s="1"/>
  <c r="R248"/>
  <c r="X248" s="1"/>
  <c r="R162"/>
  <c r="X162" s="1"/>
  <c r="R229"/>
  <c r="X229" s="1"/>
  <c r="R30"/>
  <c r="X30" s="1"/>
  <c r="R31"/>
  <c r="X31" s="1"/>
  <c r="R272"/>
  <c r="X272" s="1"/>
  <c r="R395"/>
  <c r="X395" s="1"/>
  <c r="R399"/>
  <c r="X399" s="1"/>
  <c r="R464"/>
  <c r="X464" s="1"/>
  <c r="R244"/>
  <c r="X244" s="1"/>
  <c r="R307"/>
  <c r="X307" s="1"/>
  <c r="R320"/>
  <c r="X320" s="1"/>
  <c r="R375"/>
  <c r="X375" s="1"/>
  <c r="R372"/>
  <c r="X372" s="1"/>
  <c r="R32"/>
  <c r="X32" s="1"/>
  <c r="R33"/>
  <c r="X33" s="1"/>
  <c r="R328"/>
  <c r="X328" s="1"/>
  <c r="R381"/>
  <c r="X381" s="1"/>
  <c r="R425"/>
  <c r="X425" s="1"/>
  <c r="R341"/>
  <c r="X341" s="1"/>
  <c r="R148"/>
  <c r="X148" s="1"/>
  <c r="R135"/>
  <c r="X135" s="1"/>
  <c r="R221"/>
  <c r="X221" s="1"/>
  <c r="R90"/>
  <c r="X90" s="1"/>
  <c r="R512"/>
  <c r="X512" s="1"/>
  <c r="R5"/>
  <c r="X5" s="1"/>
  <c r="R283"/>
  <c r="X283" s="1"/>
  <c r="R85"/>
  <c r="X85" s="1"/>
  <c r="R99"/>
  <c r="X99" s="1"/>
  <c r="R441"/>
  <c r="X441" s="1"/>
  <c r="R436"/>
  <c r="X436" s="1"/>
  <c r="R211"/>
  <c r="X211" s="1"/>
  <c r="R413"/>
  <c r="X413" s="1"/>
  <c r="R481"/>
  <c r="X481" s="1"/>
  <c r="R473"/>
  <c r="X473" s="1"/>
  <c r="R290"/>
  <c r="X290" s="1"/>
  <c r="R93"/>
  <c r="X93" s="1"/>
  <c r="R91"/>
  <c r="X91" s="1"/>
  <c r="R260"/>
  <c r="X260" s="1"/>
  <c r="R477"/>
  <c r="X477" s="1"/>
  <c r="R476"/>
  <c r="X476" s="1"/>
  <c r="R253"/>
  <c r="X253" s="1"/>
  <c r="R249"/>
  <c r="X249" s="1"/>
  <c r="R289"/>
  <c r="X289" s="1"/>
  <c r="R132"/>
  <c r="X132" s="1"/>
  <c r="R314"/>
  <c r="X314" s="1"/>
  <c r="R240"/>
  <c r="X240" s="1"/>
  <c r="R118"/>
  <c r="X118" s="1"/>
  <c r="R103"/>
  <c r="X103" s="1"/>
  <c r="R520"/>
  <c r="X520" s="1"/>
  <c r="R107"/>
  <c r="X107" s="1"/>
  <c r="R114"/>
  <c r="X114" s="1"/>
  <c r="R420"/>
  <c r="X420" s="1"/>
  <c r="R433"/>
  <c r="X433" s="1"/>
  <c r="R6"/>
  <c r="X6" s="1"/>
  <c r="R236"/>
  <c r="X236" s="1"/>
  <c r="R210"/>
  <c r="X210" s="1"/>
  <c r="R7"/>
  <c r="X7" s="1"/>
  <c r="R8"/>
  <c r="X8" s="1"/>
  <c r="R351"/>
  <c r="X351" s="1"/>
  <c r="R390"/>
  <c r="X390" s="1"/>
  <c r="R478"/>
  <c r="X478" s="1"/>
  <c r="R402"/>
  <c r="X402" s="1"/>
  <c r="R190"/>
  <c r="X190" s="1"/>
  <c r="R191"/>
  <c r="X191" s="1"/>
  <c r="R446"/>
  <c r="X446" s="1"/>
  <c r="R233"/>
  <c r="X233" s="1"/>
  <c r="R407"/>
  <c r="X407" s="1"/>
  <c r="R181"/>
  <c r="X181" s="1"/>
  <c r="R347"/>
  <c r="X347" s="1"/>
  <c r="R234"/>
  <c r="X234" s="1"/>
  <c r="R330"/>
  <c r="X330" s="1"/>
  <c r="R325"/>
  <c r="X325" s="1"/>
  <c r="R355"/>
  <c r="X355" s="1"/>
  <c r="R333"/>
  <c r="X333" s="1"/>
  <c r="R382"/>
  <c r="X382" s="1"/>
  <c r="R362"/>
  <c r="X362" s="1"/>
  <c r="R319"/>
  <c r="X319" s="1"/>
  <c r="R223"/>
  <c r="X223" s="1"/>
  <c r="R313"/>
  <c r="X313" s="1"/>
  <c r="R276"/>
  <c r="X276" s="1"/>
  <c r="R430"/>
  <c r="X430" s="1"/>
  <c r="R438"/>
  <c r="X438" s="1"/>
  <c r="R419"/>
  <c r="X419" s="1"/>
  <c r="R109"/>
  <c r="X109" s="1"/>
  <c r="R115"/>
  <c r="X115" s="1"/>
  <c r="R298"/>
  <c r="X298" s="1"/>
  <c r="R188"/>
  <c r="X188" s="1"/>
  <c r="R513"/>
  <c r="X513" s="1"/>
  <c r="R519"/>
  <c r="X519" s="1"/>
  <c r="R9"/>
  <c r="X9" s="1"/>
  <c r="R155"/>
  <c r="X155" s="1"/>
  <c r="R154"/>
  <c r="X154" s="1"/>
  <c r="R202"/>
  <c r="X202" s="1"/>
  <c r="R10"/>
  <c r="X10" s="1"/>
  <c r="R122"/>
  <c r="X122" s="1"/>
  <c r="R57"/>
  <c r="X57" s="1"/>
  <c r="R58"/>
  <c r="X58" s="1"/>
  <c r="R68"/>
  <c r="X68" s="1"/>
  <c r="R65"/>
  <c r="X65" s="1"/>
  <c r="R387"/>
  <c r="X387" s="1"/>
  <c r="R360"/>
  <c r="X360" s="1"/>
  <c r="R117"/>
  <c r="X117" s="1"/>
  <c r="R337"/>
  <c r="X337" s="1"/>
  <c r="R189"/>
  <c r="X189" s="1"/>
  <c r="R369"/>
  <c r="X369" s="1"/>
  <c r="R292"/>
  <c r="X292" s="1"/>
  <c r="R301"/>
  <c r="X301" s="1"/>
  <c r="R434"/>
  <c r="X434" s="1"/>
  <c r="R457"/>
  <c r="X457" s="1"/>
  <c r="R34"/>
  <c r="X34" s="1"/>
  <c r="R119"/>
  <c r="X119" s="1"/>
  <c r="R140"/>
  <c r="X140" s="1"/>
  <c r="R508"/>
  <c r="X508" s="1"/>
  <c r="R125"/>
  <c r="X125" s="1"/>
  <c r="R120"/>
  <c r="X120" s="1"/>
  <c r="R106"/>
  <c r="X106" s="1"/>
  <c r="R94"/>
  <c r="X94" s="1"/>
  <c r="R415"/>
  <c r="X415" s="1"/>
  <c r="R377"/>
  <c r="X377" s="1"/>
  <c r="R379"/>
  <c r="X379" s="1"/>
  <c r="R383"/>
  <c r="X383" s="1"/>
  <c r="R176"/>
  <c r="X176" s="1"/>
  <c r="R408"/>
  <c r="X408" s="1"/>
  <c r="R490"/>
  <c r="X490" s="1"/>
  <c r="R489"/>
  <c r="X489" s="1"/>
  <c r="R359"/>
  <c r="X359" s="1"/>
  <c r="R370"/>
  <c r="X370" s="1"/>
  <c r="R500"/>
  <c r="X500" s="1"/>
  <c r="R471"/>
  <c r="X471" s="1"/>
  <c r="R336"/>
  <c r="X336" s="1"/>
  <c r="R11"/>
  <c r="X11" s="1"/>
  <c r="R169"/>
  <c r="X169" s="1"/>
  <c r="R470"/>
  <c r="X470" s="1"/>
  <c r="R230"/>
  <c r="X230" s="1"/>
  <c r="R394"/>
  <c r="X394" s="1"/>
  <c r="R350"/>
  <c r="X350" s="1"/>
  <c r="R486"/>
  <c r="X486" s="1"/>
  <c r="R468"/>
  <c r="X468" s="1"/>
  <c r="R463"/>
  <c r="X463" s="1"/>
  <c r="R12"/>
  <c r="X12" s="1"/>
  <c r="R518"/>
  <c r="X518" s="1"/>
  <c r="R364"/>
  <c r="X364" s="1"/>
  <c r="R241"/>
  <c r="X241" s="1"/>
  <c r="R331"/>
  <c r="X331" s="1"/>
  <c r="R427"/>
  <c r="X427" s="1"/>
  <c r="R175"/>
  <c r="X175" s="1"/>
  <c r="R353"/>
  <c r="X353" s="1"/>
  <c r="R201"/>
  <c r="X201" s="1"/>
  <c r="R184"/>
  <c r="X184" s="1"/>
  <c r="R405"/>
  <c r="X405" s="1"/>
  <c r="R447"/>
  <c r="X447" s="1"/>
  <c r="R448"/>
  <c r="X448" s="1"/>
  <c r="R460"/>
  <c r="X460" s="1"/>
  <c r="R462"/>
  <c r="X462" s="1"/>
  <c r="R288"/>
  <c r="X288" s="1"/>
  <c r="R278"/>
  <c r="X278" s="1"/>
  <c r="R294"/>
  <c r="X294" s="1"/>
  <c r="R282"/>
  <c r="X282" s="1"/>
  <c r="R385"/>
  <c r="X385" s="1"/>
  <c r="R231"/>
  <c r="X231" s="1"/>
  <c r="R179"/>
  <c r="X179" s="1"/>
  <c r="R421"/>
  <c r="X421" s="1"/>
  <c r="R141"/>
  <c r="X141" s="1"/>
  <c r="R102"/>
  <c r="X102" s="1"/>
  <c r="R153"/>
  <c r="X153" s="1"/>
  <c r="R157"/>
  <c r="X157" s="1"/>
  <c r="R384"/>
  <c r="X384" s="1"/>
  <c r="R232"/>
  <c r="X232" s="1"/>
  <c r="R13"/>
  <c r="X13" s="1"/>
  <c r="R339"/>
  <c r="X339" s="1"/>
  <c r="R322"/>
  <c r="X322" s="1"/>
  <c r="R332"/>
  <c r="X332" s="1"/>
  <c r="R14"/>
  <c r="X14" s="1"/>
  <c r="R271"/>
  <c r="X271" s="1"/>
  <c r="R491"/>
  <c r="X491" s="1"/>
  <c r="R263"/>
  <c r="X263" s="1"/>
  <c r="R286"/>
  <c r="X286" s="1"/>
  <c r="R304"/>
  <c r="X304" s="1"/>
  <c r="R216"/>
  <c r="X216" s="1"/>
  <c r="R228"/>
  <c r="X228" s="1"/>
  <c r="R222"/>
  <c r="X222" s="1"/>
  <c r="R86"/>
  <c r="X86" s="1"/>
  <c r="R15"/>
  <c r="X15" s="1"/>
  <c r="R303"/>
  <c r="X303" s="1"/>
  <c r="R439"/>
  <c r="X439" s="1"/>
  <c r="R195"/>
  <c r="X195" s="1"/>
  <c r="R440"/>
  <c r="X440" s="1"/>
  <c r="R417"/>
  <c r="X417" s="1"/>
  <c r="R251"/>
  <c r="X251" s="1"/>
  <c r="R261"/>
  <c r="X261" s="1"/>
  <c r="R324"/>
  <c r="X324" s="1"/>
  <c r="R456"/>
  <c r="X456" s="1"/>
  <c r="R487"/>
  <c r="X487" s="1"/>
  <c r="R128"/>
  <c r="X128" s="1"/>
  <c r="R139"/>
  <c r="X139" s="1"/>
  <c r="R403"/>
  <c r="X403" s="1"/>
  <c r="R365"/>
  <c r="X365" s="1"/>
  <c r="R280"/>
  <c r="X280" s="1"/>
  <c r="R284"/>
  <c r="X284" s="1"/>
  <c r="R225"/>
  <c r="X225" s="1"/>
  <c r="R410"/>
  <c r="X410" s="1"/>
  <c r="R287"/>
  <c r="X287" s="1"/>
  <c r="R397"/>
  <c r="X397" s="1"/>
  <c r="R269"/>
  <c r="X269" s="1"/>
  <c r="R42"/>
  <c r="X42" s="1"/>
  <c r="R227"/>
  <c r="X227" s="1"/>
  <c r="R398"/>
  <c r="X398" s="1"/>
  <c r="R281"/>
  <c r="X281" s="1"/>
  <c r="R142"/>
  <c r="X142" s="1"/>
  <c r="R302"/>
  <c r="X302" s="1"/>
  <c r="R161"/>
  <c r="X161" s="1"/>
  <c r="R147"/>
  <c r="X147" s="1"/>
  <c r="R348"/>
  <c r="X348" s="1"/>
  <c r="R43"/>
  <c r="X43" s="1"/>
  <c r="R44"/>
  <c r="X44" s="1"/>
  <c r="R393"/>
  <c r="X393" s="1"/>
  <c r="R214"/>
  <c r="X214" s="1"/>
  <c r="R78"/>
  <c r="X78" s="1"/>
  <c r="R273"/>
  <c r="X273" s="1"/>
  <c r="R246"/>
  <c r="X246" s="1"/>
  <c r="R180"/>
  <c r="X180" s="1"/>
  <c r="R242"/>
  <c r="X242" s="1"/>
  <c r="R426"/>
  <c r="X426" s="1"/>
  <c r="R503"/>
  <c r="X503" s="1"/>
  <c r="R424"/>
  <c r="X424" s="1"/>
  <c r="R388"/>
  <c r="X388" s="1"/>
  <c r="R305"/>
  <c r="X305" s="1"/>
  <c r="R16"/>
  <c r="X16" s="1"/>
  <c r="R416"/>
  <c r="X416" s="1"/>
  <c r="R146"/>
  <c r="X146" s="1"/>
  <c r="R130"/>
  <c r="X130" s="1"/>
  <c r="R392"/>
  <c r="X392" s="1"/>
  <c r="R205"/>
  <c r="X205" s="1"/>
  <c r="R143"/>
  <c r="X143" s="1"/>
  <c r="R498"/>
  <c r="X498" s="1"/>
  <c r="R493"/>
  <c r="X493" s="1"/>
  <c r="R343"/>
  <c r="X343" s="1"/>
  <c r="R366"/>
  <c r="X366" s="1"/>
  <c r="R174"/>
  <c r="X174" s="1"/>
  <c r="R311"/>
  <c r="X311" s="1"/>
  <c r="R340"/>
  <c r="X340" s="1"/>
  <c r="R334"/>
  <c r="X334" s="1"/>
  <c r="R371"/>
  <c r="X371" s="1"/>
  <c r="R17"/>
  <c r="X17" s="1"/>
  <c r="R299"/>
  <c r="X299" s="1"/>
  <c r="R318"/>
  <c r="X318" s="1"/>
  <c r="R96"/>
  <c r="X96" s="1"/>
  <c r="R18"/>
  <c r="X18" s="1"/>
  <c r="R257"/>
  <c r="X257" s="1"/>
  <c r="R69"/>
  <c r="X69" s="1"/>
  <c r="R70"/>
  <c r="X70" s="1"/>
  <c r="R509"/>
  <c r="X509" s="1"/>
  <c r="R504"/>
  <c r="X504" s="1"/>
  <c r="R149"/>
  <c r="X149" s="1"/>
  <c r="R129"/>
  <c r="X129" s="1"/>
  <c r="R245"/>
  <c r="X245" s="1"/>
  <c r="R19"/>
  <c r="X19" s="1"/>
  <c r="R338"/>
  <c r="X338" s="1"/>
  <c r="R20"/>
  <c r="X20" s="1"/>
  <c r="R101"/>
  <c r="X101" s="1"/>
  <c r="R84"/>
  <c r="X84" s="1"/>
  <c r="R431"/>
  <c r="X431" s="1"/>
  <c r="R352"/>
  <c r="X352" s="1"/>
  <c r="R138"/>
  <c r="X138" s="1"/>
  <c r="R238"/>
  <c r="X238" s="1"/>
  <c r="R206"/>
  <c r="X206" s="1"/>
  <c r="R217"/>
  <c r="X217" s="1"/>
  <c r="R400"/>
  <c r="X400" s="1"/>
  <c r="R196"/>
  <c r="X196" s="1"/>
  <c r="R163"/>
  <c r="X163" s="1"/>
  <c r="R178"/>
  <c r="X178" s="1"/>
  <c r="R123"/>
  <c r="X123" s="1"/>
  <c r="R104"/>
  <c r="X104" s="1"/>
  <c r="R354"/>
  <c r="X354" s="1"/>
  <c r="R111"/>
  <c r="X111" s="1"/>
  <c r="R105"/>
  <c r="X105" s="1"/>
  <c r="R73"/>
  <c r="X73" s="1"/>
  <c r="R389"/>
  <c r="X389" s="1"/>
  <c r="R275"/>
  <c r="X275" s="1"/>
  <c r="R266"/>
  <c r="X266" s="1"/>
  <c r="R442"/>
  <c r="X442" s="1"/>
  <c r="R451"/>
  <c r="X451" s="1"/>
  <c r="R81"/>
  <c r="X81" s="1"/>
  <c r="R72"/>
  <c r="X72" s="1"/>
  <c r="R255"/>
  <c r="X255" s="1"/>
  <c r="R224"/>
  <c r="X224" s="1"/>
  <c r="R200"/>
  <c r="X200" s="1"/>
  <c r="R367"/>
  <c r="X367" s="1"/>
  <c r="R380"/>
  <c r="X380" s="1"/>
  <c r="R335"/>
  <c r="X335" s="1"/>
  <c r="R467"/>
  <c r="X467" s="1"/>
  <c r="R494"/>
  <c r="X494" s="1"/>
  <c r="R310"/>
  <c r="X310" s="1"/>
  <c r="R309"/>
  <c r="X309" s="1"/>
  <c r="R329"/>
  <c r="X329" s="1"/>
  <c r="R349"/>
  <c r="X349" s="1"/>
  <c r="R185"/>
  <c r="X185" s="1"/>
  <c r="R409"/>
  <c r="X409" s="1"/>
  <c r="R150"/>
  <c r="X150" s="1"/>
  <c r="R151"/>
  <c r="X151" s="1"/>
  <c r="R21"/>
  <c r="X21" s="1"/>
  <c r="R499"/>
  <c r="X499" s="1"/>
  <c r="R363"/>
  <c r="X363" s="1"/>
  <c r="R484"/>
  <c r="X484" s="1"/>
  <c r="R488"/>
  <c r="X488" s="1"/>
  <c r="R165"/>
  <c r="X165" s="1"/>
  <c r="R166"/>
  <c r="X166" s="1"/>
  <c r="R235"/>
  <c r="X235" s="1"/>
  <c r="R116"/>
  <c r="X116" s="1"/>
  <c r="R268"/>
  <c r="X268" s="1"/>
  <c r="R327"/>
  <c r="X327" s="1"/>
  <c r="R495"/>
  <c r="X495" s="1"/>
  <c r="R485"/>
  <c r="X485" s="1"/>
  <c r="R452"/>
  <c r="X452" s="1"/>
  <c r="R213"/>
  <c r="X213" s="1"/>
  <c r="R505"/>
  <c r="X505" s="1"/>
  <c r="R22"/>
  <c r="X22" s="1"/>
  <c r="R297"/>
  <c r="X297" s="1"/>
  <c r="R316"/>
  <c r="X316" s="1"/>
  <c r="R506"/>
  <c r="X506" s="1"/>
  <c r="R254"/>
  <c r="X254" s="1"/>
  <c r="R418"/>
  <c r="X418" s="1"/>
  <c r="R97"/>
  <c r="X97" s="1"/>
  <c r="R237"/>
  <c r="X237" s="1"/>
  <c r="R423"/>
  <c r="X423" s="1"/>
  <c r="R145"/>
  <c r="X145" s="1"/>
  <c r="R137"/>
  <c r="X137" s="1"/>
  <c r="R164"/>
  <c r="X164" s="1"/>
  <c r="R279"/>
  <c r="X279" s="1"/>
  <c r="R61"/>
  <c r="X61" s="1"/>
  <c r="R514"/>
  <c r="X514" s="1"/>
  <c r="R193"/>
  <c r="X193" s="1"/>
  <c r="R247"/>
  <c r="X247" s="1"/>
  <c r="R435"/>
  <c r="X435" s="1"/>
  <c r="R432"/>
  <c r="X432" s="1"/>
  <c r="R95"/>
  <c r="X95" s="1"/>
  <c r="R66"/>
  <c r="X66" s="1"/>
  <c r="R496"/>
  <c r="X496" s="1"/>
  <c r="R361"/>
  <c r="X361" s="1"/>
  <c r="R483"/>
  <c r="X483" s="1"/>
  <c r="R23"/>
  <c r="X23" s="1"/>
  <c r="R197"/>
  <c r="X197" s="1"/>
  <c r="R133"/>
  <c r="X133" s="1"/>
  <c r="R412"/>
  <c r="X412" s="1"/>
  <c r="R24"/>
  <c r="X24" s="1"/>
  <c r="R346"/>
  <c r="X346" s="1"/>
  <c r="R465"/>
  <c r="X465" s="1"/>
  <c r="R443"/>
  <c r="X443" s="1"/>
  <c r="R437"/>
  <c r="X437" s="1"/>
  <c r="R136"/>
  <c r="X136" s="1"/>
  <c r="R274"/>
  <c r="X274" s="1"/>
  <c r="R25"/>
  <c r="X25" s="1"/>
  <c r="R186"/>
  <c r="X186" s="1"/>
  <c r="R295"/>
  <c r="X295" s="1"/>
  <c r="R26"/>
  <c r="X26" s="1"/>
  <c r="R391"/>
  <c r="X391" s="1"/>
  <c r="R502"/>
  <c r="X502" s="1"/>
  <c r="R511"/>
  <c r="X511" s="1"/>
  <c r="R126"/>
  <c r="X126" s="1"/>
  <c r="R449"/>
  <c r="X449" s="1"/>
  <c r="R450"/>
  <c r="X450" s="1"/>
  <c r="R326"/>
  <c r="X326" s="1"/>
  <c r="R77"/>
  <c r="X77" s="1"/>
  <c r="R376"/>
  <c r="X376" s="1"/>
  <c r="R27"/>
  <c r="X27" s="1"/>
  <c r="R256"/>
  <c r="X256" s="1"/>
  <c r="R89"/>
  <c r="X89" s="1"/>
  <c r="R172"/>
  <c r="X172" s="1"/>
  <c r="R516"/>
  <c r="X516" s="1"/>
  <c r="R515"/>
  <c r="X515" s="1"/>
  <c r="R204"/>
  <c r="X204" s="1"/>
  <c r="R209"/>
  <c r="X209" s="1"/>
  <c r="R160"/>
  <c r="X160" s="1"/>
  <c r="R28"/>
  <c r="X28" s="1"/>
  <c r="R296"/>
  <c r="X296" s="1"/>
  <c r="R259"/>
  <c r="X259" s="1"/>
  <c r="R459"/>
  <c r="X459" s="1"/>
  <c r="R203"/>
  <c r="X203" s="1"/>
  <c r="R156"/>
  <c r="X156" s="1"/>
  <c r="R127"/>
  <c r="X127" s="1"/>
  <c r="R29"/>
  <c r="X29" s="1"/>
  <c r="R497"/>
  <c r="X497" s="1"/>
  <c r="R267"/>
  <c r="X267" s="1"/>
  <c r="R401"/>
  <c r="X401" s="1"/>
  <c r="R373"/>
  <c r="X373" s="1"/>
  <c r="R177"/>
  <c r="X177" s="1"/>
  <c r="R182"/>
  <c r="X182" s="1"/>
  <c r="R252"/>
  <c r="X252" s="1"/>
  <c r="R262"/>
  <c r="X262" s="1"/>
  <c r="R62"/>
  <c r="X62" s="1"/>
  <c r="R59"/>
  <c r="X59" s="1"/>
  <c r="R291"/>
  <c r="X291" s="1"/>
  <c r="R218"/>
  <c r="X218" s="1"/>
  <c r="R110"/>
  <c r="X110" s="1"/>
  <c r="R112"/>
  <c r="X112" s="1"/>
  <c r="R454"/>
  <c r="X454" s="1"/>
  <c r="R63"/>
  <c r="X63" s="1"/>
  <c r="R74"/>
  <c r="X74" s="1"/>
  <c r="R472"/>
  <c r="X472" s="1"/>
  <c r="R517"/>
  <c r="X517" s="1"/>
  <c r="R45"/>
  <c r="X45" s="1"/>
  <c r="R220"/>
  <c r="X220" s="1"/>
  <c r="R173"/>
  <c r="X173" s="1"/>
  <c r="R345"/>
  <c r="X345" s="1"/>
  <c r="R158"/>
  <c r="X158" s="1"/>
  <c r="R82"/>
  <c r="X82" s="1"/>
  <c r="R83"/>
  <c r="X83" s="1"/>
  <c r="R134"/>
  <c r="X134" s="1"/>
  <c r="R35"/>
  <c r="X35" s="1"/>
  <c r="R445"/>
  <c r="X445" s="1"/>
  <c r="R317"/>
  <c r="X317" s="1"/>
  <c r="R67"/>
  <c r="X67" s="1"/>
  <c r="R71"/>
  <c r="X71" s="1"/>
  <c r="R265"/>
  <c r="X265" s="1"/>
  <c r="R226"/>
  <c r="X226" s="1"/>
  <c r="R404"/>
  <c r="X404" s="1"/>
  <c r="R466"/>
  <c r="X466" s="1"/>
  <c r="R36"/>
  <c r="X36" s="1"/>
  <c r="R167"/>
  <c r="X167" s="1"/>
  <c r="R501"/>
  <c r="X501" s="1"/>
  <c r="R507"/>
  <c r="X507" s="1"/>
  <c r="R215"/>
  <c r="X215" s="1"/>
  <c r="R100"/>
  <c r="X100" s="1"/>
  <c r="R131"/>
  <c r="X131" s="1"/>
  <c r="R207"/>
  <c r="X207" s="1"/>
  <c r="R37"/>
  <c r="X37" s="1"/>
  <c r="R293"/>
  <c r="X293" s="1"/>
  <c r="R368"/>
  <c r="X368" s="1"/>
  <c r="R414"/>
  <c r="X414" s="1"/>
  <c r="R396"/>
  <c r="X396" s="1"/>
  <c r="R444"/>
  <c r="X444" s="1"/>
  <c r="R300"/>
  <c r="X300" s="1"/>
  <c r="R152"/>
  <c r="X152" s="1"/>
  <c r="R113"/>
  <c r="X113" s="1"/>
  <c r="R170"/>
  <c r="X170" s="1"/>
  <c r="R475"/>
  <c r="X475" s="1"/>
  <c r="R474"/>
  <c r="X474" s="1"/>
  <c r="R479"/>
  <c r="X479" s="1"/>
  <c r="R88"/>
  <c r="X88" s="1"/>
  <c r="R92"/>
  <c r="X92" s="1"/>
  <c r="R87"/>
  <c r="X87" s="1"/>
  <c r="R378"/>
  <c r="X378" s="1"/>
  <c r="R356"/>
  <c r="X356" s="1"/>
  <c r="R38"/>
  <c r="X38" s="1"/>
  <c r="R39"/>
  <c r="X39" s="1"/>
  <c r="R342"/>
  <c r="X342" s="1"/>
  <c r="R40"/>
  <c r="X40" s="1"/>
  <c r="R41"/>
  <c r="X41" s="1"/>
  <c r="R124"/>
  <c r="X124" s="1"/>
  <c r="R121"/>
  <c r="X121" s="1"/>
  <c r="R198"/>
  <c r="X198" s="1"/>
  <c r="R277"/>
  <c r="X277" s="1"/>
  <c r="R258"/>
  <c r="X258" s="1"/>
  <c r="R386"/>
  <c r="X386" s="1"/>
  <c r="R49"/>
  <c r="X49" s="1"/>
  <c r="R50"/>
  <c r="X50" s="1"/>
  <c r="R458"/>
  <c r="X458" s="1"/>
  <c r="R64"/>
  <c r="X64" s="1"/>
  <c r="R60"/>
  <c r="X60" s="1"/>
  <c r="R250"/>
  <c r="X250" s="1"/>
  <c r="R344"/>
  <c r="X344" s="1"/>
  <c r="R208"/>
  <c r="X208" s="1"/>
  <c r="R159"/>
  <c r="X159" s="1"/>
  <c r="R183"/>
  <c r="X183" s="1"/>
  <c r="R46"/>
  <c r="X46" s="1"/>
  <c r="R98"/>
  <c r="X98" s="1"/>
  <c r="R47"/>
  <c r="X47" s="1"/>
  <c r="R108"/>
  <c r="X108" s="1"/>
  <c r="R144"/>
  <c r="X144" s="1"/>
  <c r="R374"/>
  <c r="X374" s="1"/>
  <c r="R75"/>
  <c r="X75" s="1"/>
  <c r="R79"/>
  <c r="X79" s="1"/>
  <c r="R80"/>
  <c r="X80" s="1"/>
  <c r="R312"/>
  <c r="X312" s="1"/>
  <c r="R48"/>
  <c r="X48" s="1"/>
  <c r="R510"/>
  <c r="X510" s="1"/>
  <c r="R461"/>
  <c r="X461" s="1"/>
  <c r="R55"/>
  <c r="X55" s="1"/>
  <c r="R56"/>
  <c r="X56" s="1"/>
  <c r="R264"/>
  <c r="X264" s="1"/>
  <c r="R187"/>
  <c r="X187" s="1"/>
  <c r="R482"/>
  <c r="X482" s="1"/>
  <c r="R411"/>
  <c r="X411" s="1"/>
  <c r="R323"/>
  <c r="X323" s="1"/>
  <c r="R358"/>
  <c r="X358" s="1"/>
  <c r="R199"/>
  <c r="X199" s="1"/>
  <c r="R492"/>
  <c r="X492" s="1"/>
  <c r="R219"/>
  <c r="X219" s="1"/>
  <c r="R315"/>
  <c r="X315" s="1"/>
  <c r="R212"/>
  <c r="X212" s="1"/>
  <c r="R270"/>
  <c r="X270" s="1"/>
  <c r="R285"/>
  <c r="X285" s="1"/>
  <c r="R306"/>
  <c r="X306" s="1"/>
  <c r="R168"/>
  <c r="X168" s="1"/>
  <c r="R51"/>
  <c r="X51" s="1"/>
  <c r="R429"/>
  <c r="X429" s="1"/>
  <c r="R243"/>
  <c r="X243" s="1"/>
  <c r="R76"/>
  <c r="X76" s="1"/>
  <c r="R469"/>
  <c r="X469" s="1"/>
  <c r="R480"/>
  <c r="X480" s="1"/>
  <c r="R455"/>
  <c r="X455" s="1"/>
  <c r="R171"/>
  <c r="X171" s="1"/>
  <c r="R52"/>
  <c r="X52" s="1"/>
  <c r="R53"/>
  <c r="X53" s="1"/>
  <c r="R406"/>
  <c r="X406" s="1"/>
  <c r="R239"/>
  <c r="X239" s="1"/>
  <c r="R54"/>
  <c r="X54" s="1"/>
  <c r="R453"/>
  <c r="X453" s="1"/>
  <c r="R192"/>
  <c r="X192" s="1"/>
  <c r="R194"/>
  <c r="X194" s="1"/>
  <c r="R422"/>
  <c r="X422" s="1"/>
  <c r="T2"/>
  <c r="T308"/>
  <c r="T357"/>
  <c r="T428"/>
  <c r="T3"/>
  <c r="T4"/>
  <c r="T248"/>
  <c r="T162"/>
  <c r="T229"/>
  <c r="T30"/>
  <c r="T31"/>
  <c r="T272"/>
  <c r="T395"/>
  <c r="T399"/>
  <c r="T464"/>
  <c r="T244"/>
  <c r="T307"/>
  <c r="T320"/>
  <c r="T375"/>
  <c r="T372"/>
  <c r="T32"/>
  <c r="T33"/>
  <c r="T328"/>
  <c r="T381"/>
  <c r="T425"/>
  <c r="T341"/>
  <c r="T148"/>
  <c r="T135"/>
  <c r="T221"/>
  <c r="T90"/>
  <c r="T512"/>
  <c r="T5"/>
  <c r="T283"/>
  <c r="T85"/>
  <c r="T99"/>
  <c r="T441"/>
  <c r="T436"/>
  <c r="T211"/>
  <c r="T413"/>
  <c r="T481"/>
  <c r="T473"/>
  <c r="T290"/>
  <c r="T93"/>
  <c r="T91"/>
  <c r="T260"/>
  <c r="T477"/>
  <c r="T476"/>
  <c r="T253"/>
  <c r="T249"/>
  <c r="T289"/>
  <c r="T132"/>
  <c r="T314"/>
  <c r="T240"/>
  <c r="T118"/>
  <c r="T103"/>
  <c r="T520"/>
  <c r="T107"/>
  <c r="T114"/>
  <c r="T420"/>
  <c r="T433"/>
  <c r="T6"/>
  <c r="T236"/>
  <c r="T210"/>
  <c r="T7"/>
  <c r="T8"/>
  <c r="T351"/>
  <c r="T390"/>
  <c r="T478"/>
  <c r="T402"/>
  <c r="T190"/>
  <c r="T191"/>
  <c r="T446"/>
  <c r="T233"/>
  <c r="T407"/>
  <c r="T181"/>
  <c r="T347"/>
  <c r="T234"/>
  <c r="T330"/>
  <c r="T325"/>
  <c r="T355"/>
  <c r="T333"/>
  <c r="T382"/>
  <c r="T362"/>
  <c r="T319"/>
  <c r="T223"/>
  <c r="T313"/>
  <c r="T276"/>
  <c r="T430"/>
  <c r="T438"/>
  <c r="T419"/>
  <c r="T109"/>
  <c r="T115"/>
  <c r="T298"/>
  <c r="T188"/>
  <c r="T513"/>
  <c r="T519"/>
  <c r="T9"/>
  <c r="T155"/>
  <c r="T154"/>
  <c r="T202"/>
  <c r="T10"/>
  <c r="T122"/>
  <c r="T57"/>
  <c r="T58"/>
  <c r="T68"/>
  <c r="T65"/>
  <c r="T387"/>
  <c r="T360"/>
  <c r="T117"/>
  <c r="T337"/>
  <c r="T189"/>
  <c r="T369"/>
  <c r="T292"/>
  <c r="T301"/>
  <c r="T434"/>
  <c r="T457"/>
  <c r="T34"/>
  <c r="T119"/>
  <c r="T140"/>
  <c r="T508"/>
  <c r="T125"/>
  <c r="T120"/>
  <c r="T106"/>
  <c r="T94"/>
  <c r="T415"/>
  <c r="T377"/>
  <c r="T379"/>
  <c r="T383"/>
  <c r="T176"/>
  <c r="T408"/>
  <c r="T490"/>
  <c r="T489"/>
  <c r="T359"/>
  <c r="T370"/>
  <c r="T500"/>
  <c r="T471"/>
  <c r="T336"/>
  <c r="T11"/>
  <c r="T169"/>
  <c r="T470"/>
  <c r="T230"/>
  <c r="T394"/>
  <c r="T350"/>
  <c r="T486"/>
  <c r="T468"/>
  <c r="T463"/>
  <c r="T12"/>
  <c r="T518"/>
  <c r="T364"/>
  <c r="T241"/>
  <c r="T331"/>
  <c r="T427"/>
  <c r="T175"/>
  <c r="T353"/>
  <c r="T201"/>
  <c r="T184"/>
  <c r="T405"/>
  <c r="T447"/>
  <c r="T448"/>
  <c r="T460"/>
  <c r="T462"/>
  <c r="T288"/>
  <c r="T278"/>
  <c r="T294"/>
  <c r="T282"/>
  <c r="T385"/>
  <c r="T231"/>
  <c r="T179"/>
  <c r="T421"/>
  <c r="T141"/>
  <c r="T102"/>
  <c r="T153"/>
  <c r="T157"/>
  <c r="T384"/>
  <c r="T232"/>
  <c r="T13"/>
  <c r="T339"/>
  <c r="T322"/>
  <c r="T332"/>
  <c r="T14"/>
  <c r="T271"/>
  <c r="T491"/>
  <c r="T263"/>
  <c r="T286"/>
  <c r="T304"/>
  <c r="T216"/>
  <c r="T228"/>
  <c r="T222"/>
  <c r="T86"/>
  <c r="T15"/>
  <c r="T303"/>
  <c r="T439"/>
  <c r="T195"/>
  <c r="T440"/>
  <c r="T417"/>
  <c r="T251"/>
  <c r="T261"/>
  <c r="T324"/>
  <c r="T456"/>
  <c r="T487"/>
  <c r="T128"/>
  <c r="T139"/>
  <c r="T403"/>
  <c r="T365"/>
  <c r="T280"/>
  <c r="T284"/>
  <c r="T225"/>
  <c r="T410"/>
  <c r="T287"/>
  <c r="T397"/>
  <c r="T269"/>
  <c r="T42"/>
  <c r="T227"/>
  <c r="T398"/>
  <c r="T281"/>
  <c r="T142"/>
  <c r="T302"/>
  <c r="T161"/>
  <c r="T147"/>
  <c r="T348"/>
  <c r="T43"/>
  <c r="T44"/>
  <c r="T393"/>
  <c r="T214"/>
  <c r="T78"/>
  <c r="T273"/>
  <c r="T246"/>
  <c r="T180"/>
  <c r="T242"/>
  <c r="T426"/>
  <c r="T503"/>
  <c r="T424"/>
  <c r="T388"/>
  <c r="T305"/>
  <c r="T16"/>
  <c r="T416"/>
  <c r="T146"/>
  <c r="T130"/>
  <c r="T392"/>
  <c r="T205"/>
  <c r="T143"/>
  <c r="T498"/>
  <c r="T493"/>
  <c r="T343"/>
  <c r="T366"/>
  <c r="T174"/>
  <c r="T311"/>
  <c r="T340"/>
  <c r="T334"/>
  <c r="T371"/>
  <c r="T17"/>
  <c r="T299"/>
  <c r="T318"/>
  <c r="T96"/>
  <c r="T18"/>
  <c r="T257"/>
  <c r="T69"/>
  <c r="T70"/>
  <c r="T509"/>
  <c r="T504"/>
  <c r="T149"/>
  <c r="T129"/>
  <c r="T245"/>
  <c r="T19"/>
  <c r="T338"/>
  <c r="T20"/>
  <c r="T101"/>
  <c r="T84"/>
  <c r="T431"/>
  <c r="T352"/>
  <c r="T138"/>
  <c r="T238"/>
  <c r="T206"/>
  <c r="T217"/>
  <c r="T400"/>
  <c r="T196"/>
  <c r="T163"/>
  <c r="T178"/>
  <c r="T123"/>
  <c r="T104"/>
  <c r="T354"/>
  <c r="T111"/>
  <c r="T105"/>
  <c r="T73"/>
  <c r="T389"/>
  <c r="T275"/>
  <c r="T266"/>
  <c r="T442"/>
  <c r="T451"/>
  <c r="T81"/>
  <c r="T72"/>
  <c r="T255"/>
  <c r="T224"/>
  <c r="T200"/>
  <c r="T367"/>
  <c r="T380"/>
  <c r="T335"/>
  <c r="T467"/>
  <c r="T494"/>
  <c r="T310"/>
  <c r="T309"/>
  <c r="T329"/>
  <c r="T349"/>
  <c r="T185"/>
  <c r="T409"/>
  <c r="T150"/>
  <c r="T151"/>
  <c r="T21"/>
  <c r="T499"/>
  <c r="T363"/>
  <c r="T484"/>
  <c r="T488"/>
  <c r="T165"/>
  <c r="T166"/>
  <c r="T235"/>
  <c r="T116"/>
  <c r="T268"/>
  <c r="T327"/>
  <c r="T495"/>
  <c r="T485"/>
  <c r="T452"/>
  <c r="T213"/>
  <c r="T505"/>
  <c r="T22"/>
  <c r="T297"/>
  <c r="T316"/>
  <c r="T506"/>
  <c r="T254"/>
  <c r="T418"/>
  <c r="T97"/>
  <c r="T237"/>
  <c r="T423"/>
  <c r="T145"/>
  <c r="T137"/>
  <c r="T164"/>
  <c r="T279"/>
  <c r="T61"/>
  <c r="T514"/>
  <c r="T193"/>
  <c r="T247"/>
  <c r="T435"/>
  <c r="T432"/>
  <c r="T95"/>
  <c r="T66"/>
  <c r="T496"/>
  <c r="T361"/>
  <c r="T483"/>
  <c r="T23"/>
  <c r="T197"/>
  <c r="T133"/>
  <c r="T412"/>
  <c r="T24"/>
  <c r="T346"/>
  <c r="T465"/>
  <c r="T443"/>
  <c r="T437"/>
  <c r="T136"/>
  <c r="T274"/>
  <c r="T25"/>
  <c r="T186"/>
  <c r="T295"/>
  <c r="T26"/>
  <c r="T391"/>
  <c r="T502"/>
  <c r="T511"/>
  <c r="T126"/>
  <c r="T449"/>
  <c r="T450"/>
  <c r="T326"/>
  <c r="T77"/>
  <c r="T376"/>
  <c r="T27"/>
  <c r="T256"/>
  <c r="T89"/>
  <c r="T172"/>
  <c r="T516"/>
  <c r="T515"/>
  <c r="T204"/>
  <c r="T209"/>
  <c r="T160"/>
  <c r="T28"/>
  <c r="T296"/>
  <c r="T259"/>
  <c r="T459"/>
  <c r="T203"/>
  <c r="T156"/>
  <c r="T127"/>
  <c r="T29"/>
  <c r="T497"/>
  <c r="T267"/>
  <c r="T401"/>
  <c r="T373"/>
  <c r="T177"/>
  <c r="T182"/>
  <c r="T252"/>
  <c r="T262"/>
  <c r="T62"/>
  <c r="T59"/>
  <c r="T291"/>
  <c r="T218"/>
  <c r="T110"/>
  <c r="T112"/>
  <c r="T454"/>
  <c r="T63"/>
  <c r="T74"/>
  <c r="T472"/>
  <c r="T517"/>
  <c r="T45"/>
  <c r="T220"/>
  <c r="T173"/>
  <c r="T345"/>
  <c r="T158"/>
  <c r="T82"/>
  <c r="T83"/>
  <c r="T134"/>
  <c r="T35"/>
  <c r="T445"/>
  <c r="T317"/>
  <c r="T67"/>
  <c r="T71"/>
  <c r="T265"/>
  <c r="T226"/>
  <c r="T404"/>
  <c r="T466"/>
  <c r="T36"/>
  <c r="T167"/>
  <c r="T501"/>
  <c r="T507"/>
  <c r="T215"/>
  <c r="T100"/>
  <c r="T131"/>
  <c r="T207"/>
  <c r="T37"/>
  <c r="T293"/>
  <c r="T368"/>
  <c r="T414"/>
  <c r="T396"/>
  <c r="T444"/>
  <c r="T300"/>
  <c r="T152"/>
  <c r="T113"/>
  <c r="T170"/>
  <c r="T475"/>
  <c r="T474"/>
  <c r="T479"/>
  <c r="T88"/>
  <c r="T92"/>
  <c r="T87"/>
  <c r="T378"/>
  <c r="T356"/>
  <c r="T38"/>
  <c r="T39"/>
  <c r="T342"/>
  <c r="T40"/>
  <c r="T41"/>
  <c r="T124"/>
  <c r="T121"/>
  <c r="T198"/>
  <c r="T277"/>
  <c r="T258"/>
  <c r="T386"/>
  <c r="T49"/>
  <c r="T50"/>
  <c r="T458"/>
  <c r="T64"/>
  <c r="T60"/>
  <c r="T250"/>
  <c r="T344"/>
  <c r="T208"/>
  <c r="T159"/>
  <c r="T183"/>
  <c r="T46"/>
  <c r="T98"/>
  <c r="T47"/>
  <c r="T108"/>
  <c r="T144"/>
  <c r="T374"/>
  <c r="T75"/>
  <c r="T79"/>
  <c r="T80"/>
  <c r="T312"/>
  <c r="T48"/>
  <c r="T510"/>
  <c r="T461"/>
  <c r="T55"/>
  <c r="T56"/>
  <c r="T264"/>
  <c r="T187"/>
  <c r="T482"/>
  <c r="T411"/>
  <c r="T323"/>
  <c r="T358"/>
  <c r="T199"/>
  <c r="T492"/>
  <c r="T219"/>
  <c r="T315"/>
  <c r="T212"/>
  <c r="T270"/>
  <c r="T285"/>
  <c r="T306"/>
  <c r="T168"/>
  <c r="T51"/>
  <c r="T429"/>
  <c r="T243"/>
  <c r="T76"/>
  <c r="T469"/>
  <c r="T480"/>
  <c r="T455"/>
  <c r="T171"/>
  <c r="T52"/>
  <c r="T53"/>
  <c r="T406"/>
  <c r="T239"/>
  <c r="T54"/>
  <c r="T453"/>
  <c r="T192"/>
  <c r="T194"/>
  <c r="T422"/>
  <c r="F266"/>
  <c r="F275"/>
  <c r="A521"/>
  <c r="C59"/>
  <c r="Z59"/>
  <c r="AA59" s="1"/>
  <c r="AB59"/>
  <c r="AC59" s="1"/>
  <c r="C209"/>
  <c r="Z209"/>
  <c r="AA209" s="1"/>
  <c r="AB209" s="1"/>
  <c r="AC209" s="1"/>
  <c r="C205"/>
  <c r="Z205"/>
  <c r="AA205" s="1"/>
  <c r="AB205" s="1"/>
  <c r="C341"/>
  <c r="C491"/>
  <c r="C263"/>
  <c r="C412"/>
  <c r="C409"/>
  <c r="C204"/>
  <c r="C35"/>
  <c r="C445"/>
  <c r="C89"/>
  <c r="C252"/>
  <c r="C262"/>
  <c r="C62"/>
  <c r="C358"/>
  <c r="C197"/>
  <c r="C133"/>
  <c r="Z341"/>
  <c r="AA341" s="1"/>
  <c r="AB341" s="1"/>
  <c r="Z491"/>
  <c r="AA491" s="1"/>
  <c r="AB491" s="1"/>
  <c r="Z263"/>
  <c r="AA263" s="1"/>
  <c r="AB263" s="1"/>
  <c r="Z412"/>
  <c r="AA412" s="1"/>
  <c r="AB412" s="1"/>
  <c r="AC412" s="1"/>
  <c r="Z409"/>
  <c r="AA409" s="1"/>
  <c r="AB409" s="1"/>
  <c r="Z204"/>
  <c r="AA204" s="1"/>
  <c r="AB204" s="1"/>
  <c r="Z35"/>
  <c r="AA35" s="1"/>
  <c r="AB35" s="1"/>
  <c r="AC35" s="1"/>
  <c r="Z445"/>
  <c r="AA445" s="1"/>
  <c r="AB445" s="1"/>
  <c r="Z89"/>
  <c r="AA89" s="1"/>
  <c r="AB89" s="1"/>
  <c r="Z252"/>
  <c r="AA252" s="1"/>
  <c r="AB252" s="1"/>
  <c r="Z262"/>
  <c r="AA262" s="1"/>
  <c r="AB262" s="1"/>
  <c r="Z62"/>
  <c r="AA62" s="1"/>
  <c r="AB62" s="1"/>
  <c r="AC62" s="1"/>
  <c r="Z358"/>
  <c r="AA358" s="1"/>
  <c r="AB358" s="1"/>
  <c r="Z197"/>
  <c r="AA197" s="1"/>
  <c r="AB197" s="1"/>
  <c r="Z133"/>
  <c r="AA133" s="1"/>
  <c r="AB133" s="1"/>
  <c r="AC133" s="1"/>
  <c r="C58"/>
  <c r="Z58"/>
  <c r="AA58" s="1"/>
  <c r="AB58"/>
  <c r="AC58" s="1"/>
  <c r="C57"/>
  <c r="Z57"/>
  <c r="AA57" s="1"/>
  <c r="AB57" s="1"/>
  <c r="C398"/>
  <c r="Z398"/>
  <c r="AA398" s="1"/>
  <c r="AB398" s="1"/>
  <c r="AC398" s="1"/>
  <c r="C453"/>
  <c r="Z453"/>
  <c r="AA453" s="1"/>
  <c r="AB453" s="1"/>
  <c r="C293"/>
  <c r="Z293"/>
  <c r="AA293" s="1"/>
  <c r="AB293" s="1"/>
  <c r="AC293" s="1"/>
  <c r="C37"/>
  <c r="Z37"/>
  <c r="AA37" s="1"/>
  <c r="AB37" s="1"/>
  <c r="C481"/>
  <c r="C473"/>
  <c r="C220"/>
  <c r="C111"/>
  <c r="C105"/>
  <c r="C467"/>
  <c r="Z481"/>
  <c r="AA481" s="1"/>
  <c r="AB481" s="1"/>
  <c r="Z473"/>
  <c r="AA473" s="1"/>
  <c r="AB473" s="1"/>
  <c r="Z220"/>
  <c r="AA220" s="1"/>
  <c r="AB220" s="1"/>
  <c r="Z111"/>
  <c r="AA111" s="1"/>
  <c r="AB111" s="1"/>
  <c r="Z105"/>
  <c r="AA105" s="1"/>
  <c r="AB105" s="1"/>
  <c r="Z467"/>
  <c r="AA467" s="1"/>
  <c r="AB467" s="1"/>
  <c r="AB68"/>
  <c r="AC68" s="1"/>
  <c r="AB65"/>
  <c r="C471"/>
  <c r="C512"/>
  <c r="Z471"/>
  <c r="AA471" s="1"/>
  <c r="AB471" s="1"/>
  <c r="Z512"/>
  <c r="AA512" s="1"/>
  <c r="AB512" s="1"/>
  <c r="C440"/>
  <c r="C417"/>
  <c r="C496"/>
  <c r="C361"/>
  <c r="Z440"/>
  <c r="AA440" s="1"/>
  <c r="AB440" s="1"/>
  <c r="AC440" s="1"/>
  <c r="Z417"/>
  <c r="AA417" s="1"/>
  <c r="AB417" s="1"/>
  <c r="AC417" s="1"/>
  <c r="Z496"/>
  <c r="AA496" s="1"/>
  <c r="AB496" s="1"/>
  <c r="AC496" s="1"/>
  <c r="Z361"/>
  <c r="AA361" s="1"/>
  <c r="AB361" s="1"/>
  <c r="AC361" s="1"/>
  <c r="C130"/>
  <c r="Z130"/>
  <c r="AA130" s="1"/>
  <c r="AB130" s="1"/>
  <c r="C146"/>
  <c r="Z146"/>
  <c r="AA146" s="1"/>
  <c r="AB146" s="1"/>
  <c r="AC146" s="1"/>
  <c r="C143"/>
  <c r="Z143"/>
  <c r="AA143" s="1"/>
  <c r="AB143"/>
  <c r="AC143" s="1"/>
  <c r="C501"/>
  <c r="C507"/>
  <c r="Z501"/>
  <c r="AA501" s="1"/>
  <c r="AB501" s="1"/>
  <c r="Z507"/>
  <c r="AA507" s="1"/>
  <c r="AB507" s="1"/>
  <c r="C374"/>
  <c r="Z374"/>
  <c r="AA374" s="1"/>
  <c r="AB374" s="1"/>
  <c r="C335"/>
  <c r="Z335"/>
  <c r="AA335" s="1"/>
  <c r="AB335" s="1"/>
  <c r="C452"/>
  <c r="Z452"/>
  <c r="AA452" s="1"/>
  <c r="AB452" s="1"/>
  <c r="C485"/>
  <c r="Z485"/>
  <c r="AA485" s="1"/>
  <c r="AB485" s="1"/>
  <c r="C268"/>
  <c r="Z268"/>
  <c r="AA268" s="1"/>
  <c r="AB268" s="1"/>
  <c r="C52"/>
  <c r="Z52"/>
  <c r="AA52" s="1"/>
  <c r="AB52"/>
  <c r="AC52" s="1"/>
  <c r="C171"/>
  <c r="Z171"/>
  <c r="AA171" s="1"/>
  <c r="AB171" s="1"/>
  <c r="C244"/>
  <c r="Z244"/>
  <c r="AA244" s="1"/>
  <c r="AB244" s="1"/>
  <c r="C299"/>
  <c r="Z299"/>
  <c r="AA299" s="1"/>
  <c r="AB299"/>
  <c r="AC299" s="1"/>
  <c r="C17"/>
  <c r="Z17"/>
  <c r="AA17" s="1"/>
  <c r="AB17"/>
  <c r="AC17" s="1"/>
  <c r="C39"/>
  <c r="Z39"/>
  <c r="AA39" s="1"/>
  <c r="AB39" s="1"/>
  <c r="AC39" s="1"/>
  <c r="C38"/>
  <c r="Z38"/>
  <c r="AA38" s="1"/>
  <c r="AB38" s="1"/>
  <c r="AC38" s="1"/>
  <c r="C356"/>
  <c r="Z356"/>
  <c r="AA356" s="1"/>
  <c r="AB356" s="1"/>
  <c r="AC356" s="1"/>
  <c r="C116"/>
  <c r="Z116"/>
  <c r="AA116" s="1"/>
  <c r="AB116" s="1"/>
  <c r="C104"/>
  <c r="Z104"/>
  <c r="AA104" s="1"/>
  <c r="AB104" s="1"/>
  <c r="AC104" s="1"/>
  <c r="C123"/>
  <c r="Z123"/>
  <c r="AA123" s="1"/>
  <c r="AB123" s="1"/>
  <c r="AC123" s="1"/>
  <c r="C381"/>
  <c r="C360"/>
  <c r="C324"/>
  <c r="C264"/>
  <c r="Z381"/>
  <c r="AA381" s="1"/>
  <c r="AB381" s="1"/>
  <c r="AC381" s="1"/>
  <c r="Z360"/>
  <c r="AA360" s="1"/>
  <c r="AB360" s="1"/>
  <c r="AC360" s="1"/>
  <c r="Z324"/>
  <c r="AA324" s="1"/>
  <c r="AB324" s="1"/>
  <c r="AC324" s="1"/>
  <c r="Z264"/>
  <c r="AA264" s="1"/>
  <c r="AB264" s="1"/>
  <c r="AC264" s="1"/>
  <c r="C385"/>
  <c r="C231"/>
  <c r="C179"/>
  <c r="C154"/>
  <c r="C86"/>
  <c r="C15"/>
  <c r="C423"/>
  <c r="C455"/>
  <c r="Z385"/>
  <c r="AA385" s="1"/>
  <c r="AB385" s="1"/>
  <c r="AC385" s="1"/>
  <c r="Z231"/>
  <c r="AA231" s="1"/>
  <c r="AB231" s="1"/>
  <c r="AC231" s="1"/>
  <c r="Z179"/>
  <c r="AA179" s="1"/>
  <c r="AB179" s="1"/>
  <c r="AC179" s="1"/>
  <c r="Z154"/>
  <c r="AA154" s="1"/>
  <c r="AB154" s="1"/>
  <c r="AC154" s="1"/>
  <c r="Z86"/>
  <c r="AA86" s="1"/>
  <c r="AB86" s="1"/>
  <c r="AC86" s="1"/>
  <c r="Z15"/>
  <c r="AA15" s="1"/>
  <c r="AB15" s="1"/>
  <c r="AC15" s="1"/>
  <c r="Z423"/>
  <c r="AA423" s="1"/>
  <c r="AB423" s="1"/>
  <c r="AC423" s="1"/>
  <c r="Z455"/>
  <c r="AA455" s="1"/>
  <c r="AB455" s="1"/>
  <c r="AC455" s="1"/>
  <c r="C68"/>
  <c r="C65"/>
  <c r="C149"/>
  <c r="C129"/>
  <c r="C203"/>
  <c r="Z68"/>
  <c r="AA68" s="1"/>
  <c r="Z65"/>
  <c r="AA65" s="1"/>
  <c r="Z149"/>
  <c r="AA149" s="1"/>
  <c r="AB149" s="1"/>
  <c r="Z129"/>
  <c r="AA129" s="1"/>
  <c r="AB129" s="1"/>
  <c r="Z203"/>
  <c r="AA203" s="1"/>
  <c r="C211"/>
  <c r="C327"/>
  <c r="Z211"/>
  <c r="AA211" s="1"/>
  <c r="AB211" s="1"/>
  <c r="Z327"/>
  <c r="AA327" s="1"/>
  <c r="AB327" s="1"/>
  <c r="C475"/>
  <c r="C474"/>
  <c r="C479"/>
  <c r="C64"/>
  <c r="C60"/>
  <c r="Z475"/>
  <c r="AA475" s="1"/>
  <c r="AB475" s="1"/>
  <c r="AC475" s="1"/>
  <c r="Z474"/>
  <c r="AA474" s="1"/>
  <c r="AB474" s="1"/>
  <c r="Z479"/>
  <c r="AA479" s="1"/>
  <c r="AB479" s="1"/>
  <c r="Z64"/>
  <c r="AA64" s="1"/>
  <c r="AB64" s="1"/>
  <c r="Z60"/>
  <c r="AA60" s="1"/>
  <c r="AB60" s="1"/>
  <c r="AC60" s="1"/>
  <c r="C148"/>
  <c r="C135"/>
  <c r="C165"/>
  <c r="C166"/>
  <c r="C22"/>
  <c r="C297"/>
  <c r="C316"/>
  <c r="C124"/>
  <c r="C121"/>
  <c r="Z148"/>
  <c r="AA148" s="1"/>
  <c r="AB148" s="1"/>
  <c r="Z135"/>
  <c r="AA135" s="1"/>
  <c r="AB135" s="1"/>
  <c r="Z165"/>
  <c r="AA165" s="1"/>
  <c r="AB165" s="1"/>
  <c r="Z166"/>
  <c r="AA166" s="1"/>
  <c r="AB166" s="1"/>
  <c r="Z22"/>
  <c r="AA22" s="1"/>
  <c r="AB22" s="1"/>
  <c r="Z297"/>
  <c r="AA297" s="1"/>
  <c r="AB297" s="1"/>
  <c r="Z316"/>
  <c r="AA316" s="1"/>
  <c r="AB316" s="1"/>
  <c r="Z124"/>
  <c r="AA124" s="1"/>
  <c r="AB124" s="1"/>
  <c r="Z121"/>
  <c r="AA121" s="1"/>
  <c r="AB121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24" i="1"/>
  <c r="C247"/>
  <c r="C126"/>
  <c r="C291"/>
  <c r="C134"/>
  <c r="C215"/>
  <c r="C100"/>
  <c r="C250"/>
  <c r="C187"/>
  <c r="C76"/>
  <c r="Z224"/>
  <c r="AA224" s="1"/>
  <c r="AB224" s="1"/>
  <c r="Z247"/>
  <c r="AA247" s="1"/>
  <c r="AB247" s="1"/>
  <c r="Z126"/>
  <c r="AA126" s="1"/>
  <c r="AB126" s="1"/>
  <c r="Z291"/>
  <c r="AA291" s="1"/>
  <c r="AB291" s="1"/>
  <c r="AC291" s="1"/>
  <c r="Z134"/>
  <c r="AA134" s="1"/>
  <c r="AB134" s="1"/>
  <c r="Z215"/>
  <c r="AA215" s="1"/>
  <c r="AB215" s="1"/>
  <c r="Z100"/>
  <c r="AA100" s="1"/>
  <c r="AB100" s="1"/>
  <c r="Z250"/>
  <c r="AA250" s="1"/>
  <c r="AB250" s="1"/>
  <c r="Z187"/>
  <c r="AA187" s="1"/>
  <c r="AB187" s="1"/>
  <c r="Z76"/>
  <c r="AA76" s="1"/>
  <c r="AB76" s="1"/>
  <c r="C200"/>
  <c r="Z200"/>
  <c r="AA200" s="1"/>
  <c r="AB200" s="1"/>
  <c r="AC200" s="1"/>
  <c r="C241"/>
  <c r="Z241"/>
  <c r="AA241" s="1"/>
  <c r="AB241" s="1"/>
  <c r="AC241" s="1"/>
  <c r="C174"/>
  <c r="Z174"/>
  <c r="AA174" s="1"/>
  <c r="AB174" s="1"/>
  <c r="AC174" s="1"/>
  <c r="C426"/>
  <c r="Z426"/>
  <c r="AA426" s="1"/>
  <c r="AB426" s="1"/>
  <c r="AC426" s="1"/>
  <c r="C242"/>
  <c r="Z242"/>
  <c r="AA242" s="1"/>
  <c r="AB242" s="1"/>
  <c r="AC242" s="1"/>
  <c r="C286"/>
  <c r="Z286"/>
  <c r="AA286" s="1"/>
  <c r="AB286" s="1"/>
  <c r="C322"/>
  <c r="Z322"/>
  <c r="AA322" s="1"/>
  <c r="AB322" s="1"/>
  <c r="AC322" s="1"/>
  <c r="C175"/>
  <c r="Z175"/>
  <c r="AA175" s="1"/>
  <c r="AB175" s="1"/>
  <c r="C519"/>
  <c r="Z519"/>
  <c r="AA519" s="1"/>
  <c r="AB519" s="1"/>
  <c r="AC519" s="1"/>
  <c r="C513"/>
  <c r="Z513"/>
  <c r="AA513" s="1"/>
  <c r="AB513" s="1"/>
  <c r="AC513" s="1"/>
  <c r="C132"/>
  <c r="Z132"/>
  <c r="AA132" s="1"/>
  <c r="AB132" s="1"/>
  <c r="C87"/>
  <c r="Z87"/>
  <c r="AA87" s="1"/>
  <c r="AB87" s="1"/>
  <c r="C92"/>
  <c r="Z92"/>
  <c r="AA92" s="1"/>
  <c r="AB92" s="1"/>
  <c r="AC92" s="1"/>
  <c r="C88"/>
  <c r="Z88"/>
  <c r="AA88" s="1"/>
  <c r="AB88"/>
  <c r="AC88" s="1"/>
  <c r="C328"/>
  <c r="Z328"/>
  <c r="AA328" s="1"/>
  <c r="AB328" s="1"/>
  <c r="C495"/>
  <c r="Z495"/>
  <c r="AA495" s="1"/>
  <c r="AB495" s="1"/>
  <c r="AC495" s="1"/>
  <c r="C499"/>
  <c r="Z499"/>
  <c r="AA499" s="1"/>
  <c r="AB499" s="1"/>
  <c r="C21"/>
  <c r="Z21"/>
  <c r="AA21" s="1"/>
  <c r="AB21" s="1"/>
  <c r="AC21" s="1"/>
  <c r="C504"/>
  <c r="Z504"/>
  <c r="AA504" s="1"/>
  <c r="AB504" s="1"/>
  <c r="AC504" s="1"/>
  <c r="C509"/>
  <c r="Z509"/>
  <c r="AA509" s="1"/>
  <c r="AB509" s="1"/>
  <c r="AC509" s="1"/>
  <c r="C370"/>
  <c r="Z370"/>
  <c r="AA370" s="1"/>
  <c r="AB370" s="1"/>
  <c r="AC370" s="1"/>
  <c r="C359"/>
  <c r="Z359"/>
  <c r="AA359" s="1"/>
  <c r="AB359" s="1"/>
  <c r="C425"/>
  <c r="Z425"/>
  <c r="AA425" s="1"/>
  <c r="AB425" s="1"/>
  <c r="AC425" s="1"/>
  <c r="C235"/>
  <c r="Z235"/>
  <c r="AA235" s="1"/>
  <c r="AB235"/>
  <c r="AC235" s="1"/>
  <c r="C454"/>
  <c r="Z454"/>
  <c r="AA454" s="1"/>
  <c r="AB454" s="1"/>
  <c r="C354"/>
  <c r="Z354"/>
  <c r="AA354" s="1"/>
  <c r="AB354" s="1"/>
  <c r="K1102" i="19" l="1"/>
  <c r="K1110"/>
  <c r="K1109"/>
  <c r="K1108"/>
  <c r="K1128"/>
  <c r="K1127"/>
  <c r="K1126"/>
  <c r="K1125"/>
  <c r="K1124"/>
  <c r="K1123"/>
  <c r="K1122"/>
  <c r="K1121"/>
  <c r="K1120"/>
  <c r="K1119"/>
  <c r="K1118"/>
  <c r="K1117"/>
  <c r="K1116"/>
  <c r="K1115"/>
  <c r="K1114"/>
  <c r="K1113"/>
  <c r="K1112"/>
  <c r="K1111"/>
  <c r="K1131"/>
  <c r="K1130"/>
  <c r="K1129"/>
  <c r="M658"/>
  <c r="M657"/>
  <c r="M656"/>
  <c r="M655"/>
  <c r="M654"/>
  <c r="M653"/>
  <c r="M652"/>
  <c r="M651"/>
  <c r="M650"/>
  <c r="M648"/>
  <c r="M646"/>
  <c r="M1081"/>
  <c r="M1080"/>
  <c r="M1083"/>
  <c r="M1082"/>
  <c r="M1085"/>
  <c r="M1084"/>
  <c r="M1087"/>
  <c r="M1086"/>
  <c r="M1092"/>
  <c r="M1091"/>
  <c r="M1090"/>
  <c r="M1089"/>
  <c r="M1088"/>
  <c r="M1095"/>
  <c r="M1094"/>
  <c r="M1093"/>
  <c r="M1098"/>
  <c r="M1097"/>
  <c r="M1096"/>
  <c r="M1101"/>
  <c r="M1100"/>
  <c r="L1102"/>
  <c r="X1102"/>
  <c r="K1107"/>
  <c r="K1106"/>
  <c r="K1105"/>
  <c r="K1104"/>
  <c r="K1103"/>
  <c r="K1096"/>
  <c r="K1101"/>
  <c r="K1100"/>
  <c r="K1099"/>
  <c r="L1096"/>
  <c r="X1096"/>
  <c r="K1098"/>
  <c r="K1097"/>
  <c r="K1088"/>
  <c r="X1088" s="1"/>
  <c r="K1095"/>
  <c r="K1094"/>
  <c r="K1093"/>
  <c r="K1087"/>
  <c r="K1086"/>
  <c r="K1092"/>
  <c r="K1091"/>
  <c r="X1091" s="1"/>
  <c r="K1090"/>
  <c r="X1090" s="1"/>
  <c r="K1089"/>
  <c r="X1089" s="1"/>
  <c r="K1084"/>
  <c r="L1084"/>
  <c r="X1084"/>
  <c r="K645"/>
  <c r="K1081"/>
  <c r="K1080"/>
  <c r="K1083"/>
  <c r="X1083" s="1"/>
  <c r="K1082"/>
  <c r="X1082" s="1"/>
  <c r="K1085"/>
  <c r="L645"/>
  <c r="X645"/>
  <c r="K1042"/>
  <c r="K658"/>
  <c r="K657"/>
  <c r="K656"/>
  <c r="X656" s="1"/>
  <c r="K655"/>
  <c r="X655" s="1"/>
  <c r="K654"/>
  <c r="K653"/>
  <c r="K652"/>
  <c r="K651"/>
  <c r="K650"/>
  <c r="X650" s="1"/>
  <c r="K649"/>
  <c r="X649" s="1"/>
  <c r="K648"/>
  <c r="K647"/>
  <c r="K646"/>
  <c r="L1042"/>
  <c r="X1042"/>
  <c r="K1048"/>
  <c r="K1043"/>
  <c r="L1048"/>
  <c r="X1048"/>
  <c r="K1049"/>
  <c r="K1054"/>
  <c r="L1054"/>
  <c r="X1054"/>
  <c r="K1055"/>
  <c r="K1038"/>
  <c r="K1041"/>
  <c r="L1038"/>
  <c r="X1038"/>
  <c r="K1033"/>
  <c r="X1033" s="1"/>
  <c r="K948"/>
  <c r="K1036"/>
  <c r="X1036" s="1"/>
  <c r="K938"/>
  <c r="X938" s="1"/>
  <c r="K950"/>
  <c r="X950" s="1"/>
  <c r="K1030"/>
  <c r="X1030" s="1"/>
  <c r="K1029"/>
  <c r="X1029" s="1"/>
  <c r="K962"/>
  <c r="K1018"/>
  <c r="K1017"/>
  <c r="K974"/>
  <c r="K1006"/>
  <c r="K1005"/>
  <c r="K989"/>
  <c r="K994"/>
  <c r="K993"/>
  <c r="K1001"/>
  <c r="K979"/>
  <c r="K978"/>
  <c r="K1010"/>
  <c r="K967"/>
  <c r="K966"/>
  <c r="K1019"/>
  <c r="K958"/>
  <c r="K957"/>
  <c r="L948"/>
  <c r="X948"/>
  <c r="K1031"/>
  <c r="K949"/>
  <c r="K936"/>
  <c r="L936"/>
  <c r="X936"/>
  <c r="K1035"/>
  <c r="K937"/>
  <c r="K908"/>
  <c r="K922"/>
  <c r="K935"/>
  <c r="L935" s="1"/>
  <c r="K934"/>
  <c r="L934" s="1"/>
  <c r="K931"/>
  <c r="K930"/>
  <c r="L922"/>
  <c r="K923"/>
  <c r="L908"/>
  <c r="K909"/>
  <c r="K899"/>
  <c r="L899"/>
  <c r="K897"/>
  <c r="K898"/>
  <c r="K872"/>
  <c r="L872"/>
  <c r="K870"/>
  <c r="K873"/>
  <c r="K842"/>
  <c r="K853"/>
  <c r="K852"/>
  <c r="K851"/>
  <c r="L842"/>
  <c r="K844"/>
  <c r="K843"/>
  <c r="K835"/>
  <c r="K838"/>
  <c r="L835"/>
  <c r="K829"/>
  <c r="L829" s="1"/>
  <c r="K832"/>
  <c r="K825"/>
  <c r="L825" s="1"/>
  <c r="K822"/>
  <c r="L822" s="1"/>
  <c r="K827"/>
  <c r="L827" s="1"/>
  <c r="K826"/>
  <c r="L826" s="1"/>
  <c r="K791"/>
  <c r="L791" s="1"/>
  <c r="K790"/>
  <c r="L790" s="1"/>
  <c r="K789"/>
  <c r="L789" s="1"/>
  <c r="K809"/>
  <c r="L809" s="1"/>
  <c r="K807"/>
  <c r="L807" s="1"/>
  <c r="K808"/>
  <c r="L808" s="1"/>
  <c r="K824"/>
  <c r="L824" s="1"/>
  <c r="K823"/>
  <c r="L823" s="1"/>
  <c r="K773"/>
  <c r="K776"/>
  <c r="L776" s="1"/>
  <c r="K775"/>
  <c r="L775" s="1"/>
  <c r="K774"/>
  <c r="K770"/>
  <c r="L770" s="1"/>
  <c r="K772"/>
  <c r="L772" s="1"/>
  <c r="K771"/>
  <c r="L771" s="1"/>
  <c r="K769"/>
  <c r="L769" s="1"/>
  <c r="K743"/>
  <c r="L743" s="1"/>
  <c r="K758"/>
  <c r="L758" s="1"/>
  <c r="K757"/>
  <c r="L757" s="1"/>
  <c r="K766"/>
  <c r="K765"/>
  <c r="L765" s="1"/>
  <c r="K768"/>
  <c r="L768" s="1"/>
  <c r="K767"/>
  <c r="L767" s="1"/>
  <c r="K744"/>
  <c r="L744" s="1"/>
  <c r="K728"/>
  <c r="L728" s="1"/>
  <c r="K725"/>
  <c r="L725" s="1"/>
  <c r="K730"/>
  <c r="L730" s="1"/>
  <c r="K729"/>
  <c r="L729" s="1"/>
  <c r="K727"/>
  <c r="L727" s="1"/>
  <c r="K726"/>
  <c r="L726" s="1"/>
  <c r="K143"/>
  <c r="L143" s="1"/>
  <c r="K724"/>
  <c r="L724" s="1"/>
  <c r="K723"/>
  <c r="L723" s="1"/>
  <c r="K722"/>
  <c r="L722" s="1"/>
  <c r="K145"/>
  <c r="L145" s="1"/>
  <c r="K144"/>
  <c r="L144" s="1"/>
  <c r="K721"/>
  <c r="L721" s="1"/>
  <c r="K719"/>
  <c r="L719" s="1"/>
  <c r="K720"/>
  <c r="L720" s="1"/>
  <c r="K308"/>
  <c r="L308" s="1"/>
  <c r="K718"/>
  <c r="L718" s="1"/>
  <c r="K715"/>
  <c r="L715" s="1"/>
  <c r="K717"/>
  <c r="L717" s="1"/>
  <c r="K716"/>
  <c r="L716" s="1"/>
  <c r="K700"/>
  <c r="L700" s="1"/>
  <c r="K699"/>
  <c r="L699" s="1"/>
  <c r="K692"/>
  <c r="L692" s="1"/>
  <c r="K691"/>
  <c r="L691" s="1"/>
  <c r="K687"/>
  <c r="L687" s="1"/>
  <c r="K494"/>
  <c r="L494" s="1"/>
  <c r="K688"/>
  <c r="L688" s="1"/>
  <c r="K681"/>
  <c r="L681" s="1"/>
  <c r="K683"/>
  <c r="L683" s="1"/>
  <c r="K685"/>
  <c r="L685" s="1"/>
  <c r="K684"/>
  <c r="L684" s="1"/>
  <c r="K689"/>
  <c r="L689" s="1"/>
  <c r="K493"/>
  <c r="L493" s="1"/>
  <c r="K492"/>
  <c r="L492" s="1"/>
  <c r="K686"/>
  <c r="L686" s="1"/>
  <c r="K682"/>
  <c r="L682" s="1"/>
  <c r="K675"/>
  <c r="K680"/>
  <c r="K679"/>
  <c r="K678"/>
  <c r="K677"/>
  <c r="K676"/>
  <c r="K666"/>
  <c r="L666" s="1"/>
  <c r="K671"/>
  <c r="L671" s="1"/>
  <c r="K670"/>
  <c r="L670" s="1"/>
  <c r="K669"/>
  <c r="L669" s="1"/>
  <c r="K668"/>
  <c r="L668" s="1"/>
  <c r="K667"/>
  <c r="L667" s="1"/>
  <c r="K1078"/>
  <c r="L1078" s="1"/>
  <c r="K9"/>
  <c r="L9" s="1"/>
  <c r="K1079"/>
  <c r="L1079" s="1"/>
  <c r="K1073"/>
  <c r="L1073" s="1"/>
  <c r="K1072"/>
  <c r="L1072" s="1"/>
  <c r="K1067"/>
  <c r="L1067" s="1"/>
  <c r="K1066"/>
  <c r="L1066" s="1"/>
  <c r="K1059"/>
  <c r="L1059" s="1"/>
  <c r="K1058"/>
  <c r="L1058" s="1"/>
  <c r="K640"/>
  <c r="L640" s="1"/>
  <c r="K639"/>
  <c r="L639" s="1"/>
  <c r="K636"/>
  <c r="L636" s="1"/>
  <c r="K635"/>
  <c r="L635" s="1"/>
  <c r="K632"/>
  <c r="L632" s="1"/>
  <c r="K631"/>
  <c r="L631" s="1"/>
  <c r="K628"/>
  <c r="L628" s="1"/>
  <c r="K626"/>
  <c r="L626" s="1"/>
  <c r="K625"/>
  <c r="L625" s="1"/>
  <c r="K620"/>
  <c r="L620" s="1"/>
  <c r="K616"/>
  <c r="L616" s="1"/>
  <c r="K613"/>
  <c r="L613" s="1"/>
  <c r="K612"/>
  <c r="L612" s="1"/>
  <c r="K611"/>
  <c r="L611" s="1"/>
  <c r="K607"/>
  <c r="L607" s="1"/>
  <c r="K606"/>
  <c r="L606" s="1"/>
  <c r="K605"/>
  <c r="L605" s="1"/>
  <c r="K601"/>
  <c r="L601" s="1"/>
  <c r="K600"/>
  <c r="L600" s="1"/>
  <c r="K599"/>
  <c r="L599" s="1"/>
  <c r="K595"/>
  <c r="L595" s="1"/>
  <c r="K594"/>
  <c r="L594" s="1"/>
  <c r="K593"/>
  <c r="L593" s="1"/>
  <c r="K589"/>
  <c r="L589" s="1"/>
  <c r="K588"/>
  <c r="L588" s="1"/>
  <c r="K587"/>
  <c r="L587" s="1"/>
  <c r="K585"/>
  <c r="L585" s="1"/>
  <c r="K584"/>
  <c r="L584" s="1"/>
  <c r="K582"/>
  <c r="L582" s="1"/>
  <c r="K581"/>
  <c r="L581" s="1"/>
  <c r="K580"/>
  <c r="L580" s="1"/>
  <c r="K579"/>
  <c r="L579" s="1"/>
  <c r="K577"/>
  <c r="L577" s="1"/>
  <c r="K576"/>
  <c r="L576" s="1"/>
  <c r="K575"/>
  <c r="L575" s="1"/>
  <c r="K566"/>
  <c r="L566" s="1"/>
  <c r="K556"/>
  <c r="L556" s="1"/>
  <c r="K547"/>
  <c r="L547" s="1"/>
  <c r="K542"/>
  <c r="L542" s="1"/>
  <c r="K541"/>
  <c r="L541" s="1"/>
  <c r="K540"/>
  <c r="L540" s="1"/>
  <c r="K539"/>
  <c r="L539" s="1"/>
  <c r="K538"/>
  <c r="L538" s="1"/>
  <c r="K537"/>
  <c r="L537" s="1"/>
  <c r="K530"/>
  <c r="L530" s="1"/>
  <c r="K528"/>
  <c r="L528" s="1"/>
  <c r="K526"/>
  <c r="L526" s="1"/>
  <c r="K524"/>
  <c r="L524" s="1"/>
  <c r="K523"/>
  <c r="L523" s="1"/>
  <c r="K522"/>
  <c r="L522" s="1"/>
  <c r="K520"/>
  <c r="L520" s="1"/>
  <c r="K517"/>
  <c r="K460"/>
  <c r="L460" s="1"/>
  <c r="K254"/>
  <c r="L254" s="1"/>
  <c r="K10"/>
  <c r="L10" s="1"/>
  <c r="N639"/>
  <c r="O639" s="1"/>
  <c r="U321" i="1"/>
  <c r="Y321"/>
  <c r="W321"/>
  <c r="U2"/>
  <c r="U308"/>
  <c r="U357"/>
  <c r="U428"/>
  <c r="U3"/>
  <c r="U4"/>
  <c r="U248"/>
  <c r="U162"/>
  <c r="U229"/>
  <c r="U30"/>
  <c r="U31"/>
  <c r="U272"/>
  <c r="U395"/>
  <c r="U399"/>
  <c r="U464"/>
  <c r="U244"/>
  <c r="U307"/>
  <c r="U320"/>
  <c r="U375"/>
  <c r="U372"/>
  <c r="U32"/>
  <c r="U33"/>
  <c r="U328"/>
  <c r="U381"/>
  <c r="U425"/>
  <c r="U341"/>
  <c r="U148"/>
  <c r="U135"/>
  <c r="U221"/>
  <c r="U471"/>
  <c r="U512"/>
  <c r="U5"/>
  <c r="U283"/>
  <c r="U85"/>
  <c r="U397"/>
  <c r="U441"/>
  <c r="U436"/>
  <c r="U211"/>
  <c r="U413"/>
  <c r="U481"/>
  <c r="U473"/>
  <c r="U290"/>
  <c r="U93"/>
  <c r="U91"/>
  <c r="U260"/>
  <c r="U477"/>
  <c r="U476"/>
  <c r="U253"/>
  <c r="U249"/>
  <c r="U289"/>
  <c r="U132"/>
  <c r="U314"/>
  <c r="U240"/>
  <c r="U118"/>
  <c r="U77"/>
  <c r="U520"/>
  <c r="U107"/>
  <c r="U114"/>
  <c r="U420"/>
  <c r="U433"/>
  <c r="U6"/>
  <c r="U236"/>
  <c r="U210"/>
  <c r="U7"/>
  <c r="U8"/>
  <c r="U351"/>
  <c r="U390"/>
  <c r="U478"/>
  <c r="U189"/>
  <c r="U190"/>
  <c r="U191"/>
  <c r="U176"/>
  <c r="U233"/>
  <c r="U181"/>
  <c r="U184"/>
  <c r="U347"/>
  <c r="U234"/>
  <c r="U230"/>
  <c r="U325"/>
  <c r="U355"/>
  <c r="U295"/>
  <c r="U382"/>
  <c r="U362"/>
  <c r="U319"/>
  <c r="U315"/>
  <c r="U313"/>
  <c r="U276"/>
  <c r="U430"/>
  <c r="U438"/>
  <c r="U419"/>
  <c r="U109"/>
  <c r="U115"/>
  <c r="U298"/>
  <c r="U513"/>
  <c r="U519"/>
  <c r="U9"/>
  <c r="U155"/>
  <c r="U154"/>
  <c r="U202"/>
  <c r="U10"/>
  <c r="U122"/>
  <c r="U57"/>
  <c r="U58"/>
  <c r="U68"/>
  <c r="U65"/>
  <c r="U387"/>
  <c r="U360"/>
  <c r="U117"/>
  <c r="U337"/>
  <c r="U402"/>
  <c r="U369"/>
  <c r="U292"/>
  <c r="U301"/>
  <c r="U434"/>
  <c r="U457"/>
  <c r="U34"/>
  <c r="U119"/>
  <c r="U140"/>
  <c r="U508"/>
  <c r="U125"/>
  <c r="U120"/>
  <c r="U106"/>
  <c r="U94"/>
  <c r="U415"/>
  <c r="U377"/>
  <c r="U379"/>
  <c r="U383"/>
  <c r="U407"/>
  <c r="U408"/>
  <c r="U490"/>
  <c r="U489"/>
  <c r="U359"/>
  <c r="U370"/>
  <c r="U500"/>
  <c r="U245"/>
  <c r="U336"/>
  <c r="U11"/>
  <c r="U169"/>
  <c r="U470"/>
  <c r="U350"/>
  <c r="U333"/>
  <c r="U330"/>
  <c r="U486"/>
  <c r="U468"/>
  <c r="U463"/>
  <c r="U12"/>
  <c r="U518"/>
  <c r="U364"/>
  <c r="U391"/>
  <c r="U446"/>
  <c r="U427"/>
  <c r="U175"/>
  <c r="U353"/>
  <c r="U201"/>
  <c r="U188"/>
  <c r="U405"/>
  <c r="U447"/>
  <c r="U448"/>
  <c r="U460"/>
  <c r="U462"/>
  <c r="U288"/>
  <c r="U278"/>
  <c r="U294"/>
  <c r="U282"/>
  <c r="U385"/>
  <c r="U231"/>
  <c r="U179"/>
  <c r="U421"/>
  <c r="U141"/>
  <c r="U102"/>
  <c r="U153"/>
  <c r="U157"/>
  <c r="U212"/>
  <c r="U232"/>
  <c r="U13"/>
  <c r="U339"/>
  <c r="U322"/>
  <c r="U332"/>
  <c r="U14"/>
  <c r="U271"/>
  <c r="U491"/>
  <c r="U263"/>
  <c r="U286"/>
  <c r="U304"/>
  <c r="U216"/>
  <c r="U228"/>
  <c r="U222"/>
  <c r="U86"/>
  <c r="U15"/>
  <c r="U303"/>
  <c r="U439"/>
  <c r="U195"/>
  <c r="U440"/>
  <c r="U417"/>
  <c r="U251"/>
  <c r="U254"/>
  <c r="U324"/>
  <c r="U456"/>
  <c r="U487"/>
  <c r="U128"/>
  <c r="U139"/>
  <c r="U403"/>
  <c r="U365"/>
  <c r="U280"/>
  <c r="U284"/>
  <c r="U225"/>
  <c r="U410"/>
  <c r="U287"/>
  <c r="U345"/>
  <c r="U261"/>
  <c r="U42"/>
  <c r="U227"/>
  <c r="U398"/>
  <c r="U281"/>
  <c r="U142"/>
  <c r="U302"/>
  <c r="U161"/>
  <c r="U147"/>
  <c r="U348"/>
  <c r="U43"/>
  <c r="U44"/>
  <c r="U393"/>
  <c r="U214"/>
  <c r="U78"/>
  <c r="U273"/>
  <c r="U246"/>
  <c r="U219"/>
  <c r="U242"/>
  <c r="U426"/>
  <c r="U503"/>
  <c r="U424"/>
  <c r="U388"/>
  <c r="U305"/>
  <c r="U16"/>
  <c r="U416"/>
  <c r="U146"/>
  <c r="U130"/>
  <c r="U392"/>
  <c r="U205"/>
  <c r="U143"/>
  <c r="U498"/>
  <c r="U493"/>
  <c r="U343"/>
  <c r="U366"/>
  <c r="U174"/>
  <c r="U311"/>
  <c r="U340"/>
  <c r="U334"/>
  <c r="U371"/>
  <c r="U17"/>
  <c r="U299"/>
  <c r="U318"/>
  <c r="U96"/>
  <c r="U18"/>
  <c r="U257"/>
  <c r="U69"/>
  <c r="U422"/>
  <c r="U194"/>
  <c r="U192"/>
  <c r="U453"/>
  <c r="U54"/>
  <c r="U239"/>
  <c r="U406"/>
  <c r="U53"/>
  <c r="U52"/>
  <c r="U171"/>
  <c r="U455"/>
  <c r="U480"/>
  <c r="U469"/>
  <c r="U76"/>
  <c r="U243"/>
  <c r="U429"/>
  <c r="U51"/>
  <c r="U168"/>
  <c r="U306"/>
  <c r="U285"/>
  <c r="U270"/>
  <c r="U90"/>
  <c r="U103"/>
  <c r="U99"/>
  <c r="U492"/>
  <c r="U199"/>
  <c r="U358"/>
  <c r="U323"/>
  <c r="U411"/>
  <c r="U482"/>
  <c r="U187"/>
  <c r="U264"/>
  <c r="U56"/>
  <c r="U55"/>
  <c r="U461"/>
  <c r="U510"/>
  <c r="U48"/>
  <c r="U312"/>
  <c r="U80"/>
  <c r="U79"/>
  <c r="U75"/>
  <c r="U374"/>
  <c r="U144"/>
  <c r="U108"/>
  <c r="U47"/>
  <c r="U98"/>
  <c r="U46"/>
  <c r="U183"/>
  <c r="U159"/>
  <c r="U208"/>
  <c r="U344"/>
  <c r="U250"/>
  <c r="U60"/>
  <c r="U64"/>
  <c r="U458"/>
  <c r="U50"/>
  <c r="U49"/>
  <c r="U386"/>
  <c r="U258"/>
  <c r="U277"/>
  <c r="U198"/>
  <c r="U121"/>
  <c r="U124"/>
  <c r="U41"/>
  <c r="U40"/>
  <c r="U342"/>
  <c r="U39"/>
  <c r="U38"/>
  <c r="U356"/>
  <c r="U378"/>
  <c r="U87"/>
  <c r="U92"/>
  <c r="U88"/>
  <c r="U479"/>
  <c r="U474"/>
  <c r="U475"/>
  <c r="U170"/>
  <c r="U113"/>
  <c r="U152"/>
  <c r="U300"/>
  <c r="U444"/>
  <c r="U396"/>
  <c r="U414"/>
  <c r="U368"/>
  <c r="U293"/>
  <c r="U37"/>
  <c r="U207"/>
  <c r="U131"/>
  <c r="U100"/>
  <c r="U215"/>
  <c r="U507"/>
  <c r="U501"/>
  <c r="U167"/>
  <c r="U36"/>
  <c r="U466"/>
  <c r="U404"/>
  <c r="U226"/>
  <c r="U265"/>
  <c r="U71"/>
  <c r="U67"/>
  <c r="U317"/>
  <c r="U445"/>
  <c r="U35"/>
  <c r="U134"/>
  <c r="U83"/>
  <c r="U82"/>
  <c r="U158"/>
  <c r="U223"/>
  <c r="U173"/>
  <c r="U220"/>
  <c r="U45"/>
  <c r="U517"/>
  <c r="U472"/>
  <c r="U74"/>
  <c r="U63"/>
  <c r="U454"/>
  <c r="U112"/>
  <c r="U110"/>
  <c r="U218"/>
  <c r="U291"/>
  <c r="U59"/>
  <c r="U62"/>
  <c r="U262"/>
  <c r="U252"/>
  <c r="U182"/>
  <c r="U177"/>
  <c r="U373"/>
  <c r="U401"/>
  <c r="U267"/>
  <c r="U497"/>
  <c r="U29"/>
  <c r="U127"/>
  <c r="U156"/>
  <c r="U203"/>
  <c r="U459"/>
  <c r="U259"/>
  <c r="U296"/>
  <c r="U28"/>
  <c r="U160"/>
  <c r="U209"/>
  <c r="U204"/>
  <c r="U515"/>
  <c r="U516"/>
  <c r="U172"/>
  <c r="U89"/>
  <c r="U256"/>
  <c r="U27"/>
  <c r="U376"/>
  <c r="U331"/>
  <c r="U326"/>
  <c r="U450"/>
  <c r="U449"/>
  <c r="U126"/>
  <c r="U511"/>
  <c r="U502"/>
  <c r="U394"/>
  <c r="U384"/>
  <c r="U26"/>
  <c r="U180"/>
  <c r="U186"/>
  <c r="U25"/>
  <c r="U274"/>
  <c r="U136"/>
  <c r="U437"/>
  <c r="U443"/>
  <c r="U465"/>
  <c r="U346"/>
  <c r="U24"/>
  <c r="U412"/>
  <c r="U133"/>
  <c r="U197"/>
  <c r="U23"/>
  <c r="U483"/>
  <c r="U361"/>
  <c r="U496"/>
  <c r="U66"/>
  <c r="U95"/>
  <c r="U432"/>
  <c r="U435"/>
  <c r="U247"/>
  <c r="U193"/>
  <c r="U514"/>
  <c r="U61"/>
  <c r="U279"/>
  <c r="U164"/>
  <c r="U137"/>
  <c r="U145"/>
  <c r="U423"/>
  <c r="U237"/>
  <c r="U97"/>
  <c r="U418"/>
  <c r="U269"/>
  <c r="U506"/>
  <c r="U316"/>
  <c r="U297"/>
  <c r="U22"/>
  <c r="U505"/>
  <c r="U213"/>
  <c r="U452"/>
  <c r="U485"/>
  <c r="U495"/>
  <c r="U327"/>
  <c r="U268"/>
  <c r="U116"/>
  <c r="U235"/>
  <c r="U166"/>
  <c r="U165"/>
  <c r="U488"/>
  <c r="U484"/>
  <c r="U363"/>
  <c r="U499"/>
  <c r="U21"/>
  <c r="U151"/>
  <c r="U150"/>
  <c r="U409"/>
  <c r="U185"/>
  <c r="U349"/>
  <c r="U329"/>
  <c r="U309"/>
  <c r="U310"/>
  <c r="U494"/>
  <c r="U467"/>
  <c r="U335"/>
  <c r="U380"/>
  <c r="U367"/>
  <c r="U200"/>
  <c r="U224"/>
  <c r="U255"/>
  <c r="U72"/>
  <c r="U81"/>
  <c r="U451"/>
  <c r="U442"/>
  <c r="U266"/>
  <c r="U275"/>
  <c r="U389"/>
  <c r="U73"/>
  <c r="U105"/>
  <c r="U111"/>
  <c r="U354"/>
  <c r="U104"/>
  <c r="U123"/>
  <c r="U178"/>
  <c r="U163"/>
  <c r="U196"/>
  <c r="U400"/>
  <c r="U217"/>
  <c r="U206"/>
  <c r="U238"/>
  <c r="U138"/>
  <c r="U352"/>
  <c r="U431"/>
  <c r="U84"/>
  <c r="U101"/>
  <c r="U20"/>
  <c r="U338"/>
  <c r="U19"/>
  <c r="U241"/>
  <c r="U129"/>
  <c r="U149"/>
  <c r="U504"/>
  <c r="U509"/>
  <c r="U70"/>
  <c r="W239"/>
  <c r="Y66"/>
  <c r="Y437"/>
  <c r="Y449"/>
  <c r="Y259"/>
  <c r="Y401"/>
  <c r="Y517"/>
  <c r="Y134"/>
  <c r="Y131"/>
  <c r="Y300"/>
  <c r="Y38"/>
  <c r="Y247"/>
  <c r="Y24"/>
  <c r="Y394"/>
  <c r="Y172"/>
  <c r="Y127"/>
  <c r="Y291"/>
  <c r="Y223"/>
  <c r="Y404"/>
  <c r="Y368"/>
  <c r="Y92"/>
  <c r="Y327"/>
  <c r="Y137"/>
  <c r="Y23"/>
  <c r="Y186"/>
  <c r="Y376"/>
  <c r="Y209"/>
  <c r="Y252"/>
  <c r="Y454"/>
  <c r="Y67"/>
  <c r="Y501"/>
  <c r="Y475"/>
  <c r="Y41"/>
  <c r="Y22"/>
  <c r="Y418"/>
  <c r="Y429"/>
  <c r="Y264"/>
  <c r="Y183"/>
  <c r="W481"/>
  <c r="Y453"/>
  <c r="Y285"/>
  <c r="Y510"/>
  <c r="Y250"/>
  <c r="Y53"/>
  <c r="Y99"/>
  <c r="Y79"/>
  <c r="Y50"/>
  <c r="Y162"/>
  <c r="Y480"/>
  <c r="Y323"/>
  <c r="Y108"/>
  <c r="Y277"/>
  <c r="Y244"/>
  <c r="Y165"/>
  <c r="Y21"/>
  <c r="Y329"/>
  <c r="Y335"/>
  <c r="Y255"/>
  <c r="Y275"/>
  <c r="Y354"/>
  <c r="Y196"/>
  <c r="Y84"/>
  <c r="Y257"/>
  <c r="Y205"/>
  <c r="Y214"/>
  <c r="Y410"/>
  <c r="Y439"/>
  <c r="Y13"/>
  <c r="Y460"/>
  <c r="Y486"/>
  <c r="Y383"/>
  <c r="Y369"/>
  <c r="Y519"/>
  <c r="Y325"/>
  <c r="Y210"/>
  <c r="Y253"/>
  <c r="Y5"/>
  <c r="Y422"/>
  <c r="Y54"/>
  <c r="Y52"/>
  <c r="Y469"/>
  <c r="Y51"/>
  <c r="Y270"/>
  <c r="Y492"/>
  <c r="Y411"/>
  <c r="Y56"/>
  <c r="Y48"/>
  <c r="Y75"/>
  <c r="Y47"/>
  <c r="Y159"/>
  <c r="Y60"/>
  <c r="Y49"/>
  <c r="Y198"/>
  <c r="Y40"/>
  <c r="Y356"/>
  <c r="Y88"/>
  <c r="Y170"/>
  <c r="Y444"/>
  <c r="Y293"/>
  <c r="Y100"/>
  <c r="Y167"/>
  <c r="Y226"/>
  <c r="Y317"/>
  <c r="Y83"/>
  <c r="Y173"/>
  <c r="Y472"/>
  <c r="Y112"/>
  <c r="Y59"/>
  <c r="Y182"/>
  <c r="Y267"/>
  <c r="Y156"/>
  <c r="Y296"/>
  <c r="Y204"/>
  <c r="Y89"/>
  <c r="Y331"/>
  <c r="Y126"/>
  <c r="Y384"/>
  <c r="Y25"/>
  <c r="Y443"/>
  <c r="Y412"/>
  <c r="Y483"/>
  <c r="Y95"/>
  <c r="Y514"/>
  <c r="Y145"/>
  <c r="Y269"/>
  <c r="Y213"/>
  <c r="Y268"/>
  <c r="Y488"/>
  <c r="Y150"/>
  <c r="Y309"/>
  <c r="Y380"/>
  <c r="Y81"/>
  <c r="Y389"/>
  <c r="Y104"/>
  <c r="Y206"/>
  <c r="Y338"/>
  <c r="Y299"/>
  <c r="Y416"/>
  <c r="Y348"/>
  <c r="Y365"/>
  <c r="Y222"/>
  <c r="Y153"/>
  <c r="Y188"/>
  <c r="Y470"/>
  <c r="Y94"/>
  <c r="Y360"/>
  <c r="Y109"/>
  <c r="Y184"/>
  <c r="Y433"/>
  <c r="Y91"/>
  <c r="Y135"/>
  <c r="Y272"/>
  <c r="Y194"/>
  <c r="Y239"/>
  <c r="Y171"/>
  <c r="Y76"/>
  <c r="Y168"/>
  <c r="Y90"/>
  <c r="Y199"/>
  <c r="Y482"/>
  <c r="Y55"/>
  <c r="Y312"/>
  <c r="Y374"/>
  <c r="Y98"/>
  <c r="Y208"/>
  <c r="Y64"/>
  <c r="Y386"/>
  <c r="Y121"/>
  <c r="Y342"/>
  <c r="Y378"/>
  <c r="Y479"/>
  <c r="Y113"/>
  <c r="Y396"/>
  <c r="Y37"/>
  <c r="Y215"/>
  <c r="Y36"/>
  <c r="Y265"/>
  <c r="Y445"/>
  <c r="Y82"/>
  <c r="Y220"/>
  <c r="Y74"/>
  <c r="Y110"/>
  <c r="Y62"/>
  <c r="Y177"/>
  <c r="Y497"/>
  <c r="Y203"/>
  <c r="Y28"/>
  <c r="Y515"/>
  <c r="Y256"/>
  <c r="Y326"/>
  <c r="Y511"/>
  <c r="Y26"/>
  <c r="Y274"/>
  <c r="Y465"/>
  <c r="Y133"/>
  <c r="Y361"/>
  <c r="Y432"/>
  <c r="Y61"/>
  <c r="Y423"/>
  <c r="Y316"/>
  <c r="Y452"/>
  <c r="Y116"/>
  <c r="Y363"/>
  <c r="Y409"/>
  <c r="Y310"/>
  <c r="Y200"/>
  <c r="Y451"/>
  <c r="Y73"/>
  <c r="Y178"/>
  <c r="Y238"/>
  <c r="Y19"/>
  <c r="Y340"/>
  <c r="Y424"/>
  <c r="Y142"/>
  <c r="Y487"/>
  <c r="Y286"/>
  <c r="Y179"/>
  <c r="Y427"/>
  <c r="Y245"/>
  <c r="Y508"/>
  <c r="Y58"/>
  <c r="Y276"/>
  <c r="Y191"/>
  <c r="Y520"/>
  <c r="Y481"/>
  <c r="Y381"/>
  <c r="Y2"/>
  <c r="Y3"/>
  <c r="Y229"/>
  <c r="Y395"/>
  <c r="Y307"/>
  <c r="Y32"/>
  <c r="Y425"/>
  <c r="Y221"/>
  <c r="Y283"/>
  <c r="Y436"/>
  <c r="Y473"/>
  <c r="Y260"/>
  <c r="Y249"/>
  <c r="Y240"/>
  <c r="Y107"/>
  <c r="Y6"/>
  <c r="Y7"/>
  <c r="Y478"/>
  <c r="Y176"/>
  <c r="Y347"/>
  <c r="Y355"/>
  <c r="Y319"/>
  <c r="Y430"/>
  <c r="Y115"/>
  <c r="Y9"/>
  <c r="Y10"/>
  <c r="Y68"/>
  <c r="Y117"/>
  <c r="Y292"/>
  <c r="Y34"/>
  <c r="Y125"/>
  <c r="Y415"/>
  <c r="Y407"/>
  <c r="Y359"/>
  <c r="Y336"/>
  <c r="Y350"/>
  <c r="Y468"/>
  <c r="Y364"/>
  <c r="Y175"/>
  <c r="Y405"/>
  <c r="Y462"/>
  <c r="Y282"/>
  <c r="Y421"/>
  <c r="Y157"/>
  <c r="Y339"/>
  <c r="Y271"/>
  <c r="Y304"/>
  <c r="Y86"/>
  <c r="Y195"/>
  <c r="Y254"/>
  <c r="Y128"/>
  <c r="Y280"/>
  <c r="Y287"/>
  <c r="Y227"/>
  <c r="Y302"/>
  <c r="Y43"/>
  <c r="Y78"/>
  <c r="Y242"/>
  <c r="Y388"/>
  <c r="Y146"/>
  <c r="Y143"/>
  <c r="Y366"/>
  <c r="Y334"/>
  <c r="Y318"/>
  <c r="Y69"/>
  <c r="Y149"/>
  <c r="Y308"/>
  <c r="Y4"/>
  <c r="Y30"/>
  <c r="Y399"/>
  <c r="Y320"/>
  <c r="Y33"/>
  <c r="Y341"/>
  <c r="Y471"/>
  <c r="Y85"/>
  <c r="Y211"/>
  <c r="Y290"/>
  <c r="Y477"/>
  <c r="Y289"/>
  <c r="Y118"/>
  <c r="Y114"/>
  <c r="Y236"/>
  <c r="Y8"/>
  <c r="Y189"/>
  <c r="Y233"/>
  <c r="Y234"/>
  <c r="Y295"/>
  <c r="Y315"/>
  <c r="Y438"/>
  <c r="Y298"/>
  <c r="Y155"/>
  <c r="Y122"/>
  <c r="Y65"/>
  <c r="Y337"/>
  <c r="Y301"/>
  <c r="Y119"/>
  <c r="Y120"/>
  <c r="Y377"/>
  <c r="Y408"/>
  <c r="Y370"/>
  <c r="Y11"/>
  <c r="Y333"/>
  <c r="Y463"/>
  <c r="Y391"/>
  <c r="Y353"/>
  <c r="Y447"/>
  <c r="Y288"/>
  <c r="Y385"/>
  <c r="Y141"/>
  <c r="Y212"/>
  <c r="Y322"/>
  <c r="Y491"/>
  <c r="Y216"/>
  <c r="Y15"/>
  <c r="Y440"/>
  <c r="Y324"/>
  <c r="Y139"/>
  <c r="Y284"/>
  <c r="Y345"/>
  <c r="Y398"/>
  <c r="Y161"/>
  <c r="Y44"/>
  <c r="Y273"/>
  <c r="Y426"/>
  <c r="Y305"/>
  <c r="Y130"/>
  <c r="Y498"/>
  <c r="Y174"/>
  <c r="Y371"/>
  <c r="Y96"/>
  <c r="Y70"/>
  <c r="Y129"/>
  <c r="Y20"/>
  <c r="Y352"/>
  <c r="Y217"/>
  <c r="Y357"/>
  <c r="Y248"/>
  <c r="Y31"/>
  <c r="Y464"/>
  <c r="Y375"/>
  <c r="Y328"/>
  <c r="Y148"/>
  <c r="Y512"/>
  <c r="Y397"/>
  <c r="Y413"/>
  <c r="Y93"/>
  <c r="Y476"/>
  <c r="Y132"/>
  <c r="Y77"/>
  <c r="Y420"/>
  <c r="Y351"/>
  <c r="Y190"/>
  <c r="Y181"/>
  <c r="Y230"/>
  <c r="Y382"/>
  <c r="Y313"/>
  <c r="Y419"/>
  <c r="Y513"/>
  <c r="Y154"/>
  <c r="Y57"/>
  <c r="Y387"/>
  <c r="Y402"/>
  <c r="Y434"/>
  <c r="Y140"/>
  <c r="Y106"/>
  <c r="Y379"/>
  <c r="Y490"/>
  <c r="Y500"/>
  <c r="Y169"/>
  <c r="Y330"/>
  <c r="Y12"/>
  <c r="Y446"/>
  <c r="Y201"/>
  <c r="Y448"/>
  <c r="Y278"/>
  <c r="Y231"/>
  <c r="Y102"/>
  <c r="Y232"/>
  <c r="Y332"/>
  <c r="Y263"/>
  <c r="Y228"/>
  <c r="Y303"/>
  <c r="Y417"/>
  <c r="Y456"/>
  <c r="Y403"/>
  <c r="Y225"/>
  <c r="Y261"/>
  <c r="Y281"/>
  <c r="Y147"/>
  <c r="Y393"/>
  <c r="Y246"/>
  <c r="Y503"/>
  <c r="Y16"/>
  <c r="Y392"/>
  <c r="Y493"/>
  <c r="Y311"/>
  <c r="Y17"/>
  <c r="Y18"/>
  <c r="Y509"/>
  <c r="Y241"/>
  <c r="Y101"/>
  <c r="Y138"/>
  <c r="Y400"/>
  <c r="Y123"/>
  <c r="Y105"/>
  <c r="Y266"/>
  <c r="Y72"/>
  <c r="Y367"/>
  <c r="Y494"/>
  <c r="Y349"/>
  <c r="Y151"/>
  <c r="Y484"/>
  <c r="Y235"/>
  <c r="Y495"/>
  <c r="Y505"/>
  <c r="Y506"/>
  <c r="Y237"/>
  <c r="Y164"/>
  <c r="Y193"/>
  <c r="Y192"/>
  <c r="Y406"/>
  <c r="Y455"/>
  <c r="Y243"/>
  <c r="Y306"/>
  <c r="Y103"/>
  <c r="Y358"/>
  <c r="Y187"/>
  <c r="Y461"/>
  <c r="Y80"/>
  <c r="Y144"/>
  <c r="Y46"/>
  <c r="Y344"/>
  <c r="Y458"/>
  <c r="Y258"/>
  <c r="Y124"/>
  <c r="Y39"/>
  <c r="Y87"/>
  <c r="Y474"/>
  <c r="Y152"/>
  <c r="Y414"/>
  <c r="Y207"/>
  <c r="Y507"/>
  <c r="Y466"/>
  <c r="Y71"/>
  <c r="Y35"/>
  <c r="Y158"/>
  <c r="Y45"/>
  <c r="Y63"/>
  <c r="Y218"/>
  <c r="Y262"/>
  <c r="Y373"/>
  <c r="Y29"/>
  <c r="Y459"/>
  <c r="Y160"/>
  <c r="Y516"/>
  <c r="Y27"/>
  <c r="Y450"/>
  <c r="Y502"/>
  <c r="Y180"/>
  <c r="Y136"/>
  <c r="Y346"/>
  <c r="Y197"/>
  <c r="Y496"/>
  <c r="Y435"/>
  <c r="Y279"/>
  <c r="Y97"/>
  <c r="Y297"/>
  <c r="Y485"/>
  <c r="Y166"/>
  <c r="Y499"/>
  <c r="Y185"/>
  <c r="Y467"/>
  <c r="Y224"/>
  <c r="Y442"/>
  <c r="Y111"/>
  <c r="Y163"/>
  <c r="Y431"/>
  <c r="Y504"/>
  <c r="Y343"/>
  <c r="Y219"/>
  <c r="Y42"/>
  <c r="Y251"/>
  <c r="Y14"/>
  <c r="Y294"/>
  <c r="Y518"/>
  <c r="Y489"/>
  <c r="Y457"/>
  <c r="Y202"/>
  <c r="Y362"/>
  <c r="Y390"/>
  <c r="Y314"/>
  <c r="Y441"/>
  <c r="Y372"/>
  <c r="Y428"/>
  <c r="W2"/>
  <c r="W3"/>
  <c r="W229"/>
  <c r="W395"/>
  <c r="W307"/>
  <c r="W32"/>
  <c r="W425"/>
  <c r="W221"/>
  <c r="W283"/>
  <c r="W436"/>
  <c r="W473"/>
  <c r="W260"/>
  <c r="W249"/>
  <c r="W240"/>
  <c r="W107"/>
  <c r="W6"/>
  <c r="W7"/>
  <c r="W478"/>
  <c r="W176"/>
  <c r="W347"/>
  <c r="W355"/>
  <c r="W319"/>
  <c r="W430"/>
  <c r="W115"/>
  <c r="W9"/>
  <c r="W10"/>
  <c r="W68"/>
  <c r="W117"/>
  <c r="W292"/>
  <c r="W34"/>
  <c r="W125"/>
  <c r="W415"/>
  <c r="W407"/>
  <c r="W359"/>
  <c r="W336"/>
  <c r="W350"/>
  <c r="W468"/>
  <c r="W364"/>
  <c r="W175"/>
  <c r="W405"/>
  <c r="W462"/>
  <c r="W282"/>
  <c r="W421"/>
  <c r="W157"/>
  <c r="W339"/>
  <c r="W271"/>
  <c r="W304"/>
  <c r="W86"/>
  <c r="W195"/>
  <c r="W254"/>
  <c r="W128"/>
  <c r="W280"/>
  <c r="W287"/>
  <c r="W227"/>
  <c r="W302"/>
  <c r="W43"/>
  <c r="W78"/>
  <c r="W242"/>
  <c r="W388"/>
  <c r="W146"/>
  <c r="W143"/>
  <c r="W366"/>
  <c r="W334"/>
  <c r="W318"/>
  <c r="W69"/>
  <c r="W149"/>
  <c r="W338"/>
  <c r="W431"/>
  <c r="W206"/>
  <c r="W163"/>
  <c r="W354"/>
  <c r="W389"/>
  <c r="W451"/>
  <c r="W224"/>
  <c r="W335"/>
  <c r="W309"/>
  <c r="W409"/>
  <c r="W499"/>
  <c r="W165"/>
  <c r="W268"/>
  <c r="W452"/>
  <c r="W297"/>
  <c r="W418"/>
  <c r="W145"/>
  <c r="W357"/>
  <c r="W248"/>
  <c r="W31"/>
  <c r="W464"/>
  <c r="W375"/>
  <c r="W328"/>
  <c r="W148"/>
  <c r="W512"/>
  <c r="W397"/>
  <c r="W413"/>
  <c r="W93"/>
  <c r="W476"/>
  <c r="W132"/>
  <c r="W77"/>
  <c r="W420"/>
  <c r="W351"/>
  <c r="W190"/>
  <c r="W181"/>
  <c r="W230"/>
  <c r="W382"/>
  <c r="W313"/>
  <c r="W419"/>
  <c r="W513"/>
  <c r="W154"/>
  <c r="W57"/>
  <c r="W387"/>
  <c r="W402"/>
  <c r="W434"/>
  <c r="W140"/>
  <c r="W106"/>
  <c r="W379"/>
  <c r="W490"/>
  <c r="W500"/>
  <c r="W169"/>
  <c r="W330"/>
  <c r="W12"/>
  <c r="W446"/>
  <c r="W201"/>
  <c r="W448"/>
  <c r="W278"/>
  <c r="W231"/>
  <c r="W102"/>
  <c r="W232"/>
  <c r="W332"/>
  <c r="W263"/>
  <c r="W228"/>
  <c r="W303"/>
  <c r="W417"/>
  <c r="W456"/>
  <c r="W403"/>
  <c r="W225"/>
  <c r="W261"/>
  <c r="W281"/>
  <c r="W147"/>
  <c r="W393"/>
  <c r="W246"/>
  <c r="W503"/>
  <c r="W16"/>
  <c r="W392"/>
  <c r="W493"/>
  <c r="W311"/>
  <c r="W17"/>
  <c r="W18"/>
  <c r="W509"/>
  <c r="W241"/>
  <c r="W101"/>
  <c r="W138"/>
  <c r="W400"/>
  <c r="W123"/>
  <c r="W105"/>
  <c r="W266"/>
  <c r="W72"/>
  <c r="W367"/>
  <c r="W494"/>
  <c r="W349"/>
  <c r="W151"/>
  <c r="W484"/>
  <c r="W235"/>
  <c r="W495"/>
  <c r="W505"/>
  <c r="W506"/>
  <c r="W237"/>
  <c r="W164"/>
  <c r="W193"/>
  <c r="W308"/>
  <c r="W30"/>
  <c r="W320"/>
  <c r="W341"/>
  <c r="W85"/>
  <c r="W290"/>
  <c r="W289"/>
  <c r="W114"/>
  <c r="W8"/>
  <c r="W233"/>
  <c r="W295"/>
  <c r="W438"/>
  <c r="W155"/>
  <c r="W65"/>
  <c r="W301"/>
  <c r="W120"/>
  <c r="W408"/>
  <c r="W11"/>
  <c r="W463"/>
  <c r="W353"/>
  <c r="W288"/>
  <c r="W141"/>
  <c r="W322"/>
  <c r="W216"/>
  <c r="W440"/>
  <c r="W139"/>
  <c r="W345"/>
  <c r="W161"/>
  <c r="W273"/>
  <c r="W305"/>
  <c r="W498"/>
  <c r="W371"/>
  <c r="W70"/>
  <c r="W20"/>
  <c r="W217"/>
  <c r="W111"/>
  <c r="W81"/>
  <c r="W467"/>
  <c r="W150"/>
  <c r="W166"/>
  <c r="W213"/>
  <c r="W97"/>
  <c r="W61"/>
  <c r="W432"/>
  <c r="W361"/>
  <c r="W133"/>
  <c r="W465"/>
  <c r="W274"/>
  <c r="W26"/>
  <c r="W511"/>
  <c r="W326"/>
  <c r="W256"/>
  <c r="W515"/>
  <c r="W28"/>
  <c r="W203"/>
  <c r="W497"/>
  <c r="W177"/>
  <c r="W62"/>
  <c r="W110"/>
  <c r="W74"/>
  <c r="W220"/>
  <c r="W82"/>
  <c r="W445"/>
  <c r="W265"/>
  <c r="W36"/>
  <c r="W215"/>
  <c r="W37"/>
  <c r="W396"/>
  <c r="W113"/>
  <c r="W479"/>
  <c r="W378"/>
  <c r="W342"/>
  <c r="W121"/>
  <c r="W386"/>
  <c r="W64"/>
  <c r="W208"/>
  <c r="W98"/>
  <c r="W374"/>
  <c r="W312"/>
  <c r="W55"/>
  <c r="W482"/>
  <c r="W428"/>
  <c r="W272"/>
  <c r="W372"/>
  <c r="W135"/>
  <c r="W441"/>
  <c r="W91"/>
  <c r="W314"/>
  <c r="W433"/>
  <c r="W390"/>
  <c r="W184"/>
  <c r="W362"/>
  <c r="W109"/>
  <c r="W202"/>
  <c r="W360"/>
  <c r="W457"/>
  <c r="W94"/>
  <c r="W489"/>
  <c r="W470"/>
  <c r="W518"/>
  <c r="W188"/>
  <c r="W294"/>
  <c r="W153"/>
  <c r="W14"/>
  <c r="W222"/>
  <c r="W251"/>
  <c r="W365"/>
  <c r="W42"/>
  <c r="W348"/>
  <c r="W219"/>
  <c r="W416"/>
  <c r="W343"/>
  <c r="W299"/>
  <c r="W504"/>
  <c r="W84"/>
  <c r="W196"/>
  <c r="W73"/>
  <c r="W255"/>
  <c r="W310"/>
  <c r="W21"/>
  <c r="W116"/>
  <c r="W22"/>
  <c r="W423"/>
  <c r="W514"/>
  <c r="W95"/>
  <c r="W483"/>
  <c r="W412"/>
  <c r="W443"/>
  <c r="W25"/>
  <c r="W384"/>
  <c r="W126"/>
  <c r="W331"/>
  <c r="W89"/>
  <c r="W204"/>
  <c r="W296"/>
  <c r="W156"/>
  <c r="W267"/>
  <c r="W182"/>
  <c r="W59"/>
  <c r="W112"/>
  <c r="W472"/>
  <c r="W173"/>
  <c r="W83"/>
  <c r="W317"/>
  <c r="W226"/>
  <c r="W167"/>
  <c r="W100"/>
  <c r="W293"/>
  <c r="W444"/>
  <c r="W170"/>
  <c r="W88"/>
  <c r="W356"/>
  <c r="W40"/>
  <c r="W198"/>
  <c r="W49"/>
  <c r="W60"/>
  <c r="W159"/>
  <c r="W47"/>
  <c r="W75"/>
  <c r="W48"/>
  <c r="W56"/>
  <c r="W411"/>
  <c r="W492"/>
  <c r="W270"/>
  <c r="W51"/>
  <c r="W469"/>
  <c r="W4"/>
  <c r="W399"/>
  <c r="W33"/>
  <c r="W471"/>
  <c r="W211"/>
  <c r="W477"/>
  <c r="W118"/>
  <c r="W236"/>
  <c r="W189"/>
  <c r="W234"/>
  <c r="W315"/>
  <c r="W298"/>
  <c r="W122"/>
  <c r="W337"/>
  <c r="W119"/>
  <c r="W377"/>
  <c r="W370"/>
  <c r="W333"/>
  <c r="W391"/>
  <c r="W447"/>
  <c r="W385"/>
  <c r="W212"/>
  <c r="W491"/>
  <c r="W15"/>
  <c r="W324"/>
  <c r="W284"/>
  <c r="W398"/>
  <c r="W44"/>
  <c r="W426"/>
  <c r="W130"/>
  <c r="W174"/>
  <c r="W96"/>
  <c r="W129"/>
  <c r="W352"/>
  <c r="W178"/>
  <c r="W275"/>
  <c r="W200"/>
  <c r="W329"/>
  <c r="W363"/>
  <c r="W327"/>
  <c r="W316"/>
  <c r="W137"/>
  <c r="W247"/>
  <c r="W66"/>
  <c r="W23"/>
  <c r="W24"/>
  <c r="W437"/>
  <c r="W186"/>
  <c r="W394"/>
  <c r="W449"/>
  <c r="W376"/>
  <c r="W172"/>
  <c r="W209"/>
  <c r="W259"/>
  <c r="W127"/>
  <c r="W401"/>
  <c r="W252"/>
  <c r="W291"/>
  <c r="W454"/>
  <c r="W517"/>
  <c r="W223"/>
  <c r="W134"/>
  <c r="W67"/>
  <c r="W404"/>
  <c r="W501"/>
  <c r="W131"/>
  <c r="W368"/>
  <c r="W300"/>
  <c r="W475"/>
  <c r="W92"/>
  <c r="W38"/>
  <c r="W41"/>
  <c r="W277"/>
  <c r="W50"/>
  <c r="W250"/>
  <c r="W183"/>
  <c r="W108"/>
  <c r="W79"/>
  <c r="W510"/>
  <c r="W264"/>
  <c r="W323"/>
  <c r="W99"/>
  <c r="W285"/>
  <c r="W429"/>
  <c r="W480"/>
  <c r="W53"/>
  <c r="W453"/>
  <c r="W162"/>
  <c r="W455"/>
  <c r="W306"/>
  <c r="W358"/>
  <c r="W144"/>
  <c r="W258"/>
  <c r="W474"/>
  <c r="W507"/>
  <c r="W158"/>
  <c r="W262"/>
  <c r="W160"/>
  <c r="W502"/>
  <c r="W197"/>
  <c r="W269"/>
  <c r="W380"/>
  <c r="W19"/>
  <c r="W424"/>
  <c r="W487"/>
  <c r="W179"/>
  <c r="W245"/>
  <c r="W58"/>
  <c r="W191"/>
  <c r="W194"/>
  <c r="W406"/>
  <c r="W76"/>
  <c r="W90"/>
  <c r="W187"/>
  <c r="W46"/>
  <c r="W124"/>
  <c r="W152"/>
  <c r="W466"/>
  <c r="W45"/>
  <c r="W373"/>
  <c r="W516"/>
  <c r="W180"/>
  <c r="W496"/>
  <c r="W485"/>
  <c r="W442"/>
  <c r="W257"/>
  <c r="W214"/>
  <c r="W439"/>
  <c r="W460"/>
  <c r="W383"/>
  <c r="W519"/>
  <c r="W210"/>
  <c r="W5"/>
  <c r="W142"/>
  <c r="W422"/>
  <c r="W192"/>
  <c r="W52"/>
  <c r="W243"/>
  <c r="W103"/>
  <c r="W461"/>
  <c r="W344"/>
  <c r="W39"/>
  <c r="W414"/>
  <c r="W71"/>
  <c r="W63"/>
  <c r="W29"/>
  <c r="W27"/>
  <c r="W136"/>
  <c r="W435"/>
  <c r="W488"/>
  <c r="W104"/>
  <c r="W340"/>
  <c r="W286"/>
  <c r="W427"/>
  <c r="W508"/>
  <c r="W276"/>
  <c r="W520"/>
  <c r="W381"/>
  <c r="W54"/>
  <c r="W171"/>
  <c r="W168"/>
  <c r="W199"/>
  <c r="W80"/>
  <c r="W458"/>
  <c r="W87"/>
  <c r="W207"/>
  <c r="W35"/>
  <c r="W218"/>
  <c r="W459"/>
  <c r="W450"/>
  <c r="W346"/>
  <c r="W279"/>
  <c r="W185"/>
  <c r="W238"/>
  <c r="W205"/>
  <c r="W410"/>
  <c r="W13"/>
  <c r="W486"/>
  <c r="W369"/>
  <c r="W325"/>
  <c r="W253"/>
  <c r="W244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05" i="1"/>
  <c r="AC358"/>
  <c r="AC89"/>
  <c r="AC341"/>
  <c r="AC262"/>
  <c r="AC491"/>
  <c r="AC263"/>
  <c r="AC409"/>
  <c r="AC204"/>
  <c r="AC252"/>
  <c r="AC445"/>
  <c r="AC197"/>
  <c r="L90" i="21"/>
  <c r="U90" s="1"/>
  <c r="R90"/>
  <c r="K82"/>
  <c r="T82" s="1"/>
  <c r="L82"/>
  <c r="U82" s="1"/>
  <c r="J82"/>
  <c r="S82" s="1"/>
  <c r="K78"/>
  <c r="T78" s="1"/>
  <c r="AC57" i="1"/>
  <c r="AC453"/>
  <c r="AC37"/>
  <c r="AC111"/>
  <c r="AC105"/>
  <c r="AC481"/>
  <c r="AC473"/>
  <c r="AC220"/>
  <c r="AC467"/>
  <c r="AC129"/>
  <c r="AB203"/>
  <c r="AC203" s="1"/>
  <c r="AC512"/>
  <c r="AC471"/>
  <c r="AC130"/>
  <c r="AC507"/>
  <c r="AC501"/>
  <c r="R58" i="21"/>
  <c r="M55"/>
  <c r="V55" s="1"/>
  <c r="AC374" i="1"/>
  <c r="AC335"/>
  <c r="AC485"/>
  <c r="AC452"/>
  <c r="AC268"/>
  <c r="AC171"/>
  <c r="AC244"/>
  <c r="AC116"/>
  <c r="L39" i="21"/>
  <c r="U39" s="1"/>
  <c r="J39"/>
  <c r="S39" s="1"/>
  <c r="K34"/>
  <c r="T34" s="1"/>
  <c r="R34"/>
  <c r="AC65" i="1"/>
  <c r="AC149"/>
  <c r="L25" i="21"/>
  <c r="U25" s="1"/>
  <c r="R25"/>
  <c r="AC327" i="1"/>
  <c r="AC211"/>
  <c r="AC474"/>
  <c r="AC479"/>
  <c r="AC64"/>
  <c r="AC166"/>
  <c r="AC316"/>
  <c r="AC165"/>
  <c r="AC135"/>
  <c r="AC124"/>
  <c r="AC121"/>
  <c r="AC22"/>
  <c r="AC148"/>
  <c r="AC297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76" i="1"/>
  <c r="AC215"/>
  <c r="AC247"/>
  <c r="AC100"/>
  <c r="AC187"/>
  <c r="AC134"/>
  <c r="AC224"/>
  <c r="AC250"/>
  <c r="AC126"/>
  <c r="AC286"/>
  <c r="AC175"/>
  <c r="AC132"/>
  <c r="AC87"/>
  <c r="AC328"/>
  <c r="AC499"/>
  <c r="AC359"/>
  <c r="AC454"/>
  <c r="AC354"/>
  <c r="C396"/>
  <c r="Z396"/>
  <c r="AA396" s="1"/>
  <c r="AB396" s="1"/>
  <c r="C414"/>
  <c r="Z414"/>
  <c r="AA414" s="1"/>
  <c r="AB414" s="1"/>
  <c r="C4"/>
  <c r="Z4"/>
  <c r="AA4" s="1"/>
  <c r="AB4" s="1"/>
  <c r="C3"/>
  <c r="Z3"/>
  <c r="AA3" s="1"/>
  <c r="AB3" s="1"/>
  <c r="AC3" s="1"/>
  <c r="C428"/>
  <c r="Z428"/>
  <c r="AA428" s="1"/>
  <c r="AB428" s="1"/>
  <c r="C437"/>
  <c r="Z437"/>
  <c r="AA437" s="1"/>
  <c r="AB437" s="1"/>
  <c r="C443"/>
  <c r="Z443"/>
  <c r="AA443" s="1"/>
  <c r="AB443" s="1"/>
  <c r="AC443" s="1"/>
  <c r="C344"/>
  <c r="Z344"/>
  <c r="AA344" s="1"/>
  <c r="AB344" s="1"/>
  <c r="C279"/>
  <c r="Z279"/>
  <c r="AA279" s="1"/>
  <c r="AB279" s="1"/>
  <c r="L1129" i="19" l="1"/>
  <c r="X1129"/>
  <c r="L1130"/>
  <c r="X1130"/>
  <c r="L1131"/>
  <c r="X1131"/>
  <c r="L1111"/>
  <c r="X1111"/>
  <c r="L1112"/>
  <c r="X1112"/>
  <c r="L1113"/>
  <c r="X1113"/>
  <c r="L1114"/>
  <c r="X1114"/>
  <c r="L1115"/>
  <c r="X1115"/>
  <c r="L1116"/>
  <c r="X1116"/>
  <c r="L1117"/>
  <c r="X1117"/>
  <c r="L1118"/>
  <c r="X1118"/>
  <c r="L1119"/>
  <c r="X1119"/>
  <c r="L1120"/>
  <c r="X1120"/>
  <c r="L1121"/>
  <c r="X1121"/>
  <c r="L1122"/>
  <c r="X1122"/>
  <c r="L1123"/>
  <c r="X1123"/>
  <c r="L1124"/>
  <c r="X1124"/>
  <c r="L1125"/>
  <c r="X1125"/>
  <c r="L1126"/>
  <c r="X1126"/>
  <c r="L1127"/>
  <c r="X1127"/>
  <c r="L1128"/>
  <c r="X1128"/>
  <c r="L1108"/>
  <c r="X1108"/>
  <c r="L1109"/>
  <c r="X1109"/>
  <c r="L1110"/>
  <c r="X1110"/>
  <c r="N1130"/>
  <c r="O1130" s="1"/>
  <c r="N1131"/>
  <c r="O1131" s="1"/>
  <c r="N1111"/>
  <c r="O1111" s="1"/>
  <c r="N1112"/>
  <c r="O1112" s="1"/>
  <c r="N1113"/>
  <c r="O1113" s="1"/>
  <c r="N1114"/>
  <c r="O1114" s="1"/>
  <c r="N1115"/>
  <c r="O1115" s="1"/>
  <c r="N1116"/>
  <c r="O1116" s="1"/>
  <c r="N1117"/>
  <c r="O1117" s="1"/>
  <c r="N1118"/>
  <c r="O1118" s="1"/>
  <c r="N1119"/>
  <c r="O1119" s="1"/>
  <c r="N1120"/>
  <c r="O1120" s="1"/>
  <c r="N1121"/>
  <c r="O1121" s="1"/>
  <c r="N1122"/>
  <c r="O1122" s="1"/>
  <c r="N1123"/>
  <c r="O1123" s="1"/>
  <c r="N1124"/>
  <c r="O1124" s="1"/>
  <c r="N1125"/>
  <c r="O1125" s="1"/>
  <c r="N1126"/>
  <c r="O1126" s="1"/>
  <c r="N1127"/>
  <c r="O1127" s="1"/>
  <c r="N1128"/>
  <c r="O1128" s="1"/>
  <c r="N1129"/>
  <c r="O1129" s="1"/>
  <c r="N1102"/>
  <c r="O1102" s="1"/>
  <c r="N1108"/>
  <c r="O1108" s="1"/>
  <c r="N1110"/>
  <c r="O1110" s="1"/>
  <c r="N1109"/>
  <c r="O1109" s="1"/>
  <c r="N1106"/>
  <c r="O1106" s="1"/>
  <c r="N1107"/>
  <c r="O1107" s="1"/>
  <c r="N1103"/>
  <c r="O1103" s="1"/>
  <c r="N1104"/>
  <c r="O1104" s="1"/>
  <c r="N1105"/>
  <c r="O1105" s="1"/>
  <c r="L1103"/>
  <c r="X1103"/>
  <c r="L1104"/>
  <c r="X1104"/>
  <c r="L1105"/>
  <c r="X1105"/>
  <c r="L1106"/>
  <c r="X1106"/>
  <c r="L1107"/>
  <c r="X1107"/>
  <c r="L1099"/>
  <c r="X1099"/>
  <c r="L1100"/>
  <c r="X1100"/>
  <c r="L1101"/>
  <c r="X1101"/>
  <c r="N1100"/>
  <c r="O1100" s="1"/>
  <c r="N1101"/>
  <c r="O1101" s="1"/>
  <c r="N1099"/>
  <c r="O1099" s="1"/>
  <c r="L1097"/>
  <c r="X1097"/>
  <c r="L1098"/>
  <c r="X1098"/>
  <c r="N1097"/>
  <c r="O1097" s="1"/>
  <c r="N1098"/>
  <c r="O1098" s="1"/>
  <c r="N1096"/>
  <c r="O1096" s="1"/>
  <c r="L1093"/>
  <c r="X1093"/>
  <c r="L1094"/>
  <c r="X1094"/>
  <c r="L1095"/>
  <c r="X1095"/>
  <c r="N1094"/>
  <c r="O1094" s="1"/>
  <c r="N1095"/>
  <c r="O1095" s="1"/>
  <c r="N1093"/>
  <c r="O1093" s="1"/>
  <c r="L1092"/>
  <c r="X1092"/>
  <c r="L1086"/>
  <c r="X1086"/>
  <c r="L1087"/>
  <c r="X1087"/>
  <c r="N1089"/>
  <c r="O1089" s="1"/>
  <c r="N1090"/>
  <c r="O1090" s="1"/>
  <c r="N1091"/>
  <c r="O1091" s="1"/>
  <c r="N1092"/>
  <c r="O1092" s="1"/>
  <c r="N1086"/>
  <c r="O1086" s="1"/>
  <c r="N1087"/>
  <c r="O1087" s="1"/>
  <c r="N1088"/>
  <c r="O1088" s="1"/>
  <c r="L1085"/>
  <c r="X1085"/>
  <c r="L1080"/>
  <c r="X1080"/>
  <c r="L1081"/>
  <c r="X1081"/>
  <c r="N1085"/>
  <c r="O1085" s="1"/>
  <c r="N1084"/>
  <c r="O1084" s="1"/>
  <c r="N1083"/>
  <c r="O1083" s="1"/>
  <c r="N1082"/>
  <c r="O1082" s="1"/>
  <c r="N1081"/>
  <c r="O1081" s="1"/>
  <c r="N1080"/>
  <c r="O1080" s="1"/>
  <c r="L646"/>
  <c r="X646"/>
  <c r="L647"/>
  <c r="X647"/>
  <c r="L648"/>
  <c r="X648"/>
  <c r="L651"/>
  <c r="X651"/>
  <c r="L652"/>
  <c r="X652"/>
  <c r="L653"/>
  <c r="X653"/>
  <c r="L654"/>
  <c r="X654"/>
  <c r="L657"/>
  <c r="X657"/>
  <c r="L658"/>
  <c r="X658"/>
  <c r="N646"/>
  <c r="O646" s="1"/>
  <c r="N645"/>
  <c r="O645" s="1"/>
  <c r="N648"/>
  <c r="O648" s="1"/>
  <c r="N647"/>
  <c r="O647" s="1"/>
  <c r="N651"/>
  <c r="O651" s="1"/>
  <c r="N650"/>
  <c r="O650" s="1"/>
  <c r="N652"/>
  <c r="O652" s="1"/>
  <c r="N649"/>
  <c r="O649" s="1"/>
  <c r="N653"/>
  <c r="O653" s="1"/>
  <c r="N654"/>
  <c r="O654" s="1"/>
  <c r="N655"/>
  <c r="O655" s="1"/>
  <c r="N656"/>
  <c r="O656" s="1"/>
  <c r="N657"/>
  <c r="O657" s="1"/>
  <c r="N658"/>
  <c r="O658" s="1"/>
  <c r="L1043"/>
  <c r="X1043"/>
  <c r="N1042"/>
  <c r="O1042" s="1"/>
  <c r="N1043"/>
  <c r="O1043" s="1"/>
  <c r="L1049"/>
  <c r="X1049"/>
  <c r="N1048"/>
  <c r="O1048" s="1"/>
  <c r="N1049"/>
  <c r="O1049" s="1"/>
  <c r="L1055"/>
  <c r="X1055"/>
  <c r="N1054"/>
  <c r="O1054" s="1"/>
  <c r="N1055"/>
  <c r="O1055" s="1"/>
  <c r="N1041"/>
  <c r="O1041" s="1"/>
  <c r="L1041"/>
  <c r="X1041"/>
  <c r="N1038"/>
  <c r="O1038" s="1"/>
  <c r="N1036"/>
  <c r="O1036" s="1"/>
  <c r="N938"/>
  <c r="O938" s="1"/>
  <c r="N1033"/>
  <c r="O1033" s="1"/>
  <c r="N1029"/>
  <c r="O1029" s="1"/>
  <c r="N1030"/>
  <c r="O1030" s="1"/>
  <c r="N950"/>
  <c r="O950" s="1"/>
  <c r="L1017"/>
  <c r="X1017"/>
  <c r="L1018"/>
  <c r="X1018"/>
  <c r="L962"/>
  <c r="X962"/>
  <c r="N1017"/>
  <c r="O1017" s="1"/>
  <c r="N1018"/>
  <c r="O1018" s="1"/>
  <c r="N962"/>
  <c r="O962" s="1"/>
  <c r="N1005"/>
  <c r="O1005" s="1"/>
  <c r="L1005"/>
  <c r="X1005"/>
  <c r="L1006"/>
  <c r="X1006"/>
  <c r="L974"/>
  <c r="X974"/>
  <c r="N974"/>
  <c r="O974" s="1"/>
  <c r="N1006"/>
  <c r="O1006" s="1"/>
  <c r="L993"/>
  <c r="X993"/>
  <c r="L994"/>
  <c r="X994"/>
  <c r="L989"/>
  <c r="X989"/>
  <c r="N993"/>
  <c r="O993" s="1"/>
  <c r="N989"/>
  <c r="O989" s="1"/>
  <c r="N994"/>
  <c r="O994" s="1"/>
  <c r="L978"/>
  <c r="X978"/>
  <c r="L979"/>
  <c r="X979"/>
  <c r="L1001"/>
  <c r="X1001"/>
  <c r="L766"/>
  <c r="N979"/>
  <c r="O979" s="1"/>
  <c r="N1001"/>
  <c r="O1001" s="1"/>
  <c r="N978"/>
  <c r="O978" s="1"/>
  <c r="L966"/>
  <c r="X966"/>
  <c r="L967"/>
  <c r="X967"/>
  <c r="L1010"/>
  <c r="X1010"/>
  <c r="N1010"/>
  <c r="O1010" s="1"/>
  <c r="N967"/>
  <c r="O967" s="1"/>
  <c r="N966"/>
  <c r="O966" s="1"/>
  <c r="L957"/>
  <c r="X957"/>
  <c r="L958"/>
  <c r="X958"/>
  <c r="L1019"/>
  <c r="X1019"/>
  <c r="N1019"/>
  <c r="O1019" s="1"/>
  <c r="N958"/>
  <c r="O958" s="1"/>
  <c r="N957"/>
  <c r="O957" s="1"/>
  <c r="L949"/>
  <c r="X949"/>
  <c r="L1031"/>
  <c r="X1031"/>
  <c r="N1031"/>
  <c r="O1031" s="1"/>
  <c r="N949"/>
  <c r="O949" s="1"/>
  <c r="N948"/>
  <c r="O948" s="1"/>
  <c r="L937"/>
  <c r="X937"/>
  <c r="L1035"/>
  <c r="X1035"/>
  <c r="N1035"/>
  <c r="O1035" s="1"/>
  <c r="N937"/>
  <c r="O937" s="1"/>
  <c r="N936"/>
  <c r="O936" s="1"/>
  <c r="N935"/>
  <c r="O935" s="1"/>
  <c r="N934"/>
  <c r="O934" s="1"/>
  <c r="L930"/>
  <c r="L931"/>
  <c r="N931"/>
  <c r="O931" s="1"/>
  <c r="N930"/>
  <c r="O930" s="1"/>
  <c r="L923"/>
  <c r="N923"/>
  <c r="O923" s="1"/>
  <c r="N922"/>
  <c r="O922" s="1"/>
  <c r="L909"/>
  <c r="N909"/>
  <c r="O909" s="1"/>
  <c r="N908"/>
  <c r="O908" s="1"/>
  <c r="L898"/>
  <c r="L897"/>
  <c r="N899"/>
  <c r="O899" s="1"/>
  <c r="N898"/>
  <c r="O898" s="1"/>
  <c r="N897"/>
  <c r="O897" s="1"/>
  <c r="L873"/>
  <c r="L870"/>
  <c r="N873"/>
  <c r="O873" s="1"/>
  <c r="N872"/>
  <c r="O872" s="1"/>
  <c r="N870"/>
  <c r="O870" s="1"/>
  <c r="L851"/>
  <c r="L852"/>
  <c r="L853"/>
  <c r="N853"/>
  <c r="O853" s="1"/>
  <c r="N852"/>
  <c r="O852" s="1"/>
  <c r="N851"/>
  <c r="O851" s="1"/>
  <c r="L843"/>
  <c r="L844"/>
  <c r="N844"/>
  <c r="O844" s="1"/>
  <c r="N843"/>
  <c r="O843" s="1"/>
  <c r="N842"/>
  <c r="O842" s="1"/>
  <c r="L838"/>
  <c r="N838"/>
  <c r="O838" s="1"/>
  <c r="N835"/>
  <c r="O835" s="1"/>
  <c r="L832"/>
  <c r="N832"/>
  <c r="O832" s="1"/>
  <c r="N829"/>
  <c r="O829" s="1"/>
  <c r="N1072"/>
  <c r="O1072" s="1"/>
  <c r="N825"/>
  <c r="O825" s="1"/>
  <c r="N827"/>
  <c r="O827" s="1"/>
  <c r="N826"/>
  <c r="O826" s="1"/>
  <c r="N822"/>
  <c r="O822" s="1"/>
  <c r="N823"/>
  <c r="O823" s="1"/>
  <c r="N824"/>
  <c r="O824" s="1"/>
  <c r="N807"/>
  <c r="O807" s="1"/>
  <c r="N808"/>
  <c r="O808" s="1"/>
  <c r="N809"/>
  <c r="O809" s="1"/>
  <c r="N789"/>
  <c r="O789" s="1"/>
  <c r="N790"/>
  <c r="O790" s="1"/>
  <c r="N791"/>
  <c r="O791" s="1"/>
  <c r="N775"/>
  <c r="O775" s="1"/>
  <c r="N776"/>
  <c r="O776" s="1"/>
  <c r="N771"/>
  <c r="O771" s="1"/>
  <c r="N774"/>
  <c r="O774" s="1"/>
  <c r="N773"/>
  <c r="O773" s="1"/>
  <c r="N772"/>
  <c r="O772" s="1"/>
  <c r="N770"/>
  <c r="O770" s="1"/>
  <c r="N769"/>
  <c r="O769" s="1"/>
  <c r="N767"/>
  <c r="O767" s="1"/>
  <c r="N768"/>
  <c r="O768" s="1"/>
  <c r="N765"/>
  <c r="O765" s="1"/>
  <c r="N766"/>
  <c r="O766" s="1"/>
  <c r="N757"/>
  <c r="O757" s="1"/>
  <c r="N758"/>
  <c r="O758" s="1"/>
  <c r="N743"/>
  <c r="O743" s="1"/>
  <c r="N744"/>
  <c r="O744" s="1"/>
  <c r="N728"/>
  <c r="O728" s="1"/>
  <c r="N729"/>
  <c r="O729" s="1"/>
  <c r="N730"/>
  <c r="O730" s="1"/>
  <c r="N725"/>
  <c r="O725" s="1"/>
  <c r="N726"/>
  <c r="O726" s="1"/>
  <c r="N727"/>
  <c r="O727" s="1"/>
  <c r="N722"/>
  <c r="O722" s="1"/>
  <c r="N723"/>
  <c r="O723" s="1"/>
  <c r="N724"/>
  <c r="O724" s="1"/>
  <c r="N143"/>
  <c r="O143" s="1"/>
  <c r="N144"/>
  <c r="O144" s="1"/>
  <c r="N145"/>
  <c r="O145" s="1"/>
  <c r="N721"/>
  <c r="O721" s="1"/>
  <c r="N720"/>
  <c r="O720" s="1"/>
  <c r="N719"/>
  <c r="O719" s="1"/>
  <c r="N308"/>
  <c r="O308" s="1"/>
  <c r="N717"/>
  <c r="O717" s="1"/>
  <c r="N718"/>
  <c r="O718" s="1"/>
  <c r="N715"/>
  <c r="O715" s="1"/>
  <c r="N716"/>
  <c r="O716" s="1"/>
  <c r="N700"/>
  <c r="O700" s="1"/>
  <c r="N699"/>
  <c r="O699" s="1"/>
  <c r="N692"/>
  <c r="O692" s="1"/>
  <c r="N691"/>
  <c r="O691" s="1"/>
  <c r="N687"/>
  <c r="O687" s="1"/>
  <c r="N688"/>
  <c r="O688" s="1"/>
  <c r="N494"/>
  <c r="O494" s="1"/>
  <c r="N684"/>
  <c r="O684" s="1"/>
  <c r="N685"/>
  <c r="O685" s="1"/>
  <c r="N683"/>
  <c r="O683" s="1"/>
  <c r="N492"/>
  <c r="O492" s="1"/>
  <c r="N493"/>
  <c r="O493" s="1"/>
  <c r="N689"/>
  <c r="O689" s="1"/>
  <c r="N682"/>
  <c r="O682" s="1"/>
  <c r="N686"/>
  <c r="O686" s="1"/>
  <c r="N681"/>
  <c r="O681" s="1"/>
  <c r="N611"/>
  <c r="O611" s="1"/>
  <c r="N612"/>
  <c r="O612" s="1"/>
  <c r="N613"/>
  <c r="O613" s="1"/>
  <c r="N580"/>
  <c r="O580" s="1"/>
  <c r="N585"/>
  <c r="O585" s="1"/>
  <c r="N589"/>
  <c r="O589" s="1"/>
  <c r="N540"/>
  <c r="O540" s="1"/>
  <c r="N541"/>
  <c r="O541" s="1"/>
  <c r="N542"/>
  <c r="O542" s="1"/>
  <c r="N678"/>
  <c r="O678" s="1"/>
  <c r="N679"/>
  <c r="O679" s="1"/>
  <c r="N680"/>
  <c r="O680" s="1"/>
  <c r="N675"/>
  <c r="O675" s="1"/>
  <c r="N676"/>
  <c r="O676" s="1"/>
  <c r="N677"/>
  <c r="O677" s="1"/>
  <c r="N669"/>
  <c r="O669" s="1"/>
  <c r="N670"/>
  <c r="O670" s="1"/>
  <c r="N671"/>
  <c r="O671" s="1"/>
  <c r="N666"/>
  <c r="O666" s="1"/>
  <c r="N667"/>
  <c r="O667" s="1"/>
  <c r="N668"/>
  <c r="O668" s="1"/>
  <c r="N522"/>
  <c r="O522" s="1"/>
  <c r="N523"/>
  <c r="O523" s="1"/>
  <c r="N524"/>
  <c r="O524" s="1"/>
  <c r="N526"/>
  <c r="O526" s="1"/>
  <c r="N528"/>
  <c r="O528" s="1"/>
  <c r="N530"/>
  <c r="O530" s="1"/>
  <c r="N1078"/>
  <c r="O1078" s="1"/>
  <c r="N1079"/>
  <c r="O1079" s="1"/>
  <c r="N1073"/>
  <c r="O1073" s="1"/>
  <c r="N1066"/>
  <c r="O1066" s="1"/>
  <c r="N1067"/>
  <c r="O1067" s="1"/>
  <c r="N1058"/>
  <c r="O1058" s="1"/>
  <c r="N1059"/>
  <c r="O1059" s="1"/>
  <c r="N640"/>
  <c r="O640" s="1"/>
  <c r="N635"/>
  <c r="O635" s="1"/>
  <c r="N636"/>
  <c r="O636" s="1"/>
  <c r="N631"/>
  <c r="O631" s="1"/>
  <c r="N632"/>
  <c r="O632" s="1"/>
  <c r="N254"/>
  <c r="O254" s="1"/>
  <c r="N628"/>
  <c r="O628" s="1"/>
  <c r="N626"/>
  <c r="O626" s="1"/>
  <c r="N625"/>
  <c r="O625" s="1"/>
  <c r="N620"/>
  <c r="O620" s="1"/>
  <c r="N624"/>
  <c r="N615"/>
  <c r="N617"/>
  <c r="N616"/>
  <c r="O616" s="1"/>
  <c r="N605"/>
  <c r="O605" s="1"/>
  <c r="N606"/>
  <c r="O606" s="1"/>
  <c r="N607"/>
  <c r="O607" s="1"/>
  <c r="N599"/>
  <c r="O599" s="1"/>
  <c r="N600"/>
  <c r="O600" s="1"/>
  <c r="N601"/>
  <c r="O601" s="1"/>
  <c r="N593"/>
  <c r="O593" s="1"/>
  <c r="N594"/>
  <c r="O594" s="1"/>
  <c r="N595"/>
  <c r="O595" s="1"/>
  <c r="N588"/>
  <c r="O588" s="1"/>
  <c r="N587"/>
  <c r="O587" s="1"/>
  <c r="N10"/>
  <c r="O10" s="1"/>
  <c r="N460"/>
  <c r="O460" s="1"/>
  <c r="N517"/>
  <c r="O517" s="1"/>
  <c r="N9"/>
  <c r="O9" s="1"/>
  <c r="N581"/>
  <c r="O581" s="1"/>
  <c r="N577"/>
  <c r="O577" s="1"/>
  <c r="N582"/>
  <c r="O582" s="1"/>
  <c r="N576"/>
  <c r="O576" s="1"/>
  <c r="N575"/>
  <c r="O575" s="1"/>
  <c r="N520"/>
  <c r="O520" s="1"/>
  <c r="N537"/>
  <c r="O537" s="1"/>
  <c r="N538"/>
  <c r="O538" s="1"/>
  <c r="N539"/>
  <c r="O539" s="1"/>
  <c r="N579"/>
  <c r="O579" s="1"/>
  <c r="N584"/>
  <c r="O584" s="1"/>
  <c r="N547"/>
  <c r="O547" s="1"/>
  <c r="N566"/>
  <c r="O566" s="1"/>
  <c r="N556"/>
  <c r="O556" s="1"/>
  <c r="S9" i="21"/>
  <c r="T9"/>
  <c r="U932" i="19" s="1"/>
  <c r="T13" i="21"/>
  <c r="V12"/>
  <c r="S13"/>
  <c r="V10"/>
  <c r="U13"/>
  <c r="V11"/>
  <c r="S12"/>
  <c r="T11"/>
  <c r="T10"/>
  <c r="S10"/>
  <c r="T12"/>
  <c r="S11"/>
  <c r="U9"/>
  <c r="AC396" i="1"/>
  <c r="AC414"/>
  <c r="AC4"/>
  <c r="AC428"/>
  <c r="AC437"/>
  <c r="AC344"/>
  <c r="AC279"/>
  <c r="U794" i="19" l="1"/>
  <c r="U793"/>
  <c r="U792"/>
  <c r="U809"/>
  <c r="U808"/>
  <c r="U807"/>
  <c r="U806"/>
  <c r="U805"/>
  <c r="U804"/>
  <c r="U803"/>
  <c r="U802"/>
  <c r="U801"/>
  <c r="U800"/>
  <c r="U799"/>
  <c r="U798"/>
  <c r="U797"/>
  <c r="U796"/>
  <c r="U795"/>
  <c r="U824"/>
  <c r="U823"/>
  <c r="U822"/>
  <c r="U821"/>
  <c r="U820"/>
  <c r="U819"/>
  <c r="U818"/>
  <c r="U817"/>
  <c r="U816"/>
  <c r="U815"/>
  <c r="U814"/>
  <c r="U813"/>
  <c r="U812"/>
  <c r="U811"/>
  <c r="U810"/>
  <c r="U827"/>
  <c r="U826"/>
  <c r="U825"/>
  <c r="U828"/>
  <c r="U829"/>
  <c r="U830"/>
  <c r="U832"/>
  <c r="U831"/>
  <c r="U835"/>
  <c r="U834"/>
  <c r="U833"/>
  <c r="U838"/>
  <c r="U837"/>
  <c r="U836"/>
  <c r="U841"/>
  <c r="U840"/>
  <c r="U839"/>
  <c r="U844"/>
  <c r="U843"/>
  <c r="U842"/>
  <c r="U847"/>
  <c r="U846"/>
  <c r="U845"/>
  <c r="U853"/>
  <c r="U852"/>
  <c r="U851"/>
  <c r="U850"/>
  <c r="U849"/>
  <c r="U848"/>
  <c r="U862"/>
  <c r="U861"/>
  <c r="U860"/>
  <c r="U859"/>
  <c r="U858"/>
  <c r="U857"/>
  <c r="U856"/>
  <c r="U855"/>
  <c r="U854"/>
  <c r="U871"/>
  <c r="U870"/>
  <c r="U869"/>
  <c r="U868"/>
  <c r="U867"/>
  <c r="U866"/>
  <c r="U865"/>
  <c r="U864"/>
  <c r="U863"/>
  <c r="U873"/>
  <c r="U872"/>
  <c r="U893"/>
  <c r="U892"/>
  <c r="U891"/>
  <c r="U890"/>
  <c r="U889"/>
  <c r="U888"/>
  <c r="U887"/>
  <c r="U886"/>
  <c r="U885"/>
  <c r="U884"/>
  <c r="U883"/>
  <c r="U882"/>
  <c r="U881"/>
  <c r="U880"/>
  <c r="U879"/>
  <c r="U878"/>
  <c r="U877"/>
  <c r="U876"/>
  <c r="U875"/>
  <c r="U874"/>
  <c r="U894"/>
  <c r="U895"/>
  <c r="U896"/>
  <c r="U897"/>
  <c r="U898"/>
  <c r="U899"/>
  <c r="U901"/>
  <c r="U900"/>
  <c r="U903"/>
  <c r="U902"/>
  <c r="U905"/>
  <c r="U904"/>
  <c r="U907"/>
  <c r="U906"/>
  <c r="U909"/>
  <c r="U908"/>
  <c r="U911"/>
  <c r="U910"/>
  <c r="U921"/>
  <c r="U920"/>
  <c r="U919"/>
  <c r="U918"/>
  <c r="U917"/>
  <c r="U916"/>
  <c r="U915"/>
  <c r="U914"/>
  <c r="U913"/>
  <c r="U912"/>
  <c r="U923"/>
  <c r="U922"/>
  <c r="U931"/>
  <c r="U930"/>
  <c r="U929"/>
  <c r="U928"/>
  <c r="U927"/>
  <c r="U926"/>
  <c r="U925"/>
  <c r="U924"/>
  <c r="U935"/>
  <c r="U934"/>
  <c r="U933"/>
  <c r="U728"/>
  <c r="U732"/>
  <c r="U731"/>
  <c r="U734"/>
  <c r="U733"/>
  <c r="U736"/>
  <c r="U735"/>
  <c r="U738"/>
  <c r="U737"/>
  <c r="U740"/>
  <c r="U739"/>
  <c r="U742"/>
  <c r="U741"/>
  <c r="U744"/>
  <c r="U743"/>
  <c r="U758"/>
  <c r="U757"/>
  <c r="U756"/>
  <c r="U755"/>
  <c r="U754"/>
  <c r="U753"/>
  <c r="U752"/>
  <c r="U751"/>
  <c r="U750"/>
  <c r="U749"/>
  <c r="U748"/>
  <c r="U747"/>
  <c r="U746"/>
  <c r="U745"/>
  <c r="U766"/>
  <c r="U765"/>
  <c r="U764"/>
  <c r="U763"/>
  <c r="U762"/>
  <c r="U761"/>
  <c r="U760"/>
  <c r="U759"/>
  <c r="U768"/>
  <c r="U767"/>
  <c r="U769"/>
  <c r="U770"/>
  <c r="U772"/>
  <c r="U771"/>
  <c r="U774"/>
  <c r="U773"/>
  <c r="U776"/>
  <c r="U775"/>
  <c r="U779"/>
  <c r="U778"/>
  <c r="U777"/>
  <c r="U782"/>
  <c r="U781"/>
  <c r="U780"/>
  <c r="U785"/>
  <c r="U784"/>
  <c r="U783"/>
  <c r="U788"/>
  <c r="U787"/>
  <c r="U786"/>
  <c r="U791"/>
  <c r="U790"/>
  <c r="U789"/>
  <c r="P775"/>
  <c r="P776"/>
  <c r="U665"/>
  <c r="U664"/>
  <c r="U663"/>
  <c r="U668"/>
  <c r="U667"/>
  <c r="U666"/>
  <c r="U671"/>
  <c r="U670"/>
  <c r="U669"/>
  <c r="U677"/>
  <c r="U676"/>
  <c r="U675"/>
  <c r="U674"/>
  <c r="U673"/>
  <c r="U672"/>
  <c r="U680"/>
  <c r="U679"/>
  <c r="U678"/>
  <c r="U686"/>
  <c r="U682"/>
  <c r="U681"/>
  <c r="U683"/>
  <c r="U685"/>
  <c r="U684"/>
  <c r="U494"/>
  <c r="U688"/>
  <c r="U687"/>
  <c r="U691"/>
  <c r="U690"/>
  <c r="U692"/>
  <c r="U693"/>
  <c r="U696"/>
  <c r="U695"/>
  <c r="U694"/>
  <c r="U697"/>
  <c r="U698"/>
  <c r="U699"/>
  <c r="U700"/>
  <c r="U702"/>
  <c r="U701"/>
  <c r="U704"/>
  <c r="U703"/>
  <c r="U706"/>
  <c r="U705"/>
  <c r="U708"/>
  <c r="U707"/>
  <c r="U710"/>
  <c r="U709"/>
  <c r="U712"/>
  <c r="U711"/>
  <c r="U714"/>
  <c r="U713"/>
  <c r="U716"/>
  <c r="U715"/>
  <c r="U717"/>
  <c r="U718"/>
  <c r="U719"/>
  <c r="U720"/>
  <c r="U721"/>
  <c r="U724"/>
  <c r="U723"/>
  <c r="U722"/>
  <c r="U727"/>
  <c r="U726"/>
  <c r="U725"/>
  <c r="U730"/>
  <c r="U729"/>
  <c r="P540"/>
  <c r="P613"/>
  <c r="P612"/>
  <c r="P611"/>
  <c r="P589"/>
  <c r="P585"/>
  <c r="P580"/>
  <c r="P542"/>
  <c r="P541"/>
  <c r="BB321" i="1"/>
  <c r="U1074" i="19"/>
  <c r="U1075"/>
  <c r="U1076"/>
  <c r="U1077"/>
  <c r="U1078"/>
  <c r="U1079"/>
  <c r="U1068"/>
  <c r="U1069"/>
  <c r="U1070"/>
  <c r="U1071"/>
  <c r="U1072"/>
  <c r="U1073"/>
  <c r="U1066"/>
  <c r="U1067"/>
  <c r="U1064"/>
  <c r="U1065"/>
  <c r="U1062"/>
  <c r="U1063"/>
  <c r="U1060"/>
  <c r="U1061"/>
  <c r="U1058"/>
  <c r="U1059"/>
  <c r="U637"/>
  <c r="U638"/>
  <c r="U639"/>
  <c r="U640"/>
  <c r="U633"/>
  <c r="U634"/>
  <c r="U635"/>
  <c r="U636"/>
  <c r="U631"/>
  <c r="U632"/>
  <c r="U629"/>
  <c r="U630"/>
  <c r="U627"/>
  <c r="U628"/>
  <c r="U626"/>
  <c r="U625"/>
  <c r="U621"/>
  <c r="U622"/>
  <c r="U623"/>
  <c r="U624"/>
  <c r="U618"/>
  <c r="U619"/>
  <c r="U620"/>
  <c r="U614"/>
  <c r="U615"/>
  <c r="U103"/>
  <c r="U617"/>
  <c r="U616"/>
  <c r="U608"/>
  <c r="U609"/>
  <c r="U610"/>
  <c r="U611"/>
  <c r="U612"/>
  <c r="U613"/>
  <c r="U602"/>
  <c r="U603"/>
  <c r="U604"/>
  <c r="U605"/>
  <c r="U606"/>
  <c r="U607"/>
  <c r="U596"/>
  <c r="U597"/>
  <c r="U598"/>
  <c r="U599"/>
  <c r="U600"/>
  <c r="U601"/>
  <c r="U593"/>
  <c r="U594"/>
  <c r="U595"/>
  <c r="U590"/>
  <c r="U591"/>
  <c r="U592"/>
  <c r="U589"/>
  <c r="U588"/>
  <c r="U587"/>
  <c r="U586"/>
  <c r="U575"/>
  <c r="U574"/>
  <c r="U573"/>
  <c r="U572"/>
  <c r="U571"/>
  <c r="U570"/>
  <c r="U569"/>
  <c r="U568"/>
  <c r="U567"/>
  <c r="U566"/>
  <c r="U565"/>
  <c r="U564"/>
  <c r="U563"/>
  <c r="U562"/>
  <c r="U561"/>
  <c r="U560"/>
  <c r="U559"/>
  <c r="U558"/>
  <c r="U557"/>
  <c r="U556"/>
  <c r="U555"/>
  <c r="U554"/>
  <c r="U553"/>
  <c r="U552"/>
  <c r="U551"/>
  <c r="U550"/>
  <c r="U549"/>
  <c r="U548"/>
  <c r="U547"/>
  <c r="U546"/>
  <c r="U545"/>
  <c r="U544"/>
  <c r="U543"/>
  <c r="U580"/>
  <c r="U585"/>
  <c r="U579"/>
  <c r="U584"/>
  <c r="U578"/>
  <c r="U583"/>
  <c r="U577"/>
  <c r="U582"/>
  <c r="U581"/>
  <c r="U576"/>
  <c r="U519"/>
  <c r="U520"/>
  <c r="U518"/>
  <c r="U2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521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1056"/>
  <c r="U105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542"/>
  <c r="U541"/>
  <c r="U540"/>
  <c r="U539"/>
  <c r="U538"/>
  <c r="U537"/>
  <c r="U536"/>
  <c r="U534"/>
  <c r="U532"/>
  <c r="U535"/>
  <c r="U533"/>
  <c r="U531"/>
  <c r="U530"/>
  <c r="U528"/>
  <c r="U526"/>
  <c r="U529"/>
  <c r="U527"/>
  <c r="U525"/>
  <c r="U517"/>
  <c r="U516"/>
  <c r="U459"/>
  <c r="U458"/>
  <c r="U460"/>
  <c r="U37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689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524"/>
  <c r="U523"/>
  <c r="U522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BB58" i="1"/>
  <c r="BB209"/>
  <c r="BB59"/>
  <c r="BB341"/>
  <c r="BB205"/>
  <c r="BB62"/>
  <c r="BB35"/>
  <c r="BB491"/>
  <c r="BB358"/>
  <c r="BB445"/>
  <c r="BB197"/>
  <c r="BB412"/>
  <c r="BB89"/>
  <c r="BB252"/>
  <c r="BB133"/>
  <c r="BB409"/>
  <c r="BB262"/>
  <c r="BB204"/>
  <c r="BB263"/>
  <c r="BB467"/>
  <c r="BB129"/>
  <c r="BB398"/>
  <c r="BB57"/>
  <c r="BB65"/>
  <c r="BB220"/>
  <c r="BB481"/>
  <c r="BB453"/>
  <c r="BB293"/>
  <c r="BB111"/>
  <c r="BB105"/>
  <c r="BB473"/>
  <c r="BB37"/>
  <c r="BB361"/>
  <c r="BB440"/>
  <c r="BB203"/>
  <c r="BB149"/>
  <c r="BB68"/>
  <c r="BB471"/>
  <c r="BB143"/>
  <c r="BB496"/>
  <c r="BB512"/>
  <c r="BB273"/>
  <c r="BB417"/>
  <c r="BB501"/>
  <c r="BB146"/>
  <c r="BB130"/>
  <c r="BB335"/>
  <c r="BB507"/>
  <c r="BB244"/>
  <c r="BB485"/>
  <c r="BB374"/>
  <c r="BB268"/>
  <c r="BB452"/>
  <c r="BB52"/>
  <c r="BB324"/>
  <c r="BB231"/>
  <c r="BB171"/>
  <c r="BB17"/>
  <c r="BB299"/>
  <c r="BB455"/>
  <c r="BB381"/>
  <c r="BB360"/>
  <c r="BB154"/>
  <c r="BB123"/>
  <c r="BB264"/>
  <c r="BB356"/>
  <c r="BB104"/>
  <c r="BB38"/>
  <c r="BB39"/>
  <c r="BB116"/>
  <c r="BB86"/>
  <c r="BB385"/>
  <c r="BB423"/>
  <c r="BB15"/>
  <c r="BB179"/>
  <c r="BB327"/>
  <c r="BB479"/>
  <c r="BB211"/>
  <c r="BB475"/>
  <c r="BB474"/>
  <c r="BB224"/>
  <c r="BB60"/>
  <c r="BB29"/>
  <c r="BB64"/>
  <c r="BB320"/>
  <c r="BB236"/>
  <c r="BB298"/>
  <c r="BB489"/>
  <c r="BB141"/>
  <c r="BB261"/>
  <c r="BB318"/>
  <c r="BB494"/>
  <c r="BB346"/>
  <c r="BB497"/>
  <c r="BB396"/>
  <c r="BB290"/>
  <c r="BB181"/>
  <c r="BB292"/>
  <c r="BB12"/>
  <c r="BB234"/>
  <c r="BB457"/>
  <c r="BB391"/>
  <c r="BB439"/>
  <c r="BB219"/>
  <c r="BB217"/>
  <c r="BB97"/>
  <c r="BB326"/>
  <c r="BB158"/>
  <c r="BB399"/>
  <c r="BB420"/>
  <c r="BB419"/>
  <c r="BB407"/>
  <c r="BB294"/>
  <c r="BB410"/>
  <c r="BB90"/>
  <c r="BB345"/>
  <c r="BB53"/>
  <c r="BB368"/>
  <c r="BB334"/>
  <c r="BB283"/>
  <c r="BB144"/>
  <c r="BB364"/>
  <c r="BB187"/>
  <c r="BB469"/>
  <c r="BB226"/>
  <c r="BB392"/>
  <c r="BB165"/>
  <c r="BB113"/>
  <c r="BB240"/>
  <c r="BB464"/>
  <c r="BB51"/>
  <c r="BB259"/>
  <c r="BB284"/>
  <c r="BB107"/>
  <c r="BB401"/>
  <c r="BB227"/>
  <c r="BB210"/>
  <c r="BB156"/>
  <c r="BB255"/>
  <c r="BB228"/>
  <c r="BB344"/>
  <c r="BB434"/>
  <c r="BB103"/>
  <c r="BB127"/>
  <c r="BB287"/>
  <c r="BB215"/>
  <c r="BB223"/>
  <c r="BB297"/>
  <c r="BB174"/>
  <c r="BB99"/>
  <c r="BB515"/>
  <c r="BB139"/>
  <c r="BB519"/>
  <c r="BB25"/>
  <c r="BB408"/>
  <c r="BB148"/>
  <c r="BB510"/>
  <c r="BB95"/>
  <c r="BB288"/>
  <c r="BB272"/>
  <c r="BB443"/>
  <c r="BB153"/>
  <c r="BB372"/>
  <c r="BB511"/>
  <c r="BB138"/>
  <c r="BB76"/>
  <c r="BB48"/>
  <c r="BB23"/>
  <c r="BB282"/>
  <c r="BB495"/>
  <c r="BB418"/>
  <c r="BB322"/>
  <c r="BB92"/>
  <c r="BB312"/>
  <c r="BB514"/>
  <c r="BB447"/>
  <c r="BB239"/>
  <c r="BB19"/>
  <c r="BB109"/>
  <c r="BB286"/>
  <c r="BB50"/>
  <c r="BB81"/>
  <c r="BB379"/>
  <c r="BB208"/>
  <c r="BB309"/>
  <c r="BB245"/>
  <c r="BB207"/>
  <c r="BB483"/>
  <c r="BB340"/>
  <c r="BB413"/>
  <c r="BB370"/>
  <c r="BB380"/>
  <c r="BB87"/>
  <c r="BB458"/>
  <c r="BB367"/>
  <c r="BB122"/>
  <c r="BB429"/>
  <c r="BB246"/>
  <c r="BB194"/>
  <c r="BB235"/>
  <c r="BB386"/>
  <c r="BB275"/>
  <c r="BB115"/>
  <c r="BB55"/>
  <c r="BB13"/>
  <c r="BB433"/>
  <c r="BB359"/>
  <c r="BB167"/>
  <c r="BB366"/>
  <c r="BB430"/>
  <c r="BB300"/>
  <c r="BB18"/>
  <c r="BB45"/>
  <c r="BB506"/>
  <c r="BB78"/>
  <c r="BB260"/>
  <c r="BB2"/>
  <c r="BB132"/>
  <c r="BB461"/>
  <c r="BB24"/>
  <c r="BB421"/>
  <c r="BB200"/>
  <c r="BB168"/>
  <c r="BB108"/>
  <c r="BB173"/>
  <c r="BB269"/>
  <c r="BB350"/>
  <c r="BB316"/>
  <c r="BB422"/>
  <c r="BB41"/>
  <c r="BB206"/>
  <c r="BB347"/>
  <c r="BB499"/>
  <c r="BB291"/>
  <c r="BB504"/>
  <c r="BB306"/>
  <c r="BB46"/>
  <c r="BB110"/>
  <c r="BB151"/>
  <c r="BB147"/>
  <c r="BB490"/>
  <c r="BB250"/>
  <c r="BB243"/>
  <c r="BB265"/>
  <c r="BB416"/>
  <c r="BB162"/>
  <c r="BB362"/>
  <c r="BB248"/>
  <c r="BB513"/>
  <c r="BB270"/>
  <c r="BB277"/>
  <c r="BB27"/>
  <c r="BB163"/>
  <c r="BB254"/>
  <c r="BB140"/>
  <c r="BB253"/>
  <c r="BB49"/>
  <c r="BB296"/>
  <c r="BB451"/>
  <c r="BB280"/>
  <c r="BB377"/>
  <c r="BB520"/>
  <c r="BB466"/>
  <c r="BB28"/>
  <c r="BB435"/>
  <c r="BB442"/>
  <c r="BB493"/>
  <c r="BB365"/>
  <c r="BB460"/>
  <c r="BB415"/>
  <c r="BB313"/>
  <c r="BB77"/>
  <c r="BB30"/>
  <c r="BB517"/>
  <c r="BB502"/>
  <c r="BB505"/>
  <c r="BB352"/>
  <c r="BB214"/>
  <c r="BB216"/>
  <c r="BB463"/>
  <c r="BB369"/>
  <c r="BB233"/>
  <c r="BB3"/>
  <c r="BB33"/>
  <c r="BB249"/>
  <c r="BB8"/>
  <c r="BB295"/>
  <c r="BB155"/>
  <c r="BB508"/>
  <c r="BB11"/>
  <c r="BB201"/>
  <c r="BB212"/>
  <c r="BB456"/>
  <c r="BB142"/>
  <c r="BB305"/>
  <c r="BB69"/>
  <c r="BB178"/>
  <c r="BB349"/>
  <c r="BB164"/>
  <c r="BB136"/>
  <c r="BB256"/>
  <c r="BB177"/>
  <c r="BB67"/>
  <c r="BB308"/>
  <c r="BB375"/>
  <c r="BB477"/>
  <c r="BB230"/>
  <c r="BB34"/>
  <c r="BB500"/>
  <c r="BB446"/>
  <c r="BB102"/>
  <c r="BB195"/>
  <c r="BB42"/>
  <c r="BB503"/>
  <c r="BB96"/>
  <c r="BB400"/>
  <c r="BB310"/>
  <c r="BB237"/>
  <c r="BB465"/>
  <c r="BB331"/>
  <c r="BB267"/>
  <c r="BB82"/>
  <c r="BB444"/>
  <c r="BB441"/>
  <c r="BB191"/>
  <c r="BB337"/>
  <c r="BB486"/>
  <c r="BB271"/>
  <c r="BB44"/>
  <c r="BB84"/>
  <c r="BB488"/>
  <c r="BB384"/>
  <c r="BB74"/>
  <c r="BB378"/>
  <c r="BB98"/>
  <c r="BB32"/>
  <c r="BB7"/>
  <c r="BB9"/>
  <c r="BB336"/>
  <c r="BB157"/>
  <c r="BB281"/>
  <c r="BB257"/>
  <c r="BB329"/>
  <c r="BB437"/>
  <c r="BB373"/>
  <c r="BB152"/>
  <c r="BB159"/>
  <c r="BB482"/>
  <c r="BB480"/>
  <c r="BB21"/>
  <c r="BB241"/>
  <c r="BB22"/>
  <c r="BB5"/>
  <c r="BB390"/>
  <c r="BB10"/>
  <c r="BB470"/>
  <c r="BB319"/>
  <c r="BB128"/>
  <c r="BB389"/>
  <c r="BB516"/>
  <c r="BB258"/>
  <c r="BB199"/>
  <c r="BB454"/>
  <c r="BB426"/>
  <c r="BB124"/>
  <c r="BB229"/>
  <c r="BB85"/>
  <c r="BB118"/>
  <c r="BB189"/>
  <c r="BB315"/>
  <c r="BB387"/>
  <c r="BB94"/>
  <c r="BB333"/>
  <c r="BB448"/>
  <c r="BB332"/>
  <c r="BB403"/>
  <c r="BB348"/>
  <c r="BB498"/>
  <c r="BB20"/>
  <c r="BB266"/>
  <c r="BB363"/>
  <c r="BB193"/>
  <c r="BB180"/>
  <c r="BB160"/>
  <c r="BB112"/>
  <c r="BB404"/>
  <c r="BB4"/>
  <c r="BB221"/>
  <c r="BB289"/>
  <c r="BB351"/>
  <c r="BB382"/>
  <c r="BB202"/>
  <c r="BB125"/>
  <c r="BB169"/>
  <c r="BB188"/>
  <c r="BB232"/>
  <c r="BB487"/>
  <c r="BB302"/>
  <c r="BB16"/>
  <c r="BB70"/>
  <c r="BB73"/>
  <c r="BB185"/>
  <c r="BB279"/>
  <c r="BB274"/>
  <c r="BB172"/>
  <c r="BB182"/>
  <c r="BB71"/>
  <c r="BB357"/>
  <c r="BB476"/>
  <c r="BB325"/>
  <c r="BB119"/>
  <c r="BB427"/>
  <c r="BB251"/>
  <c r="BB424"/>
  <c r="BB196"/>
  <c r="BB145"/>
  <c r="BB376"/>
  <c r="BB83"/>
  <c r="BB198"/>
  <c r="BB75"/>
  <c r="BB436"/>
  <c r="BB176"/>
  <c r="BB402"/>
  <c r="BB468"/>
  <c r="BB304"/>
  <c r="BB393"/>
  <c r="BB431"/>
  <c r="BB213"/>
  <c r="BB394"/>
  <c r="BB472"/>
  <c r="BB342"/>
  <c r="BB47"/>
  <c r="BB492"/>
  <c r="BB54"/>
  <c r="BB88"/>
  <c r="BB126"/>
  <c r="BB121"/>
  <c r="BB93"/>
  <c r="BB184"/>
  <c r="BB301"/>
  <c r="BB518"/>
  <c r="BB106"/>
  <c r="BB161"/>
  <c r="BB150"/>
  <c r="BB218"/>
  <c r="BB183"/>
  <c r="BB285"/>
  <c r="BB509"/>
  <c r="BB247"/>
  <c r="BB307"/>
  <c r="BB135"/>
  <c r="BB406"/>
  <c r="BB414"/>
  <c r="BB371"/>
  <c r="BB91"/>
  <c r="BB425"/>
  <c r="BB411"/>
  <c r="BB40"/>
  <c r="BB449"/>
  <c r="BB238"/>
  <c r="BB222"/>
  <c r="BB478"/>
  <c r="BB242"/>
  <c r="BB323"/>
  <c r="BB450"/>
  <c r="BB303"/>
  <c r="BB134"/>
  <c r="BB166"/>
  <c r="BB175"/>
  <c r="BB192"/>
  <c r="BB56"/>
  <c r="BB170"/>
  <c r="BB186"/>
  <c r="BB338"/>
  <c r="BB339"/>
  <c r="BB6"/>
  <c r="BB328"/>
  <c r="BB80"/>
  <c r="BB61"/>
  <c r="BB405"/>
  <c r="BB120"/>
  <c r="BB314"/>
  <c r="BB100"/>
  <c r="BB354"/>
  <c r="BB79"/>
  <c r="BB317"/>
  <c r="BB137"/>
  <c r="BB388"/>
  <c r="BB353"/>
  <c r="BB355"/>
  <c r="BB428"/>
  <c r="BB36"/>
  <c r="BB432"/>
  <c r="BB343"/>
  <c r="BB462"/>
  <c r="BB276"/>
  <c r="BB31"/>
  <c r="BB63"/>
  <c r="BB26"/>
  <c r="BB484"/>
  <c r="BB101"/>
  <c r="BB43"/>
  <c r="BB14"/>
  <c r="BB330"/>
  <c r="BB117"/>
  <c r="BB190"/>
  <c r="BB397"/>
  <c r="BB131"/>
  <c r="BB459"/>
  <c r="BB66"/>
  <c r="BB72"/>
  <c r="BB311"/>
  <c r="BB225"/>
  <c r="BB278"/>
  <c r="BB383"/>
  <c r="BB438"/>
  <c r="BB114"/>
  <c r="BB395"/>
  <c r="C53"/>
  <c r="Z53"/>
  <c r="AA53" s="1"/>
  <c r="AB53"/>
  <c r="AC53" s="1"/>
  <c r="C18"/>
  <c r="Z18"/>
  <c r="AA18" s="1"/>
  <c r="AB18" s="1"/>
  <c r="C155"/>
  <c r="Z155"/>
  <c r="AA155" s="1"/>
  <c r="AB155" s="1"/>
  <c r="AC155" s="1"/>
  <c r="C9"/>
  <c r="Z9"/>
  <c r="AA9" s="1"/>
  <c r="AB9" s="1"/>
  <c r="C320"/>
  <c r="Z320"/>
  <c r="AA320" s="1"/>
  <c r="AB320" s="1"/>
  <c r="C307"/>
  <c r="Z307"/>
  <c r="AA307" s="1"/>
  <c r="AB307" s="1"/>
  <c r="AC307" s="1"/>
  <c r="C108"/>
  <c r="Z108"/>
  <c r="AA108" s="1"/>
  <c r="AB108" s="1"/>
  <c r="C47"/>
  <c r="Z47"/>
  <c r="AA47" s="1"/>
  <c r="AB47" s="1"/>
  <c r="C98"/>
  <c r="Z98"/>
  <c r="AA98" s="1"/>
  <c r="AB98" s="1"/>
  <c r="C46"/>
  <c r="Z46"/>
  <c r="AA46" s="1"/>
  <c r="AB46" s="1"/>
  <c r="AC46" s="1"/>
  <c r="C131"/>
  <c r="Z131"/>
  <c r="AA131" s="1"/>
  <c r="AB131"/>
  <c r="AC131" s="1"/>
  <c r="C422"/>
  <c r="Z422"/>
  <c r="AA422" s="1"/>
  <c r="AB422"/>
  <c r="AC422" s="1"/>
  <c r="C127"/>
  <c r="Z127"/>
  <c r="AA127" s="1"/>
  <c r="AB127" s="1"/>
  <c r="C156"/>
  <c r="Z156"/>
  <c r="AA156" s="1"/>
  <c r="AB156" s="1"/>
  <c r="C102"/>
  <c r="Z102"/>
  <c r="AA102" s="1"/>
  <c r="AB102"/>
  <c r="AC102" s="1"/>
  <c r="C141"/>
  <c r="Z141"/>
  <c r="AA141" s="1"/>
  <c r="AB141" s="1"/>
  <c r="AC141" s="1"/>
  <c r="C487"/>
  <c r="Z487"/>
  <c r="AA487" s="1"/>
  <c r="AB487" s="1"/>
  <c r="C456"/>
  <c r="Z456"/>
  <c r="AA456" s="1"/>
  <c r="AB456" s="1"/>
  <c r="C222"/>
  <c r="Z222"/>
  <c r="AA222" s="1"/>
  <c r="AB222" s="1"/>
  <c r="C228"/>
  <c r="Z228"/>
  <c r="AA228" s="1"/>
  <c r="AB228" s="1"/>
  <c r="AC228" s="1"/>
  <c r="C13"/>
  <c r="Z13"/>
  <c r="AA13" s="1"/>
  <c r="AB13" s="1"/>
  <c r="AC13" s="1"/>
  <c r="C232"/>
  <c r="Z232"/>
  <c r="AA232" s="1"/>
  <c r="AB232" s="1"/>
  <c r="C212"/>
  <c r="Z212"/>
  <c r="AA212" s="1"/>
  <c r="AB212" s="1"/>
  <c r="C157"/>
  <c r="Z157"/>
  <c r="AA157" s="1"/>
  <c r="AB157"/>
  <c r="AC157" s="1"/>
  <c r="C153"/>
  <c r="Z153"/>
  <c r="AA153" s="1"/>
  <c r="AB153" s="1"/>
  <c r="AC153" s="1"/>
  <c r="C84"/>
  <c r="Z84"/>
  <c r="AA84" s="1"/>
  <c r="AB84"/>
  <c r="AC84" s="1"/>
  <c r="C101"/>
  <c r="Z101"/>
  <c r="AA101" s="1"/>
  <c r="AB101" s="1"/>
  <c r="C346"/>
  <c r="Z346"/>
  <c r="AA346" s="1"/>
  <c r="AB346"/>
  <c r="AC346" s="1"/>
  <c r="C24"/>
  <c r="Z24"/>
  <c r="AA24" s="1"/>
  <c r="AB24" s="1"/>
  <c r="C78"/>
  <c r="Z78"/>
  <c r="AA78" s="1"/>
  <c r="AB78" s="1"/>
  <c r="C214"/>
  <c r="Z214"/>
  <c r="AA214" s="1"/>
  <c r="AB214" s="1"/>
  <c r="AC214" s="1"/>
  <c r="C56"/>
  <c r="Z56"/>
  <c r="AA56" s="1"/>
  <c r="AB56"/>
  <c r="AC56" s="1"/>
  <c r="C55"/>
  <c r="Z55"/>
  <c r="AA55" s="1"/>
  <c r="AB55" s="1"/>
  <c r="AC55" s="1"/>
  <c r="AC18" l="1"/>
  <c r="AC9"/>
  <c r="AC320"/>
  <c r="AC108"/>
  <c r="AC47"/>
  <c r="AC98"/>
  <c r="AC127"/>
  <c r="AC156"/>
  <c r="AC487"/>
  <c r="AC456"/>
  <c r="AC222"/>
  <c r="AC232"/>
  <c r="AC212"/>
  <c r="AC101"/>
  <c r="AC24"/>
  <c r="AC78"/>
  <c r="C301" l="1"/>
  <c r="Z301"/>
  <c r="AA301" s="1"/>
  <c r="AB301" s="1"/>
  <c r="AC301" s="1"/>
  <c r="C292"/>
  <c r="Z292"/>
  <c r="AA292" s="1"/>
  <c r="AB292" s="1"/>
  <c r="C431"/>
  <c r="Z431"/>
  <c r="AA431" s="1"/>
  <c r="AB431" s="1"/>
  <c r="C217"/>
  <c r="Z217"/>
  <c r="AA217" s="1"/>
  <c r="AB217" s="1"/>
  <c r="C54"/>
  <c r="Z54"/>
  <c r="AA54" s="1"/>
  <c r="AB54" s="1"/>
  <c r="AC54" s="1"/>
  <c r="C239"/>
  <c r="Z239"/>
  <c r="AA239" s="1"/>
  <c r="AB239" s="1"/>
  <c r="C406"/>
  <c r="Z406"/>
  <c r="AA406" s="1"/>
  <c r="AB406" s="1"/>
  <c r="C237"/>
  <c r="Z237"/>
  <c r="AA237" s="1"/>
  <c r="AB237" s="1"/>
  <c r="AC237" s="1"/>
  <c r="C114"/>
  <c r="Z114"/>
  <c r="AA114" s="1"/>
  <c r="AB114" s="1"/>
  <c r="C107"/>
  <c r="Z107"/>
  <c r="AA107" s="1"/>
  <c r="AB107" s="1"/>
  <c r="AC107" s="1"/>
  <c r="C194"/>
  <c r="Z194"/>
  <c r="AA194" s="1"/>
  <c r="AB194" s="1"/>
  <c r="C192"/>
  <c r="Z192"/>
  <c r="AA192" s="1"/>
  <c r="AB192" s="1"/>
  <c r="C199"/>
  <c r="Z199"/>
  <c r="AA199" s="1"/>
  <c r="AB199" s="1"/>
  <c r="C520"/>
  <c r="Z520"/>
  <c r="AA520" s="1"/>
  <c r="AB520" s="1"/>
  <c r="AC520" s="1"/>
  <c r="C207"/>
  <c r="Z207"/>
  <c r="AA207" s="1"/>
  <c r="AB207"/>
  <c r="AC207" s="1"/>
  <c r="C395"/>
  <c r="C399"/>
  <c r="C464"/>
  <c r="Z395"/>
  <c r="AA395" s="1"/>
  <c r="AB395" s="1"/>
  <c r="Z399"/>
  <c r="AA399" s="1"/>
  <c r="AB399" s="1"/>
  <c r="Z464"/>
  <c r="AA464" s="1"/>
  <c r="AB464"/>
  <c r="C339"/>
  <c r="Z339"/>
  <c r="AA339" s="1"/>
  <c r="AB339" s="1"/>
  <c r="AC339" s="1"/>
  <c r="AC292" l="1"/>
  <c r="AC431"/>
  <c r="AC217"/>
  <c r="AC239"/>
  <c r="AC406"/>
  <c r="AC114"/>
  <c r="AC194"/>
  <c r="AC192"/>
  <c r="AC199"/>
  <c r="AC395"/>
  <c r="AC399"/>
  <c r="AC464"/>
  <c r="C368"/>
  <c r="Z368"/>
  <c r="AA368" s="1"/>
  <c r="AB368" s="1"/>
  <c r="AC368" s="1"/>
  <c r="C74"/>
  <c r="Z74"/>
  <c r="AA74" s="1"/>
  <c r="AB74" s="1"/>
  <c r="AC74" s="1"/>
  <c r="C168"/>
  <c r="Z168"/>
  <c r="AA168" s="1"/>
  <c r="AB168" s="1"/>
  <c r="C276"/>
  <c r="Z276"/>
  <c r="AA276" s="1"/>
  <c r="AB276" s="1"/>
  <c r="C505"/>
  <c r="Z505"/>
  <c r="AA505" s="1"/>
  <c r="AB505" s="1"/>
  <c r="C380"/>
  <c r="Z380"/>
  <c r="AA380" s="1"/>
  <c r="AB380" s="1"/>
  <c r="AC380" s="1"/>
  <c r="C367"/>
  <c r="Z367"/>
  <c r="AA367" s="1"/>
  <c r="AB367" s="1"/>
  <c r="C178"/>
  <c r="Z178"/>
  <c r="AA178" s="1"/>
  <c r="AB178"/>
  <c r="AC178" s="1"/>
  <c r="C163"/>
  <c r="Z163"/>
  <c r="AA163" s="1"/>
  <c r="AB163" s="1"/>
  <c r="C196"/>
  <c r="Z196"/>
  <c r="AA196" s="1"/>
  <c r="AB196" s="1"/>
  <c r="AC19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290" i="1"/>
  <c r="Z290"/>
  <c r="AA290" s="1"/>
  <c r="AB290" s="1"/>
  <c r="C193"/>
  <c r="Z193"/>
  <c r="AA193" s="1"/>
  <c r="AB193" s="1"/>
  <c r="C283"/>
  <c r="Z283"/>
  <c r="AA283" s="1"/>
  <c r="AB283" s="1"/>
  <c r="C5"/>
  <c r="Z5"/>
  <c r="AA5" s="1"/>
  <c r="AB5" s="1"/>
  <c r="C61"/>
  <c r="Z61"/>
  <c r="AA61" s="1"/>
  <c r="AB61" s="1"/>
  <c r="C169"/>
  <c r="Z169"/>
  <c r="AA169" s="1"/>
  <c r="AB169"/>
  <c r="AC169" s="1"/>
  <c r="C11"/>
  <c r="Z11"/>
  <c r="AA11" s="1"/>
  <c r="AB11"/>
  <c r="AC11" s="1"/>
  <c r="C243"/>
  <c r="Z243"/>
  <c r="AA243" s="1"/>
  <c r="AB243" s="1"/>
  <c r="C357"/>
  <c r="Z357"/>
  <c r="AA357" s="1"/>
  <c r="AB357" s="1"/>
  <c r="C511"/>
  <c r="Z511"/>
  <c r="AA511" s="1"/>
  <c r="AB511" s="1"/>
  <c r="C502"/>
  <c r="Z502"/>
  <c r="AA502" s="1"/>
  <c r="AB502" s="1"/>
  <c r="C376"/>
  <c r="Z376"/>
  <c r="AA376" s="1"/>
  <c r="AB376" s="1"/>
  <c r="C515"/>
  <c r="Z515"/>
  <c r="AA515" s="1"/>
  <c r="AB515" s="1"/>
  <c r="AC515" s="1"/>
  <c r="C516"/>
  <c r="Z516"/>
  <c r="AA516" s="1"/>
  <c r="AB516" s="1"/>
  <c r="C210"/>
  <c r="Z210"/>
  <c r="AA210" s="1"/>
  <c r="AB210" s="1"/>
  <c r="C373"/>
  <c r="Z373"/>
  <c r="AA373" s="1"/>
  <c r="AB373" s="1"/>
  <c r="AC373" s="1"/>
  <c r="C352"/>
  <c r="Z352"/>
  <c r="AA352" s="1"/>
  <c r="AB352" s="1"/>
  <c r="C419"/>
  <c r="Z419"/>
  <c r="AA419" s="1"/>
  <c r="AB419"/>
  <c r="AC419" s="1"/>
  <c r="C349"/>
  <c r="Z349"/>
  <c r="AA349" s="1"/>
  <c r="AB349" s="1"/>
  <c r="C329"/>
  <c r="Z329"/>
  <c r="AA329" s="1"/>
  <c r="AB329" s="1"/>
  <c r="C405"/>
  <c r="Z405"/>
  <c r="AA405" s="1"/>
  <c r="AB405" s="1"/>
  <c r="AC405" s="1"/>
  <c r="C236"/>
  <c r="Z236"/>
  <c r="AA236" s="1"/>
  <c r="AB236" s="1"/>
  <c r="AC236" s="1"/>
  <c r="C6"/>
  <c r="Z6"/>
  <c r="AA6" s="1"/>
  <c r="AB6" s="1"/>
  <c r="C465"/>
  <c r="Z465"/>
  <c r="AA465" s="1"/>
  <c r="AB465" s="1"/>
  <c r="AC465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R20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M33"/>
  <c r="R55"/>
  <c r="J28"/>
  <c r="K28"/>
  <c r="Q19"/>
  <c r="M25"/>
  <c r="K25"/>
  <c r="K20"/>
  <c r="Q10"/>
  <c r="K19"/>
  <c r="R11"/>
  <c r="J16"/>
  <c r="K16"/>
  <c r="M15"/>
  <c r="AC168" i="1"/>
  <c r="AC276"/>
  <c r="L12" i="18"/>
  <c r="AC505" i="1"/>
  <c r="AC367"/>
  <c r="AC163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290" i="1"/>
  <c r="AC193"/>
  <c r="AC283"/>
  <c r="AC5"/>
  <c r="AC61"/>
  <c r="AC243"/>
  <c r="AC357"/>
  <c r="AC511"/>
  <c r="AC502"/>
  <c r="AC376"/>
  <c r="AC516"/>
  <c r="AC210"/>
  <c r="AC352"/>
  <c r="AC349"/>
  <c r="AC329"/>
  <c r="AC6"/>
  <c r="R11" i="15"/>
  <c r="B3"/>
  <c r="C3"/>
  <c r="D3"/>
  <c r="L3"/>
  <c r="M3"/>
  <c r="N3" s="1"/>
  <c r="C289" i="1"/>
  <c r="Z289"/>
  <c r="AA289" s="1"/>
  <c r="AB289" s="1"/>
  <c r="C353"/>
  <c r="Z353"/>
  <c r="AA353" s="1"/>
  <c r="AB353" s="1"/>
  <c r="C401"/>
  <c r="Z401"/>
  <c r="AA401" s="1"/>
  <c r="AB401" s="1"/>
  <c r="C274"/>
  <c r="Z274"/>
  <c r="AA274" s="1"/>
  <c r="AB274" s="1"/>
  <c r="C392"/>
  <c r="Z392"/>
  <c r="AA392" s="1"/>
  <c r="AB392" s="1"/>
  <c r="C332"/>
  <c r="Z332"/>
  <c r="AA332" s="1"/>
  <c r="AB332" s="1"/>
  <c r="C183"/>
  <c r="Z183"/>
  <c r="AA183" s="1"/>
  <c r="AB183" s="1"/>
  <c r="C23"/>
  <c r="Z23"/>
  <c r="AA23" s="1"/>
  <c r="AB23" s="1"/>
  <c r="C257"/>
  <c r="Z257"/>
  <c r="AA257" s="1"/>
  <c r="AB257" s="1"/>
  <c r="C518"/>
  <c r="Z518"/>
  <c r="AA518" s="1"/>
  <c r="AB518" s="1"/>
  <c r="C12"/>
  <c r="Z12"/>
  <c r="AA12" s="1"/>
  <c r="AB12" s="1"/>
  <c r="C272"/>
  <c r="Z272"/>
  <c r="AA272" s="1"/>
  <c r="AB272" s="1"/>
  <c r="C72"/>
  <c r="Z72"/>
  <c r="AA72" s="1"/>
  <c r="AB72" s="1"/>
  <c r="AC72" s="1"/>
  <c r="C81"/>
  <c r="Z81"/>
  <c r="AA81" s="1"/>
  <c r="AB81" s="1"/>
  <c r="AC81" s="1"/>
  <c r="C216"/>
  <c r="Z216"/>
  <c r="AA216" s="1"/>
  <c r="AB216"/>
  <c r="AC216" s="1"/>
  <c r="C304"/>
  <c r="Z304"/>
  <c r="AA304" s="1"/>
  <c r="AB304"/>
  <c r="AC304" s="1"/>
  <c r="C338"/>
  <c r="Z338"/>
  <c r="AA338" s="1"/>
  <c r="AB338" s="1"/>
  <c r="AC338" s="1"/>
  <c r="C19"/>
  <c r="Z19"/>
  <c r="AA19" s="1"/>
  <c r="AB19" s="1"/>
  <c r="AC19" s="1"/>
  <c r="C115"/>
  <c r="Z115"/>
  <c r="AA115" s="1"/>
  <c r="AB115"/>
  <c r="AC115" s="1"/>
  <c r="C109"/>
  <c r="Z109"/>
  <c r="AA109" s="1"/>
  <c r="AB109"/>
  <c r="AC109" s="1"/>
  <c r="C40"/>
  <c r="Z40"/>
  <c r="AA40" s="1"/>
  <c r="AB40" s="1"/>
  <c r="AC40" s="1"/>
  <c r="C342"/>
  <c r="Z342"/>
  <c r="AA342" s="1"/>
  <c r="AB342" s="1"/>
  <c r="AC342" s="1"/>
  <c r="C450"/>
  <c r="Z450"/>
  <c r="AA450" s="1"/>
  <c r="AB450" s="1"/>
  <c r="AC450" s="1"/>
  <c r="C449"/>
  <c r="Z449"/>
  <c r="AA449" s="1"/>
  <c r="AB449" s="1"/>
  <c r="AC449" s="1"/>
  <c r="C66"/>
  <c r="Z66"/>
  <c r="AA66" s="1"/>
  <c r="AB66"/>
  <c r="AC66" s="1"/>
  <c r="C95"/>
  <c r="Z95"/>
  <c r="AA95" s="1"/>
  <c r="AB95"/>
  <c r="AC95" s="1"/>
  <c r="C29"/>
  <c r="Z29"/>
  <c r="AA29" s="1"/>
  <c r="AB29" s="1"/>
  <c r="AC29" s="1"/>
  <c r="C246"/>
  <c r="Z246"/>
  <c r="AA246" s="1"/>
  <c r="AB246" s="1"/>
  <c r="AC246" s="1"/>
  <c r="C198"/>
  <c r="Z198"/>
  <c r="AA198" s="1"/>
  <c r="AB198"/>
  <c r="AC198" s="1"/>
  <c r="C494"/>
  <c r="Z494"/>
  <c r="AA494" s="1"/>
  <c r="AB494" s="1"/>
  <c r="AC494" s="1"/>
  <c r="C416"/>
  <c r="Z416"/>
  <c r="AA416" s="1"/>
  <c r="AB416"/>
  <c r="AC416" s="1"/>
  <c r="C432"/>
  <c r="Z432"/>
  <c r="AA432" s="1"/>
  <c r="AB432"/>
  <c r="AC432" s="1"/>
  <c r="C435"/>
  <c r="Z435"/>
  <c r="AA435" s="1"/>
  <c r="AB435"/>
  <c r="AC435" s="1"/>
  <c r="C170"/>
  <c r="Z170"/>
  <c r="AA170" s="1"/>
  <c r="AB170"/>
  <c r="AC170" s="1"/>
  <c r="C113"/>
  <c r="Z113"/>
  <c r="AA113" s="1"/>
  <c r="AB113"/>
  <c r="AC113" s="1"/>
  <c r="C152"/>
  <c r="Z152"/>
  <c r="AA152" s="1"/>
  <c r="AB152"/>
  <c r="AC152" s="1"/>
  <c r="C164"/>
  <c r="Z164"/>
  <c r="AA164" s="1"/>
  <c r="AB164"/>
  <c r="AC164" s="1"/>
  <c r="C51"/>
  <c r="Z51"/>
  <c r="AA51" s="1"/>
  <c r="AB51" s="1"/>
  <c r="AC51" s="1"/>
  <c r="C117"/>
  <c r="Z117"/>
  <c r="AA117" s="1"/>
  <c r="AB117"/>
  <c r="AC117" s="1"/>
  <c r="C136"/>
  <c r="Z136"/>
  <c r="AA136" s="1"/>
  <c r="AB136"/>
  <c r="AC136" s="1"/>
  <c r="C16"/>
  <c r="Z16"/>
  <c r="AA16" s="1"/>
  <c r="AB16"/>
  <c r="AC16" s="1"/>
  <c r="C63"/>
  <c r="Z63"/>
  <c r="AA63" s="1"/>
  <c r="AB63"/>
  <c r="AC63" s="1"/>
  <c r="C96"/>
  <c r="Z96"/>
  <c r="AA96" s="1"/>
  <c r="AB96"/>
  <c r="AC96" s="1"/>
  <c r="C80"/>
  <c r="Z80"/>
  <c r="AA80" s="1"/>
  <c r="AB80"/>
  <c r="AC80" s="1"/>
  <c r="C79"/>
  <c r="Z79"/>
  <c r="AA79" s="1"/>
  <c r="AB79"/>
  <c r="AC79" s="1"/>
  <c r="C75"/>
  <c r="Z75"/>
  <c r="AA75" s="1"/>
  <c r="AB75"/>
  <c r="AC75" s="1"/>
  <c r="C172"/>
  <c r="Z172"/>
  <c r="AA172" s="1"/>
  <c r="AB172" s="1"/>
  <c r="AC172" s="1"/>
  <c r="C48"/>
  <c r="Z48"/>
  <c r="AA48" s="1"/>
  <c r="AB48" s="1"/>
  <c r="AC48" s="1"/>
  <c r="C195"/>
  <c r="Z195"/>
  <c r="AA195" s="1"/>
  <c r="AB195" s="1"/>
  <c r="AC195" s="1"/>
  <c r="C439"/>
  <c r="Z439"/>
  <c r="AA439" s="1"/>
  <c r="AB439" s="1"/>
  <c r="AC439" s="1"/>
  <c r="C97"/>
  <c r="Z97"/>
  <c r="AA97" s="1"/>
  <c r="AB97"/>
  <c r="AC97" s="1"/>
  <c r="C418"/>
  <c r="Z418"/>
  <c r="AA418" s="1"/>
  <c r="AB418"/>
  <c r="AC418" s="1"/>
  <c r="C503"/>
  <c r="C424"/>
  <c r="Z503"/>
  <c r="AA503" s="1"/>
  <c r="Z424"/>
  <c r="AA424" s="1"/>
  <c r="AB503"/>
  <c r="AC503" s="1"/>
  <c r="AB424"/>
  <c r="AC424" s="1"/>
  <c r="C371"/>
  <c r="Z371"/>
  <c r="AA371" s="1"/>
  <c r="AB371" s="1"/>
  <c r="AC371" s="1"/>
  <c r="C334"/>
  <c r="Z334"/>
  <c r="AA334" s="1"/>
  <c r="AB334" s="1"/>
  <c r="AC334" s="1"/>
  <c r="C340"/>
  <c r="Z340"/>
  <c r="AA340" s="1"/>
  <c r="AB340" s="1"/>
  <c r="AC340" s="1"/>
  <c r="C311"/>
  <c r="Z311"/>
  <c r="AA311" s="1"/>
  <c r="AB311" s="1"/>
  <c r="AC311" s="1"/>
  <c r="C306"/>
  <c r="Z306"/>
  <c r="AA306" s="1"/>
  <c r="AB306"/>
  <c r="AC306" s="1"/>
  <c r="C285"/>
  <c r="Z285"/>
  <c r="AA285" s="1"/>
  <c r="AB285"/>
  <c r="AC285" s="1"/>
  <c r="C270"/>
  <c r="Z270"/>
  <c r="AA270" s="1"/>
  <c r="AB270"/>
  <c r="AC270" s="1"/>
  <c r="C288"/>
  <c r="Z288"/>
  <c r="AA288" s="1"/>
  <c r="AB288" s="1"/>
  <c r="AC288" s="1"/>
  <c r="C26"/>
  <c r="Z26"/>
  <c r="AA26" s="1"/>
  <c r="AB26"/>
  <c r="AC26" s="1"/>
  <c r="C83"/>
  <c r="Z83"/>
  <c r="AA83" s="1"/>
  <c r="AB83"/>
  <c r="AC83" s="1"/>
  <c r="C82"/>
  <c r="Z82"/>
  <c r="AA82" s="1"/>
  <c r="AB82"/>
  <c r="AC82" s="1"/>
  <c r="C25"/>
  <c r="Z25"/>
  <c r="AA25" s="1"/>
  <c r="AB25"/>
  <c r="AC25" s="1"/>
  <c r="C160"/>
  <c r="Z160"/>
  <c r="AA160" s="1"/>
  <c r="AB160"/>
  <c r="AC160" s="1"/>
  <c r="C389"/>
  <c r="Z389"/>
  <c r="AA389" s="1"/>
  <c r="AB389"/>
  <c r="AC389" s="1"/>
  <c r="C260"/>
  <c r="Z260"/>
  <c r="AA260" s="1"/>
  <c r="AB260" s="1"/>
  <c r="AC260" s="1"/>
  <c r="C461"/>
  <c r="Z461"/>
  <c r="AA461" s="1"/>
  <c r="AB461" s="1"/>
  <c r="AC461" s="1"/>
  <c r="C300"/>
  <c r="Z300"/>
  <c r="AA300" s="1"/>
  <c r="AB300" s="1"/>
  <c r="AC300" s="1"/>
  <c r="C159"/>
  <c r="Z159"/>
  <c r="AA159" s="1"/>
  <c r="AB159"/>
  <c r="AC159" s="1"/>
  <c r="C208"/>
  <c r="Z208"/>
  <c r="AA208" s="1"/>
  <c r="AB208"/>
  <c r="AC208" s="1"/>
  <c r="C484"/>
  <c r="Z484"/>
  <c r="AA484" s="1"/>
  <c r="AB484" s="1"/>
  <c r="AC484" s="1"/>
  <c r="C138"/>
  <c r="Z138"/>
  <c r="AA138" s="1"/>
  <c r="AB138" s="1"/>
  <c r="AC138" s="1"/>
  <c r="C28"/>
  <c r="Z28"/>
  <c r="AA28" s="1"/>
  <c r="AB28" s="1"/>
  <c r="AC28" s="1"/>
  <c r="C36"/>
  <c r="Z36"/>
  <c r="AA36" s="1"/>
  <c r="AB36" s="1"/>
  <c r="AC36" s="1"/>
  <c r="C71"/>
  <c r="Z71"/>
  <c r="AA71" s="1"/>
  <c r="AB71" s="1"/>
  <c r="AC71" s="1"/>
  <c r="C67"/>
  <c r="Z67"/>
  <c r="AA67" s="1"/>
  <c r="AB67" s="1"/>
  <c r="AC67" s="1"/>
  <c r="C317"/>
  <c r="Z317"/>
  <c r="AA317" s="1"/>
  <c r="AB317" s="1"/>
  <c r="AC317" s="1"/>
  <c r="C8"/>
  <c r="Z8"/>
  <c r="AA8" s="1"/>
  <c r="AB8"/>
  <c r="AC8" s="1"/>
  <c r="C7"/>
  <c r="Z7"/>
  <c r="AA7" s="1"/>
  <c r="AB7"/>
  <c r="AC7" s="1"/>
  <c r="C240"/>
  <c r="Z240"/>
  <c r="AA240" s="1"/>
  <c r="AB240"/>
  <c r="AC240" s="1"/>
  <c r="C314"/>
  <c r="Z314"/>
  <c r="AA314" s="1"/>
  <c r="AB314"/>
  <c r="AC314" s="1"/>
  <c r="C206"/>
  <c r="Z206"/>
  <c r="AA206" s="1"/>
  <c r="AB206"/>
  <c r="AC206" s="1"/>
  <c r="C238"/>
  <c r="Z238"/>
  <c r="AA238" s="1"/>
  <c r="AB238"/>
  <c r="AC238" s="1"/>
  <c r="C14"/>
  <c r="Z14"/>
  <c r="AA14" s="1"/>
  <c r="AB14" s="1"/>
  <c r="AC14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50" i="1"/>
  <c r="C151"/>
  <c r="Z150"/>
  <c r="AA150" s="1"/>
  <c r="Z151"/>
  <c r="AA151" s="1"/>
  <c r="AB150"/>
  <c r="AC150" s="1"/>
  <c r="AB151"/>
  <c r="AC151" s="1"/>
  <c r="C137"/>
  <c r="Z137"/>
  <c r="AA137" s="1"/>
  <c r="AB137"/>
  <c r="AC137" s="1"/>
  <c r="C145"/>
  <c r="Z145"/>
  <c r="AA145" s="1"/>
  <c r="AB145"/>
  <c r="AC145" s="1"/>
  <c r="C251"/>
  <c r="Z251"/>
  <c r="AA251" s="1"/>
  <c r="AB251" s="1"/>
  <c r="AC251" s="1"/>
  <c r="C73"/>
  <c r="Z73"/>
  <c r="AA73" s="1"/>
  <c r="AB73"/>
  <c r="AC73" s="1"/>
  <c r="C508"/>
  <c r="Z508"/>
  <c r="AA508" s="1"/>
  <c r="AB508" s="1"/>
  <c r="AC508" s="1"/>
  <c r="C489"/>
  <c r="Z489"/>
  <c r="AA489" s="1"/>
  <c r="AB489" s="1"/>
  <c r="AC489" s="1"/>
  <c r="C490"/>
  <c r="Z490"/>
  <c r="AA490" s="1"/>
  <c r="AB490" s="1"/>
  <c r="AC490" s="1"/>
  <c r="C10"/>
  <c r="Z10"/>
  <c r="AA10" s="1"/>
  <c r="AB10" s="1"/>
  <c r="AC10" s="1"/>
  <c r="C50"/>
  <c r="Z50"/>
  <c r="AA50" s="1"/>
  <c r="AB50" s="1"/>
  <c r="AC50" s="1"/>
  <c r="C49"/>
  <c r="Z49"/>
  <c r="AA49" s="1"/>
  <c r="AB49" s="1"/>
  <c r="AC49" s="1"/>
  <c r="C45"/>
  <c r="Z45"/>
  <c r="AA45" s="1"/>
  <c r="AB45" s="1"/>
  <c r="AC45" s="1"/>
  <c r="C472"/>
  <c r="C517"/>
  <c r="Z472"/>
  <c r="AA472" s="1"/>
  <c r="AB472" s="1"/>
  <c r="AC472" s="1"/>
  <c r="Z517"/>
  <c r="AA517" s="1"/>
  <c r="AB517" s="1"/>
  <c r="AC517" s="1"/>
  <c r="C112"/>
  <c r="Z112"/>
  <c r="AA112" s="1"/>
  <c r="AB112"/>
  <c r="AC112" s="1"/>
  <c r="C110"/>
  <c r="Z110"/>
  <c r="AA110" s="1"/>
  <c r="AB110"/>
  <c r="AC110" s="1"/>
  <c r="C142"/>
  <c r="Z142"/>
  <c r="AA142" s="1"/>
  <c r="AB142"/>
  <c r="AC142" s="1"/>
  <c r="C42"/>
  <c r="Z42"/>
  <c r="AA42" s="1"/>
  <c r="AB42" s="1"/>
  <c r="AC42" s="1"/>
  <c r="C365"/>
  <c r="Z365"/>
  <c r="AA365" s="1"/>
  <c r="AB365" s="1"/>
  <c r="AC365" s="1"/>
  <c r="C403"/>
  <c r="Z403"/>
  <c r="AA403" s="1"/>
  <c r="AB403" s="1"/>
  <c r="AC403" s="1"/>
  <c r="C140"/>
  <c r="Z140"/>
  <c r="AA140" s="1"/>
  <c r="AB140"/>
  <c r="AC140" s="1"/>
  <c r="C119"/>
  <c r="Z119"/>
  <c r="AA119" s="1"/>
  <c r="AB119"/>
  <c r="AC119" s="1"/>
  <c r="C44"/>
  <c r="Z44"/>
  <c r="AA44" s="1"/>
  <c r="AB44" s="1"/>
  <c r="AC44" s="1"/>
  <c r="C43"/>
  <c r="Z43"/>
  <c r="AA43" s="1"/>
  <c r="AB43" s="1"/>
  <c r="AC43" s="1"/>
  <c r="C463"/>
  <c r="Z463"/>
  <c r="AA463" s="1"/>
  <c r="AB463" s="1"/>
  <c r="AC463" s="1"/>
  <c r="C415"/>
  <c r="Z415"/>
  <c r="AA415" s="1"/>
  <c r="AB415" s="1"/>
  <c r="AC415" s="1"/>
  <c r="C34"/>
  <c r="Z34"/>
  <c r="AA34" s="1"/>
  <c r="AB34" s="1"/>
  <c r="AC34" s="1"/>
  <c r="C318"/>
  <c r="Z318"/>
  <c r="AA318" s="1"/>
  <c r="AB318" s="1"/>
  <c r="AC318" s="1"/>
  <c r="C94"/>
  <c r="Z94"/>
  <c r="AA94" s="1"/>
  <c r="AB94"/>
  <c r="AC94" s="1"/>
  <c r="C106"/>
  <c r="Z106"/>
  <c r="AA106" s="1"/>
  <c r="AB106"/>
  <c r="AC106" s="1"/>
  <c r="C120"/>
  <c r="Z120"/>
  <c r="AA120" s="1"/>
  <c r="AB120"/>
  <c r="AC120" s="1"/>
  <c r="C125"/>
  <c r="Z125"/>
  <c r="AA125" s="1"/>
  <c r="AB125"/>
  <c r="AC125" s="1"/>
  <c r="C470"/>
  <c r="Z470"/>
  <c r="AA470" s="1"/>
  <c r="AB470" s="1"/>
  <c r="AC470" s="1"/>
  <c r="C410"/>
  <c r="Z410"/>
  <c r="AA410" s="1"/>
  <c r="AB410"/>
  <c r="AC410" s="1"/>
  <c r="C122"/>
  <c r="Z122"/>
  <c r="AA122" s="1"/>
  <c r="AB122" s="1"/>
  <c r="AC122" s="1"/>
  <c r="C33"/>
  <c r="Z33"/>
  <c r="AA33" s="1"/>
  <c r="AB33" s="1"/>
  <c r="AC33" s="1"/>
  <c r="C32"/>
  <c r="Z32"/>
  <c r="AA32" s="1"/>
  <c r="AB32" s="1"/>
  <c r="AC32" s="1"/>
  <c r="C372"/>
  <c r="Z372"/>
  <c r="AA372" s="1"/>
  <c r="AB372" s="1"/>
  <c r="AC372" s="1"/>
  <c r="C162"/>
  <c r="Z162"/>
  <c r="AA162" s="1"/>
  <c r="AB162" s="1"/>
  <c r="AC162" s="1"/>
  <c r="C31"/>
  <c r="Z31"/>
  <c r="AA31" s="1"/>
  <c r="AB31" s="1"/>
  <c r="AC31" s="1"/>
  <c r="C30"/>
  <c r="Z30"/>
  <c r="AA30" s="1"/>
  <c r="AB30" s="1"/>
  <c r="AC30" s="1"/>
  <c r="C229"/>
  <c r="Z229"/>
  <c r="AA229" s="1"/>
  <c r="AB229" s="1"/>
  <c r="AC229" s="1"/>
  <c r="C2"/>
  <c r="Z2"/>
  <c r="AA2" s="1"/>
  <c r="AB2" s="1"/>
  <c r="C90"/>
  <c r="Z90"/>
  <c r="AA90" s="1"/>
  <c r="AB90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AC289" i="1"/>
  <c r="AC353"/>
  <c r="AC401"/>
  <c r="AC274"/>
  <c r="AC392"/>
  <c r="AC332"/>
  <c r="AC183"/>
  <c r="AC23"/>
  <c r="AC257"/>
  <c r="AC518"/>
  <c r="AC12"/>
  <c r="AC272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90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429" i="1"/>
  <c r="Z429"/>
  <c r="AA429" s="1"/>
  <c r="AB429" s="1"/>
  <c r="T932" i="19" l="1"/>
  <c r="T933"/>
  <c r="T934"/>
  <c r="T935"/>
  <c r="T924"/>
  <c r="T925"/>
  <c r="T926"/>
  <c r="T927"/>
  <c r="T928"/>
  <c r="T929"/>
  <c r="T930"/>
  <c r="T931"/>
  <c r="T922"/>
  <c r="T923"/>
  <c r="T912"/>
  <c r="T913"/>
  <c r="T914"/>
  <c r="T915"/>
  <c r="T916"/>
  <c r="T917"/>
  <c r="T918"/>
  <c r="T919"/>
  <c r="T920"/>
  <c r="T921"/>
  <c r="T910"/>
  <c r="T911"/>
  <c r="T908"/>
  <c r="T909"/>
  <c r="T906"/>
  <c r="T907"/>
  <c r="T904"/>
  <c r="T905"/>
  <c r="T902"/>
  <c r="T903"/>
  <c r="T900"/>
  <c r="T901"/>
  <c r="T899"/>
  <c r="T898"/>
  <c r="T897"/>
  <c r="T896"/>
  <c r="T895"/>
  <c r="T894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72"/>
  <c r="T873"/>
  <c r="T863"/>
  <c r="T864"/>
  <c r="T865"/>
  <c r="T866"/>
  <c r="T867"/>
  <c r="T868"/>
  <c r="T869"/>
  <c r="T870"/>
  <c r="T871"/>
  <c r="T854"/>
  <c r="T855"/>
  <c r="T856"/>
  <c r="T857"/>
  <c r="T858"/>
  <c r="T859"/>
  <c r="T860"/>
  <c r="T861"/>
  <c r="T862"/>
  <c r="T848"/>
  <c r="T849"/>
  <c r="T850"/>
  <c r="T851"/>
  <c r="T852"/>
  <c r="T853"/>
  <c r="T845"/>
  <c r="T846"/>
  <c r="T847"/>
  <c r="T842"/>
  <c r="T843"/>
  <c r="T844"/>
  <c r="T839"/>
  <c r="T840"/>
  <c r="T841"/>
  <c r="T836"/>
  <c r="T837"/>
  <c r="T838"/>
  <c r="T833"/>
  <c r="T834"/>
  <c r="T835"/>
  <c r="T831"/>
  <c r="T832"/>
  <c r="T830"/>
  <c r="T829"/>
  <c r="T828"/>
  <c r="T825"/>
  <c r="T826"/>
  <c r="T827"/>
  <c r="T810"/>
  <c r="T811"/>
  <c r="T812"/>
  <c r="T813"/>
  <c r="T814"/>
  <c r="T815"/>
  <c r="T816"/>
  <c r="T817"/>
  <c r="T818"/>
  <c r="T819"/>
  <c r="T820"/>
  <c r="T821"/>
  <c r="T822"/>
  <c r="T823"/>
  <c r="T824"/>
  <c r="T795"/>
  <c r="T796"/>
  <c r="T797"/>
  <c r="T798"/>
  <c r="T799"/>
  <c r="T800"/>
  <c r="T801"/>
  <c r="T802"/>
  <c r="T803"/>
  <c r="T804"/>
  <c r="T805"/>
  <c r="T806"/>
  <c r="T807"/>
  <c r="T808"/>
  <c r="T809"/>
  <c r="T792"/>
  <c r="T793"/>
  <c r="T794"/>
  <c r="T789"/>
  <c r="T790"/>
  <c r="T791"/>
  <c r="T786"/>
  <c r="T787"/>
  <c r="T788"/>
  <c r="T783"/>
  <c r="T784"/>
  <c r="T785"/>
  <c r="T780"/>
  <c r="T781"/>
  <c r="T782"/>
  <c r="T777"/>
  <c r="T778"/>
  <c r="T779"/>
  <c r="T775"/>
  <c r="T776"/>
  <c r="T773"/>
  <c r="T774"/>
  <c r="T771"/>
  <c r="T772"/>
  <c r="T770"/>
  <c r="T769"/>
  <c r="T767"/>
  <c r="T768"/>
  <c r="T759"/>
  <c r="T760"/>
  <c r="T761"/>
  <c r="T762"/>
  <c r="T763"/>
  <c r="T764"/>
  <c r="T765"/>
  <c r="T766"/>
  <c r="T745"/>
  <c r="T746"/>
  <c r="T747"/>
  <c r="T748"/>
  <c r="T749"/>
  <c r="T750"/>
  <c r="T751"/>
  <c r="T752"/>
  <c r="T753"/>
  <c r="T754"/>
  <c r="T755"/>
  <c r="T756"/>
  <c r="T757"/>
  <c r="T758"/>
  <c r="T743"/>
  <c r="T744"/>
  <c r="T741"/>
  <c r="T742"/>
  <c r="T739"/>
  <c r="T740"/>
  <c r="T737"/>
  <c r="T738"/>
  <c r="T735"/>
  <c r="T736"/>
  <c r="T733"/>
  <c r="T734"/>
  <c r="T731"/>
  <c r="T732"/>
  <c r="S932"/>
  <c r="S933"/>
  <c r="S934"/>
  <c r="S935"/>
  <c r="S924"/>
  <c r="S925"/>
  <c r="S926"/>
  <c r="S927"/>
  <c r="S928"/>
  <c r="S929"/>
  <c r="S930"/>
  <c r="S931"/>
  <c r="S922"/>
  <c r="S923"/>
  <c r="S912"/>
  <c r="S913"/>
  <c r="S914"/>
  <c r="S915"/>
  <c r="S916"/>
  <c r="S917"/>
  <c r="S918"/>
  <c r="S919"/>
  <c r="S920"/>
  <c r="S921"/>
  <c r="S910"/>
  <c r="S911"/>
  <c r="S908"/>
  <c r="S909"/>
  <c r="S906"/>
  <c r="S907"/>
  <c r="S904"/>
  <c r="S905"/>
  <c r="S902"/>
  <c r="S903"/>
  <c r="S900"/>
  <c r="S901"/>
  <c r="S899"/>
  <c r="S898"/>
  <c r="S897"/>
  <c r="S896"/>
  <c r="S895"/>
  <c r="S894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72"/>
  <c r="S873"/>
  <c r="S863"/>
  <c r="S864"/>
  <c r="S865"/>
  <c r="S866"/>
  <c r="S867"/>
  <c r="S868"/>
  <c r="S869"/>
  <c r="S870"/>
  <c r="S871"/>
  <c r="S854"/>
  <c r="S855"/>
  <c r="S856"/>
  <c r="S857"/>
  <c r="S858"/>
  <c r="S859"/>
  <c r="S860"/>
  <c r="S861"/>
  <c r="S862"/>
  <c r="S848"/>
  <c r="S849"/>
  <c r="S850"/>
  <c r="S851"/>
  <c r="S852"/>
  <c r="S853"/>
  <c r="S845"/>
  <c r="S846"/>
  <c r="S847"/>
  <c r="S842"/>
  <c r="S843"/>
  <c r="S844"/>
  <c r="S839"/>
  <c r="S840"/>
  <c r="S841"/>
  <c r="S836"/>
  <c r="S837"/>
  <c r="S838"/>
  <c r="S833"/>
  <c r="S834"/>
  <c r="S835"/>
  <c r="S831"/>
  <c r="S832"/>
  <c r="S830"/>
  <c r="S829"/>
  <c r="S828"/>
  <c r="S825"/>
  <c r="S826"/>
  <c r="S827"/>
  <c r="S810"/>
  <c r="S811"/>
  <c r="S812"/>
  <c r="S813"/>
  <c r="S814"/>
  <c r="S815"/>
  <c r="S816"/>
  <c r="S817"/>
  <c r="S818"/>
  <c r="S819"/>
  <c r="S820"/>
  <c r="S821"/>
  <c r="S822"/>
  <c r="S823"/>
  <c r="S824"/>
  <c r="S795"/>
  <c r="S796"/>
  <c r="S797"/>
  <c r="S798"/>
  <c r="S799"/>
  <c r="S800"/>
  <c r="S801"/>
  <c r="S802"/>
  <c r="S803"/>
  <c r="S804"/>
  <c r="S805"/>
  <c r="S806"/>
  <c r="S807"/>
  <c r="S808"/>
  <c r="S809"/>
  <c r="S792"/>
  <c r="S793"/>
  <c r="S794"/>
  <c r="S789"/>
  <c r="S790"/>
  <c r="S791"/>
  <c r="S786"/>
  <c r="S787"/>
  <c r="S788"/>
  <c r="S783"/>
  <c r="S784"/>
  <c r="S785"/>
  <c r="S780"/>
  <c r="S781"/>
  <c r="S782"/>
  <c r="S777"/>
  <c r="S778"/>
  <c r="S779"/>
  <c r="S775"/>
  <c r="S776"/>
  <c r="S773"/>
  <c r="S774"/>
  <c r="S771"/>
  <c r="S772"/>
  <c r="S770"/>
  <c r="S769"/>
  <c r="S767"/>
  <c r="S768"/>
  <c r="S759"/>
  <c r="S760"/>
  <c r="S761"/>
  <c r="S762"/>
  <c r="S763"/>
  <c r="S764"/>
  <c r="S765"/>
  <c r="S766"/>
  <c r="S745"/>
  <c r="S746"/>
  <c r="S747"/>
  <c r="S748"/>
  <c r="S749"/>
  <c r="S750"/>
  <c r="S751"/>
  <c r="S752"/>
  <c r="S753"/>
  <c r="S754"/>
  <c r="S755"/>
  <c r="S756"/>
  <c r="S757"/>
  <c r="S758"/>
  <c r="S743"/>
  <c r="S744"/>
  <c r="S741"/>
  <c r="S742"/>
  <c r="S739"/>
  <c r="S740"/>
  <c r="S737"/>
  <c r="S738"/>
  <c r="S735"/>
  <c r="S736"/>
  <c r="S733"/>
  <c r="S734"/>
  <c r="S731"/>
  <c r="S732"/>
  <c r="T728"/>
  <c r="T729"/>
  <c r="T730"/>
  <c r="T725"/>
  <c r="T726"/>
  <c r="T727"/>
  <c r="T722"/>
  <c r="T723"/>
  <c r="T724"/>
  <c r="T721"/>
  <c r="T720"/>
  <c r="T719"/>
  <c r="T718"/>
  <c r="T717"/>
  <c r="T715"/>
  <c r="T716"/>
  <c r="T713"/>
  <c r="T714"/>
  <c r="T711"/>
  <c r="T712"/>
  <c r="T709"/>
  <c r="T710"/>
  <c r="T707"/>
  <c r="T708"/>
  <c r="T705"/>
  <c r="T706"/>
  <c r="T703"/>
  <c r="T704"/>
  <c r="T701"/>
  <c r="T702"/>
  <c r="T700"/>
  <c r="T699"/>
  <c r="T698"/>
  <c r="T697"/>
  <c r="T694"/>
  <c r="T695"/>
  <c r="T696"/>
  <c r="T693"/>
  <c r="T692"/>
  <c r="T690"/>
  <c r="T691"/>
  <c r="T687"/>
  <c r="T688"/>
  <c r="T494"/>
  <c r="T684"/>
  <c r="T685"/>
  <c r="T683"/>
  <c r="T681"/>
  <c r="T682"/>
  <c r="T686"/>
  <c r="T678"/>
  <c r="T679"/>
  <c r="T680"/>
  <c r="T672"/>
  <c r="T673"/>
  <c r="T674"/>
  <c r="T675"/>
  <c r="T676"/>
  <c r="T677"/>
  <c r="T669"/>
  <c r="T670"/>
  <c r="T671"/>
  <c r="T666"/>
  <c r="T667"/>
  <c r="T668"/>
  <c r="T663"/>
  <c r="T664"/>
  <c r="T665"/>
  <c r="S728"/>
  <c r="S729"/>
  <c r="S730"/>
  <c r="S725"/>
  <c r="S726"/>
  <c r="S727"/>
  <c r="S722"/>
  <c r="S723"/>
  <c r="S724"/>
  <c r="S721"/>
  <c r="S720"/>
  <c r="S719"/>
  <c r="S718"/>
  <c r="S717"/>
  <c r="S715"/>
  <c r="S716"/>
  <c r="S713"/>
  <c r="S714"/>
  <c r="S711"/>
  <c r="S712"/>
  <c r="S709"/>
  <c r="S710"/>
  <c r="S707"/>
  <c r="S708"/>
  <c r="S705"/>
  <c r="S706"/>
  <c r="S703"/>
  <c r="S704"/>
  <c r="S701"/>
  <c r="S702"/>
  <c r="S700"/>
  <c r="S699"/>
  <c r="S698"/>
  <c r="S697"/>
  <c r="S694"/>
  <c r="S695"/>
  <c r="S696"/>
  <c r="S693"/>
  <c r="S692"/>
  <c r="S690"/>
  <c r="S691"/>
  <c r="S687"/>
  <c r="S688"/>
  <c r="S494"/>
  <c r="S684"/>
  <c r="S685"/>
  <c r="S683"/>
  <c r="S681"/>
  <c r="S682"/>
  <c r="S686"/>
  <c r="S678"/>
  <c r="S679"/>
  <c r="S680"/>
  <c r="S672"/>
  <c r="S673"/>
  <c r="S674"/>
  <c r="S675"/>
  <c r="S676"/>
  <c r="S677"/>
  <c r="S669"/>
  <c r="S670"/>
  <c r="S671"/>
  <c r="S666"/>
  <c r="S667"/>
  <c r="S668"/>
  <c r="S663"/>
  <c r="S664"/>
  <c r="S665"/>
  <c r="T1074"/>
  <c r="T1075"/>
  <c r="T1076"/>
  <c r="T1077"/>
  <c r="T1078"/>
  <c r="T1079"/>
  <c r="T1068"/>
  <c r="T1069"/>
  <c r="T1070"/>
  <c r="T1071"/>
  <c r="T1072"/>
  <c r="T1073"/>
  <c r="T1066"/>
  <c r="T1067"/>
  <c r="T1064"/>
  <c r="T1065"/>
  <c r="T1062"/>
  <c r="T1063"/>
  <c r="T1060"/>
  <c r="T1061"/>
  <c r="T1058"/>
  <c r="T1059"/>
  <c r="T637"/>
  <c r="T638"/>
  <c r="T639"/>
  <c r="T640"/>
  <c r="T633"/>
  <c r="T634"/>
  <c r="T635"/>
  <c r="T636"/>
  <c r="T631"/>
  <c r="T632"/>
  <c r="T629"/>
  <c r="T630"/>
  <c r="T627"/>
  <c r="T628"/>
  <c r="T626"/>
  <c r="T625"/>
  <c r="T621"/>
  <c r="T622"/>
  <c r="T623"/>
  <c r="T624"/>
  <c r="T618"/>
  <c r="T619"/>
  <c r="T620"/>
  <c r="T614"/>
  <c r="T615"/>
  <c r="T103"/>
  <c r="T617"/>
  <c r="T616"/>
  <c r="T608"/>
  <c r="T609"/>
  <c r="T610"/>
  <c r="T611"/>
  <c r="T612"/>
  <c r="T613"/>
  <c r="T602"/>
  <c r="T603"/>
  <c r="T604"/>
  <c r="T605"/>
  <c r="T606"/>
  <c r="T607"/>
  <c r="T596"/>
  <c r="T597"/>
  <c r="T598"/>
  <c r="T599"/>
  <c r="T600"/>
  <c r="T601"/>
  <c r="T593"/>
  <c r="T594"/>
  <c r="T595"/>
  <c r="T590"/>
  <c r="T591"/>
  <c r="T592"/>
  <c r="T589"/>
  <c r="T588"/>
  <c r="T587"/>
  <c r="T586"/>
  <c r="T575"/>
  <c r="T574"/>
  <c r="T573"/>
  <c r="T572"/>
  <c r="T571"/>
  <c r="T570"/>
  <c r="T569"/>
  <c r="T568"/>
  <c r="T567"/>
  <c r="T566"/>
  <c r="T565"/>
  <c r="T564"/>
  <c r="T563"/>
  <c r="T562"/>
  <c r="T561"/>
  <c r="T560"/>
  <c r="T559"/>
  <c r="T558"/>
  <c r="T557"/>
  <c r="T556"/>
  <c r="T555"/>
  <c r="T554"/>
  <c r="T553"/>
  <c r="T552"/>
  <c r="T551"/>
  <c r="T550"/>
  <c r="T549"/>
  <c r="T548"/>
  <c r="T547"/>
  <c r="T546"/>
  <c r="T545"/>
  <c r="T544"/>
  <c r="T543"/>
  <c r="T580"/>
  <c r="T585"/>
  <c r="T579"/>
  <c r="T584"/>
  <c r="T578"/>
  <c r="T583"/>
  <c r="T577"/>
  <c r="T582"/>
  <c r="T581"/>
  <c r="T576"/>
  <c r="T519"/>
  <c r="T520"/>
  <c r="T518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521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1056"/>
  <c r="T105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522"/>
  <c r="T523"/>
  <c r="T524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689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37"/>
  <c r="T460"/>
  <c r="T458"/>
  <c r="T459"/>
  <c r="T516"/>
  <c r="T517"/>
  <c r="T525"/>
  <c r="T527"/>
  <c r="T529"/>
  <c r="T526"/>
  <c r="T528"/>
  <c r="T530"/>
  <c r="T531"/>
  <c r="T533"/>
  <c r="T535"/>
  <c r="T532"/>
  <c r="T534"/>
  <c r="T536"/>
  <c r="T537"/>
  <c r="T538"/>
  <c r="T539"/>
  <c r="T540"/>
  <c r="T541"/>
  <c r="T542"/>
  <c r="S1074"/>
  <c r="S1075"/>
  <c r="S1076"/>
  <c r="S1077"/>
  <c r="S1078"/>
  <c r="S1079"/>
  <c r="S1068"/>
  <c r="S1069"/>
  <c r="S1070"/>
  <c r="S1071"/>
  <c r="S1072"/>
  <c r="S1073"/>
  <c r="S1066"/>
  <c r="S1067"/>
  <c r="S1064"/>
  <c r="S1065"/>
  <c r="S1062"/>
  <c r="S1063"/>
  <c r="S1060"/>
  <c r="S1061"/>
  <c r="S1058"/>
  <c r="S1059"/>
  <c r="S637"/>
  <c r="S638"/>
  <c r="S639"/>
  <c r="S640"/>
  <c r="S633"/>
  <c r="S634"/>
  <c r="S635"/>
  <c r="S636"/>
  <c r="S631"/>
  <c r="S632"/>
  <c r="S629"/>
  <c r="S630"/>
  <c r="S627"/>
  <c r="S628"/>
  <c r="S626"/>
  <c r="S625"/>
  <c r="S621"/>
  <c r="S622"/>
  <c r="S623"/>
  <c r="S624"/>
  <c r="S618"/>
  <c r="S619"/>
  <c r="S620"/>
  <c r="S614"/>
  <c r="S615"/>
  <c r="S103"/>
  <c r="S617"/>
  <c r="S616"/>
  <c r="S608"/>
  <c r="S609"/>
  <c r="S610"/>
  <c r="S611"/>
  <c r="S612"/>
  <c r="S613"/>
  <c r="S602"/>
  <c r="S603"/>
  <c r="S604"/>
  <c r="S605"/>
  <c r="S606"/>
  <c r="S607"/>
  <c r="S596"/>
  <c r="S597"/>
  <c r="S598"/>
  <c r="S599"/>
  <c r="S600"/>
  <c r="S601"/>
  <c r="S593"/>
  <c r="S594"/>
  <c r="S595"/>
  <c r="S590"/>
  <c r="S591"/>
  <c r="S592"/>
  <c r="S589"/>
  <c r="S588"/>
  <c r="S587"/>
  <c r="S586"/>
  <c r="S575"/>
  <c r="S574"/>
  <c r="S573"/>
  <c r="S572"/>
  <c r="S571"/>
  <c r="S570"/>
  <c r="S569"/>
  <c r="S568"/>
  <c r="S567"/>
  <c r="S566"/>
  <c r="S565"/>
  <c r="S564"/>
  <c r="S563"/>
  <c r="S562"/>
  <c r="S561"/>
  <c r="S560"/>
  <c r="S559"/>
  <c r="S558"/>
  <c r="S557"/>
  <c r="S556"/>
  <c r="S555"/>
  <c r="S554"/>
  <c r="S553"/>
  <c r="S552"/>
  <c r="S551"/>
  <c r="S550"/>
  <c r="S549"/>
  <c r="S548"/>
  <c r="S547"/>
  <c r="S546"/>
  <c r="S545"/>
  <c r="S544"/>
  <c r="S543"/>
  <c r="S580"/>
  <c r="S585"/>
  <c r="S579"/>
  <c r="S584"/>
  <c r="S578"/>
  <c r="S583"/>
  <c r="S577"/>
  <c r="S582"/>
  <c r="S581"/>
  <c r="S576"/>
  <c r="S519"/>
  <c r="S520"/>
  <c r="S518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521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1056"/>
  <c r="S105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522"/>
  <c r="S523"/>
  <c r="S524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689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37"/>
  <c r="S460"/>
  <c r="S458"/>
  <c r="S459"/>
  <c r="S516"/>
  <c r="S517"/>
  <c r="S525"/>
  <c r="S527"/>
  <c r="S529"/>
  <c r="S526"/>
  <c r="S528"/>
  <c r="S530"/>
  <c r="S531"/>
  <c r="S533"/>
  <c r="S535"/>
  <c r="S532"/>
  <c r="S534"/>
  <c r="S536"/>
  <c r="S537"/>
  <c r="S538"/>
  <c r="S539"/>
  <c r="S540"/>
  <c r="S541"/>
  <c r="S542"/>
  <c r="BA321" i="1"/>
  <c r="AZ321"/>
  <c r="BA403"/>
  <c r="BA505"/>
  <c r="BA137"/>
  <c r="BA238"/>
  <c r="BA269"/>
  <c r="BA226"/>
  <c r="BA3"/>
  <c r="BA504"/>
  <c r="BA101"/>
  <c r="BA277"/>
  <c r="BA205"/>
  <c r="BA491"/>
  <c r="BA204"/>
  <c r="BA252"/>
  <c r="BA197"/>
  <c r="BA57"/>
  <c r="BA37"/>
  <c r="BA111"/>
  <c r="BA59"/>
  <c r="BA445"/>
  <c r="BA473"/>
  <c r="BA467"/>
  <c r="BA409"/>
  <c r="BA358"/>
  <c r="BA220"/>
  <c r="BA209"/>
  <c r="BA263"/>
  <c r="BA35"/>
  <c r="BA262"/>
  <c r="BA133"/>
  <c r="BA58"/>
  <c r="BA293"/>
  <c r="BA481"/>
  <c r="BA105"/>
  <c r="BA412"/>
  <c r="BA62"/>
  <c r="BA453"/>
  <c r="BA341"/>
  <c r="BA89"/>
  <c r="BA398"/>
  <c r="BA36"/>
  <c r="BA434"/>
  <c r="BA329"/>
  <c r="BA254"/>
  <c r="BA46"/>
  <c r="BA163"/>
  <c r="BA332"/>
  <c r="BA234"/>
  <c r="AZ263"/>
  <c r="AZ35"/>
  <c r="AZ262"/>
  <c r="AZ133"/>
  <c r="AZ111"/>
  <c r="AZ412"/>
  <c r="AZ445"/>
  <c r="AZ62"/>
  <c r="AZ481"/>
  <c r="AZ105"/>
  <c r="AZ58"/>
  <c r="AZ398"/>
  <c r="AZ293"/>
  <c r="AZ220"/>
  <c r="AZ59"/>
  <c r="AZ209"/>
  <c r="AZ205"/>
  <c r="AZ341"/>
  <c r="AZ409"/>
  <c r="AZ89"/>
  <c r="AZ358"/>
  <c r="AZ473"/>
  <c r="AZ467"/>
  <c r="AZ491"/>
  <c r="AZ204"/>
  <c r="AZ252"/>
  <c r="AZ197"/>
  <c r="AZ57"/>
  <c r="AZ453"/>
  <c r="AZ37"/>
  <c r="BA256"/>
  <c r="BA468"/>
  <c r="BA306"/>
  <c r="BA318"/>
  <c r="BA478"/>
  <c r="BA182"/>
  <c r="BA402"/>
  <c r="BA227"/>
  <c r="BA49"/>
  <c r="BA147"/>
  <c r="BA397"/>
  <c r="BA326"/>
  <c r="BA333"/>
  <c r="BA464"/>
  <c r="BA222"/>
  <c r="BA519"/>
  <c r="BA283"/>
  <c r="BA151"/>
  <c r="BA122"/>
  <c r="BA170"/>
  <c r="BA287"/>
  <c r="BA30"/>
  <c r="BA213"/>
  <c r="BA162"/>
  <c r="BA140"/>
  <c r="BA112"/>
  <c r="BA288"/>
  <c r="BA169"/>
  <c r="BA309"/>
  <c r="BA298"/>
  <c r="BA237"/>
  <c r="BA273"/>
  <c r="BA68"/>
  <c r="BA149"/>
  <c r="BA203"/>
  <c r="BA512"/>
  <c r="BA361"/>
  <c r="BA507"/>
  <c r="BA143"/>
  <c r="BA130"/>
  <c r="BA440"/>
  <c r="BA65"/>
  <c r="BA129"/>
  <c r="BA471"/>
  <c r="BA417"/>
  <c r="BA146"/>
  <c r="BA496"/>
  <c r="BA501"/>
  <c r="BA492"/>
  <c r="BA343"/>
  <c r="BA433"/>
  <c r="BA459"/>
  <c r="BA446"/>
  <c r="BA6"/>
  <c r="BA416"/>
  <c r="BA41"/>
  <c r="BA372"/>
  <c r="BA95"/>
  <c r="BA94"/>
  <c r="BA482"/>
  <c r="BA392"/>
  <c r="BA118"/>
  <c r="BA224"/>
  <c r="AZ273"/>
  <c r="AZ65"/>
  <c r="AZ471"/>
  <c r="AZ361"/>
  <c r="AZ143"/>
  <c r="AZ374"/>
  <c r="AZ268"/>
  <c r="AZ52"/>
  <c r="AZ38"/>
  <c r="AZ123"/>
  <c r="AZ360"/>
  <c r="AZ154"/>
  <c r="AZ455"/>
  <c r="AZ211"/>
  <c r="AZ64"/>
  <c r="AZ166"/>
  <c r="AZ124"/>
  <c r="AZ247"/>
  <c r="AZ215"/>
  <c r="AZ76"/>
  <c r="AZ426"/>
  <c r="AZ175"/>
  <c r="AZ87"/>
  <c r="AZ499"/>
  <c r="AZ370"/>
  <c r="AZ354"/>
  <c r="AZ68"/>
  <c r="AZ203"/>
  <c r="AZ440"/>
  <c r="AZ485"/>
  <c r="AZ39"/>
  <c r="AZ104"/>
  <c r="AZ324"/>
  <c r="AZ385"/>
  <c r="AZ86"/>
  <c r="AZ327"/>
  <c r="AZ475"/>
  <c r="AZ60"/>
  <c r="AZ148"/>
  <c r="AZ22"/>
  <c r="AZ121"/>
  <c r="AZ126"/>
  <c r="AZ100"/>
  <c r="AZ174"/>
  <c r="AZ322"/>
  <c r="AZ132"/>
  <c r="AZ495"/>
  <c r="AZ509"/>
  <c r="AZ454"/>
  <c r="AZ129"/>
  <c r="AZ417"/>
  <c r="AZ501"/>
  <c r="AZ452"/>
  <c r="AZ244"/>
  <c r="AZ299"/>
  <c r="AZ17"/>
  <c r="AZ116"/>
  <c r="AZ264"/>
  <c r="AZ231"/>
  <c r="AZ15"/>
  <c r="AZ474"/>
  <c r="AZ135"/>
  <c r="AZ297"/>
  <c r="AZ291"/>
  <c r="AZ250"/>
  <c r="AZ241"/>
  <c r="AZ286"/>
  <c r="AZ513"/>
  <c r="AZ328"/>
  <c r="AZ504"/>
  <c r="AZ425"/>
  <c r="AZ235"/>
  <c r="AZ149"/>
  <c r="AZ512"/>
  <c r="AZ496"/>
  <c r="AZ130"/>
  <c r="AZ146"/>
  <c r="AZ507"/>
  <c r="AZ335"/>
  <c r="AZ171"/>
  <c r="AZ356"/>
  <c r="AZ381"/>
  <c r="AZ179"/>
  <c r="AZ423"/>
  <c r="AZ479"/>
  <c r="AZ165"/>
  <c r="AZ316"/>
  <c r="AZ224"/>
  <c r="AZ134"/>
  <c r="AZ187"/>
  <c r="AZ200"/>
  <c r="AZ242"/>
  <c r="AZ519"/>
  <c r="AZ92"/>
  <c r="AZ88"/>
  <c r="AZ21"/>
  <c r="AZ359"/>
  <c r="BA349"/>
  <c r="BA63"/>
  <c r="BA206"/>
  <c r="BA278"/>
  <c r="BA230"/>
  <c r="BA515"/>
  <c r="BA158"/>
  <c r="BA442"/>
  <c r="BA271"/>
  <c r="BA319"/>
  <c r="BA11"/>
  <c r="BA265"/>
  <c r="BA275"/>
  <c r="BA350"/>
  <c r="BA480"/>
  <c r="BA70"/>
  <c r="BA176"/>
  <c r="BA323"/>
  <c r="BA27"/>
  <c r="BA493"/>
  <c r="BA486"/>
  <c r="BA420"/>
  <c r="BA236"/>
  <c r="BA218"/>
  <c r="BA20"/>
  <c r="BA460"/>
  <c r="BA184"/>
  <c r="BA368"/>
  <c r="BA217"/>
  <c r="BA232"/>
  <c r="BA320"/>
  <c r="BA132"/>
  <c r="BA53"/>
  <c r="BA126"/>
  <c r="BA9"/>
  <c r="BA50"/>
  <c r="BA66"/>
  <c r="BA348"/>
  <c r="BA415"/>
  <c r="BA441"/>
  <c r="BA75"/>
  <c r="BA186"/>
  <c r="BA219"/>
  <c r="BA490"/>
  <c r="BA477"/>
  <c r="BA461"/>
  <c r="BA450"/>
  <c r="BA225"/>
  <c r="BA351"/>
  <c r="BA401"/>
  <c r="BA188"/>
  <c r="BA5"/>
  <c r="BA466"/>
  <c r="BA150"/>
  <c r="BA139"/>
  <c r="BA10"/>
  <c r="BA367"/>
  <c r="BA258"/>
  <c r="BA435"/>
  <c r="BA302"/>
  <c r="BA120"/>
  <c r="BA221"/>
  <c r="BA192"/>
  <c r="BA78"/>
  <c r="BA156"/>
  <c r="BA235"/>
  <c r="BA92"/>
  <c r="BA175"/>
  <c r="BA291"/>
  <c r="BA247"/>
  <c r="BA429"/>
  <c r="BA342"/>
  <c r="BA497"/>
  <c r="BA97"/>
  <c r="BA257"/>
  <c r="BA261"/>
  <c r="BA353"/>
  <c r="BA34"/>
  <c r="BA190"/>
  <c r="BA272"/>
  <c r="BA405"/>
  <c r="BA386"/>
  <c r="BA110"/>
  <c r="BA432"/>
  <c r="BA138"/>
  <c r="BA161"/>
  <c r="BA462"/>
  <c r="BA106"/>
  <c r="BA347"/>
  <c r="BA85"/>
  <c r="BA210"/>
  <c r="BA183"/>
  <c r="BA173"/>
  <c r="BA274"/>
  <c r="BA334"/>
  <c r="BA251"/>
  <c r="BA407"/>
  <c r="BA91"/>
  <c r="BA48"/>
  <c r="BA394"/>
  <c r="BA305"/>
  <c r="BA336"/>
  <c r="BA289"/>
  <c r="BA376"/>
  <c r="BA79"/>
  <c r="BA82"/>
  <c r="BA180"/>
  <c r="BA451"/>
  <c r="BA503"/>
  <c r="BA304"/>
  <c r="BA489"/>
  <c r="BA315"/>
  <c r="BA476"/>
  <c r="BA196"/>
  <c r="BA285"/>
  <c r="BA113"/>
  <c r="BA259"/>
  <c r="BA506"/>
  <c r="BA371"/>
  <c r="BA410"/>
  <c r="BA391"/>
  <c r="BA369"/>
  <c r="BA390"/>
  <c r="BA229"/>
  <c r="BA395"/>
  <c r="BA194"/>
  <c r="BA301"/>
  <c r="BA346"/>
  <c r="BA487"/>
  <c r="BA422"/>
  <c r="BA18"/>
  <c r="BA370"/>
  <c r="BA87"/>
  <c r="BA426"/>
  <c r="BA485"/>
  <c r="BA299"/>
  <c r="BA324"/>
  <c r="BA385"/>
  <c r="BA86"/>
  <c r="BA479"/>
  <c r="BA166"/>
  <c r="BA124"/>
  <c r="BA374"/>
  <c r="BA452"/>
  <c r="BA52"/>
  <c r="BA244"/>
  <c r="BA39"/>
  <c r="BA356"/>
  <c r="BA104"/>
  <c r="BA264"/>
  <c r="BA231"/>
  <c r="BA15"/>
  <c r="BA64"/>
  <c r="BA148"/>
  <c r="BA22"/>
  <c r="BA121"/>
  <c r="BA268"/>
  <c r="BA381"/>
  <c r="BA179"/>
  <c r="BA423"/>
  <c r="BA211"/>
  <c r="BA475"/>
  <c r="BA60"/>
  <c r="BA135"/>
  <c r="BA297"/>
  <c r="BA335"/>
  <c r="BA171"/>
  <c r="BA17"/>
  <c r="BA38"/>
  <c r="BA116"/>
  <c r="BA123"/>
  <c r="BA360"/>
  <c r="BA154"/>
  <c r="BA455"/>
  <c r="BA327"/>
  <c r="BA474"/>
  <c r="BA165"/>
  <c r="BA316"/>
  <c r="BA215"/>
  <c r="BA187"/>
  <c r="BA134"/>
  <c r="BA241"/>
  <c r="BA513"/>
  <c r="BA328"/>
  <c r="BA499"/>
  <c r="BA509"/>
  <c r="BA425"/>
  <c r="BA4"/>
  <c r="BA279"/>
  <c r="BA443"/>
  <c r="BA307"/>
  <c r="BA47"/>
  <c r="BA127"/>
  <c r="BA228"/>
  <c r="BA13"/>
  <c r="BA157"/>
  <c r="BA84"/>
  <c r="BA56"/>
  <c r="BA431"/>
  <c r="BA54"/>
  <c r="BA107"/>
  <c r="BA207"/>
  <c r="BA339"/>
  <c r="BA276"/>
  <c r="BA375"/>
  <c r="BA249"/>
  <c r="BA191"/>
  <c r="BA430"/>
  <c r="BA119"/>
  <c r="BA245"/>
  <c r="BA201"/>
  <c r="BA303"/>
  <c r="BA42"/>
  <c r="BA388"/>
  <c r="BA69"/>
  <c r="BA72"/>
  <c r="BA145"/>
  <c r="BA384"/>
  <c r="BA267"/>
  <c r="BA317"/>
  <c r="BA40"/>
  <c r="BA312"/>
  <c r="BA469"/>
  <c r="BA511"/>
  <c r="BA308"/>
  <c r="BA32"/>
  <c r="BA314"/>
  <c r="BA233"/>
  <c r="BA109"/>
  <c r="BA508"/>
  <c r="BA470"/>
  <c r="BA447"/>
  <c r="BA195"/>
  <c r="BA281"/>
  <c r="BA16"/>
  <c r="BA19"/>
  <c r="BA494"/>
  <c r="BA164"/>
  <c r="BA449"/>
  <c r="BA177"/>
  <c r="BA71"/>
  <c r="BA198"/>
  <c r="BA510"/>
  <c r="BA465"/>
  <c r="BA243"/>
  <c r="BA380"/>
  <c r="BA7"/>
  <c r="BA117"/>
  <c r="BA12"/>
  <c r="BA280"/>
  <c r="BA311"/>
  <c r="BA484"/>
  <c r="BA160"/>
  <c r="BA444"/>
  <c r="BA103"/>
  <c r="BA290"/>
  <c r="BA240"/>
  <c r="BA115"/>
  <c r="BA250"/>
  <c r="BA100"/>
  <c r="BA322"/>
  <c r="BA242"/>
  <c r="BA286"/>
  <c r="BA88"/>
  <c r="BA21"/>
  <c r="BA359"/>
  <c r="BA354"/>
  <c r="BA396"/>
  <c r="BA428"/>
  <c r="BA155"/>
  <c r="BA344"/>
  <c r="BA108"/>
  <c r="BA131"/>
  <c r="BA102"/>
  <c r="BA456"/>
  <c r="BA212"/>
  <c r="BA24"/>
  <c r="BA214"/>
  <c r="BA292"/>
  <c r="BA406"/>
  <c r="BA114"/>
  <c r="BA520"/>
  <c r="BA399"/>
  <c r="BA74"/>
  <c r="BA2"/>
  <c r="BA436"/>
  <c r="BA325"/>
  <c r="BA387"/>
  <c r="BA377"/>
  <c r="BA463"/>
  <c r="BA294"/>
  <c r="BA365"/>
  <c r="BA43"/>
  <c r="BA366"/>
  <c r="BA400"/>
  <c r="BA363"/>
  <c r="BA483"/>
  <c r="BA172"/>
  <c r="BA472"/>
  <c r="BA167"/>
  <c r="BA458"/>
  <c r="BA99"/>
  <c r="BA419"/>
  <c r="BA193"/>
  <c r="BA248"/>
  <c r="BA93"/>
  <c r="BA8"/>
  <c r="BA295"/>
  <c r="BA337"/>
  <c r="BA383"/>
  <c r="BA518"/>
  <c r="BA421"/>
  <c r="BA284"/>
  <c r="BA393"/>
  <c r="BA340"/>
  <c r="BA389"/>
  <c r="BA488"/>
  <c r="BA136"/>
  <c r="BA28"/>
  <c r="BA45"/>
  <c r="BA300"/>
  <c r="BA159"/>
  <c r="BA90"/>
  <c r="BA373"/>
  <c r="BA413"/>
  <c r="BA355"/>
  <c r="BA379"/>
  <c r="BA282"/>
  <c r="BA44"/>
  <c r="BA73"/>
  <c r="BA23"/>
  <c r="BA517"/>
  <c r="BA208"/>
  <c r="BA352"/>
  <c r="BA33"/>
  <c r="BA181"/>
  <c r="BA125"/>
  <c r="BA448"/>
  <c r="BA142"/>
  <c r="BA338"/>
  <c r="BA514"/>
  <c r="BA502"/>
  <c r="BA80"/>
  <c r="BA83"/>
  <c r="BA26"/>
  <c r="BA81"/>
  <c r="BA424"/>
  <c r="BA216"/>
  <c r="BA500"/>
  <c r="BA313"/>
  <c r="BA253"/>
  <c r="BA61"/>
  <c r="BA411"/>
  <c r="BA404"/>
  <c r="BA331"/>
  <c r="BA185"/>
  <c r="BA498"/>
  <c r="BA128"/>
  <c r="BA330"/>
  <c r="BA202"/>
  <c r="BA77"/>
  <c r="BA270"/>
  <c r="BA152"/>
  <c r="BA296"/>
  <c r="BA310"/>
  <c r="BA364"/>
  <c r="BA382"/>
  <c r="BA357"/>
  <c r="BA67"/>
  <c r="BA255"/>
  <c r="BA439"/>
  <c r="BA438"/>
  <c r="BA178"/>
  <c r="BA51"/>
  <c r="BA378"/>
  <c r="BA29"/>
  <c r="BA418"/>
  <c r="BA96"/>
  <c r="BA345"/>
  <c r="BA427"/>
  <c r="BA457"/>
  <c r="BA189"/>
  <c r="BA31"/>
  <c r="BA516"/>
  <c r="BA144"/>
  <c r="BA223"/>
  <c r="BA25"/>
  <c r="BA266"/>
  <c r="BA246"/>
  <c r="BA14"/>
  <c r="BA408"/>
  <c r="BA362"/>
  <c r="BA260"/>
  <c r="BA168"/>
  <c r="BA199"/>
  <c r="BA239"/>
  <c r="BA55"/>
  <c r="BA153"/>
  <c r="BA141"/>
  <c r="BA98"/>
  <c r="BA437"/>
  <c r="BA414"/>
  <c r="BA454"/>
  <c r="BA495"/>
  <c r="BA174"/>
  <c r="BA200"/>
  <c r="BA76"/>
  <c r="AZ396"/>
  <c r="AZ414"/>
  <c r="AZ4"/>
  <c r="AZ3"/>
  <c r="AZ428"/>
  <c r="AZ344"/>
  <c r="AZ437"/>
  <c r="AZ279"/>
  <c r="AZ443"/>
  <c r="AZ155"/>
  <c r="AZ307"/>
  <c r="AZ46"/>
  <c r="AZ422"/>
  <c r="AZ102"/>
  <c r="AZ222"/>
  <c r="AZ212"/>
  <c r="AZ346"/>
  <c r="AZ228"/>
  <c r="AZ56"/>
  <c r="AZ53"/>
  <c r="AZ47"/>
  <c r="AZ487"/>
  <c r="AZ55"/>
  <c r="AZ320"/>
  <c r="AZ456"/>
  <c r="AZ232"/>
  <c r="AZ153"/>
  <c r="AZ214"/>
  <c r="AZ108"/>
  <c r="AZ127"/>
  <c r="AZ141"/>
  <c r="AZ84"/>
  <c r="AZ24"/>
  <c r="AZ9"/>
  <c r="AZ131"/>
  <c r="AZ156"/>
  <c r="AZ13"/>
  <c r="AZ157"/>
  <c r="AZ101"/>
  <c r="AZ78"/>
  <c r="AZ18"/>
  <c r="AZ98"/>
  <c r="AZ217"/>
  <c r="AZ237"/>
  <c r="AZ192"/>
  <c r="AZ464"/>
  <c r="AZ292"/>
  <c r="AZ107"/>
  <c r="AZ207"/>
  <c r="AZ54"/>
  <c r="AZ199"/>
  <c r="AZ339"/>
  <c r="AZ431"/>
  <c r="AZ406"/>
  <c r="AZ194"/>
  <c r="AZ301"/>
  <c r="AZ239"/>
  <c r="AZ520"/>
  <c r="AZ395"/>
  <c r="AZ114"/>
  <c r="AZ399"/>
  <c r="AZ168"/>
  <c r="AZ367"/>
  <c r="AZ178"/>
  <c r="AZ505"/>
  <c r="AZ276"/>
  <c r="AZ74"/>
  <c r="AZ380"/>
  <c r="AZ368"/>
  <c r="AZ196"/>
  <c r="AZ163"/>
  <c r="AZ193"/>
  <c r="AZ290"/>
  <c r="AZ283"/>
  <c r="AZ5"/>
  <c r="AZ169"/>
  <c r="AZ61"/>
  <c r="AZ11"/>
  <c r="AZ243"/>
  <c r="AZ357"/>
  <c r="AZ502"/>
  <c r="AZ511"/>
  <c r="AZ515"/>
  <c r="AZ376"/>
  <c r="AZ516"/>
  <c r="AZ210"/>
  <c r="AZ373"/>
  <c r="AZ352"/>
  <c r="AZ419"/>
  <c r="AZ349"/>
  <c r="AZ329"/>
  <c r="AZ405"/>
  <c r="AZ6"/>
  <c r="AZ236"/>
  <c r="AZ465"/>
  <c r="AZ289"/>
  <c r="AZ353"/>
  <c r="AZ401"/>
  <c r="AZ274"/>
  <c r="AZ392"/>
  <c r="AZ332"/>
  <c r="AZ183"/>
  <c r="AZ23"/>
  <c r="AZ257"/>
  <c r="AZ272"/>
  <c r="AZ12"/>
  <c r="AZ518"/>
  <c r="AZ72"/>
  <c r="AZ81"/>
  <c r="AZ216"/>
  <c r="AZ304"/>
  <c r="AZ338"/>
  <c r="AZ19"/>
  <c r="AZ115"/>
  <c r="AZ109"/>
  <c r="AZ40"/>
  <c r="AZ342"/>
  <c r="AZ450"/>
  <c r="AZ449"/>
  <c r="AZ66"/>
  <c r="AZ95"/>
  <c r="AZ29"/>
  <c r="AZ246"/>
  <c r="AZ198"/>
  <c r="AZ494"/>
  <c r="AZ416"/>
  <c r="AZ432"/>
  <c r="AZ435"/>
  <c r="AZ170"/>
  <c r="AZ113"/>
  <c r="AZ152"/>
  <c r="AZ164"/>
  <c r="AZ51"/>
  <c r="AZ117"/>
  <c r="AZ136"/>
  <c r="AZ16"/>
  <c r="AZ63"/>
  <c r="AZ96"/>
  <c r="AZ80"/>
  <c r="AZ79"/>
  <c r="AZ75"/>
  <c r="AZ172"/>
  <c r="AZ48"/>
  <c r="AZ195"/>
  <c r="AZ439"/>
  <c r="AZ97"/>
  <c r="AZ418"/>
  <c r="AZ503"/>
  <c r="AZ424"/>
  <c r="AC429"/>
  <c r="AZ371"/>
  <c r="AZ334"/>
  <c r="AZ340"/>
  <c r="AZ311"/>
  <c r="AZ306"/>
  <c r="AZ285"/>
  <c r="AZ270"/>
  <c r="AZ288"/>
  <c r="AZ26"/>
  <c r="AZ83"/>
  <c r="AZ82"/>
  <c r="AZ25"/>
  <c r="AZ160"/>
  <c r="AZ389"/>
  <c r="AZ260"/>
  <c r="AZ461"/>
  <c r="AZ300"/>
  <c r="AZ159"/>
  <c r="AZ208"/>
  <c r="AZ484"/>
  <c r="AZ138"/>
  <c r="AZ28"/>
  <c r="AZ36"/>
  <c r="AZ71"/>
  <c r="AZ67"/>
  <c r="AZ317"/>
  <c r="AZ8"/>
  <c r="AZ7"/>
  <c r="AZ240"/>
  <c r="AZ314"/>
  <c r="AZ206"/>
  <c r="AZ238"/>
  <c r="AZ14"/>
  <c r="AZ2"/>
  <c r="AZ308"/>
  <c r="AZ248"/>
  <c r="AZ162"/>
  <c r="AZ229"/>
  <c r="AZ30"/>
  <c r="AZ31"/>
  <c r="AZ375"/>
  <c r="AZ372"/>
  <c r="AZ32"/>
  <c r="AZ33"/>
  <c r="AZ221"/>
  <c r="AZ85"/>
  <c r="AZ397"/>
  <c r="AZ441"/>
  <c r="AZ436"/>
  <c r="AZ413"/>
  <c r="AZ93"/>
  <c r="AZ91"/>
  <c r="AZ477"/>
  <c r="AZ476"/>
  <c r="AZ253"/>
  <c r="AZ249"/>
  <c r="AZ118"/>
  <c r="AZ77"/>
  <c r="AZ420"/>
  <c r="AZ433"/>
  <c r="AZ351"/>
  <c r="AZ390"/>
  <c r="AZ478"/>
  <c r="AZ189"/>
  <c r="AZ190"/>
  <c r="AZ191"/>
  <c r="AZ176"/>
  <c r="AZ233"/>
  <c r="AZ181"/>
  <c r="AZ184"/>
  <c r="AZ347"/>
  <c r="AZ234"/>
  <c r="AZ230"/>
  <c r="AZ325"/>
  <c r="AZ355"/>
  <c r="AZ295"/>
  <c r="AZ382"/>
  <c r="AZ362"/>
  <c r="AZ319"/>
  <c r="AZ315"/>
  <c r="AZ313"/>
  <c r="AZ430"/>
  <c r="AZ438"/>
  <c r="AZ298"/>
  <c r="AZ202"/>
  <c r="AZ10"/>
  <c r="AZ122"/>
  <c r="AZ387"/>
  <c r="AZ337"/>
  <c r="AZ402"/>
  <c r="AZ369"/>
  <c r="AZ434"/>
  <c r="AZ457"/>
  <c r="AZ34"/>
  <c r="AZ119"/>
  <c r="AZ140"/>
  <c r="AZ508"/>
  <c r="AZ125"/>
  <c r="AZ120"/>
  <c r="AZ106"/>
  <c r="AZ94"/>
  <c r="AZ415"/>
  <c r="AZ377"/>
  <c r="AZ379"/>
  <c r="AZ383"/>
  <c r="AZ407"/>
  <c r="AZ408"/>
  <c r="AZ490"/>
  <c r="AZ489"/>
  <c r="AZ500"/>
  <c r="AZ245"/>
  <c r="AZ336"/>
  <c r="AZ470"/>
  <c r="AZ350"/>
  <c r="AZ333"/>
  <c r="AZ330"/>
  <c r="AZ486"/>
  <c r="AZ468"/>
  <c r="AZ463"/>
  <c r="AZ364"/>
  <c r="AZ391"/>
  <c r="AZ446"/>
  <c r="AZ427"/>
  <c r="AZ201"/>
  <c r="AZ188"/>
  <c r="AZ447"/>
  <c r="AZ448"/>
  <c r="AZ460"/>
  <c r="AZ462"/>
  <c r="AZ278"/>
  <c r="AZ294"/>
  <c r="AZ282"/>
  <c r="AZ421"/>
  <c r="AZ271"/>
  <c r="AZ303"/>
  <c r="AZ251"/>
  <c r="AZ254"/>
  <c r="AZ128"/>
  <c r="AZ139"/>
  <c r="AZ403"/>
  <c r="AZ365"/>
  <c r="AZ280"/>
  <c r="AZ284"/>
  <c r="AZ225"/>
  <c r="AZ410"/>
  <c r="AZ287"/>
  <c r="AZ345"/>
  <c r="AZ261"/>
  <c r="AZ42"/>
  <c r="AZ227"/>
  <c r="AZ281"/>
  <c r="AZ142"/>
  <c r="AZ302"/>
  <c r="AZ161"/>
  <c r="AZ147"/>
  <c r="AZ348"/>
  <c r="AZ43"/>
  <c r="AZ44"/>
  <c r="AZ393"/>
  <c r="AZ219"/>
  <c r="AZ388"/>
  <c r="AZ305"/>
  <c r="AZ498"/>
  <c r="AZ493"/>
  <c r="AZ343"/>
  <c r="AZ366"/>
  <c r="AZ318"/>
  <c r="AZ69"/>
  <c r="AZ70"/>
  <c r="AZ20"/>
  <c r="AZ400"/>
  <c r="AZ275"/>
  <c r="AZ266"/>
  <c r="AZ442"/>
  <c r="AZ451"/>
  <c r="AZ255"/>
  <c r="AZ310"/>
  <c r="AZ309"/>
  <c r="AZ185"/>
  <c r="AZ363"/>
  <c r="AZ488"/>
  <c r="AZ213"/>
  <c r="AZ506"/>
  <c r="AZ269"/>
  <c r="AZ514"/>
  <c r="AZ483"/>
  <c r="AZ186"/>
  <c r="AZ180"/>
  <c r="AZ384"/>
  <c r="AZ394"/>
  <c r="AZ326"/>
  <c r="AZ331"/>
  <c r="AZ27"/>
  <c r="AZ256"/>
  <c r="AZ296"/>
  <c r="AZ259"/>
  <c r="AZ459"/>
  <c r="AZ497"/>
  <c r="AZ267"/>
  <c r="AZ177"/>
  <c r="AZ182"/>
  <c r="AZ218"/>
  <c r="AZ110"/>
  <c r="AZ112"/>
  <c r="AZ472"/>
  <c r="AZ517"/>
  <c r="AZ45"/>
  <c r="AZ173"/>
  <c r="AZ223"/>
  <c r="AZ158"/>
  <c r="AZ265"/>
  <c r="AZ226"/>
  <c r="AZ404"/>
  <c r="AZ466"/>
  <c r="AZ167"/>
  <c r="AZ444"/>
  <c r="AZ378"/>
  <c r="AZ41"/>
  <c r="AZ277"/>
  <c r="AZ258"/>
  <c r="AZ386"/>
  <c r="AZ49"/>
  <c r="AZ50"/>
  <c r="AZ458"/>
  <c r="AZ144"/>
  <c r="AZ73"/>
  <c r="AZ510"/>
  <c r="AZ482"/>
  <c r="AZ411"/>
  <c r="AZ323"/>
  <c r="AZ492"/>
  <c r="AZ99"/>
  <c r="AZ103"/>
  <c r="AZ90"/>
  <c r="AZ429"/>
  <c r="AZ469"/>
  <c r="AZ480"/>
  <c r="AZ312"/>
  <c r="AZ145"/>
  <c r="AZ137"/>
  <c r="AZ150"/>
  <c r="AZ151"/>
  <c r="C469" l="1"/>
  <c r="Z469"/>
  <c r="AA469" s="1"/>
  <c r="AB469" s="1"/>
  <c r="AC469" l="1"/>
  <c r="C480"/>
  <c r="Z480"/>
  <c r="AA480" s="1"/>
  <c r="AB480" s="1"/>
  <c r="AC480" l="1"/>
  <c r="C256"/>
  <c r="Z256"/>
  <c r="AA256" s="1"/>
  <c r="AB256" s="1"/>
  <c r="AC256" l="1"/>
  <c r="C296"/>
  <c r="Z296"/>
  <c r="AA296" s="1"/>
  <c r="AB296" s="1"/>
  <c r="AC296" l="1"/>
  <c r="C259"/>
  <c r="Z259"/>
  <c r="AA259" s="1"/>
  <c r="AB259" s="1"/>
  <c r="AC259" l="1"/>
  <c r="C459"/>
  <c r="Z459"/>
  <c r="AA459" s="1"/>
  <c r="AB459" s="1"/>
  <c r="AC459" l="1"/>
  <c r="C497"/>
  <c r="Z497"/>
  <c r="AA497" s="1"/>
  <c r="AB497" s="1"/>
  <c r="AC497" l="1"/>
  <c r="C267"/>
  <c r="Z267"/>
  <c r="AA267" s="1"/>
  <c r="AB267" s="1"/>
  <c r="AC267" l="1"/>
  <c r="C177"/>
  <c r="Z177"/>
  <c r="AA177" s="1"/>
  <c r="AB177" s="1"/>
  <c r="AC177" l="1"/>
  <c r="C182"/>
  <c r="Z182"/>
  <c r="AA182" s="1"/>
  <c r="AB182" s="1"/>
  <c r="AC182" l="1"/>
  <c r="C218"/>
  <c r="Z218"/>
  <c r="AA218" s="1"/>
  <c r="AB218" s="1"/>
  <c r="AC218" l="1"/>
  <c r="C173"/>
  <c r="Z173"/>
  <c r="AA173" s="1"/>
  <c r="AB173" s="1"/>
  <c r="AC173" l="1"/>
  <c r="C223"/>
  <c r="Z223"/>
  <c r="AA223" s="1"/>
  <c r="AB223" s="1"/>
  <c r="AC223" l="1"/>
  <c r="C158"/>
  <c r="Z158"/>
  <c r="AA158" s="1"/>
  <c r="AB158" s="1"/>
  <c r="AC158" l="1"/>
  <c r="C265"/>
  <c r="Z265"/>
  <c r="AA265" s="1"/>
  <c r="AB265" s="1"/>
  <c r="AC265" l="1"/>
  <c r="C226"/>
  <c r="Z226"/>
  <c r="AA226" s="1"/>
  <c r="AB226" s="1"/>
  <c r="AC226" l="1"/>
  <c r="C404"/>
  <c r="Z404"/>
  <c r="AA404" s="1"/>
  <c r="AB404" s="1"/>
  <c r="AC404" l="1"/>
  <c r="C466"/>
  <c r="Z466"/>
  <c r="AA466" s="1"/>
  <c r="AB466" s="1"/>
  <c r="AC466" l="1"/>
  <c r="C167"/>
  <c r="Z167"/>
  <c r="AA167" s="1"/>
  <c r="AB167" s="1"/>
  <c r="AC167" l="1"/>
  <c r="C444"/>
  <c r="Z444"/>
  <c r="AA444" s="1"/>
  <c r="AB444" s="1"/>
  <c r="AC444" l="1"/>
  <c r="C378"/>
  <c r="Z378"/>
  <c r="AA378" s="1"/>
  <c r="AB378" s="1"/>
  <c r="AC378" l="1"/>
  <c r="C41"/>
  <c r="Z41"/>
  <c r="AA41" s="1"/>
  <c r="AB41" s="1"/>
  <c r="AC41" l="1"/>
  <c r="C277"/>
  <c r="Z277"/>
  <c r="AA277" s="1"/>
  <c r="AB277"/>
  <c r="AC277" l="1"/>
  <c r="C258"/>
  <c r="Z258"/>
  <c r="AA258" s="1"/>
  <c r="AB258"/>
  <c r="AC258" l="1"/>
  <c r="C386"/>
  <c r="Z386"/>
  <c r="AA386" s="1"/>
  <c r="AB386" s="1"/>
  <c r="AC386" l="1"/>
  <c r="C458"/>
  <c r="Z458"/>
  <c r="AA458" s="1"/>
  <c r="AB458" s="1"/>
  <c r="AC458" l="1"/>
  <c r="C144"/>
  <c r="Z144"/>
  <c r="AA144" s="1"/>
  <c r="AB144" s="1"/>
  <c r="AC144" l="1"/>
  <c r="C312"/>
  <c r="Z312"/>
  <c r="AA312" s="1"/>
  <c r="AB312" s="1"/>
  <c r="AC312" l="1"/>
  <c r="C510"/>
  <c r="Z510"/>
  <c r="AA510" s="1"/>
  <c r="AB510" s="1"/>
  <c r="AC510" l="1"/>
  <c r="C482"/>
  <c r="Z482"/>
  <c r="AA482" s="1"/>
  <c r="AB482"/>
  <c r="AC482" l="1"/>
  <c r="C411"/>
  <c r="Z411"/>
  <c r="AA411" s="1"/>
  <c r="AB411"/>
  <c r="AC411" l="1"/>
  <c r="C323"/>
  <c r="Z323"/>
  <c r="AA323" s="1"/>
  <c r="AB323" s="1"/>
  <c r="AC323" l="1"/>
  <c r="C492"/>
  <c r="Z492"/>
  <c r="AA492" s="1"/>
  <c r="AB492" s="1"/>
  <c r="AC492" l="1"/>
  <c r="C308"/>
  <c r="Z308"/>
  <c r="AA308" s="1"/>
  <c r="AB308" s="1"/>
  <c r="AC308" l="1"/>
  <c r="C248"/>
  <c r="Z248"/>
  <c r="AA248" s="1"/>
  <c r="AB248" s="1"/>
  <c r="AC248" l="1"/>
  <c r="C375"/>
  <c r="Z375"/>
  <c r="AA375" s="1"/>
  <c r="AB375" s="1"/>
  <c r="AC375" l="1"/>
  <c r="C221"/>
  <c r="Z221"/>
  <c r="AA221" s="1"/>
  <c r="AB221" s="1"/>
  <c r="AC221" l="1"/>
  <c r="C85"/>
  <c r="Z85"/>
  <c r="AA85" s="1"/>
  <c r="AB85" s="1"/>
  <c r="AC85" l="1"/>
  <c r="C397"/>
  <c r="Z397"/>
  <c r="AA397" s="1"/>
  <c r="AB397" s="1"/>
  <c r="AC397" l="1"/>
  <c r="C441"/>
  <c r="Z441"/>
  <c r="AA441" s="1"/>
  <c r="AB441" s="1"/>
  <c r="AC441" l="1"/>
  <c r="C436"/>
  <c r="Z436"/>
  <c r="AA436" s="1"/>
  <c r="AB436" s="1"/>
  <c r="AC436" l="1"/>
  <c r="C413"/>
  <c r="Z413"/>
  <c r="AA413" s="1"/>
  <c r="AB413" s="1"/>
  <c r="AC413" l="1"/>
  <c r="C93"/>
  <c r="Z93"/>
  <c r="AA93" s="1"/>
  <c r="AB93" s="1"/>
  <c r="AC93" l="1"/>
  <c r="C91"/>
  <c r="Z91"/>
  <c r="AA91" s="1"/>
  <c r="AB91" s="1"/>
  <c r="AC91" l="1"/>
  <c r="C477"/>
  <c r="Z477"/>
  <c r="AA477" s="1"/>
  <c r="AB477" s="1"/>
  <c r="AC477" l="1"/>
  <c r="C476"/>
  <c r="Z476"/>
  <c r="AA476" s="1"/>
  <c r="AB476" s="1"/>
  <c r="AC476" l="1"/>
  <c r="C253"/>
  <c r="Z253"/>
  <c r="AA253" s="1"/>
  <c r="AB253" s="1"/>
  <c r="AC253" l="1"/>
  <c r="C249"/>
  <c r="Z249"/>
  <c r="AA249" s="1"/>
  <c r="AB249" s="1"/>
  <c r="AC249" l="1"/>
  <c r="C118"/>
  <c r="Z118"/>
  <c r="AA118" s="1"/>
  <c r="AB118" s="1"/>
  <c r="AC118" l="1"/>
  <c r="C77"/>
  <c r="Z77"/>
  <c r="AA77" s="1"/>
  <c r="AB77" s="1"/>
  <c r="AC77" l="1"/>
  <c r="C420"/>
  <c r="Z420"/>
  <c r="AA420" s="1"/>
  <c r="AB420" s="1"/>
  <c r="AC420" l="1"/>
  <c r="C433"/>
  <c r="Z433"/>
  <c r="AA433" s="1"/>
  <c r="AB433" s="1"/>
  <c r="AC433" l="1"/>
  <c r="C351"/>
  <c r="Z351"/>
  <c r="AA351" s="1"/>
  <c r="AB351" s="1"/>
  <c r="AC351" l="1"/>
  <c r="C390"/>
  <c r="Z390"/>
  <c r="AA390" s="1"/>
  <c r="AB390" s="1"/>
  <c r="AC390" l="1"/>
  <c r="C478"/>
  <c r="Z478"/>
  <c r="AA478" s="1"/>
  <c r="AB478" s="1"/>
  <c r="AC478" l="1"/>
  <c r="C189"/>
  <c r="Z189"/>
  <c r="AA189" s="1"/>
  <c r="AB189" s="1"/>
  <c r="AC189" l="1"/>
  <c r="C190"/>
  <c r="Z190"/>
  <c r="AA190" s="1"/>
  <c r="AB190" s="1"/>
  <c r="AC190" l="1"/>
  <c r="C191"/>
  <c r="Z191"/>
  <c r="AA191" s="1"/>
  <c r="AB191" s="1"/>
  <c r="AC191" l="1"/>
  <c r="C176"/>
  <c r="Z176"/>
  <c r="AA176" s="1"/>
  <c r="AB176" s="1"/>
  <c r="AC176" l="1"/>
  <c r="C233"/>
  <c r="Z233"/>
  <c r="AA233" s="1"/>
  <c r="AB233" s="1"/>
  <c r="AC233" l="1"/>
  <c r="C181"/>
  <c r="Z181"/>
  <c r="AA181" s="1"/>
  <c r="AB181" s="1"/>
  <c r="AC181" l="1"/>
  <c r="C184"/>
  <c r="Z184"/>
  <c r="AA184" s="1"/>
  <c r="AB184" s="1"/>
  <c r="AC184" l="1"/>
  <c r="C347"/>
  <c r="Z347"/>
  <c r="AA347" s="1"/>
  <c r="AB347" s="1"/>
  <c r="AC347" l="1"/>
  <c r="C234"/>
  <c r="Z234"/>
  <c r="AA234" s="1"/>
  <c r="AB234" s="1"/>
  <c r="AC234" l="1"/>
  <c r="C230"/>
  <c r="Z230"/>
  <c r="AA230" s="1"/>
  <c r="AB230" s="1"/>
  <c r="AC230" l="1"/>
  <c r="C325"/>
  <c r="Z325"/>
  <c r="AA325" s="1"/>
  <c r="AB325" s="1"/>
  <c r="AC325" l="1"/>
  <c r="C355"/>
  <c r="Z355"/>
  <c r="AA355" s="1"/>
  <c r="AB355" s="1"/>
  <c r="AC355" l="1"/>
  <c r="C295"/>
  <c r="Z295"/>
  <c r="AA295" s="1"/>
  <c r="AB295" s="1"/>
  <c r="AC295" l="1"/>
  <c r="C382"/>
  <c r="Z382"/>
  <c r="AA382" s="1"/>
  <c r="AB382" s="1"/>
  <c r="AC382" l="1"/>
  <c r="C362"/>
  <c r="Z362"/>
  <c r="AA362" s="1"/>
  <c r="AB362" s="1"/>
  <c r="AC362" l="1"/>
  <c r="C319"/>
  <c r="Z319"/>
  <c r="AA319" s="1"/>
  <c r="AB319" s="1"/>
  <c r="AC319" l="1"/>
  <c r="C315"/>
  <c r="Z315"/>
  <c r="AA315" s="1"/>
  <c r="AB315" s="1"/>
  <c r="AC315" l="1"/>
  <c r="C313"/>
  <c r="Z313"/>
  <c r="AA313" s="1"/>
  <c r="AB313" s="1"/>
  <c r="AC313" l="1"/>
  <c r="C430"/>
  <c r="Z430"/>
  <c r="AA430" s="1"/>
  <c r="AB430" s="1"/>
  <c r="AC430" l="1"/>
  <c r="C438"/>
  <c r="Z438"/>
  <c r="AA438" s="1"/>
  <c r="AB438" s="1"/>
  <c r="AC438" l="1"/>
  <c r="C298"/>
  <c r="Z298"/>
  <c r="AA298" s="1"/>
  <c r="AB298" s="1"/>
  <c r="AC298" l="1"/>
  <c r="C202"/>
  <c r="Z202"/>
  <c r="AA202" s="1"/>
  <c r="AB202" s="1"/>
  <c r="AC202" l="1"/>
  <c r="C387"/>
  <c r="Z387"/>
  <c r="AA387" s="1"/>
  <c r="AB387" s="1"/>
  <c r="AC387" l="1"/>
  <c r="C337"/>
  <c r="Z337"/>
  <c r="AA337" s="1"/>
  <c r="AB337" s="1"/>
  <c r="AC337" l="1"/>
  <c r="C402"/>
  <c r="Z402"/>
  <c r="AA402" s="1"/>
  <c r="AB402" s="1"/>
  <c r="AC402" l="1"/>
  <c r="C369"/>
  <c r="Z369"/>
  <c r="AA369" s="1"/>
  <c r="AB369" s="1"/>
  <c r="AC369" l="1"/>
  <c r="C434"/>
  <c r="Z434"/>
  <c r="AA434" s="1"/>
  <c r="AB434" s="1"/>
  <c r="AC434" l="1"/>
  <c r="C457"/>
  <c r="Z457"/>
  <c r="AA457" s="1"/>
  <c r="AB457" s="1"/>
  <c r="AC457" l="1"/>
  <c r="C377"/>
  <c r="Z377"/>
  <c r="AA377" s="1"/>
  <c r="AB377" s="1"/>
  <c r="AC377" l="1"/>
  <c r="C379"/>
  <c r="Z379"/>
  <c r="AA379" s="1"/>
  <c r="AB379" s="1"/>
  <c r="AC379" l="1"/>
  <c r="C383"/>
  <c r="Z383"/>
  <c r="AA383" s="1"/>
  <c r="AB383" s="1"/>
  <c r="AC383" l="1"/>
  <c r="C407"/>
  <c r="Z407"/>
  <c r="AA407" s="1"/>
  <c r="AB407" s="1"/>
  <c r="AC407" l="1"/>
  <c r="C408"/>
  <c r="Z408"/>
  <c r="AA408" s="1"/>
  <c r="AB408" s="1"/>
  <c r="AC408" l="1"/>
  <c r="C500"/>
  <c r="Z500"/>
  <c r="AA500" s="1"/>
  <c r="AB500" s="1"/>
  <c r="AC500" l="1"/>
  <c r="C245"/>
  <c r="Z245"/>
  <c r="AA245" s="1"/>
  <c r="AB245" s="1"/>
  <c r="AC245" l="1"/>
  <c r="C336"/>
  <c r="Z336"/>
  <c r="AA336" s="1"/>
  <c r="AB336" s="1"/>
  <c r="AC336" l="1"/>
  <c r="C350"/>
  <c r="Z350"/>
  <c r="AA350" s="1"/>
  <c r="AB350" s="1"/>
  <c r="AC350" l="1"/>
  <c r="C333"/>
  <c r="Z333"/>
  <c r="AA333" s="1"/>
  <c r="AB333" s="1"/>
  <c r="AC333" l="1"/>
  <c r="C330"/>
  <c r="Z330"/>
  <c r="AA330" s="1"/>
  <c r="AB330" s="1"/>
  <c r="AC330" l="1"/>
  <c r="C486"/>
  <c r="Z486"/>
  <c r="AA486" s="1"/>
  <c r="AB486" s="1"/>
  <c r="AC486" l="1"/>
  <c r="C468"/>
  <c r="Z468"/>
  <c r="AA468" s="1"/>
  <c r="AB468" s="1"/>
  <c r="AC468" l="1"/>
  <c r="C364"/>
  <c r="Z364"/>
  <c r="AA364" s="1"/>
  <c r="AB364" s="1"/>
  <c r="AC364" l="1"/>
  <c r="C391"/>
  <c r="Z391"/>
  <c r="AA391" s="1"/>
  <c r="AB391" s="1"/>
  <c r="AC391" l="1"/>
  <c r="C446"/>
  <c r="Z446"/>
  <c r="AA446" s="1"/>
  <c r="AB446" s="1"/>
  <c r="AC446" l="1"/>
  <c r="C427"/>
  <c r="Z427"/>
  <c r="AA427" s="1"/>
  <c r="AB427" s="1"/>
  <c r="AC427" l="1"/>
  <c r="C201"/>
  <c r="Z201"/>
  <c r="AA201" s="1"/>
  <c r="AB201" s="1"/>
  <c r="AC201" l="1"/>
  <c r="C188"/>
  <c r="Z188"/>
  <c r="AA188" s="1"/>
  <c r="AB188" s="1"/>
  <c r="AC188" l="1"/>
  <c r="C447"/>
  <c r="Z447"/>
  <c r="AA447" s="1"/>
  <c r="AB447" s="1"/>
  <c r="AC447" l="1"/>
  <c r="C448"/>
  <c r="Z448"/>
  <c r="AA448" s="1"/>
  <c r="AB448" s="1"/>
  <c r="AC448" l="1"/>
  <c r="C460"/>
  <c r="Z460"/>
  <c r="AA460" s="1"/>
  <c r="AB460" s="1"/>
  <c r="AC460" l="1"/>
  <c r="C462"/>
  <c r="Z462"/>
  <c r="AA462" s="1"/>
  <c r="AB462" s="1"/>
  <c r="AC462" l="1"/>
  <c r="C278"/>
  <c r="Z278"/>
  <c r="AA278" s="1"/>
  <c r="AB278" s="1"/>
  <c r="AC278" l="1"/>
  <c r="C294"/>
  <c r="Z294"/>
  <c r="AA294" s="1"/>
  <c r="AB294" s="1"/>
  <c r="AC294" l="1"/>
  <c r="C282"/>
  <c r="Z282"/>
  <c r="AA282" s="1"/>
  <c r="AB282" s="1"/>
  <c r="AC282" l="1"/>
  <c r="C421"/>
  <c r="Z421"/>
  <c r="AA421" s="1"/>
  <c r="AB421" s="1"/>
  <c r="AC421" l="1"/>
  <c r="C271"/>
  <c r="Z271"/>
  <c r="AA271" s="1"/>
  <c r="AB271" s="1"/>
  <c r="AC271" l="1"/>
  <c r="C303"/>
  <c r="Z303"/>
  <c r="AA303" s="1"/>
  <c r="AB303" s="1"/>
  <c r="AC303" l="1"/>
  <c r="C254"/>
  <c r="Z254"/>
  <c r="AA254" s="1"/>
  <c r="AB254" s="1"/>
  <c r="AC254" l="1"/>
  <c r="C128"/>
  <c r="Z128"/>
  <c r="AA128" s="1"/>
  <c r="AB128"/>
  <c r="AC128" l="1"/>
  <c r="C139"/>
  <c r="Z139"/>
  <c r="AA139" s="1"/>
  <c r="AB139"/>
  <c r="AC139" l="1"/>
  <c r="C280"/>
  <c r="Z280"/>
  <c r="AA280" s="1"/>
  <c r="AB280" s="1"/>
  <c r="AC280" l="1"/>
  <c r="C284"/>
  <c r="Z284"/>
  <c r="AA284" s="1"/>
  <c r="AB284" s="1"/>
  <c r="AC284" l="1"/>
  <c r="C225"/>
  <c r="Z225"/>
  <c r="AA225" s="1"/>
  <c r="AB225"/>
  <c r="AC225" l="1"/>
  <c r="C287"/>
  <c r="Z287"/>
  <c r="AA287" s="1"/>
  <c r="AB287"/>
  <c r="AC287" l="1"/>
  <c r="C345"/>
  <c r="Z345"/>
  <c r="AA345" s="1"/>
  <c r="AB345" s="1"/>
  <c r="AC345" l="1"/>
  <c r="C261"/>
  <c r="Z261"/>
  <c r="AA261" s="1"/>
  <c r="AB261" s="1"/>
  <c r="AC261" l="1"/>
  <c r="C227"/>
  <c r="Z227"/>
  <c r="AA227" s="1"/>
  <c r="AB227" s="1"/>
  <c r="AC227" l="1"/>
  <c r="C281"/>
  <c r="Z281"/>
  <c r="AA281" s="1"/>
  <c r="AB281" s="1"/>
  <c r="AC281" l="1"/>
  <c r="C302"/>
  <c r="AB302"/>
  <c r="AC302" l="1"/>
  <c r="C161"/>
  <c r="Z161"/>
  <c r="AA161" s="1"/>
  <c r="AB161" s="1"/>
  <c r="AC161" l="1"/>
  <c r="C147"/>
  <c r="Z147"/>
  <c r="AA147" s="1"/>
  <c r="AB147" s="1"/>
  <c r="AC147" l="1"/>
  <c r="C348"/>
  <c r="Z348"/>
  <c r="AA348" s="1"/>
  <c r="AB348" s="1"/>
  <c r="AC348" l="1"/>
  <c r="C393"/>
  <c r="Z393"/>
  <c r="AA393" s="1"/>
  <c r="AB393" s="1"/>
  <c r="AC393" l="1"/>
  <c r="C273"/>
  <c r="Z273"/>
  <c r="AA273" s="1"/>
  <c r="AB273" s="1"/>
  <c r="AC273" l="1"/>
  <c r="C219"/>
  <c r="Z219"/>
  <c r="AA219" s="1"/>
  <c r="AB219" s="1"/>
  <c r="AC219" l="1"/>
  <c r="C388"/>
  <c r="Z388"/>
  <c r="AA388" s="1"/>
  <c r="AB388" s="1"/>
  <c r="AC388" l="1"/>
  <c r="C305"/>
  <c r="Z305"/>
  <c r="AA305" s="1"/>
  <c r="AB305" s="1"/>
  <c r="AC305" l="1"/>
  <c r="C498"/>
  <c r="Z498"/>
  <c r="AA498" s="1"/>
  <c r="AB498" s="1"/>
  <c r="AC498" l="1"/>
  <c r="C493"/>
  <c r="Z493"/>
  <c r="AA493" s="1"/>
  <c r="AB493" s="1"/>
  <c r="AC493" l="1"/>
  <c r="C343"/>
  <c r="Z343"/>
  <c r="AA343" s="1"/>
  <c r="AB343" s="1"/>
  <c r="AC343" l="1"/>
  <c r="C366"/>
  <c r="Z366"/>
  <c r="AA366" s="1"/>
  <c r="AB366" s="1"/>
  <c r="AC366" l="1"/>
  <c r="C69"/>
  <c r="Z69"/>
  <c r="AA69" s="1"/>
  <c r="AB69" s="1"/>
  <c r="AC69" l="1"/>
  <c r="C70"/>
  <c r="Z70"/>
  <c r="AA70" s="1"/>
  <c r="AB70" s="1"/>
  <c r="AC70" l="1"/>
  <c r="C20"/>
  <c r="Z20"/>
  <c r="AA20" s="1"/>
  <c r="AB20" s="1"/>
  <c r="AC20" l="1"/>
  <c r="C400"/>
  <c r="Z400"/>
  <c r="AA400" s="1"/>
  <c r="AB400" s="1"/>
  <c r="AC400" l="1"/>
  <c r="C275"/>
  <c r="Z275"/>
  <c r="AA275" s="1"/>
  <c r="AB275" s="1"/>
  <c r="AC275" l="1"/>
  <c r="C266"/>
  <c r="Z266"/>
  <c r="AA266" s="1"/>
  <c r="AB266" s="1"/>
  <c r="AC266" l="1"/>
  <c r="C442"/>
  <c r="Z442"/>
  <c r="AA442" s="1"/>
  <c r="AB442" s="1"/>
  <c r="AC442" l="1"/>
  <c r="C451"/>
  <c r="Z451"/>
  <c r="AA451" s="1"/>
  <c r="AB451" s="1"/>
  <c r="AC451" l="1"/>
  <c r="C255"/>
  <c r="Z255"/>
  <c r="AA255" s="1"/>
  <c r="AB255" s="1"/>
  <c r="AC255" l="1"/>
  <c r="C310"/>
  <c r="Z310"/>
  <c r="AA310" s="1"/>
  <c r="AB310" s="1"/>
  <c r="AC310" l="1"/>
  <c r="C309"/>
  <c r="Z309"/>
  <c r="AA309" s="1"/>
  <c r="AB309" s="1"/>
  <c r="AC309" l="1"/>
  <c r="C185"/>
  <c r="Z185"/>
  <c r="AA185" s="1"/>
  <c r="AB185" s="1"/>
  <c r="AC185" l="1"/>
  <c r="C363"/>
  <c r="Z363"/>
  <c r="AA363" s="1"/>
  <c r="AB363" s="1"/>
  <c r="AC363" l="1"/>
  <c r="C488"/>
  <c r="Z488"/>
  <c r="AA488" s="1"/>
  <c r="AB488" s="1"/>
  <c r="AC488" l="1"/>
  <c r="C213"/>
  <c r="Z213"/>
  <c r="AA213" s="1"/>
  <c r="AB213" s="1"/>
  <c r="AC213" l="1"/>
  <c r="C506"/>
  <c r="Z506"/>
  <c r="AA506" s="1"/>
  <c r="AB506" s="1"/>
  <c r="AC506" l="1"/>
  <c r="C269"/>
  <c r="Z269"/>
  <c r="AA269" s="1"/>
  <c r="AB269" s="1"/>
  <c r="AC269" l="1"/>
  <c r="C514"/>
  <c r="Z514"/>
  <c r="AA514" s="1"/>
  <c r="AB514" s="1"/>
  <c r="AC514" l="1"/>
  <c r="C483"/>
  <c r="Z483"/>
  <c r="AA483" s="1"/>
  <c r="AB483" s="1"/>
  <c r="AC483" l="1"/>
  <c r="C186"/>
  <c r="Z186"/>
  <c r="AA186" s="1"/>
  <c r="AB186" s="1"/>
  <c r="AC186" l="1"/>
  <c r="C180"/>
  <c r="Z180"/>
  <c r="AA180" s="1"/>
  <c r="AB180" s="1"/>
  <c r="AC180" l="1"/>
  <c r="C384"/>
  <c r="Z384"/>
  <c r="AA384" s="1"/>
  <c r="AB384" s="1"/>
  <c r="AC384" l="1"/>
  <c r="C394"/>
  <c r="Z394"/>
  <c r="AA394" s="1"/>
  <c r="AB394" s="1"/>
  <c r="AC394" l="1"/>
  <c r="C326"/>
  <c r="Z326"/>
  <c r="AA326" s="1"/>
  <c r="AB326" s="1"/>
  <c r="AC326" l="1"/>
  <c r="C331"/>
  <c r="Z331"/>
  <c r="AA331" s="1"/>
  <c r="AB331" s="1"/>
  <c r="AC331" l="1"/>
  <c r="C27"/>
  <c r="Z27"/>
  <c r="AA27" s="1"/>
  <c r="AB27" s="1"/>
  <c r="Z99"/>
  <c r="AA99" s="1"/>
  <c r="AB99" s="1"/>
  <c r="Z103"/>
  <c r="AA103" s="1"/>
  <c r="AB103" s="1"/>
  <c r="C103"/>
  <c r="C99"/>
  <c r="AD321" l="1"/>
  <c r="AG321"/>
  <c r="AD59"/>
  <c r="AD205"/>
  <c r="AG209"/>
  <c r="AG59"/>
  <c r="AG205"/>
  <c r="AD209"/>
  <c r="AD491"/>
  <c r="AG262"/>
  <c r="AD204"/>
  <c r="AG491"/>
  <c r="AD62"/>
  <c r="AG89"/>
  <c r="AD197"/>
  <c r="AG252"/>
  <c r="AD341"/>
  <c r="AD133"/>
  <c r="AD89"/>
  <c r="AG412"/>
  <c r="AD252"/>
  <c r="AG263"/>
  <c r="AG133"/>
  <c r="AD445"/>
  <c r="AD358"/>
  <c r="AG204"/>
  <c r="AD409"/>
  <c r="AD262"/>
  <c r="AG35"/>
  <c r="AG358"/>
  <c r="AG409"/>
  <c r="AD263"/>
  <c r="AD35"/>
  <c r="AG62"/>
  <c r="AG197"/>
  <c r="AG445"/>
  <c r="AG341"/>
  <c r="AD412"/>
  <c r="AD58"/>
  <c r="AG58"/>
  <c r="AD57"/>
  <c r="AD37"/>
  <c r="AD453"/>
  <c r="AD293"/>
  <c r="AG398"/>
  <c r="AG57"/>
  <c r="AD398"/>
  <c r="AG293"/>
  <c r="AG37"/>
  <c r="AG453"/>
  <c r="AD220"/>
  <c r="AD481"/>
  <c r="AG220"/>
  <c r="AG473"/>
  <c r="AD467"/>
  <c r="AG105"/>
  <c r="AD473"/>
  <c r="AD111"/>
  <c r="AD105"/>
  <c r="AG111"/>
  <c r="AG481"/>
  <c r="AG467"/>
  <c r="AD273"/>
  <c r="AG471"/>
  <c r="AD65"/>
  <c r="AG149"/>
  <c r="AG129"/>
  <c r="AG273"/>
  <c r="AD149"/>
  <c r="AD203"/>
  <c r="AD471"/>
  <c r="AG65"/>
  <c r="AG203"/>
  <c r="AG512"/>
  <c r="AD129"/>
  <c r="AG68"/>
  <c r="AD68"/>
  <c r="AD512"/>
  <c r="AD440"/>
  <c r="AD143"/>
  <c r="AG143"/>
  <c r="AD130"/>
  <c r="AG146"/>
  <c r="AG130"/>
  <c r="AG417"/>
  <c r="AD417"/>
  <c r="AG361"/>
  <c r="AD361"/>
  <c r="AG496"/>
  <c r="AD496"/>
  <c r="AD146"/>
  <c r="AG440"/>
  <c r="AD501"/>
  <c r="AG507"/>
  <c r="AD374"/>
  <c r="AG501"/>
  <c r="AG374"/>
  <c r="AD507"/>
  <c r="AD335"/>
  <c r="AG335"/>
  <c r="AD268"/>
  <c r="AD452"/>
  <c r="AG485"/>
  <c r="AD485"/>
  <c r="AG452"/>
  <c r="AG268"/>
  <c r="AD171"/>
  <c r="AG52"/>
  <c r="AD52"/>
  <c r="AG171"/>
  <c r="AD299"/>
  <c r="AG299"/>
  <c r="AD244"/>
  <c r="AG244"/>
  <c r="AD17"/>
  <c r="AG17"/>
  <c r="AD116"/>
  <c r="AD104"/>
  <c r="AG104"/>
  <c r="AD38"/>
  <c r="AG356"/>
  <c r="AG116"/>
  <c r="AD356"/>
  <c r="AG38"/>
  <c r="AG39"/>
  <c r="AD39"/>
  <c r="AD123"/>
  <c r="AG123"/>
  <c r="AD381"/>
  <c r="AD324"/>
  <c r="AG324"/>
  <c r="AD264"/>
  <c r="AG381"/>
  <c r="AG264"/>
  <c r="AG360"/>
  <c r="AD360"/>
  <c r="AD385"/>
  <c r="AD15"/>
  <c r="AD86"/>
  <c r="AG154"/>
  <c r="AG231"/>
  <c r="AD154"/>
  <c r="AD179"/>
  <c r="AG86"/>
  <c r="AG455"/>
  <c r="AG423"/>
  <c r="AG15"/>
  <c r="AD231"/>
  <c r="AG179"/>
  <c r="AG385"/>
  <c r="AD455"/>
  <c r="AD423"/>
  <c r="AD211"/>
  <c r="AG327"/>
  <c r="AG211"/>
  <c r="AD327"/>
  <c r="AD64"/>
  <c r="AD474"/>
  <c r="AG479"/>
  <c r="AG475"/>
  <c r="AG474"/>
  <c r="AD475"/>
  <c r="AD479"/>
  <c r="AG60"/>
  <c r="AG64"/>
  <c r="AD60"/>
  <c r="AD99"/>
  <c r="AM99" s="1"/>
  <c r="AD384"/>
  <c r="AD124"/>
  <c r="AD166"/>
  <c r="AD148"/>
  <c r="AG165"/>
  <c r="AG124"/>
  <c r="AG148"/>
  <c r="AD297"/>
  <c r="AG135"/>
  <c r="AG316"/>
  <c r="AG297"/>
  <c r="AG166"/>
  <c r="AD135"/>
  <c r="AG121"/>
  <c r="AG22"/>
  <c r="AD22"/>
  <c r="AD165"/>
  <c r="AD316"/>
  <c r="AD121"/>
  <c r="AD100"/>
  <c r="AD126"/>
  <c r="AD187"/>
  <c r="AG250"/>
  <c r="AG286"/>
  <c r="AG100"/>
  <c r="AD291"/>
  <c r="AG215"/>
  <c r="AG291"/>
  <c r="AG247"/>
  <c r="AG76"/>
  <c r="AG187"/>
  <c r="AD200"/>
  <c r="AG224"/>
  <c r="AD250"/>
  <c r="AG134"/>
  <c r="AG126"/>
  <c r="AD241"/>
  <c r="AD215"/>
  <c r="AG519"/>
  <c r="AD76"/>
  <c r="AD174"/>
  <c r="AG426"/>
  <c r="AD426"/>
  <c r="AD247"/>
  <c r="AG241"/>
  <c r="AG175"/>
  <c r="AD134"/>
  <c r="AD242"/>
  <c r="AD175"/>
  <c r="AG200"/>
  <c r="AG174"/>
  <c r="AG322"/>
  <c r="AD224"/>
  <c r="AD519"/>
  <c r="AD286"/>
  <c r="AD322"/>
  <c r="AG242"/>
  <c r="AD331"/>
  <c r="AI331" s="1"/>
  <c r="AD513"/>
  <c r="AG513"/>
  <c r="AD132"/>
  <c r="AG132"/>
  <c r="AD103"/>
  <c r="AI103" s="1"/>
  <c r="AD380"/>
  <c r="AD367"/>
  <c r="AD55"/>
  <c r="AD370"/>
  <c r="AD464"/>
  <c r="AI464" s="1"/>
  <c r="AD46"/>
  <c r="AD167"/>
  <c r="AD256"/>
  <c r="AD405"/>
  <c r="AD61"/>
  <c r="AD182"/>
  <c r="AD414"/>
  <c r="AE414" s="1"/>
  <c r="AD499"/>
  <c r="AD53"/>
  <c r="AD459"/>
  <c r="AD301"/>
  <c r="AD296"/>
  <c r="AD480"/>
  <c r="AD267"/>
  <c r="AD194"/>
  <c r="AD515"/>
  <c r="AD368"/>
  <c r="AD516"/>
  <c r="AD444"/>
  <c r="AD235"/>
  <c r="AD13"/>
  <c r="AD127"/>
  <c r="AI127" s="1"/>
  <c r="AD466"/>
  <c r="AD24"/>
  <c r="AD222"/>
  <c r="AD328"/>
  <c r="AD5"/>
  <c r="AD307"/>
  <c r="AD277"/>
  <c r="AD497"/>
  <c r="AD6"/>
  <c r="AD482"/>
  <c r="AD158"/>
  <c r="AD108"/>
  <c r="AI108" s="1"/>
  <c r="AD406"/>
  <c r="AD344"/>
  <c r="AD192"/>
  <c r="AD136"/>
  <c r="AD243"/>
  <c r="AF243" s="1"/>
  <c r="AD470"/>
  <c r="AD122"/>
  <c r="AD323"/>
  <c r="AD495"/>
  <c r="AD510"/>
  <c r="AD259"/>
  <c r="AD418"/>
  <c r="AD41"/>
  <c r="AD23"/>
  <c r="AD19"/>
  <c r="AD218"/>
  <c r="AD238"/>
  <c r="AD151"/>
  <c r="AD285"/>
  <c r="AD312"/>
  <c r="AD450"/>
  <c r="AD115"/>
  <c r="AD461"/>
  <c r="AD449"/>
  <c r="AD490"/>
  <c r="AD429"/>
  <c r="AI429" s="1"/>
  <c r="AD339"/>
  <c r="AD378"/>
  <c r="AD206"/>
  <c r="AD265"/>
  <c r="AD106"/>
  <c r="AI106" s="1"/>
  <c r="AD110"/>
  <c r="AD10"/>
  <c r="AD177"/>
  <c r="AD404"/>
  <c r="AD29"/>
  <c r="AD240"/>
  <c r="AI240" s="1"/>
  <c r="AD518"/>
  <c r="AI518" s="1"/>
  <c r="AD144"/>
  <c r="AD458"/>
  <c r="AD25"/>
  <c r="AD113"/>
  <c r="AD120"/>
  <c r="AI120" s="1"/>
  <c r="AD162"/>
  <c r="AD246"/>
  <c r="AD226"/>
  <c r="AD314"/>
  <c r="AD469"/>
  <c r="AD492"/>
  <c r="AD338"/>
  <c r="AD80"/>
  <c r="AD416"/>
  <c r="AD411"/>
  <c r="AI411" s="1"/>
  <c r="AD389"/>
  <c r="AD258"/>
  <c r="AD150"/>
  <c r="AD183"/>
  <c r="AD371"/>
  <c r="AD40"/>
  <c r="AD170"/>
  <c r="AI170" s="1"/>
  <c r="AD109"/>
  <c r="AD283"/>
  <c r="AD392"/>
  <c r="AD173"/>
  <c r="AD465"/>
  <c r="AD164"/>
  <c r="AD72"/>
  <c r="AD31"/>
  <c r="AD223"/>
  <c r="AI223" s="1"/>
  <c r="AD365"/>
  <c r="AD372"/>
  <c r="AD125"/>
  <c r="AD48"/>
  <c r="AD274"/>
  <c r="AD357"/>
  <c r="AD141"/>
  <c r="AD401"/>
  <c r="AD78"/>
  <c r="AI78" s="1"/>
  <c r="AD509"/>
  <c r="AD520"/>
  <c r="AF520" s="1"/>
  <c r="AD410"/>
  <c r="AI410" s="1"/>
  <c r="AD354"/>
  <c r="AD14"/>
  <c r="AD114"/>
  <c r="AD160"/>
  <c r="AD503"/>
  <c r="AD424"/>
  <c r="AI424" s="1"/>
  <c r="AD229"/>
  <c r="AD403"/>
  <c r="AD359"/>
  <c r="AD140"/>
  <c r="AI140" s="1"/>
  <c r="AD30"/>
  <c r="AI30" s="1"/>
  <c r="AD353"/>
  <c r="AD290"/>
  <c r="AD494"/>
  <c r="AD489"/>
  <c r="AI489" s="1"/>
  <c r="AD33"/>
  <c r="AD101"/>
  <c r="AD216"/>
  <c r="AD94"/>
  <c r="AI94" s="1"/>
  <c r="AD198"/>
  <c r="AD332"/>
  <c r="AD251"/>
  <c r="AD508"/>
  <c r="AD34"/>
  <c r="AD425"/>
  <c r="AD289"/>
  <c r="AD463"/>
  <c r="AI463" s="1"/>
  <c r="AD63"/>
  <c r="AD193"/>
  <c r="AD318"/>
  <c r="AD32"/>
  <c r="AD419"/>
  <c r="AD502"/>
  <c r="AD454"/>
  <c r="AD169"/>
  <c r="AD75"/>
  <c r="AD36"/>
  <c r="AD157"/>
  <c r="AD102"/>
  <c r="AD90"/>
  <c r="AI90" s="1"/>
  <c r="AD12"/>
  <c r="AD376"/>
  <c r="AD396"/>
  <c r="AD288"/>
  <c r="AD112"/>
  <c r="AD117"/>
  <c r="AD272"/>
  <c r="AD3"/>
  <c r="AD308"/>
  <c r="AD399"/>
  <c r="AI399" s="1"/>
  <c r="AD47"/>
  <c r="AI47" s="1"/>
  <c r="AD155"/>
  <c r="AD83"/>
  <c r="AI83" s="1"/>
  <c r="AD505"/>
  <c r="AD42"/>
  <c r="AD131"/>
  <c r="AD260"/>
  <c r="AD21"/>
  <c r="AD352"/>
  <c r="AD49"/>
  <c r="AD16"/>
  <c r="AD292"/>
  <c r="AD79"/>
  <c r="AI79" s="1"/>
  <c r="AD428"/>
  <c r="AD217"/>
  <c r="AD7"/>
  <c r="AD159"/>
  <c r="AI159" s="1"/>
  <c r="AD487"/>
  <c r="AD334"/>
  <c r="AD276"/>
  <c r="AM276" s="1"/>
  <c r="AD54"/>
  <c r="AD432"/>
  <c r="AD395"/>
  <c r="AD415"/>
  <c r="AD320"/>
  <c r="AD8"/>
  <c r="AD300"/>
  <c r="AD443"/>
  <c r="AD340"/>
  <c r="AD210"/>
  <c r="AD207"/>
  <c r="AD138"/>
  <c r="AD195"/>
  <c r="AD81"/>
  <c r="AD304"/>
  <c r="AD196"/>
  <c r="AD153"/>
  <c r="AD472"/>
  <c r="AD45"/>
  <c r="AD4"/>
  <c r="AD97"/>
  <c r="AD142"/>
  <c r="AD156"/>
  <c r="AD71"/>
  <c r="AD56"/>
  <c r="AD84"/>
  <c r="AI84" s="1"/>
  <c r="AD137"/>
  <c r="AD28"/>
  <c r="AD208"/>
  <c r="AD119"/>
  <c r="AD9"/>
  <c r="AD88"/>
  <c r="AD74"/>
  <c r="AD67"/>
  <c r="AD431"/>
  <c r="AD349"/>
  <c r="AD152"/>
  <c r="AD511"/>
  <c r="AD257"/>
  <c r="AD214"/>
  <c r="AD456"/>
  <c r="AD270"/>
  <c r="AD237"/>
  <c r="AD145"/>
  <c r="AD329"/>
  <c r="AD107"/>
  <c r="AD279"/>
  <c r="AD51"/>
  <c r="AD26"/>
  <c r="AD163"/>
  <c r="AI163" s="1"/>
  <c r="AD239"/>
  <c r="AD212"/>
  <c r="AD82"/>
  <c r="AI82" s="1"/>
  <c r="AD50"/>
  <c r="AD311"/>
  <c r="AD484"/>
  <c r="AD2"/>
  <c r="AD435"/>
  <c r="AD373"/>
  <c r="AD306"/>
  <c r="AD236"/>
  <c r="AD342"/>
  <c r="AD504"/>
  <c r="AD73"/>
  <c r="AD228"/>
  <c r="AD386"/>
  <c r="AD199"/>
  <c r="AD43"/>
  <c r="AI43" s="1"/>
  <c r="AD178"/>
  <c r="AI178" s="1"/>
  <c r="AD87"/>
  <c r="AD66"/>
  <c r="AD11"/>
  <c r="AD96"/>
  <c r="AD517"/>
  <c r="AD232"/>
  <c r="AD95"/>
  <c r="AD439"/>
  <c r="AD172"/>
  <c r="AD92"/>
  <c r="AD346"/>
  <c r="AI346" s="1"/>
  <c r="AD18"/>
  <c r="AD44"/>
  <c r="AI44" s="1"/>
  <c r="AD422"/>
  <c r="AD317"/>
  <c r="AD437"/>
  <c r="AD248"/>
  <c r="AD375"/>
  <c r="AD221"/>
  <c r="AD168"/>
  <c r="AD98"/>
  <c r="AI98" s="1"/>
  <c r="AD397"/>
  <c r="AD85"/>
  <c r="AD441"/>
  <c r="AD436"/>
  <c r="AD413"/>
  <c r="AD93"/>
  <c r="AD91"/>
  <c r="AD477"/>
  <c r="AD476"/>
  <c r="AD253"/>
  <c r="AD118"/>
  <c r="AD249"/>
  <c r="AD77"/>
  <c r="AI77" s="1"/>
  <c r="AD420"/>
  <c r="AD433"/>
  <c r="AD351"/>
  <c r="AD390"/>
  <c r="AD189"/>
  <c r="AI189" s="1"/>
  <c r="AD190"/>
  <c r="AD478"/>
  <c r="AD191"/>
  <c r="AD176"/>
  <c r="AI176" s="1"/>
  <c r="AD233"/>
  <c r="AI233" s="1"/>
  <c r="AD181"/>
  <c r="AI181" s="1"/>
  <c r="AD184"/>
  <c r="AI184" s="1"/>
  <c r="AD347"/>
  <c r="AF347" s="1"/>
  <c r="AD234"/>
  <c r="AD230"/>
  <c r="AI230" s="1"/>
  <c r="AD325"/>
  <c r="AD295"/>
  <c r="AI295" s="1"/>
  <c r="AD355"/>
  <c r="AI355" s="1"/>
  <c r="AD382"/>
  <c r="AD362"/>
  <c r="AD313"/>
  <c r="AD319"/>
  <c r="AD430"/>
  <c r="AD315"/>
  <c r="AD438"/>
  <c r="AD298"/>
  <c r="AD202"/>
  <c r="AD387"/>
  <c r="AD337"/>
  <c r="AD402"/>
  <c r="AI402" s="1"/>
  <c r="AD369"/>
  <c r="AD457"/>
  <c r="AI457" s="1"/>
  <c r="AD434"/>
  <c r="AD377"/>
  <c r="AD379"/>
  <c r="AD383"/>
  <c r="AD407"/>
  <c r="AI407" s="1"/>
  <c r="AD500"/>
  <c r="AD245"/>
  <c r="AD408"/>
  <c r="AD336"/>
  <c r="AD350"/>
  <c r="AD333"/>
  <c r="AI333" s="1"/>
  <c r="AD486"/>
  <c r="AD330"/>
  <c r="AI330" s="1"/>
  <c r="AD468"/>
  <c r="AI468" s="1"/>
  <c r="AD391"/>
  <c r="AD364"/>
  <c r="AD427"/>
  <c r="AD201"/>
  <c r="AD446"/>
  <c r="AI446" s="1"/>
  <c r="AD188"/>
  <c r="AI188" s="1"/>
  <c r="AD448"/>
  <c r="AD462"/>
  <c r="AD460"/>
  <c r="AD278"/>
  <c r="AD447"/>
  <c r="AD294"/>
  <c r="AD282"/>
  <c r="AD254"/>
  <c r="AI254" s="1"/>
  <c r="AD303"/>
  <c r="AD421"/>
  <c r="AD271"/>
  <c r="AD128"/>
  <c r="AD139"/>
  <c r="AD280"/>
  <c r="AD225"/>
  <c r="AD287"/>
  <c r="AI287" s="1"/>
  <c r="AD284"/>
  <c r="AD261"/>
  <c r="AD227"/>
  <c r="AD281"/>
  <c r="AD345"/>
  <c r="AD302"/>
  <c r="AD161"/>
  <c r="AD147"/>
  <c r="AD348"/>
  <c r="AD393"/>
  <c r="AD219"/>
  <c r="AD305"/>
  <c r="AD388"/>
  <c r="AD498"/>
  <c r="AD343"/>
  <c r="AD493"/>
  <c r="AI493" s="1"/>
  <c r="AD366"/>
  <c r="AD69"/>
  <c r="AD70"/>
  <c r="AD20"/>
  <c r="AD266"/>
  <c r="AI266" s="1"/>
  <c r="AD400"/>
  <c r="AD442"/>
  <c r="AD275"/>
  <c r="AD451"/>
  <c r="AI451" s="1"/>
  <c r="AD255"/>
  <c r="AD310"/>
  <c r="AD309"/>
  <c r="AD185"/>
  <c r="AD363"/>
  <c r="AD488"/>
  <c r="AD213"/>
  <c r="AD506"/>
  <c r="AD269"/>
  <c r="AI269" s="1"/>
  <c r="AD514"/>
  <c r="AD483"/>
  <c r="AD180"/>
  <c r="AI180" s="1"/>
  <c r="AD186"/>
  <c r="AD394"/>
  <c r="AI394" s="1"/>
  <c r="AD27"/>
  <c r="AE27" s="1"/>
  <c r="AD326"/>
  <c r="AG92"/>
  <c r="AG87"/>
  <c r="AG88"/>
  <c r="AG328"/>
  <c r="AG495"/>
  <c r="AG499"/>
  <c r="AG21"/>
  <c r="AG504"/>
  <c r="AG509"/>
  <c r="AG425"/>
  <c r="AG370"/>
  <c r="AG359"/>
  <c r="AG454"/>
  <c r="AG235"/>
  <c r="AG354"/>
  <c r="AG414"/>
  <c r="AG396"/>
  <c r="AG3"/>
  <c r="AG4"/>
  <c r="AG428"/>
  <c r="AG437"/>
  <c r="AG443"/>
  <c r="AG344"/>
  <c r="AG279"/>
  <c r="AG18"/>
  <c r="AG53"/>
  <c r="AG155"/>
  <c r="AG9"/>
  <c r="AG320"/>
  <c r="AG307"/>
  <c r="AG98"/>
  <c r="AG108"/>
  <c r="AG47"/>
  <c r="AG131"/>
  <c r="AG46"/>
  <c r="AG422"/>
  <c r="AG156"/>
  <c r="AG127"/>
  <c r="AG102"/>
  <c r="AG141"/>
  <c r="AG222"/>
  <c r="AG456"/>
  <c r="AG487"/>
  <c r="AG232"/>
  <c r="AG228"/>
  <c r="AG13"/>
  <c r="AG212"/>
  <c r="AG157"/>
  <c r="AG153"/>
  <c r="AG214"/>
  <c r="AG84"/>
  <c r="AG101"/>
  <c r="AG56"/>
  <c r="AG346"/>
  <c r="AG24"/>
  <c r="AG78"/>
  <c r="AG55"/>
  <c r="AG292"/>
  <c r="AG301"/>
  <c r="AG217"/>
  <c r="AG107"/>
  <c r="AG406"/>
  <c r="AG239"/>
  <c r="AG54"/>
  <c r="AG194"/>
  <c r="AG431"/>
  <c r="AG237"/>
  <c r="AG114"/>
  <c r="AG192"/>
  <c r="AG199"/>
  <c r="AG520"/>
  <c r="AG207"/>
  <c r="AG395"/>
  <c r="AG464"/>
  <c r="AG399"/>
  <c r="AG339"/>
  <c r="AG368"/>
  <c r="AG74"/>
  <c r="AG168"/>
  <c r="AG276"/>
  <c r="AG367"/>
  <c r="AG380"/>
  <c r="AG505"/>
  <c r="AG163"/>
  <c r="AG178"/>
  <c r="AG196"/>
  <c r="AG290"/>
  <c r="AG193"/>
  <c r="AG283"/>
  <c r="AG5"/>
  <c r="AG61"/>
  <c r="AG169"/>
  <c r="AG11"/>
  <c r="AG357"/>
  <c r="AG243"/>
  <c r="AG511"/>
  <c r="AG502"/>
  <c r="AG373"/>
  <c r="AG329"/>
  <c r="AG352"/>
  <c r="AG419"/>
  <c r="AG210"/>
  <c r="AG376"/>
  <c r="AG516"/>
  <c r="AG515"/>
  <c r="AG349"/>
  <c r="AG405"/>
  <c r="AG236"/>
  <c r="AG6"/>
  <c r="AG465"/>
  <c r="AG289"/>
  <c r="AG353"/>
  <c r="AG274"/>
  <c r="AG401"/>
  <c r="AG392"/>
  <c r="AG332"/>
  <c r="AG183"/>
  <c r="AG23"/>
  <c r="AG12"/>
  <c r="AG518"/>
  <c r="AG257"/>
  <c r="AG272"/>
  <c r="AG72"/>
  <c r="AG81"/>
  <c r="AG216"/>
  <c r="AG304"/>
  <c r="AG338"/>
  <c r="AG19"/>
  <c r="AG115"/>
  <c r="AG109"/>
  <c r="AG40"/>
  <c r="AG342"/>
  <c r="AG450"/>
  <c r="AG449"/>
  <c r="AG66"/>
  <c r="AG95"/>
  <c r="AG29"/>
  <c r="AG246"/>
  <c r="AG198"/>
  <c r="AG494"/>
  <c r="AG416"/>
  <c r="AG432"/>
  <c r="AG435"/>
  <c r="AG170"/>
  <c r="AG113"/>
  <c r="AG152"/>
  <c r="AG164"/>
  <c r="AG51"/>
  <c r="AG117"/>
  <c r="AG136"/>
  <c r="AG16"/>
  <c r="AG63"/>
  <c r="AG96"/>
  <c r="AG80"/>
  <c r="AG79"/>
  <c r="AG75"/>
  <c r="AG172"/>
  <c r="AG48"/>
  <c r="AG195"/>
  <c r="AG439"/>
  <c r="AG97"/>
  <c r="AG418"/>
  <c r="AG503"/>
  <c r="AG424"/>
  <c r="AG326"/>
  <c r="AG308"/>
  <c r="AG229"/>
  <c r="AG30"/>
  <c r="AG31"/>
  <c r="AG162"/>
  <c r="AG372"/>
  <c r="AG32"/>
  <c r="AG33"/>
  <c r="AG122"/>
  <c r="AG410"/>
  <c r="AG470"/>
  <c r="AG125"/>
  <c r="AG120"/>
  <c r="AG106"/>
  <c r="AG94"/>
  <c r="AG318"/>
  <c r="AG34"/>
  <c r="AG415"/>
  <c r="AG463"/>
  <c r="AG43"/>
  <c r="AG44"/>
  <c r="AG119"/>
  <c r="AG140"/>
  <c r="AG403"/>
  <c r="AG365"/>
  <c r="AG42"/>
  <c r="AG142"/>
  <c r="AG110"/>
  <c r="AG112"/>
  <c r="AG517"/>
  <c r="AG472"/>
  <c r="AG45"/>
  <c r="AG49"/>
  <c r="AG50"/>
  <c r="AG10"/>
  <c r="AG490"/>
  <c r="AG489"/>
  <c r="AG508"/>
  <c r="AG73"/>
  <c r="AG251"/>
  <c r="AG145"/>
  <c r="AG137"/>
  <c r="AG151"/>
  <c r="AG150"/>
  <c r="AG14"/>
  <c r="AG238"/>
  <c r="AG206"/>
  <c r="AG314"/>
  <c r="AG240"/>
  <c r="AG7"/>
  <c r="AG8"/>
  <c r="AG317"/>
  <c r="AG67"/>
  <c r="AG71"/>
  <c r="AG36"/>
  <c r="AG28"/>
  <c r="AG138"/>
  <c r="AG484"/>
  <c r="AG208"/>
  <c r="AG159"/>
  <c r="AG300"/>
  <c r="AG461"/>
  <c r="AG260"/>
  <c r="AG389"/>
  <c r="AG160"/>
  <c r="AG25"/>
  <c r="AG82"/>
  <c r="AG83"/>
  <c r="AG26"/>
  <c r="AG288"/>
  <c r="AG270"/>
  <c r="AG285"/>
  <c r="AG306"/>
  <c r="AG340"/>
  <c r="AG371"/>
  <c r="AG492"/>
  <c r="AG323"/>
  <c r="AG411"/>
  <c r="AG482"/>
  <c r="AG510"/>
  <c r="AG312"/>
  <c r="AG144"/>
  <c r="AG458"/>
  <c r="AG386"/>
  <c r="AG258"/>
  <c r="AG277"/>
  <c r="AG41"/>
  <c r="AG378"/>
  <c r="AG444"/>
  <c r="AG167"/>
  <c r="AG466"/>
  <c r="AG404"/>
  <c r="AG226"/>
  <c r="AG265"/>
  <c r="AG158"/>
  <c r="AG223"/>
  <c r="AG173"/>
  <c r="AG218"/>
  <c r="AG182"/>
  <c r="AG177"/>
  <c r="AG267"/>
  <c r="AG497"/>
  <c r="AG459"/>
  <c r="AG259"/>
  <c r="AG296"/>
  <c r="AG256"/>
  <c r="AG480"/>
  <c r="AG469"/>
  <c r="AG429"/>
  <c r="AG334"/>
  <c r="AG311"/>
  <c r="AG2"/>
  <c r="AG90"/>
  <c r="AG375"/>
  <c r="AG248"/>
  <c r="AG85"/>
  <c r="AG221"/>
  <c r="AG441"/>
  <c r="AG397"/>
  <c r="AG413"/>
  <c r="AG436"/>
  <c r="AG91"/>
  <c r="AG93"/>
  <c r="AG476"/>
  <c r="AG477"/>
  <c r="AG249"/>
  <c r="AG253"/>
  <c r="AG77"/>
  <c r="AG118"/>
  <c r="AG433"/>
  <c r="AG420"/>
  <c r="AG390"/>
  <c r="AG351"/>
  <c r="AG189"/>
  <c r="AG478"/>
  <c r="AG191"/>
  <c r="AG190"/>
  <c r="AG233"/>
  <c r="AG176"/>
  <c r="AG184"/>
  <c r="AG181"/>
  <c r="AG234"/>
  <c r="AG347"/>
  <c r="AG325"/>
  <c r="AG230"/>
  <c r="AG295"/>
  <c r="AG355"/>
  <c r="AG362"/>
  <c r="AG382"/>
  <c r="AG315"/>
  <c r="AG319"/>
  <c r="AG430"/>
  <c r="AG313"/>
  <c r="AG298"/>
  <c r="AG438"/>
  <c r="AG387"/>
  <c r="AG202"/>
  <c r="AG402"/>
  <c r="AG337"/>
  <c r="AG434"/>
  <c r="AG369"/>
  <c r="AG377"/>
  <c r="AG457"/>
  <c r="AG383"/>
  <c r="AG379"/>
  <c r="AG408"/>
  <c r="AG407"/>
  <c r="AG245"/>
  <c r="AG500"/>
  <c r="AG350"/>
  <c r="AG336"/>
  <c r="AG330"/>
  <c r="AG333"/>
  <c r="AG468"/>
  <c r="AG486"/>
  <c r="AG391"/>
  <c r="AG364"/>
  <c r="AG427"/>
  <c r="AG446"/>
  <c r="AG188"/>
  <c r="AG201"/>
  <c r="AG448"/>
  <c r="AG447"/>
  <c r="AG462"/>
  <c r="AG460"/>
  <c r="AG294"/>
  <c r="AG278"/>
  <c r="AG421"/>
  <c r="AG282"/>
  <c r="AG303"/>
  <c r="AG271"/>
  <c r="AG128"/>
  <c r="AG254"/>
  <c r="AG280"/>
  <c r="AG139"/>
  <c r="AG225"/>
  <c r="AG284"/>
  <c r="AG345"/>
  <c r="AG287"/>
  <c r="AG227"/>
  <c r="AG261"/>
  <c r="AG302"/>
  <c r="AG281"/>
  <c r="AG147"/>
  <c r="AG161"/>
  <c r="AG393"/>
  <c r="AG348"/>
  <c r="AG219"/>
  <c r="AG305"/>
  <c r="AG388"/>
  <c r="AG493"/>
  <c r="AG498"/>
  <c r="AG366"/>
  <c r="AG343"/>
  <c r="AG70"/>
  <c r="AG69"/>
  <c r="AG400"/>
  <c r="AG20"/>
  <c r="AG266"/>
  <c r="AG275"/>
  <c r="AG451"/>
  <c r="AG442"/>
  <c r="AG310"/>
  <c r="AG255"/>
  <c r="AG185"/>
  <c r="AG309"/>
  <c r="AG488"/>
  <c r="AG363"/>
  <c r="AG506"/>
  <c r="AG213"/>
  <c r="AG514"/>
  <c r="AG269"/>
  <c r="AG186"/>
  <c r="AG483"/>
  <c r="AG384"/>
  <c r="AC103"/>
  <c r="AG103" s="1"/>
  <c r="AC99"/>
  <c r="AC27"/>
  <c r="AG180"/>
  <c r="AG394"/>
  <c r="AG331"/>
  <c r="M2" i="15"/>
  <c r="N2" s="1"/>
  <c r="J5"/>
  <c r="D2"/>
  <c r="C2"/>
  <c r="B2"/>
  <c r="L2"/>
  <c r="AE321" i="1" l="1"/>
  <c r="AF321"/>
  <c r="AM321"/>
  <c r="AQ321"/>
  <c r="AH321"/>
  <c r="AI321"/>
  <c r="AQ209"/>
  <c r="AF209"/>
  <c r="AM209"/>
  <c r="AE209"/>
  <c r="AM205"/>
  <c r="AE205"/>
  <c r="AF205"/>
  <c r="AQ205"/>
  <c r="AF59"/>
  <c r="AP59" s="1"/>
  <c r="AQ59"/>
  <c r="AE59"/>
  <c r="AM59"/>
  <c r="AI59"/>
  <c r="AH59"/>
  <c r="AH209"/>
  <c r="AI209"/>
  <c r="AI205"/>
  <c r="AH205"/>
  <c r="AE263"/>
  <c r="AM263"/>
  <c r="AF263"/>
  <c r="AP263" s="1"/>
  <c r="AQ263"/>
  <c r="AE262"/>
  <c r="AM262"/>
  <c r="AF262"/>
  <c r="AQ262"/>
  <c r="AF445"/>
  <c r="AP445" s="1"/>
  <c r="AE445"/>
  <c r="AM445"/>
  <c r="AQ445"/>
  <c r="AH62"/>
  <c r="AH35"/>
  <c r="AI412"/>
  <c r="AI133"/>
  <c r="AH412"/>
  <c r="AH133"/>
  <c r="AI62"/>
  <c r="AI35"/>
  <c r="AH409"/>
  <c r="AH262"/>
  <c r="AH445"/>
  <c r="AI263"/>
  <c r="AI204"/>
  <c r="AH197"/>
  <c r="AH89"/>
  <c r="AH252"/>
  <c r="AI409"/>
  <c r="AH204"/>
  <c r="AI89"/>
  <c r="AH263"/>
  <c r="AI341"/>
  <c r="AI197"/>
  <c r="AH491"/>
  <c r="AH341"/>
  <c r="AI358"/>
  <c r="AI491"/>
  <c r="AI445"/>
  <c r="AI252"/>
  <c r="AI262"/>
  <c r="AH358"/>
  <c r="AF409"/>
  <c r="AE409"/>
  <c r="AM409"/>
  <c r="AQ409"/>
  <c r="AF89"/>
  <c r="AP89" s="1"/>
  <c r="AE89"/>
  <c r="AM89"/>
  <c r="AQ89"/>
  <c r="AF197"/>
  <c r="AM197"/>
  <c r="AQ197"/>
  <c r="AE197"/>
  <c r="AM204"/>
  <c r="AF204"/>
  <c r="AE204"/>
  <c r="AQ204"/>
  <c r="AF412"/>
  <c r="AE412"/>
  <c r="AM412"/>
  <c r="AQ412"/>
  <c r="AE133"/>
  <c r="AM133"/>
  <c r="AF133"/>
  <c r="AQ133"/>
  <c r="AE35"/>
  <c r="AM35"/>
  <c r="AQ35"/>
  <c r="AF35"/>
  <c r="AP35" s="1"/>
  <c r="AF358"/>
  <c r="AM358"/>
  <c r="AE358"/>
  <c r="AQ358"/>
  <c r="AF252"/>
  <c r="AE252"/>
  <c r="AM252"/>
  <c r="AQ252"/>
  <c r="AF341"/>
  <c r="AE341"/>
  <c r="AM341"/>
  <c r="AQ341"/>
  <c r="AF62"/>
  <c r="AP62" s="1"/>
  <c r="AE62"/>
  <c r="AM62"/>
  <c r="AQ62"/>
  <c r="AF491"/>
  <c r="AP491" s="1"/>
  <c r="AE491"/>
  <c r="AM491"/>
  <c r="AQ491"/>
  <c r="AF58"/>
  <c r="AP58" s="1"/>
  <c r="AQ58"/>
  <c r="AM58"/>
  <c r="AE58"/>
  <c r="AI58"/>
  <c r="AH58"/>
  <c r="AE293"/>
  <c r="AF293"/>
  <c r="AQ293"/>
  <c r="AM293"/>
  <c r="AH57"/>
  <c r="AI57"/>
  <c r="AE398"/>
  <c r="AM398"/>
  <c r="AF398"/>
  <c r="AQ398"/>
  <c r="AQ453"/>
  <c r="AE453"/>
  <c r="AM453"/>
  <c r="AF453"/>
  <c r="AE37"/>
  <c r="AF37"/>
  <c r="AQ37"/>
  <c r="AM37"/>
  <c r="AE57"/>
  <c r="AM57"/>
  <c r="AF57"/>
  <c r="AP57" s="1"/>
  <c r="AQ57"/>
  <c r="AI398"/>
  <c r="AH398"/>
  <c r="AH453"/>
  <c r="AI453"/>
  <c r="AH293"/>
  <c r="AI293"/>
  <c r="AI37"/>
  <c r="AH37"/>
  <c r="AF473"/>
  <c r="AP473" s="1"/>
  <c r="AE473"/>
  <c r="AM473"/>
  <c r="AQ473"/>
  <c r="AF481"/>
  <c r="AP481" s="1"/>
  <c r="AE481"/>
  <c r="AM481"/>
  <c r="AQ481"/>
  <c r="AF105"/>
  <c r="AP105" s="1"/>
  <c r="AE105"/>
  <c r="AM105"/>
  <c r="AQ105"/>
  <c r="AF467"/>
  <c r="AE467"/>
  <c r="AM467"/>
  <c r="AQ467"/>
  <c r="AI467"/>
  <c r="AI481"/>
  <c r="AH111"/>
  <c r="AI105"/>
  <c r="AH481"/>
  <c r="AH105"/>
  <c r="AH473"/>
  <c r="AH220"/>
  <c r="AH467"/>
  <c r="AI473"/>
  <c r="AI111"/>
  <c r="AI220"/>
  <c r="AF111"/>
  <c r="AP111" s="1"/>
  <c r="AE111"/>
  <c r="AM111"/>
  <c r="AQ111"/>
  <c r="AE220"/>
  <c r="AM220"/>
  <c r="AF220"/>
  <c r="AQ220"/>
  <c r="AE512"/>
  <c r="AF512"/>
  <c r="AE203"/>
  <c r="AF203"/>
  <c r="AE68"/>
  <c r="AF68"/>
  <c r="AP68" s="1"/>
  <c r="AE149"/>
  <c r="AF149"/>
  <c r="AE65"/>
  <c r="AF65"/>
  <c r="AP65" s="1"/>
  <c r="AF129"/>
  <c r="AE129"/>
  <c r="AF471"/>
  <c r="AE471"/>
  <c r="AE273"/>
  <c r="AF273"/>
  <c r="AI68"/>
  <c r="AH68"/>
  <c r="AH65"/>
  <c r="AI471"/>
  <c r="AH512"/>
  <c r="AI65"/>
  <c r="AH149"/>
  <c r="AH203"/>
  <c r="AH471"/>
  <c r="AI129"/>
  <c r="AI203"/>
  <c r="AI149"/>
  <c r="AH129"/>
  <c r="AI512"/>
  <c r="AH273"/>
  <c r="AI273"/>
  <c r="AM512"/>
  <c r="AQ512"/>
  <c r="AM471"/>
  <c r="AQ471"/>
  <c r="AH440"/>
  <c r="AI440"/>
  <c r="AH417"/>
  <c r="AI417"/>
  <c r="AH496"/>
  <c r="AI496"/>
  <c r="AH361"/>
  <c r="AI361"/>
  <c r="AE496"/>
  <c r="AF496"/>
  <c r="AM496"/>
  <c r="AQ496"/>
  <c r="AE417"/>
  <c r="AF417"/>
  <c r="AM417"/>
  <c r="AQ417"/>
  <c r="AE130"/>
  <c r="AM130"/>
  <c r="AF130"/>
  <c r="AP130" s="1"/>
  <c r="AQ130"/>
  <c r="AE361"/>
  <c r="AF361"/>
  <c r="AM361"/>
  <c r="AQ361"/>
  <c r="AF143"/>
  <c r="AP143" s="1"/>
  <c r="AM143"/>
  <c r="AE143"/>
  <c r="AQ143"/>
  <c r="AQ146"/>
  <c r="AE146"/>
  <c r="AM146"/>
  <c r="AF146"/>
  <c r="AP146" s="1"/>
  <c r="AE440"/>
  <c r="AF440"/>
  <c r="AM440"/>
  <c r="AQ440"/>
  <c r="AI130"/>
  <c r="AH130"/>
  <c r="AH146"/>
  <c r="AI146"/>
  <c r="AH143"/>
  <c r="AI143"/>
  <c r="AE335"/>
  <c r="AM335"/>
  <c r="AF335"/>
  <c r="AQ335"/>
  <c r="AE374"/>
  <c r="AQ374"/>
  <c r="AF374"/>
  <c r="AM374"/>
  <c r="AI507"/>
  <c r="AH507"/>
  <c r="AI501"/>
  <c r="AH501"/>
  <c r="AF507"/>
  <c r="AE507"/>
  <c r="AM507"/>
  <c r="AQ507"/>
  <c r="AE501"/>
  <c r="AM501"/>
  <c r="AF501"/>
  <c r="AQ501"/>
  <c r="AI374"/>
  <c r="AH374"/>
  <c r="AI335"/>
  <c r="AH335"/>
  <c r="AE485"/>
  <c r="AM485"/>
  <c r="AQ485"/>
  <c r="AF485"/>
  <c r="AM452"/>
  <c r="AF452"/>
  <c r="AQ452"/>
  <c r="AE452"/>
  <c r="AE268"/>
  <c r="AF268"/>
  <c r="AQ268"/>
  <c r="AM268"/>
  <c r="AI452"/>
  <c r="AH452"/>
  <c r="AI485"/>
  <c r="AH485"/>
  <c r="AI268"/>
  <c r="AH268"/>
  <c r="AH52"/>
  <c r="AI52"/>
  <c r="AE244"/>
  <c r="AF244"/>
  <c r="AM244"/>
  <c r="AQ244"/>
  <c r="AE52"/>
  <c r="AQ52"/>
  <c r="AM52"/>
  <c r="AF52"/>
  <c r="AP52" s="1"/>
  <c r="AE299"/>
  <c r="AF299"/>
  <c r="AP299" s="1"/>
  <c r="AQ299"/>
  <c r="AM299"/>
  <c r="AE171"/>
  <c r="AM171"/>
  <c r="AQ171"/>
  <c r="AF171"/>
  <c r="AP171" s="1"/>
  <c r="AI171"/>
  <c r="AH171"/>
  <c r="AI244"/>
  <c r="AH244"/>
  <c r="AH299"/>
  <c r="AI299"/>
  <c r="AH17"/>
  <c r="AI17"/>
  <c r="AM116"/>
  <c r="AQ116"/>
  <c r="AF116"/>
  <c r="AP116" s="1"/>
  <c r="AE116"/>
  <c r="AE38"/>
  <c r="AF38"/>
  <c r="AQ38"/>
  <c r="AM38"/>
  <c r="AF39"/>
  <c r="AE39"/>
  <c r="AM39"/>
  <c r="AQ39"/>
  <c r="AQ104"/>
  <c r="AM104"/>
  <c r="AF104"/>
  <c r="AP104" s="1"/>
  <c r="AE104"/>
  <c r="AE123"/>
  <c r="AM123"/>
  <c r="AQ123"/>
  <c r="AF123"/>
  <c r="AP123" s="1"/>
  <c r="AQ356"/>
  <c r="AM356"/>
  <c r="AF356"/>
  <c r="AE356"/>
  <c r="AF17"/>
  <c r="AP17" s="1"/>
  <c r="AQ17"/>
  <c r="AE17"/>
  <c r="AM17"/>
  <c r="AH39"/>
  <c r="AI39"/>
  <c r="AI38"/>
  <c r="AH38"/>
  <c r="AH356"/>
  <c r="AI356"/>
  <c r="AI116"/>
  <c r="AH116"/>
  <c r="AH104"/>
  <c r="AI104"/>
  <c r="AI123"/>
  <c r="AH123"/>
  <c r="AE360"/>
  <c r="AF360"/>
  <c r="AM360"/>
  <c r="AQ360"/>
  <c r="AE264"/>
  <c r="AF264"/>
  <c r="AM264"/>
  <c r="AQ264"/>
  <c r="AH381"/>
  <c r="AI381"/>
  <c r="AH360"/>
  <c r="AI360"/>
  <c r="AH324"/>
  <c r="AI324"/>
  <c r="AH264"/>
  <c r="AI264"/>
  <c r="AE324"/>
  <c r="AF324"/>
  <c r="AM324"/>
  <c r="AQ324"/>
  <c r="AE381"/>
  <c r="AF381"/>
  <c r="AM381"/>
  <c r="AQ381"/>
  <c r="AE423"/>
  <c r="AF423"/>
  <c r="AM423"/>
  <c r="AQ423"/>
  <c r="AE231"/>
  <c r="AF231"/>
  <c r="AM231"/>
  <c r="AQ231"/>
  <c r="AE455"/>
  <c r="AF455"/>
  <c r="AM455"/>
  <c r="AQ455"/>
  <c r="AE179"/>
  <c r="AF179"/>
  <c r="AM179"/>
  <c r="AQ179"/>
  <c r="AE86"/>
  <c r="AF86"/>
  <c r="AP86" s="1"/>
  <c r="AM86"/>
  <c r="AQ86"/>
  <c r="AH385"/>
  <c r="AH86"/>
  <c r="AI385"/>
  <c r="AI86"/>
  <c r="AH231"/>
  <c r="AH15"/>
  <c r="AI231"/>
  <c r="AI15"/>
  <c r="AH179"/>
  <c r="AH423"/>
  <c r="AI179"/>
  <c r="AI423"/>
  <c r="AH154"/>
  <c r="AH455"/>
  <c r="AI154"/>
  <c r="AI455"/>
  <c r="AE154"/>
  <c r="AF154"/>
  <c r="AP154" s="1"/>
  <c r="AM154"/>
  <c r="AQ154"/>
  <c r="AE15"/>
  <c r="AF15"/>
  <c r="AP15" s="1"/>
  <c r="AM15"/>
  <c r="AQ15"/>
  <c r="AE385"/>
  <c r="AF385"/>
  <c r="AM385"/>
  <c r="AQ385"/>
  <c r="AM149"/>
  <c r="AQ149"/>
  <c r="AM203"/>
  <c r="AQ203"/>
  <c r="AM68"/>
  <c r="AQ68"/>
  <c r="AM65"/>
  <c r="AQ65"/>
  <c r="AQ129"/>
  <c r="AM129"/>
  <c r="AI211"/>
  <c r="AH211"/>
  <c r="AH327"/>
  <c r="AI327"/>
  <c r="AE327"/>
  <c r="AM327"/>
  <c r="AF327"/>
  <c r="AQ327"/>
  <c r="AE211"/>
  <c r="AM211"/>
  <c r="AF211"/>
  <c r="AQ211"/>
  <c r="AH475"/>
  <c r="AI475"/>
  <c r="AH60"/>
  <c r="AI60"/>
  <c r="AI479"/>
  <c r="AH474"/>
  <c r="AI474"/>
  <c r="AI64"/>
  <c r="AH479"/>
  <c r="AH64"/>
  <c r="AE479"/>
  <c r="AM479"/>
  <c r="AF479"/>
  <c r="AQ479"/>
  <c r="AM60"/>
  <c r="AQ60"/>
  <c r="AE60"/>
  <c r="AF60"/>
  <c r="AP60" s="1"/>
  <c r="AM475"/>
  <c r="AQ475"/>
  <c r="AE475"/>
  <c r="AF475"/>
  <c r="AF474"/>
  <c r="AM474"/>
  <c r="AE474"/>
  <c r="AQ474"/>
  <c r="AE64"/>
  <c r="AM64"/>
  <c r="AF64"/>
  <c r="AP64" s="1"/>
  <c r="AQ64"/>
  <c r="AH148"/>
  <c r="AI316"/>
  <c r="AI124"/>
  <c r="AH165"/>
  <c r="AH297"/>
  <c r="AH135"/>
  <c r="AI148"/>
  <c r="AH316"/>
  <c r="AI297"/>
  <c r="AH121"/>
  <c r="AI22"/>
  <c r="AI166"/>
  <c r="AI121"/>
  <c r="AH124"/>
  <c r="AI165"/>
  <c r="AH22"/>
  <c r="AH166"/>
  <c r="AI135"/>
  <c r="AE165"/>
  <c r="AM165"/>
  <c r="AF165"/>
  <c r="AP165" s="1"/>
  <c r="AQ165"/>
  <c r="AF135"/>
  <c r="AE135"/>
  <c r="AM135"/>
  <c r="AQ135"/>
  <c r="AE22"/>
  <c r="AM22"/>
  <c r="AF22"/>
  <c r="AP22" s="1"/>
  <c r="AQ22"/>
  <c r="AF297"/>
  <c r="AP297" s="1"/>
  <c r="AE297"/>
  <c r="AM297"/>
  <c r="AQ297"/>
  <c r="AE148"/>
  <c r="AM148"/>
  <c r="AF148"/>
  <c r="AQ148"/>
  <c r="AE121"/>
  <c r="AM121"/>
  <c r="AF121"/>
  <c r="AP121" s="1"/>
  <c r="AQ121"/>
  <c r="AE166"/>
  <c r="AM166"/>
  <c r="AF166"/>
  <c r="AP166" s="1"/>
  <c r="AQ166"/>
  <c r="AE316"/>
  <c r="AM316"/>
  <c r="AF316"/>
  <c r="AP316" s="1"/>
  <c r="AQ316"/>
  <c r="AE124"/>
  <c r="AM124"/>
  <c r="AF124"/>
  <c r="AP124" s="1"/>
  <c r="AQ124"/>
  <c r="AE286"/>
  <c r="AQ286"/>
  <c r="AM286"/>
  <c r="AF286"/>
  <c r="AE134"/>
  <c r="AM134"/>
  <c r="AF134"/>
  <c r="AQ134"/>
  <c r="AE426"/>
  <c r="AM426"/>
  <c r="AF426"/>
  <c r="AQ426"/>
  <c r="AE519"/>
  <c r="AQ519"/>
  <c r="AF519"/>
  <c r="AM519"/>
  <c r="AE215"/>
  <c r="AM215"/>
  <c r="AF215"/>
  <c r="AP215" s="1"/>
  <c r="AQ215"/>
  <c r="AF250"/>
  <c r="AE250"/>
  <c r="AM250"/>
  <c r="AQ250"/>
  <c r="AF291"/>
  <c r="AE291"/>
  <c r="AM291"/>
  <c r="AQ291"/>
  <c r="AE187"/>
  <c r="AM187"/>
  <c r="AF187"/>
  <c r="AQ187"/>
  <c r="AI291"/>
  <c r="AH291"/>
  <c r="AI134"/>
  <c r="AI215"/>
  <c r="AH224"/>
  <c r="AH126"/>
  <c r="AH247"/>
  <c r="AH100"/>
  <c r="AH250"/>
  <c r="AI224"/>
  <c r="AI250"/>
  <c r="AI247"/>
  <c r="AI76"/>
  <c r="AH134"/>
  <c r="AH215"/>
  <c r="AI187"/>
  <c r="AI126"/>
  <c r="AH76"/>
  <c r="AH187"/>
  <c r="AI100"/>
  <c r="AE224"/>
  <c r="AM224"/>
  <c r="AF224"/>
  <c r="AQ224"/>
  <c r="AE175"/>
  <c r="AM175"/>
  <c r="AF175"/>
  <c r="AP175" s="1"/>
  <c r="AQ175"/>
  <c r="AF174"/>
  <c r="AM174"/>
  <c r="AE174"/>
  <c r="AQ174"/>
  <c r="AQ241"/>
  <c r="AE241"/>
  <c r="AM241"/>
  <c r="AF241"/>
  <c r="AF126"/>
  <c r="AP126" s="1"/>
  <c r="AE126"/>
  <c r="AM126"/>
  <c r="AQ126"/>
  <c r="AQ322"/>
  <c r="AM322"/>
  <c r="AF322"/>
  <c r="AE322"/>
  <c r="AQ242"/>
  <c r="AE242"/>
  <c r="AM242"/>
  <c r="AF242"/>
  <c r="AE247"/>
  <c r="AM247"/>
  <c r="AF247"/>
  <c r="AQ247"/>
  <c r="AE76"/>
  <c r="AM76"/>
  <c r="AF76"/>
  <c r="AP76" s="1"/>
  <c r="AQ76"/>
  <c r="AM200"/>
  <c r="AQ200"/>
  <c r="AE200"/>
  <c r="AF200"/>
  <c r="AF100"/>
  <c r="AP100" s="1"/>
  <c r="AE100"/>
  <c r="AM100"/>
  <c r="AQ100"/>
  <c r="AH200"/>
  <c r="AI200"/>
  <c r="AH241"/>
  <c r="AI241"/>
  <c r="AH174"/>
  <c r="AI174"/>
  <c r="AI426"/>
  <c r="AH426"/>
  <c r="AH242"/>
  <c r="AI242"/>
  <c r="AH286"/>
  <c r="AI286"/>
  <c r="AH322"/>
  <c r="AI322"/>
  <c r="AH175"/>
  <c r="AI175"/>
  <c r="AI519"/>
  <c r="AH519"/>
  <c r="AE132"/>
  <c r="AM132"/>
  <c r="AF132"/>
  <c r="AP132" s="1"/>
  <c r="AQ132"/>
  <c r="AE513"/>
  <c r="AQ513"/>
  <c r="AM513"/>
  <c r="AF513"/>
  <c r="AI513"/>
  <c r="AH513"/>
  <c r="AH132"/>
  <c r="AI132"/>
  <c r="AF319"/>
  <c r="AE319"/>
  <c r="AM319"/>
  <c r="AQ319"/>
  <c r="AE139"/>
  <c r="AF139"/>
  <c r="AP139" s="1"/>
  <c r="AI139"/>
  <c r="AQ139"/>
  <c r="AM139"/>
  <c r="AF303"/>
  <c r="AE303"/>
  <c r="AQ303"/>
  <c r="AM303"/>
  <c r="AE313"/>
  <c r="AF313"/>
  <c r="AM313"/>
  <c r="AQ313"/>
  <c r="AE128"/>
  <c r="AF128"/>
  <c r="AP128" s="1"/>
  <c r="AQ128"/>
  <c r="AM128"/>
  <c r="AE315"/>
  <c r="AF315"/>
  <c r="AI315"/>
  <c r="AM315"/>
  <c r="AQ315"/>
  <c r="AE466"/>
  <c r="AF466"/>
  <c r="AM466"/>
  <c r="AQ466"/>
  <c r="AF87"/>
  <c r="AP87" s="1"/>
  <c r="AE87"/>
  <c r="AM87"/>
  <c r="AQ87"/>
  <c r="AM88"/>
  <c r="AQ88"/>
  <c r="AE88"/>
  <c r="AF88"/>
  <c r="AP88" s="1"/>
  <c r="AF92"/>
  <c r="AP92" s="1"/>
  <c r="AE92"/>
  <c r="AM92"/>
  <c r="AQ92"/>
  <c r="AH87"/>
  <c r="AI87"/>
  <c r="AI92"/>
  <c r="AH92"/>
  <c r="AH88"/>
  <c r="AI88"/>
  <c r="AE499"/>
  <c r="AQ499"/>
  <c r="AM499"/>
  <c r="AF499"/>
  <c r="AE21"/>
  <c r="AQ21"/>
  <c r="AF21"/>
  <c r="AM21"/>
  <c r="AE328"/>
  <c r="AQ328"/>
  <c r="AM328"/>
  <c r="AF328"/>
  <c r="AF495"/>
  <c r="AE495"/>
  <c r="AM495"/>
  <c r="AQ495"/>
  <c r="AI328"/>
  <c r="AH328"/>
  <c r="AI495"/>
  <c r="AH495"/>
  <c r="AI499"/>
  <c r="AH499"/>
  <c r="AH21"/>
  <c r="AM504"/>
  <c r="AE504"/>
  <c r="AF504"/>
  <c r="AQ504"/>
  <c r="AI21"/>
  <c r="AE509"/>
  <c r="AM509"/>
  <c r="AQ509"/>
  <c r="AF509"/>
  <c r="AH504"/>
  <c r="AI504"/>
  <c r="AI509"/>
  <c r="AH509"/>
  <c r="AF359"/>
  <c r="AQ359"/>
  <c r="AE359"/>
  <c r="AM359"/>
  <c r="AE370"/>
  <c r="AF370"/>
  <c r="AM370"/>
  <c r="AQ370"/>
  <c r="AI370"/>
  <c r="AH370"/>
  <c r="AF425"/>
  <c r="AE425"/>
  <c r="AM425"/>
  <c r="AQ425"/>
  <c r="AF235"/>
  <c r="AP235" s="1"/>
  <c r="AE235"/>
  <c r="AM235"/>
  <c r="AQ235"/>
  <c r="AI359"/>
  <c r="AH359"/>
  <c r="AI425"/>
  <c r="AH425"/>
  <c r="AH235"/>
  <c r="AE185"/>
  <c r="AF185"/>
  <c r="AM185"/>
  <c r="AQ185"/>
  <c r="AI235"/>
  <c r="AF454"/>
  <c r="AM454"/>
  <c r="AQ454"/>
  <c r="AE454"/>
  <c r="AE354"/>
  <c r="AM354"/>
  <c r="AF354"/>
  <c r="AQ354"/>
  <c r="AI454"/>
  <c r="AH454"/>
  <c r="AH354"/>
  <c r="AI354"/>
  <c r="AQ414"/>
  <c r="AF414"/>
  <c r="AM414"/>
  <c r="AM396"/>
  <c r="AE396"/>
  <c r="AF396"/>
  <c r="AQ396"/>
  <c r="AI396"/>
  <c r="AH396"/>
  <c r="AH414"/>
  <c r="AI414"/>
  <c r="AE4"/>
  <c r="AF4"/>
  <c r="AM4"/>
  <c r="AQ4"/>
  <c r="AM3"/>
  <c r="AE3"/>
  <c r="AF3"/>
  <c r="AQ3"/>
  <c r="AM428"/>
  <c r="AE428"/>
  <c r="AF428"/>
  <c r="AQ428"/>
  <c r="AH4"/>
  <c r="AI4"/>
  <c r="AI3"/>
  <c r="AH3"/>
  <c r="AH428"/>
  <c r="AI428"/>
  <c r="AI191"/>
  <c r="AI351"/>
  <c r="AI186"/>
  <c r="AI213"/>
  <c r="AI309"/>
  <c r="AI275"/>
  <c r="AI69"/>
  <c r="AI305"/>
  <c r="AI393"/>
  <c r="AI302"/>
  <c r="AI345"/>
  <c r="AI128"/>
  <c r="AI282"/>
  <c r="AI460"/>
  <c r="AI427"/>
  <c r="AI350"/>
  <c r="AI408"/>
  <c r="AI434"/>
  <c r="AI202"/>
  <c r="AI313"/>
  <c r="AI325"/>
  <c r="AI85"/>
  <c r="AI2"/>
  <c r="AI415"/>
  <c r="AI238"/>
  <c r="AI229"/>
  <c r="AI28"/>
  <c r="AI232"/>
  <c r="AI492"/>
  <c r="AI249"/>
  <c r="AI342"/>
  <c r="AI285"/>
  <c r="AI516"/>
  <c r="AI413"/>
  <c r="AI311"/>
  <c r="AI349"/>
  <c r="AI497"/>
  <c r="AI517"/>
  <c r="AI168"/>
  <c r="AI265"/>
  <c r="AI26"/>
  <c r="AI257"/>
  <c r="AI206"/>
  <c r="AI329"/>
  <c r="AI246"/>
  <c r="AI19"/>
  <c r="AI301"/>
  <c r="AI431"/>
  <c r="AI404"/>
  <c r="AI113"/>
  <c r="AI31"/>
  <c r="AI172"/>
  <c r="AI477"/>
  <c r="AI484"/>
  <c r="AI502"/>
  <c r="AI392"/>
  <c r="AI182"/>
  <c r="AI9"/>
  <c r="AI49"/>
  <c r="AI193"/>
  <c r="AI177"/>
  <c r="AI228"/>
  <c r="AI283"/>
  <c r="AI239"/>
  <c r="AI131"/>
  <c r="AI308"/>
  <c r="AI272"/>
  <c r="AI461"/>
  <c r="AI237"/>
  <c r="AI441"/>
  <c r="AI91"/>
  <c r="AI256"/>
  <c r="AI10"/>
  <c r="AI51"/>
  <c r="AI156"/>
  <c r="AI304"/>
  <c r="AI458"/>
  <c r="AI160"/>
  <c r="AI55"/>
  <c r="AI75"/>
  <c r="AI153"/>
  <c r="AI520"/>
  <c r="AI190"/>
  <c r="AI483"/>
  <c r="AI488"/>
  <c r="AI310"/>
  <c r="AI400"/>
  <c r="AI366"/>
  <c r="AI388"/>
  <c r="AI348"/>
  <c r="AI281"/>
  <c r="AI225"/>
  <c r="AI303"/>
  <c r="AI294"/>
  <c r="AI448"/>
  <c r="AI391"/>
  <c r="AI336"/>
  <c r="AI383"/>
  <c r="AI369"/>
  <c r="AI298"/>
  <c r="AI319"/>
  <c r="AI234"/>
  <c r="AI296"/>
  <c r="AI29"/>
  <c r="AI198"/>
  <c r="AI371"/>
  <c r="AI482"/>
  <c r="AI48"/>
  <c r="AI18"/>
  <c r="AI258"/>
  <c r="AI436"/>
  <c r="AI340"/>
  <c r="AI314"/>
  <c r="AI459"/>
  <c r="AI397"/>
  <c r="AI173"/>
  <c r="AI511"/>
  <c r="AI378"/>
  <c r="AI5"/>
  <c r="AI236"/>
  <c r="AI45"/>
  <c r="AI101"/>
  <c r="AI259"/>
  <c r="AI372"/>
  <c r="AI169"/>
  <c r="AI443"/>
  <c r="AI276"/>
  <c r="AI107"/>
  <c r="AI13"/>
  <c r="AI318"/>
  <c r="AI208"/>
  <c r="AI352"/>
  <c r="AI435"/>
  <c r="AI12"/>
  <c r="AI119"/>
  <c r="AI42"/>
  <c r="AI183"/>
  <c r="AI449"/>
  <c r="AI81"/>
  <c r="AI6"/>
  <c r="AI365"/>
  <c r="AI50"/>
  <c r="AI344"/>
  <c r="AI95"/>
  <c r="AI456"/>
  <c r="AI487"/>
  <c r="AI96"/>
  <c r="AI439"/>
  <c r="AI422"/>
  <c r="AI138"/>
  <c r="AI277"/>
  <c r="AI7"/>
  <c r="AI32"/>
  <c r="AI142"/>
  <c r="AI114"/>
  <c r="AI251"/>
  <c r="AI199"/>
  <c r="AI25"/>
  <c r="AI290"/>
  <c r="AI317"/>
  <c r="AI292"/>
  <c r="AI212"/>
  <c r="AI390"/>
  <c r="AI27"/>
  <c r="AI326"/>
  <c r="AI514"/>
  <c r="AI363"/>
  <c r="AI255"/>
  <c r="AI20"/>
  <c r="AI343"/>
  <c r="AI219"/>
  <c r="AI147"/>
  <c r="AI227"/>
  <c r="AI284"/>
  <c r="AI271"/>
  <c r="AI278"/>
  <c r="AI447"/>
  <c r="AI364"/>
  <c r="AI245"/>
  <c r="AI379"/>
  <c r="AI337"/>
  <c r="AI438"/>
  <c r="AI362"/>
  <c r="AI347"/>
  <c r="AI115"/>
  <c r="AI367"/>
  <c r="AI144"/>
  <c r="AI270"/>
  <c r="AI338"/>
  <c r="AI141"/>
  <c r="AI118"/>
  <c r="AI353"/>
  <c r="AI221"/>
  <c r="AI260"/>
  <c r="AI97"/>
  <c r="AI420"/>
  <c r="AI248"/>
  <c r="AI403"/>
  <c r="AI11"/>
  <c r="AI36"/>
  <c r="AI432"/>
  <c r="AI167"/>
  <c r="AI137"/>
  <c r="AI66"/>
  <c r="AI152"/>
  <c r="AI110"/>
  <c r="AI158"/>
  <c r="AI8"/>
  <c r="AI216"/>
  <c r="AI214"/>
  <c r="AI307"/>
  <c r="AI389"/>
  <c r="AI395"/>
  <c r="AI24"/>
  <c r="AI194"/>
  <c r="AI16"/>
  <c r="AI386"/>
  <c r="AI243"/>
  <c r="AI306"/>
  <c r="AI503"/>
  <c r="AI466"/>
  <c r="AI339"/>
  <c r="AI300"/>
  <c r="AI73"/>
  <c r="AI196"/>
  <c r="AI380"/>
  <c r="AI465"/>
  <c r="AI274"/>
  <c r="AI40"/>
  <c r="AI157"/>
  <c r="AI405"/>
  <c r="AI288"/>
  <c r="AI332"/>
  <c r="AI210"/>
  <c r="AI416"/>
  <c r="AI469"/>
  <c r="AI136"/>
  <c r="AI164"/>
  <c r="AI46"/>
  <c r="AI67"/>
  <c r="AI357"/>
  <c r="AI53"/>
  <c r="AI207"/>
  <c r="AI515"/>
  <c r="AI478"/>
  <c r="AI99"/>
  <c r="AI384"/>
  <c r="AI506"/>
  <c r="AI185"/>
  <c r="AI442"/>
  <c r="AI70"/>
  <c r="AI498"/>
  <c r="AI161"/>
  <c r="AI261"/>
  <c r="AI280"/>
  <c r="AI421"/>
  <c r="AI462"/>
  <c r="AI201"/>
  <c r="AI486"/>
  <c r="AI500"/>
  <c r="AI377"/>
  <c r="AI387"/>
  <c r="AI430"/>
  <c r="AI382"/>
  <c r="AI433"/>
  <c r="AI226"/>
  <c r="AI34"/>
  <c r="AI373"/>
  <c r="AI122"/>
  <c r="AI151"/>
  <c r="AI56"/>
  <c r="AI375"/>
  <c r="AI162"/>
  <c r="AI419"/>
  <c r="AI109"/>
  <c r="AI334"/>
  <c r="AI253"/>
  <c r="AI323"/>
  <c r="AI510"/>
  <c r="AI494"/>
  <c r="AI444"/>
  <c r="AI33"/>
  <c r="AI218"/>
  <c r="AI192"/>
  <c r="AI418"/>
  <c r="AI470"/>
  <c r="AI54"/>
  <c r="AI23"/>
  <c r="AI195"/>
  <c r="AI217"/>
  <c r="AI279"/>
  <c r="AI93"/>
  <c r="AI490"/>
  <c r="AI112"/>
  <c r="AI102"/>
  <c r="AI480"/>
  <c r="AI401"/>
  <c r="AI267"/>
  <c r="AI125"/>
  <c r="AI71"/>
  <c r="AI72"/>
  <c r="AI376"/>
  <c r="AI289"/>
  <c r="AI74"/>
  <c r="AI61"/>
  <c r="AI437"/>
  <c r="AI155"/>
  <c r="AI476"/>
  <c r="AI312"/>
  <c r="AI80"/>
  <c r="AI505"/>
  <c r="AI222"/>
  <c r="AI14"/>
  <c r="AI150"/>
  <c r="AI145"/>
  <c r="AI450"/>
  <c r="AI63"/>
  <c r="AI472"/>
  <c r="AI406"/>
  <c r="AI508"/>
  <c r="AI117"/>
  <c r="AI41"/>
  <c r="AI320"/>
  <c r="AI368"/>
  <c r="AG27"/>
  <c r="AF331"/>
  <c r="AG99"/>
  <c r="AF443"/>
  <c r="AE443"/>
  <c r="AM443"/>
  <c r="AQ443"/>
  <c r="AF437"/>
  <c r="AM437"/>
  <c r="AQ437"/>
  <c r="AE437"/>
  <c r="AH437"/>
  <c r="AH443"/>
  <c r="AE344"/>
  <c r="AM344"/>
  <c r="AQ344"/>
  <c r="AF344"/>
  <c r="AM279"/>
  <c r="AQ279"/>
  <c r="AF279"/>
  <c r="AE279"/>
  <c r="AH279"/>
  <c r="AH344"/>
  <c r="AE155"/>
  <c r="AF155"/>
  <c r="AM155"/>
  <c r="AQ155"/>
  <c r="AF18"/>
  <c r="AE18"/>
  <c r="AM18"/>
  <c r="AQ18"/>
  <c r="AE9"/>
  <c r="AM9"/>
  <c r="AF9"/>
  <c r="AQ9"/>
  <c r="AE53"/>
  <c r="AF53"/>
  <c r="AP53" s="1"/>
  <c r="AQ53"/>
  <c r="AM53"/>
  <c r="AH53"/>
  <c r="AH18"/>
  <c r="AH155"/>
  <c r="AH9"/>
  <c r="AF320"/>
  <c r="AE320"/>
  <c r="AM320"/>
  <c r="AQ320"/>
  <c r="AE307"/>
  <c r="AF307"/>
  <c r="AQ307"/>
  <c r="AM307"/>
  <c r="AH307"/>
  <c r="AH320"/>
  <c r="AM108"/>
  <c r="AQ108"/>
  <c r="AE108"/>
  <c r="AF108"/>
  <c r="AP108" s="1"/>
  <c r="AF98"/>
  <c r="AP98" s="1"/>
  <c r="AE98"/>
  <c r="AQ98"/>
  <c r="AM98"/>
  <c r="AF46"/>
  <c r="AP46" s="1"/>
  <c r="AM46"/>
  <c r="AE46"/>
  <c r="AQ46"/>
  <c r="AF47"/>
  <c r="AP47" s="1"/>
  <c r="AM47"/>
  <c r="AE47"/>
  <c r="AQ47"/>
  <c r="AH108"/>
  <c r="AH47"/>
  <c r="AH98"/>
  <c r="AE131"/>
  <c r="AF131"/>
  <c r="AP131" s="1"/>
  <c r="AM131"/>
  <c r="AQ131"/>
  <c r="AH46"/>
  <c r="AE422"/>
  <c r="AM422"/>
  <c r="AF422"/>
  <c r="AP422" s="1"/>
  <c r="AQ422"/>
  <c r="AH131"/>
  <c r="AH422"/>
  <c r="AE156"/>
  <c r="AM156"/>
  <c r="AQ156"/>
  <c r="AF156"/>
  <c r="AM141"/>
  <c r="AQ141"/>
  <c r="AE141"/>
  <c r="AF141"/>
  <c r="AP141" s="1"/>
  <c r="AM102"/>
  <c r="AF102"/>
  <c r="AP102" s="1"/>
  <c r="AQ102"/>
  <c r="AE102"/>
  <c r="AE127"/>
  <c r="AF127"/>
  <c r="AQ127"/>
  <c r="AM127"/>
  <c r="AH127"/>
  <c r="AH156"/>
  <c r="AH141"/>
  <c r="AH102"/>
  <c r="AE222"/>
  <c r="AM222"/>
  <c r="AQ222"/>
  <c r="AF222"/>
  <c r="AE456"/>
  <c r="AM456"/>
  <c r="AF456"/>
  <c r="AP456" s="1"/>
  <c r="AQ456"/>
  <c r="AE228"/>
  <c r="AM228"/>
  <c r="AF228"/>
  <c r="AQ228"/>
  <c r="AF487"/>
  <c r="AP487" s="1"/>
  <c r="AE487"/>
  <c r="AM487"/>
  <c r="AQ487"/>
  <c r="AH487"/>
  <c r="AH456"/>
  <c r="AH228"/>
  <c r="AH222"/>
  <c r="AF13"/>
  <c r="AE13"/>
  <c r="AQ13"/>
  <c r="AM13"/>
  <c r="AE212"/>
  <c r="AM212"/>
  <c r="AF212"/>
  <c r="AQ212"/>
  <c r="AM232"/>
  <c r="AF232"/>
  <c r="AQ232"/>
  <c r="AE232"/>
  <c r="AH13"/>
  <c r="AH232"/>
  <c r="AH212"/>
  <c r="AM157"/>
  <c r="AF157"/>
  <c r="AP157" s="1"/>
  <c r="AQ157"/>
  <c r="AE157"/>
  <c r="AE153"/>
  <c r="AQ153"/>
  <c r="AM153"/>
  <c r="AF153"/>
  <c r="AP153" s="1"/>
  <c r="AH157"/>
  <c r="AH153"/>
  <c r="AM24"/>
  <c r="AE24"/>
  <c r="AQ24"/>
  <c r="AF24"/>
  <c r="AP24" s="1"/>
  <c r="AM56"/>
  <c r="AF56"/>
  <c r="AP56" s="1"/>
  <c r="AQ56"/>
  <c r="AE56"/>
  <c r="AE214"/>
  <c r="AQ214"/>
  <c r="AM214"/>
  <c r="AF214"/>
  <c r="AP214" s="1"/>
  <c r="AE346"/>
  <c r="AM346"/>
  <c r="AF346"/>
  <c r="AP346" s="1"/>
  <c r="AQ346"/>
  <c r="AE55"/>
  <c r="AF55"/>
  <c r="AP55" s="1"/>
  <c r="AM55"/>
  <c r="AQ55"/>
  <c r="AF84"/>
  <c r="AP84" s="1"/>
  <c r="AE84"/>
  <c r="AQ84"/>
  <c r="AM84"/>
  <c r="AE101"/>
  <c r="AF101"/>
  <c r="AP101" s="1"/>
  <c r="AM101"/>
  <c r="AQ101"/>
  <c r="AE78"/>
  <c r="AM78"/>
  <c r="AF78"/>
  <c r="AP78" s="1"/>
  <c r="AQ78"/>
  <c r="AH84"/>
  <c r="AH101"/>
  <c r="AH346"/>
  <c r="AH24"/>
  <c r="AH78"/>
  <c r="AH214"/>
  <c r="AH56"/>
  <c r="AH55"/>
  <c r="AM431"/>
  <c r="AE431"/>
  <c r="AQ431"/>
  <c r="AF431"/>
  <c r="AM292"/>
  <c r="AE292"/>
  <c r="AQ292"/>
  <c r="AF292"/>
  <c r="AM301"/>
  <c r="AE301"/>
  <c r="AQ301"/>
  <c r="AF301"/>
  <c r="AH301"/>
  <c r="AH292"/>
  <c r="AE192"/>
  <c r="AM192"/>
  <c r="AF192"/>
  <c r="AQ192"/>
  <c r="AE239"/>
  <c r="AF239"/>
  <c r="AQ239"/>
  <c r="AM239"/>
  <c r="AF194"/>
  <c r="AE194"/>
  <c r="AQ194"/>
  <c r="AM194"/>
  <c r="AM107"/>
  <c r="AF107"/>
  <c r="AE107"/>
  <c r="AQ107"/>
  <c r="AF114"/>
  <c r="AE114"/>
  <c r="AQ114"/>
  <c r="AM114"/>
  <c r="AE54"/>
  <c r="AM54"/>
  <c r="AQ54"/>
  <c r="AF54"/>
  <c r="AE237"/>
  <c r="AM237"/>
  <c r="AQ237"/>
  <c r="AF237"/>
  <c r="AE406"/>
  <c r="AQ406"/>
  <c r="AM406"/>
  <c r="AF406"/>
  <c r="AE217"/>
  <c r="AF217"/>
  <c r="AP217" s="1"/>
  <c r="AM217"/>
  <c r="AQ217"/>
  <c r="AH431"/>
  <c r="AH217"/>
  <c r="AH54"/>
  <c r="AH239"/>
  <c r="AH406"/>
  <c r="AH237"/>
  <c r="AH114"/>
  <c r="AH107"/>
  <c r="AQ520"/>
  <c r="AM520"/>
  <c r="AH192"/>
  <c r="AH194"/>
  <c r="AE199"/>
  <c r="AQ199"/>
  <c r="AM199"/>
  <c r="AF199"/>
  <c r="AH199"/>
  <c r="AE520"/>
  <c r="AE207"/>
  <c r="AF207"/>
  <c r="AP207" s="1"/>
  <c r="AQ207"/>
  <c r="AM207"/>
  <c r="AH520"/>
  <c r="AH207"/>
  <c r="AE399"/>
  <c r="AQ399"/>
  <c r="AF399"/>
  <c r="AP399" s="1"/>
  <c r="AM399"/>
  <c r="AF395"/>
  <c r="AP395" s="1"/>
  <c r="AM395"/>
  <c r="AE395"/>
  <c r="AQ395"/>
  <c r="AF464"/>
  <c r="AP464" s="1"/>
  <c r="AQ464"/>
  <c r="AM464"/>
  <c r="AE464"/>
  <c r="AH399"/>
  <c r="AH395"/>
  <c r="AF339"/>
  <c r="AE339"/>
  <c r="AM339"/>
  <c r="AQ339"/>
  <c r="AH464"/>
  <c r="AH339"/>
  <c r="AE74"/>
  <c r="AM74"/>
  <c r="AQ74"/>
  <c r="AF74"/>
  <c r="AE368"/>
  <c r="AF368"/>
  <c r="AQ368"/>
  <c r="AM368"/>
  <c r="AH368"/>
  <c r="AQ276"/>
  <c r="AE276"/>
  <c r="AF168"/>
  <c r="AP168" s="1"/>
  <c r="AM168"/>
  <c r="AQ168"/>
  <c r="AE168"/>
  <c r="AH74"/>
  <c r="AF276"/>
  <c r="AP276" s="1"/>
  <c r="AH168"/>
  <c r="AH276"/>
  <c r="AE460"/>
  <c r="AF460"/>
  <c r="AM460"/>
  <c r="AQ460"/>
  <c r="AE444"/>
  <c r="AF444"/>
  <c r="AM444"/>
  <c r="AQ444"/>
  <c r="AE367"/>
  <c r="AQ367"/>
  <c r="AF367"/>
  <c r="AM367"/>
  <c r="AM144"/>
  <c r="AQ144"/>
  <c r="AE144"/>
  <c r="AF144"/>
  <c r="AM380"/>
  <c r="AF380"/>
  <c r="AE380"/>
  <c r="AQ380"/>
  <c r="AF505"/>
  <c r="AE505"/>
  <c r="AM505"/>
  <c r="AQ505"/>
  <c r="AH505"/>
  <c r="AH380"/>
  <c r="AH367"/>
  <c r="AF196"/>
  <c r="AP196" s="1"/>
  <c r="AM196"/>
  <c r="AE196"/>
  <c r="AQ196"/>
  <c r="AE163"/>
  <c r="AM163"/>
  <c r="AQ163"/>
  <c r="AF163"/>
  <c r="AP163" s="1"/>
  <c r="AM178"/>
  <c r="AF178"/>
  <c r="AP178" s="1"/>
  <c r="AE178"/>
  <c r="AQ178"/>
  <c r="AH178"/>
  <c r="AH196"/>
  <c r="AH163"/>
  <c r="AF245"/>
  <c r="AE245"/>
  <c r="AM245"/>
  <c r="AQ245"/>
  <c r="AE336"/>
  <c r="AF336"/>
  <c r="AM336"/>
  <c r="AQ336"/>
  <c r="AM193"/>
  <c r="AE193"/>
  <c r="AQ193"/>
  <c r="AF193"/>
  <c r="AP193" s="1"/>
  <c r="AF290"/>
  <c r="AP290" s="1"/>
  <c r="AE290"/>
  <c r="AM290"/>
  <c r="AQ290"/>
  <c r="AH290"/>
  <c r="AM255"/>
  <c r="AQ255"/>
  <c r="AF255"/>
  <c r="AE255"/>
  <c r="AF5"/>
  <c r="AM5"/>
  <c r="AE5"/>
  <c r="AQ5"/>
  <c r="AM283"/>
  <c r="AE283"/>
  <c r="AF283"/>
  <c r="AQ283"/>
  <c r="AH193"/>
  <c r="AH283"/>
  <c r="AM61"/>
  <c r="AE61"/>
  <c r="AF61"/>
  <c r="AP61" s="1"/>
  <c r="AQ61"/>
  <c r="AH61"/>
  <c r="AH5"/>
  <c r="AE243"/>
  <c r="AE11"/>
  <c r="AM11"/>
  <c r="AF11"/>
  <c r="AP11" s="1"/>
  <c r="AQ11"/>
  <c r="AM169"/>
  <c r="AF169"/>
  <c r="AP169" s="1"/>
  <c r="AE169"/>
  <c r="AQ169"/>
  <c r="AM243"/>
  <c r="AQ243"/>
  <c r="AH169"/>
  <c r="AH11"/>
  <c r="AQ502"/>
  <c r="AE502"/>
  <c r="AF502"/>
  <c r="AM502"/>
  <c r="AH243"/>
  <c r="AF357"/>
  <c r="AM357"/>
  <c r="AQ357"/>
  <c r="AE357"/>
  <c r="AM511"/>
  <c r="AQ511"/>
  <c r="AF511"/>
  <c r="AE511"/>
  <c r="AH357"/>
  <c r="AH511"/>
  <c r="AH502"/>
  <c r="AF419"/>
  <c r="AP419" s="1"/>
  <c r="AM419"/>
  <c r="AQ419"/>
  <c r="AE419"/>
  <c r="AE516"/>
  <c r="AF516"/>
  <c r="AM516"/>
  <c r="AQ516"/>
  <c r="AF349"/>
  <c r="AE349"/>
  <c r="AQ349"/>
  <c r="AM349"/>
  <c r="AF352"/>
  <c r="AE352"/>
  <c r="AQ352"/>
  <c r="AM352"/>
  <c r="AE515"/>
  <c r="AQ515"/>
  <c r="AM515"/>
  <c r="AF515"/>
  <c r="AF373"/>
  <c r="AQ373"/>
  <c r="AM373"/>
  <c r="AE373"/>
  <c r="AE210"/>
  <c r="AF210"/>
  <c r="AQ210"/>
  <c r="AM210"/>
  <c r="AM329"/>
  <c r="AE329"/>
  <c r="AQ329"/>
  <c r="AF329"/>
  <c r="AM376"/>
  <c r="AE376"/>
  <c r="AF376"/>
  <c r="AQ376"/>
  <c r="AH376"/>
  <c r="AH515"/>
  <c r="AH516"/>
  <c r="AH210"/>
  <c r="AH373"/>
  <c r="AH352"/>
  <c r="AH419"/>
  <c r="AH349"/>
  <c r="AH329"/>
  <c r="AE405"/>
  <c r="AM405"/>
  <c r="AQ405"/>
  <c r="AF405"/>
  <c r="AH405"/>
  <c r="AE6"/>
  <c r="AM6"/>
  <c r="AF6"/>
  <c r="AP6" s="1"/>
  <c r="AQ6"/>
  <c r="AE236"/>
  <c r="AM236"/>
  <c r="AF236"/>
  <c r="AP236" s="1"/>
  <c r="AQ236"/>
  <c r="AH236"/>
  <c r="AH6"/>
  <c r="AF465"/>
  <c r="AM465"/>
  <c r="AQ465"/>
  <c r="AE465"/>
  <c r="AH465"/>
  <c r="AE289"/>
  <c r="AF289"/>
  <c r="AP289" s="1"/>
  <c r="AM289"/>
  <c r="AQ289"/>
  <c r="AE353"/>
  <c r="AF353"/>
  <c r="AM353"/>
  <c r="AQ353"/>
  <c r="AH289"/>
  <c r="AH353"/>
  <c r="AM401"/>
  <c r="AQ401"/>
  <c r="AE401"/>
  <c r="AF401"/>
  <c r="AH401"/>
  <c r="AF392"/>
  <c r="AQ392"/>
  <c r="AM392"/>
  <c r="AE392"/>
  <c r="AF274"/>
  <c r="AQ274"/>
  <c r="AM274"/>
  <c r="AE274"/>
  <c r="AH274"/>
  <c r="AH392"/>
  <c r="AM332"/>
  <c r="AF332"/>
  <c r="AE332"/>
  <c r="AQ332"/>
  <c r="AH332"/>
  <c r="AE183"/>
  <c r="AM183"/>
  <c r="AF183"/>
  <c r="AQ183"/>
  <c r="AQ23"/>
  <c r="AF23"/>
  <c r="AM23"/>
  <c r="AE23"/>
  <c r="AH183"/>
  <c r="AH23"/>
  <c r="AE483"/>
  <c r="AF483"/>
  <c r="AQ483"/>
  <c r="AM483"/>
  <c r="AE257"/>
  <c r="AM257"/>
  <c r="AF257"/>
  <c r="AP257" s="1"/>
  <c r="AQ257"/>
  <c r="AE400"/>
  <c r="AF400"/>
  <c r="AQ400"/>
  <c r="AM400"/>
  <c r="AE387"/>
  <c r="AF387"/>
  <c r="AQ387"/>
  <c r="AM387"/>
  <c r="AH257"/>
  <c r="AE12"/>
  <c r="AM12"/>
  <c r="AF12"/>
  <c r="AP12" s="1"/>
  <c r="AQ12"/>
  <c r="AE272"/>
  <c r="AF272"/>
  <c r="AP272" s="1"/>
  <c r="AQ272"/>
  <c r="AM272"/>
  <c r="AM518"/>
  <c r="AQ518"/>
  <c r="AF518"/>
  <c r="AP518" s="1"/>
  <c r="AE518"/>
  <c r="AQ27"/>
  <c r="AF27"/>
  <c r="AH518"/>
  <c r="AM331"/>
  <c r="AH12"/>
  <c r="AE331"/>
  <c r="AF99"/>
  <c r="AQ331"/>
  <c r="AE347"/>
  <c r="AM347"/>
  <c r="AH272"/>
  <c r="AQ347"/>
  <c r="AM27"/>
  <c r="AH208"/>
  <c r="AE514"/>
  <c r="AF514"/>
  <c r="AM514"/>
  <c r="AQ514"/>
  <c r="AE72"/>
  <c r="AF72"/>
  <c r="AM72"/>
  <c r="AQ72"/>
  <c r="AE81"/>
  <c r="AF81"/>
  <c r="AM81"/>
  <c r="AQ81"/>
  <c r="AE216"/>
  <c r="AF216"/>
  <c r="AP216" s="1"/>
  <c r="AM216"/>
  <c r="AQ216"/>
  <c r="AE304"/>
  <c r="AF304"/>
  <c r="AP304" s="1"/>
  <c r="AM304"/>
  <c r="AQ304"/>
  <c r="AH81"/>
  <c r="AH72"/>
  <c r="AH216"/>
  <c r="AH304"/>
  <c r="AE20"/>
  <c r="AF20"/>
  <c r="AM20"/>
  <c r="AQ20"/>
  <c r="AE19"/>
  <c r="AF19"/>
  <c r="AM19"/>
  <c r="AQ19"/>
  <c r="AE338"/>
  <c r="AF338"/>
  <c r="AM338"/>
  <c r="AQ338"/>
  <c r="AH19"/>
  <c r="AH338"/>
  <c r="AE109"/>
  <c r="AF109"/>
  <c r="AM109"/>
  <c r="AQ109"/>
  <c r="AE115"/>
  <c r="AF115"/>
  <c r="AM115"/>
  <c r="AQ115"/>
  <c r="AE492"/>
  <c r="AF492"/>
  <c r="AM492"/>
  <c r="AQ492"/>
  <c r="AH109"/>
  <c r="AH115"/>
  <c r="AE188"/>
  <c r="AF188"/>
  <c r="AM188"/>
  <c r="AQ188"/>
  <c r="AE201"/>
  <c r="AF201"/>
  <c r="AM201"/>
  <c r="AQ201"/>
  <c r="AE342"/>
  <c r="AF342"/>
  <c r="AM342"/>
  <c r="AQ342"/>
  <c r="AE40"/>
  <c r="AF40"/>
  <c r="AM40"/>
  <c r="AQ40"/>
  <c r="AE41"/>
  <c r="AF41"/>
  <c r="AM41"/>
  <c r="AQ41"/>
  <c r="AE459"/>
  <c r="AF459"/>
  <c r="AM459"/>
  <c r="AQ459"/>
  <c r="AH342"/>
  <c r="AH40"/>
  <c r="AE448"/>
  <c r="AF448"/>
  <c r="AM448"/>
  <c r="AQ448"/>
  <c r="AE447"/>
  <c r="AF447"/>
  <c r="AM447"/>
  <c r="AQ447"/>
  <c r="AE449"/>
  <c r="AF449"/>
  <c r="AM449"/>
  <c r="AQ449"/>
  <c r="AE450"/>
  <c r="AF450"/>
  <c r="AM450"/>
  <c r="AQ450"/>
  <c r="AH450"/>
  <c r="AH449"/>
  <c r="AE323"/>
  <c r="AF323"/>
  <c r="AM323"/>
  <c r="AQ323"/>
  <c r="AE421"/>
  <c r="AF421"/>
  <c r="AM421"/>
  <c r="AQ421"/>
  <c r="AE500"/>
  <c r="AF500"/>
  <c r="AM500"/>
  <c r="AQ500"/>
  <c r="AE298"/>
  <c r="AF298"/>
  <c r="AM298"/>
  <c r="AQ298"/>
  <c r="AE95"/>
  <c r="AF95"/>
  <c r="AP95" s="1"/>
  <c r="AM95"/>
  <c r="AQ95"/>
  <c r="AE66"/>
  <c r="AF66"/>
  <c r="AP66" s="1"/>
  <c r="AM66"/>
  <c r="AQ66"/>
  <c r="AE29"/>
  <c r="AF29"/>
  <c r="AM29"/>
  <c r="AQ29"/>
  <c r="AM497"/>
  <c r="AQ497"/>
  <c r="AE497"/>
  <c r="AF497"/>
  <c r="AH66"/>
  <c r="AH95"/>
  <c r="AH29"/>
  <c r="AE219"/>
  <c r="AF219"/>
  <c r="AM219"/>
  <c r="AQ219"/>
  <c r="AE246"/>
  <c r="AF246"/>
  <c r="AM246"/>
  <c r="AQ246"/>
  <c r="AH246"/>
  <c r="AE277"/>
  <c r="AF277"/>
  <c r="AP277" s="1"/>
  <c r="AM277"/>
  <c r="AQ277"/>
  <c r="AE198"/>
  <c r="AF198"/>
  <c r="AP198" s="1"/>
  <c r="AM198"/>
  <c r="AQ198"/>
  <c r="AH198"/>
  <c r="AE310"/>
  <c r="AF310"/>
  <c r="AM310"/>
  <c r="AQ310"/>
  <c r="AE494"/>
  <c r="AF494"/>
  <c r="AM494"/>
  <c r="AQ494"/>
  <c r="AH494"/>
  <c r="AE435"/>
  <c r="AF435"/>
  <c r="AP435" s="1"/>
  <c r="AM435"/>
  <c r="AQ435"/>
  <c r="AE432"/>
  <c r="AF432"/>
  <c r="AP432" s="1"/>
  <c r="AM432"/>
  <c r="AQ432"/>
  <c r="AE416"/>
  <c r="AF416"/>
  <c r="AP416" s="1"/>
  <c r="AM416"/>
  <c r="AQ416"/>
  <c r="AH416"/>
  <c r="AH432"/>
  <c r="AE309"/>
  <c r="AF309"/>
  <c r="AM309"/>
  <c r="AQ309"/>
  <c r="AM182"/>
  <c r="AQ182"/>
  <c r="AE182"/>
  <c r="AF182"/>
  <c r="AE177"/>
  <c r="AF177"/>
  <c r="AM177"/>
  <c r="AQ177"/>
  <c r="AE258"/>
  <c r="AF258"/>
  <c r="AP258" s="1"/>
  <c r="AM258"/>
  <c r="AQ258"/>
  <c r="AH435"/>
  <c r="AE259"/>
  <c r="AF259"/>
  <c r="AM259"/>
  <c r="AQ259"/>
  <c r="AE152"/>
  <c r="AF152"/>
  <c r="AP152" s="1"/>
  <c r="AM152"/>
  <c r="AQ152"/>
  <c r="AE113"/>
  <c r="AF113"/>
  <c r="AP113" s="1"/>
  <c r="AM113"/>
  <c r="AQ113"/>
  <c r="AE170"/>
  <c r="AF170"/>
  <c r="AP170" s="1"/>
  <c r="AM170"/>
  <c r="AQ170"/>
  <c r="AH170"/>
  <c r="AH113"/>
  <c r="AH152"/>
  <c r="AE164"/>
  <c r="AF164"/>
  <c r="AP164" s="1"/>
  <c r="AM164"/>
  <c r="AQ164"/>
  <c r="AH164"/>
  <c r="AE51"/>
  <c r="AF51"/>
  <c r="AM51"/>
  <c r="AQ51"/>
  <c r="AE429"/>
  <c r="AF429"/>
  <c r="AM429"/>
  <c r="AQ429"/>
  <c r="AH51"/>
  <c r="AE16"/>
  <c r="AF16"/>
  <c r="AP16" s="1"/>
  <c r="AM16"/>
  <c r="AQ16"/>
  <c r="AE136"/>
  <c r="AF136"/>
  <c r="AP136" s="1"/>
  <c r="AM136"/>
  <c r="AQ136"/>
  <c r="AE117"/>
  <c r="AF117"/>
  <c r="AP117" s="1"/>
  <c r="AM117"/>
  <c r="AQ117"/>
  <c r="AH117"/>
  <c r="AH16"/>
  <c r="AH136"/>
  <c r="AE96"/>
  <c r="AF96"/>
  <c r="AP96" s="1"/>
  <c r="AM96"/>
  <c r="AQ96"/>
  <c r="AE63"/>
  <c r="AF63"/>
  <c r="AP63" s="1"/>
  <c r="AM63"/>
  <c r="AQ63"/>
  <c r="AH63"/>
  <c r="AH96"/>
  <c r="AE280"/>
  <c r="AF280"/>
  <c r="AM280"/>
  <c r="AQ280"/>
  <c r="AE284"/>
  <c r="AF284"/>
  <c r="AM284"/>
  <c r="AQ284"/>
  <c r="AE75"/>
  <c r="AF75"/>
  <c r="AP75" s="1"/>
  <c r="AM75"/>
  <c r="AQ75"/>
  <c r="AE79"/>
  <c r="AF79"/>
  <c r="AP79" s="1"/>
  <c r="AM79"/>
  <c r="AQ79"/>
  <c r="AE172"/>
  <c r="AF172"/>
  <c r="AM172"/>
  <c r="AQ172"/>
  <c r="AE80"/>
  <c r="AF80"/>
  <c r="AP80" s="1"/>
  <c r="AM80"/>
  <c r="AQ80"/>
  <c r="AH80"/>
  <c r="AH79"/>
  <c r="AH75"/>
  <c r="AH172"/>
  <c r="AE48"/>
  <c r="AF48"/>
  <c r="AM48"/>
  <c r="AQ48"/>
  <c r="AE510"/>
  <c r="AF510"/>
  <c r="AM510"/>
  <c r="AQ510"/>
  <c r="AH48"/>
  <c r="AE97"/>
  <c r="AF97"/>
  <c r="AP97" s="1"/>
  <c r="AM97"/>
  <c r="AQ97"/>
  <c r="AE418"/>
  <c r="AF418"/>
  <c r="AP418" s="1"/>
  <c r="AM418"/>
  <c r="AQ418"/>
  <c r="AE503"/>
  <c r="AF503"/>
  <c r="AP503" s="1"/>
  <c r="AM503"/>
  <c r="AQ503"/>
  <c r="AE439"/>
  <c r="AF439"/>
  <c r="AM439"/>
  <c r="AQ439"/>
  <c r="AE424"/>
  <c r="AF424"/>
  <c r="AP424" s="1"/>
  <c r="AM424"/>
  <c r="AQ424"/>
  <c r="AE195"/>
  <c r="AF195"/>
  <c r="AM195"/>
  <c r="AQ195"/>
  <c r="AH195"/>
  <c r="AH439"/>
  <c r="AH97"/>
  <c r="AH418"/>
  <c r="AH424"/>
  <c r="AH503"/>
  <c r="AE306"/>
  <c r="AF306"/>
  <c r="AP306" s="1"/>
  <c r="AM306"/>
  <c r="AQ306"/>
  <c r="AE285"/>
  <c r="AF285"/>
  <c r="AP285" s="1"/>
  <c r="AM285"/>
  <c r="AQ285"/>
  <c r="AE270"/>
  <c r="AF270"/>
  <c r="AP270" s="1"/>
  <c r="AM270"/>
  <c r="AQ270"/>
  <c r="AE340"/>
  <c r="AF340"/>
  <c r="AM340"/>
  <c r="AQ340"/>
  <c r="AE311"/>
  <c r="AF311"/>
  <c r="AM311"/>
  <c r="AQ311"/>
  <c r="AE371"/>
  <c r="AF371"/>
  <c r="AM371"/>
  <c r="AQ371"/>
  <c r="AE334"/>
  <c r="AF334"/>
  <c r="AM334"/>
  <c r="AQ334"/>
  <c r="AH371"/>
  <c r="AH334"/>
  <c r="AH340"/>
  <c r="AH311"/>
  <c r="AH270"/>
  <c r="AH306"/>
  <c r="AH285"/>
  <c r="AE288"/>
  <c r="AF288"/>
  <c r="AM288"/>
  <c r="AQ288"/>
  <c r="AE388"/>
  <c r="AF388"/>
  <c r="AM388"/>
  <c r="AQ388"/>
  <c r="AM305"/>
  <c r="AQ305"/>
  <c r="AE305"/>
  <c r="AF305"/>
  <c r="AH288"/>
  <c r="AE26"/>
  <c r="AF26"/>
  <c r="AP26" s="1"/>
  <c r="AM26"/>
  <c r="AQ26"/>
  <c r="AH26"/>
  <c r="AE82"/>
  <c r="AF82"/>
  <c r="AP82" s="1"/>
  <c r="AM82"/>
  <c r="AQ82"/>
  <c r="AM267"/>
  <c r="AQ267"/>
  <c r="AE267"/>
  <c r="AF267"/>
  <c r="AE83"/>
  <c r="AF83"/>
  <c r="AP83" s="1"/>
  <c r="AM83"/>
  <c r="AQ83"/>
  <c r="AH83"/>
  <c r="AH82"/>
  <c r="AE326"/>
  <c r="AF326"/>
  <c r="AM326"/>
  <c r="AQ326"/>
  <c r="AE25"/>
  <c r="AF25"/>
  <c r="AP25" s="1"/>
  <c r="AM25"/>
  <c r="AQ25"/>
  <c r="AH25"/>
  <c r="AE260"/>
  <c r="AF260"/>
  <c r="AM260"/>
  <c r="AQ260"/>
  <c r="AE389"/>
  <c r="AF389"/>
  <c r="AP389" s="1"/>
  <c r="AM389"/>
  <c r="AQ389"/>
  <c r="AE160"/>
  <c r="AF160"/>
  <c r="AM160"/>
  <c r="AQ160"/>
  <c r="AH160"/>
  <c r="AH260"/>
  <c r="AH389"/>
  <c r="AE300"/>
  <c r="AF300"/>
  <c r="AM300"/>
  <c r="AQ300"/>
  <c r="AE461"/>
  <c r="AF461"/>
  <c r="AM461"/>
  <c r="AQ461"/>
  <c r="AH461"/>
  <c r="AH300"/>
  <c r="AE138"/>
  <c r="AF138"/>
  <c r="AM138"/>
  <c r="AQ138"/>
  <c r="AE484"/>
  <c r="AF484"/>
  <c r="AM484"/>
  <c r="AQ484"/>
  <c r="AE159"/>
  <c r="AF159"/>
  <c r="AP159" s="1"/>
  <c r="AM159"/>
  <c r="AQ159"/>
  <c r="AE208"/>
  <c r="AF208"/>
  <c r="AP208" s="1"/>
  <c r="AM208"/>
  <c r="AQ208"/>
  <c r="AH159"/>
  <c r="AH484"/>
  <c r="AH138"/>
  <c r="AE296"/>
  <c r="AF296"/>
  <c r="AM296"/>
  <c r="AQ296"/>
  <c r="AE28"/>
  <c r="AF28"/>
  <c r="AM28"/>
  <c r="AQ28"/>
  <c r="AE266"/>
  <c r="AF266"/>
  <c r="AM266"/>
  <c r="AQ266"/>
  <c r="AE275"/>
  <c r="AF275"/>
  <c r="AM275"/>
  <c r="AQ275"/>
  <c r="AH28"/>
  <c r="AE167"/>
  <c r="AF167"/>
  <c r="AM167"/>
  <c r="AQ167"/>
  <c r="AE36"/>
  <c r="AF36"/>
  <c r="AM36"/>
  <c r="AQ36"/>
  <c r="AE451"/>
  <c r="AF451"/>
  <c r="AM451"/>
  <c r="AQ451"/>
  <c r="AE442"/>
  <c r="AF442"/>
  <c r="AM442"/>
  <c r="AQ442"/>
  <c r="AH36"/>
  <c r="AE317"/>
  <c r="AF317"/>
  <c r="AP317" s="1"/>
  <c r="AM317"/>
  <c r="AQ317"/>
  <c r="AE67"/>
  <c r="AF67"/>
  <c r="AM67"/>
  <c r="AQ67"/>
  <c r="AE71"/>
  <c r="AF71"/>
  <c r="AM71"/>
  <c r="AQ71"/>
  <c r="AH71"/>
  <c r="AH67"/>
  <c r="AH317"/>
  <c r="AE7"/>
  <c r="AF7"/>
  <c r="AP7" s="1"/>
  <c r="AM7"/>
  <c r="AQ7"/>
  <c r="AE8"/>
  <c r="AF8"/>
  <c r="AP8" s="1"/>
  <c r="AM8"/>
  <c r="AQ8"/>
  <c r="AH7"/>
  <c r="AH8"/>
  <c r="AE314"/>
  <c r="AF314"/>
  <c r="AM314"/>
  <c r="AQ314"/>
  <c r="AE240"/>
  <c r="AF240"/>
  <c r="AM240"/>
  <c r="AQ240"/>
  <c r="AH240"/>
  <c r="AH314"/>
  <c r="AE271"/>
  <c r="AF271"/>
  <c r="AM271"/>
  <c r="AQ271"/>
  <c r="AE14"/>
  <c r="AF14"/>
  <c r="AM14"/>
  <c r="AQ14"/>
  <c r="AE238"/>
  <c r="AF238"/>
  <c r="AP238" s="1"/>
  <c r="AM238"/>
  <c r="AQ238"/>
  <c r="AE206"/>
  <c r="AF206"/>
  <c r="AP206" s="1"/>
  <c r="AM206"/>
  <c r="AQ206"/>
  <c r="AH206"/>
  <c r="AH238"/>
  <c r="AH14"/>
  <c r="AE186"/>
  <c r="AF186"/>
  <c r="AM186"/>
  <c r="AQ186"/>
  <c r="AE180"/>
  <c r="AF180"/>
  <c r="AM180"/>
  <c r="AQ180"/>
  <c r="AE469"/>
  <c r="AF469"/>
  <c r="AM469"/>
  <c r="AQ469"/>
  <c r="AE480"/>
  <c r="AF480"/>
  <c r="AM480"/>
  <c r="AQ480"/>
  <c r="AE151"/>
  <c r="AF151"/>
  <c r="AP151" s="1"/>
  <c r="AM151"/>
  <c r="AQ151"/>
  <c r="AE150"/>
  <c r="AF150"/>
  <c r="AP150" s="1"/>
  <c r="AM150"/>
  <c r="AQ150"/>
  <c r="AH151"/>
  <c r="AH150"/>
  <c r="AE137"/>
  <c r="AF137"/>
  <c r="AP137" s="1"/>
  <c r="AM137"/>
  <c r="AQ137"/>
  <c r="AE145"/>
  <c r="AF145"/>
  <c r="AP145" s="1"/>
  <c r="AM145"/>
  <c r="AQ145"/>
  <c r="AH145"/>
  <c r="AH137"/>
  <c r="AE254"/>
  <c r="AF254"/>
  <c r="AM254"/>
  <c r="AQ254"/>
  <c r="AE251"/>
  <c r="AF251"/>
  <c r="AM251"/>
  <c r="AQ251"/>
  <c r="AH251"/>
  <c r="AE73"/>
  <c r="AF73"/>
  <c r="AP73" s="1"/>
  <c r="AM73"/>
  <c r="AQ73"/>
  <c r="AH73"/>
  <c r="AE312"/>
  <c r="AF312"/>
  <c r="AM312"/>
  <c r="AQ312"/>
  <c r="AE508"/>
  <c r="AF508"/>
  <c r="AM508"/>
  <c r="AQ508"/>
  <c r="AH508"/>
  <c r="AE489"/>
  <c r="AF489"/>
  <c r="AM489"/>
  <c r="AQ489"/>
  <c r="AE490"/>
  <c r="AF490"/>
  <c r="AM490"/>
  <c r="AQ490"/>
  <c r="AH489"/>
  <c r="AH490"/>
  <c r="AE226"/>
  <c r="AF226"/>
  <c r="AM226"/>
  <c r="AQ226"/>
  <c r="AE265"/>
  <c r="AF265"/>
  <c r="AM265"/>
  <c r="AQ265"/>
  <c r="AE462"/>
  <c r="AF462"/>
  <c r="AM462"/>
  <c r="AQ462"/>
  <c r="AE202"/>
  <c r="AF202"/>
  <c r="AM202"/>
  <c r="AQ202"/>
  <c r="AE10"/>
  <c r="AF10"/>
  <c r="AM10"/>
  <c r="AQ10"/>
  <c r="AH10"/>
  <c r="AE364"/>
  <c r="AF364"/>
  <c r="AM364"/>
  <c r="AQ364"/>
  <c r="AE282"/>
  <c r="AF282"/>
  <c r="AM282"/>
  <c r="AQ282"/>
  <c r="AE294"/>
  <c r="AF294"/>
  <c r="AM294"/>
  <c r="AQ294"/>
  <c r="AE278"/>
  <c r="AF278"/>
  <c r="AM278"/>
  <c r="AQ278"/>
  <c r="AE218"/>
  <c r="AF218"/>
  <c r="AM218"/>
  <c r="AQ218"/>
  <c r="AE386"/>
  <c r="AF386"/>
  <c r="AM386"/>
  <c r="AQ386"/>
  <c r="AE49"/>
  <c r="AF49"/>
  <c r="AM49"/>
  <c r="AQ49"/>
  <c r="AE50"/>
  <c r="AF50"/>
  <c r="AM50"/>
  <c r="AQ50"/>
  <c r="AH49"/>
  <c r="AH50"/>
  <c r="AE458"/>
  <c r="AF458"/>
  <c r="AM458"/>
  <c r="AQ458"/>
  <c r="AE472"/>
  <c r="AF472"/>
  <c r="AM472"/>
  <c r="AQ472"/>
  <c r="AE45"/>
  <c r="AF45"/>
  <c r="AM45"/>
  <c r="AQ45"/>
  <c r="AE517"/>
  <c r="AF517"/>
  <c r="AM517"/>
  <c r="AQ517"/>
  <c r="AH45"/>
  <c r="AH517"/>
  <c r="AH472"/>
  <c r="AE112"/>
  <c r="AF112"/>
  <c r="AP112" s="1"/>
  <c r="AM112"/>
  <c r="AQ112"/>
  <c r="AE110"/>
  <c r="AF110"/>
  <c r="AP110" s="1"/>
  <c r="AM110"/>
  <c r="AQ110"/>
  <c r="AH110"/>
  <c r="AH112"/>
  <c r="AE393"/>
  <c r="AF393"/>
  <c r="AM393"/>
  <c r="AQ393"/>
  <c r="AE142"/>
  <c r="AF142"/>
  <c r="AP142" s="1"/>
  <c r="AM142"/>
  <c r="AQ142"/>
  <c r="AH142"/>
  <c r="AE42"/>
  <c r="AF42"/>
  <c r="AM42"/>
  <c r="AQ42"/>
  <c r="AE227"/>
  <c r="AF227"/>
  <c r="AM227"/>
  <c r="AQ227"/>
  <c r="AH42"/>
  <c r="AE488"/>
  <c r="AF488"/>
  <c r="AM488"/>
  <c r="AQ488"/>
  <c r="AE365"/>
  <c r="AF365"/>
  <c r="AM365"/>
  <c r="AQ365"/>
  <c r="AE403"/>
  <c r="AF403"/>
  <c r="AM403"/>
  <c r="AQ403"/>
  <c r="AH403"/>
  <c r="AH365"/>
  <c r="AE498"/>
  <c r="AF498"/>
  <c r="AM498"/>
  <c r="AQ498"/>
  <c r="AE493"/>
  <c r="AF493"/>
  <c r="AM493"/>
  <c r="AQ493"/>
  <c r="AE411"/>
  <c r="AF411"/>
  <c r="AP411" s="1"/>
  <c r="AM411"/>
  <c r="AQ411"/>
  <c r="AE482"/>
  <c r="AF482"/>
  <c r="AP482" s="1"/>
  <c r="AM482"/>
  <c r="AQ482"/>
  <c r="AE140"/>
  <c r="AF140"/>
  <c r="AP140" s="1"/>
  <c r="AM140"/>
  <c r="AQ140"/>
  <c r="AE119"/>
  <c r="AF119"/>
  <c r="AP119" s="1"/>
  <c r="AM119"/>
  <c r="AQ119"/>
  <c r="AH119"/>
  <c r="AH140"/>
  <c r="AE348"/>
  <c r="AF348"/>
  <c r="AM348"/>
  <c r="AQ348"/>
  <c r="AE43"/>
  <c r="AF43"/>
  <c r="AM43"/>
  <c r="AQ43"/>
  <c r="AE44"/>
  <c r="AF44"/>
  <c r="AM44"/>
  <c r="AQ44"/>
  <c r="AH43"/>
  <c r="AH44"/>
  <c r="AE486"/>
  <c r="AF486"/>
  <c r="AM486"/>
  <c r="AQ486"/>
  <c r="AE468"/>
  <c r="AF468"/>
  <c r="AM468"/>
  <c r="AQ468"/>
  <c r="AE463"/>
  <c r="AF463"/>
  <c r="AM463"/>
  <c r="AQ463"/>
  <c r="AH463"/>
  <c r="AE379"/>
  <c r="AF379"/>
  <c r="AM379"/>
  <c r="AQ379"/>
  <c r="AE377"/>
  <c r="AF377"/>
  <c r="AM377"/>
  <c r="AQ377"/>
  <c r="AE415"/>
  <c r="AF415"/>
  <c r="AM415"/>
  <c r="AQ415"/>
  <c r="AH415"/>
  <c r="AE434"/>
  <c r="AF434"/>
  <c r="AM434"/>
  <c r="AQ434"/>
  <c r="AE457"/>
  <c r="AF457"/>
  <c r="AM457"/>
  <c r="AQ457"/>
  <c r="AE34"/>
  <c r="AF34"/>
  <c r="AM34"/>
  <c r="AQ34"/>
  <c r="AH34"/>
  <c r="AE318"/>
  <c r="AF318"/>
  <c r="AM318"/>
  <c r="AQ318"/>
  <c r="AH318"/>
  <c r="AE94"/>
  <c r="AF94"/>
  <c r="AP94" s="1"/>
  <c r="AM94"/>
  <c r="AQ94"/>
  <c r="AE106"/>
  <c r="AF106"/>
  <c r="AP106" s="1"/>
  <c r="AM106"/>
  <c r="AQ106"/>
  <c r="AE120"/>
  <c r="AF120"/>
  <c r="AP120" s="1"/>
  <c r="AM120"/>
  <c r="AQ120"/>
  <c r="AE125"/>
  <c r="AF125"/>
  <c r="AP125" s="1"/>
  <c r="AM125"/>
  <c r="AQ125"/>
  <c r="AH94"/>
  <c r="AH125"/>
  <c r="AH120"/>
  <c r="AH106"/>
  <c r="AE350"/>
  <c r="AF350"/>
  <c r="AM350"/>
  <c r="AQ350"/>
  <c r="AE470"/>
  <c r="AF470"/>
  <c r="AM470"/>
  <c r="AQ470"/>
  <c r="AH470"/>
  <c r="AE287"/>
  <c r="AF287"/>
  <c r="AP287" s="1"/>
  <c r="AM287"/>
  <c r="AQ287"/>
  <c r="AE225"/>
  <c r="AF225"/>
  <c r="AP225" s="1"/>
  <c r="AM225"/>
  <c r="AQ225"/>
  <c r="AE410"/>
  <c r="AF410"/>
  <c r="AP410" s="1"/>
  <c r="AM410"/>
  <c r="AQ410"/>
  <c r="AH410"/>
  <c r="AE122"/>
  <c r="AF122"/>
  <c r="AM122"/>
  <c r="AQ122"/>
  <c r="AH122"/>
  <c r="AE372"/>
  <c r="AF372"/>
  <c r="AM372"/>
  <c r="AQ372"/>
  <c r="AE33"/>
  <c r="AF33"/>
  <c r="AM33"/>
  <c r="AQ33"/>
  <c r="AE32"/>
  <c r="AF32"/>
  <c r="AM32"/>
  <c r="AQ32"/>
  <c r="AH33"/>
  <c r="AH372"/>
  <c r="AH32"/>
  <c r="AE162"/>
  <c r="AF162"/>
  <c r="AM162"/>
  <c r="AQ162"/>
  <c r="AH162"/>
  <c r="AE229"/>
  <c r="AF229"/>
  <c r="AM229"/>
  <c r="AQ229"/>
  <c r="AE30"/>
  <c r="AF30"/>
  <c r="AM30"/>
  <c r="AQ30"/>
  <c r="AE31"/>
  <c r="AF31"/>
  <c r="AM31"/>
  <c r="AQ31"/>
  <c r="AH31"/>
  <c r="AH229"/>
  <c r="AH30"/>
  <c r="AE343"/>
  <c r="AF343"/>
  <c r="AM343"/>
  <c r="AQ343"/>
  <c r="AE366"/>
  <c r="AF366"/>
  <c r="AM366"/>
  <c r="AQ366"/>
  <c r="AE161"/>
  <c r="AF161"/>
  <c r="AM161"/>
  <c r="AQ161"/>
  <c r="AE147"/>
  <c r="AF147"/>
  <c r="AM147"/>
  <c r="AQ147"/>
  <c r="AE302"/>
  <c r="AF302"/>
  <c r="AM302"/>
  <c r="AQ302"/>
  <c r="AE478"/>
  <c r="AF478"/>
  <c r="AM478"/>
  <c r="AQ478"/>
  <c r="AE390"/>
  <c r="AF390"/>
  <c r="AM390"/>
  <c r="AQ390"/>
  <c r="AE351"/>
  <c r="AF351"/>
  <c r="AM351"/>
  <c r="AQ351"/>
  <c r="AE249"/>
  <c r="AF249"/>
  <c r="AM249"/>
  <c r="AQ249"/>
  <c r="AE253"/>
  <c r="AF253"/>
  <c r="AM253"/>
  <c r="AQ253"/>
  <c r="AE476"/>
  <c r="AF476"/>
  <c r="AM476"/>
  <c r="AQ476"/>
  <c r="AE477"/>
  <c r="AF477"/>
  <c r="AM477"/>
  <c r="AQ477"/>
  <c r="AE91"/>
  <c r="AF91"/>
  <c r="AM91"/>
  <c r="AQ91"/>
  <c r="AE93"/>
  <c r="AF93"/>
  <c r="AM93"/>
  <c r="AQ93"/>
  <c r="AE413"/>
  <c r="AF413"/>
  <c r="AM413"/>
  <c r="AQ413"/>
  <c r="AE85"/>
  <c r="AF85"/>
  <c r="AM85"/>
  <c r="AQ85"/>
  <c r="AE441"/>
  <c r="AF441"/>
  <c r="AM441"/>
  <c r="AQ441"/>
  <c r="AE436"/>
  <c r="AF436"/>
  <c r="AM436"/>
  <c r="AQ436"/>
  <c r="AE221"/>
  <c r="AF221"/>
  <c r="AM221"/>
  <c r="AQ221"/>
  <c r="AE375"/>
  <c r="AF375"/>
  <c r="AM375"/>
  <c r="AQ375"/>
  <c r="AE308"/>
  <c r="AF308"/>
  <c r="AM308"/>
  <c r="AQ308"/>
  <c r="AE2"/>
  <c r="AF2"/>
  <c r="AM2"/>
  <c r="AQ2"/>
  <c r="AH2"/>
  <c r="AH394"/>
  <c r="AH330"/>
  <c r="AH27"/>
  <c r="AH99"/>
  <c r="AH103"/>
  <c r="AH326"/>
  <c r="AH384"/>
  <c r="AH186"/>
  <c r="AH180"/>
  <c r="AH331"/>
  <c r="AH483"/>
  <c r="AH514"/>
  <c r="AH269"/>
  <c r="AH506"/>
  <c r="AH213"/>
  <c r="AH488"/>
  <c r="AH363"/>
  <c r="AH185"/>
  <c r="AH309"/>
  <c r="AH310"/>
  <c r="AH255"/>
  <c r="AH451"/>
  <c r="AH442"/>
  <c r="AH266"/>
  <c r="AH275"/>
  <c r="AH400"/>
  <c r="AH20"/>
  <c r="AH70"/>
  <c r="AH69"/>
  <c r="AH366"/>
  <c r="AH343"/>
  <c r="AH493"/>
  <c r="AH498"/>
  <c r="AH305"/>
  <c r="AH388"/>
  <c r="AH219"/>
  <c r="AH393"/>
  <c r="AH348"/>
  <c r="AH147"/>
  <c r="AH161"/>
  <c r="AH302"/>
  <c r="AH281"/>
  <c r="AH227"/>
  <c r="AH261"/>
  <c r="AH345"/>
  <c r="AH287"/>
  <c r="AH225"/>
  <c r="AH284"/>
  <c r="AH280"/>
  <c r="AH139"/>
  <c r="AH128"/>
  <c r="AH254"/>
  <c r="AH303"/>
  <c r="AH271"/>
  <c r="AH421"/>
  <c r="AH282"/>
  <c r="AH294"/>
  <c r="AH278"/>
  <c r="AH462"/>
  <c r="AH460"/>
  <c r="AH448"/>
  <c r="AH447"/>
  <c r="AH188"/>
  <c r="AH201"/>
  <c r="AH427"/>
  <c r="AH391"/>
  <c r="AH364"/>
  <c r="AH446"/>
  <c r="AH468"/>
  <c r="AH486"/>
  <c r="AH333"/>
  <c r="AH350"/>
  <c r="AH336"/>
  <c r="AH245"/>
  <c r="AH500"/>
  <c r="AH408"/>
  <c r="AH407"/>
  <c r="AH383"/>
  <c r="AH379"/>
  <c r="AH377"/>
  <c r="AH457"/>
  <c r="AH434"/>
  <c r="AH369"/>
  <c r="AH337"/>
  <c r="AH387"/>
  <c r="AH402"/>
  <c r="AH202"/>
  <c r="AH298"/>
  <c r="AH438"/>
  <c r="AH430"/>
  <c r="AH313"/>
  <c r="AH319"/>
  <c r="AH362"/>
  <c r="AH315"/>
  <c r="AH382"/>
  <c r="AH355"/>
  <c r="AH325"/>
  <c r="AH295"/>
  <c r="AH230"/>
  <c r="AH234"/>
  <c r="AH347"/>
  <c r="AH184"/>
  <c r="AH181"/>
  <c r="AH176"/>
  <c r="AH191"/>
  <c r="AH233"/>
  <c r="AH190"/>
  <c r="AH478"/>
  <c r="AH390"/>
  <c r="AH189"/>
  <c r="AH351"/>
  <c r="AH433"/>
  <c r="AH420"/>
  <c r="AH118"/>
  <c r="AH249"/>
  <c r="AH77"/>
  <c r="AH253"/>
  <c r="AH476"/>
  <c r="AH477"/>
  <c r="AH91"/>
  <c r="AH93"/>
  <c r="AH413"/>
  <c r="AH436"/>
  <c r="AH441"/>
  <c r="AH397"/>
  <c r="AH85"/>
  <c r="AH221"/>
  <c r="AH375"/>
  <c r="AH248"/>
  <c r="AH308"/>
  <c r="AH492"/>
  <c r="AH429"/>
  <c r="AH469"/>
  <c r="AH480"/>
  <c r="AH256"/>
  <c r="AH296"/>
  <c r="AH259"/>
  <c r="AH459"/>
  <c r="AH497"/>
  <c r="AH267"/>
  <c r="AH177"/>
  <c r="AH182"/>
  <c r="AH218"/>
  <c r="AH173"/>
  <c r="AH158"/>
  <c r="AH265"/>
  <c r="AH226"/>
  <c r="AH404"/>
  <c r="AH466"/>
  <c r="AH167"/>
  <c r="AH444"/>
  <c r="AH378"/>
  <c r="AH41"/>
  <c r="AH277"/>
  <c r="AH258"/>
  <c r="AH386"/>
  <c r="AH458"/>
  <c r="AH144"/>
  <c r="AH312"/>
  <c r="AH510"/>
  <c r="AH482"/>
  <c r="AH411"/>
  <c r="AH323"/>
  <c r="AH223"/>
  <c r="AH90"/>
  <c r="AE384"/>
  <c r="AF384"/>
  <c r="AM384"/>
  <c r="AQ384"/>
  <c r="AE394"/>
  <c r="AF394"/>
  <c r="AM394"/>
  <c r="AQ394"/>
  <c r="AE269"/>
  <c r="AF269"/>
  <c r="AM269"/>
  <c r="AQ269"/>
  <c r="AE506"/>
  <c r="AF506"/>
  <c r="AM506"/>
  <c r="AQ506"/>
  <c r="AE213"/>
  <c r="AF213"/>
  <c r="AM213"/>
  <c r="AQ213"/>
  <c r="AE363"/>
  <c r="AF363"/>
  <c r="AM363"/>
  <c r="AQ363"/>
  <c r="AE70"/>
  <c r="AF70"/>
  <c r="AM70"/>
  <c r="AQ70"/>
  <c r="AE69"/>
  <c r="AF69"/>
  <c r="AM69"/>
  <c r="AQ69"/>
  <c r="AM273"/>
  <c r="AQ273"/>
  <c r="AE281"/>
  <c r="AF281"/>
  <c r="AM281"/>
  <c r="AQ281"/>
  <c r="AE261"/>
  <c r="AF261"/>
  <c r="AM261"/>
  <c r="AQ261"/>
  <c r="AE345"/>
  <c r="AF345"/>
  <c r="AM345"/>
  <c r="AQ345"/>
  <c r="AE427"/>
  <c r="AF427"/>
  <c r="AM427"/>
  <c r="AQ427"/>
  <c r="AE446"/>
  <c r="AF446"/>
  <c r="AM446"/>
  <c r="AQ446"/>
  <c r="AE391"/>
  <c r="AF391"/>
  <c r="AM391"/>
  <c r="AQ391"/>
  <c r="AE330"/>
  <c r="AF330"/>
  <c r="AM330"/>
  <c r="AQ330"/>
  <c r="AE333"/>
  <c r="AF333"/>
  <c r="AM333"/>
  <c r="AQ333"/>
  <c r="AE408"/>
  <c r="AF408"/>
  <c r="AM408"/>
  <c r="AQ408"/>
  <c r="AE407"/>
  <c r="AF407"/>
  <c r="AM407"/>
  <c r="AQ407"/>
  <c r="AE383"/>
  <c r="AF383"/>
  <c r="AM383"/>
  <c r="AQ383"/>
  <c r="AE369"/>
  <c r="AF369"/>
  <c r="AM369"/>
  <c r="AQ369"/>
  <c r="AE402"/>
  <c r="AF402"/>
  <c r="AM402"/>
  <c r="AQ402"/>
  <c r="AE337"/>
  <c r="AF337"/>
  <c r="AM337"/>
  <c r="AQ337"/>
  <c r="AE438"/>
  <c r="AF438"/>
  <c r="AM438"/>
  <c r="AQ438"/>
  <c r="AE430"/>
  <c r="AF430"/>
  <c r="AM430"/>
  <c r="AQ430"/>
  <c r="AE362"/>
  <c r="AF362"/>
  <c r="AM362"/>
  <c r="AQ362"/>
  <c r="AE382"/>
  <c r="AF382"/>
  <c r="AM382"/>
  <c r="AQ382"/>
  <c r="AE295"/>
  <c r="AF295"/>
  <c r="AM295"/>
  <c r="AQ295"/>
  <c r="AE355"/>
  <c r="AF355"/>
  <c r="AM355"/>
  <c r="AQ355"/>
  <c r="AE325"/>
  <c r="AF325"/>
  <c r="AM325"/>
  <c r="AQ325"/>
  <c r="AE230"/>
  <c r="AF230"/>
  <c r="AM230"/>
  <c r="AQ230"/>
  <c r="AE234"/>
  <c r="AF234"/>
  <c r="AM234"/>
  <c r="AQ234"/>
  <c r="AE184"/>
  <c r="AF184"/>
  <c r="AM184"/>
  <c r="AQ184"/>
  <c r="AE181"/>
  <c r="AF181"/>
  <c r="AM181"/>
  <c r="AQ181"/>
  <c r="AE233"/>
  <c r="AF233"/>
  <c r="AM233"/>
  <c r="AQ233"/>
  <c r="AE176"/>
  <c r="AF176"/>
  <c r="AM176"/>
  <c r="AQ176"/>
  <c r="AE191"/>
  <c r="AF191"/>
  <c r="AM191"/>
  <c r="AQ191"/>
  <c r="AE190"/>
  <c r="AF190"/>
  <c r="AM190"/>
  <c r="AQ190"/>
  <c r="AE189"/>
  <c r="AF189"/>
  <c r="AM189"/>
  <c r="AQ189"/>
  <c r="AE433"/>
  <c r="AF433"/>
  <c r="AM433"/>
  <c r="AQ433"/>
  <c r="AE420"/>
  <c r="AF420"/>
  <c r="AM420"/>
  <c r="AQ420"/>
  <c r="AE77"/>
  <c r="AF77"/>
  <c r="AM77"/>
  <c r="AQ77"/>
  <c r="AE118"/>
  <c r="AF118"/>
  <c r="AM118"/>
  <c r="AQ118"/>
  <c r="AE397"/>
  <c r="AF397"/>
  <c r="AM397"/>
  <c r="AQ397"/>
  <c r="AE248"/>
  <c r="AF248"/>
  <c r="AM248"/>
  <c r="AQ248"/>
  <c r="AE378"/>
  <c r="AF378"/>
  <c r="AM378"/>
  <c r="AQ378"/>
  <c r="AE404"/>
  <c r="AF404"/>
  <c r="AM404"/>
  <c r="AQ404"/>
  <c r="AE158"/>
  <c r="AF158"/>
  <c r="AM158"/>
  <c r="AQ158"/>
  <c r="AE223"/>
  <c r="AF223"/>
  <c r="AM223"/>
  <c r="AQ223"/>
  <c r="AE173"/>
  <c r="AF173"/>
  <c r="AM173"/>
  <c r="AQ173"/>
  <c r="AE256"/>
  <c r="AF256"/>
  <c r="AM256"/>
  <c r="AQ256"/>
  <c r="AE90"/>
  <c r="AF90"/>
  <c r="AM90"/>
  <c r="AQ90"/>
  <c r="AQ99"/>
  <c r="AQ103"/>
  <c r="AE103"/>
  <c r="AE99"/>
  <c r="AF103"/>
  <c r="AM103"/>
  <c r="F5" i="15"/>
  <c r="H5"/>
  <c r="G5"/>
  <c r="I5"/>
  <c r="AJ321" i="1" l="1"/>
  <c r="AK321"/>
  <c r="AR321"/>
  <c r="AJ59"/>
  <c r="AJ209"/>
  <c r="AK209" s="1"/>
  <c r="AJ205"/>
  <c r="AJ341"/>
  <c r="AJ409"/>
  <c r="AJ89"/>
  <c r="AJ358"/>
  <c r="AJ204"/>
  <c r="AJ197"/>
  <c r="AJ252"/>
  <c r="AJ491"/>
  <c r="AJ262"/>
  <c r="AJ263"/>
  <c r="AJ412"/>
  <c r="AJ62"/>
  <c r="AJ445"/>
  <c r="AJ133"/>
  <c r="AJ35"/>
  <c r="AJ58"/>
  <c r="AJ57"/>
  <c r="AJ398"/>
  <c r="AJ293"/>
  <c r="AK293" s="1"/>
  <c r="AJ453"/>
  <c r="AJ37"/>
  <c r="AJ481"/>
  <c r="AJ105"/>
  <c r="AJ220"/>
  <c r="AJ111"/>
  <c r="AJ467"/>
  <c r="AJ473"/>
  <c r="AJ68"/>
  <c r="AJ203"/>
  <c r="AJ149"/>
  <c r="AJ512"/>
  <c r="AJ471"/>
  <c r="AJ129"/>
  <c r="AJ65"/>
  <c r="AJ273"/>
  <c r="AJ440"/>
  <c r="AJ417"/>
  <c r="AJ496"/>
  <c r="AJ361"/>
  <c r="AJ130"/>
  <c r="AJ146"/>
  <c r="AJ143"/>
  <c r="AJ501"/>
  <c r="AJ507"/>
  <c r="AJ374"/>
  <c r="AJ335"/>
  <c r="AJ485"/>
  <c r="AK485" s="1"/>
  <c r="AJ452"/>
  <c r="AJ268"/>
  <c r="AJ52"/>
  <c r="AJ171"/>
  <c r="AJ244"/>
  <c r="AJ299"/>
  <c r="AK299" s="1"/>
  <c r="AJ17"/>
  <c r="AJ39"/>
  <c r="AK39" s="1"/>
  <c r="AJ356"/>
  <c r="AK356" s="1"/>
  <c r="AJ38"/>
  <c r="AJ116"/>
  <c r="AJ104"/>
  <c r="AK104" s="1"/>
  <c r="AJ123"/>
  <c r="AJ381"/>
  <c r="AJ360"/>
  <c r="AJ324"/>
  <c r="AJ264"/>
  <c r="AJ385"/>
  <c r="AJ86"/>
  <c r="AJ231"/>
  <c r="AJ15"/>
  <c r="AJ179"/>
  <c r="AJ423"/>
  <c r="AJ154"/>
  <c r="AJ455"/>
  <c r="AJ211"/>
  <c r="AJ327"/>
  <c r="AJ474"/>
  <c r="AJ60"/>
  <c r="AJ475"/>
  <c r="AJ479"/>
  <c r="AJ64"/>
  <c r="AJ165"/>
  <c r="AJ316"/>
  <c r="AJ148"/>
  <c r="AJ22"/>
  <c r="AJ121"/>
  <c r="AJ135"/>
  <c r="AJ124"/>
  <c r="AJ166"/>
  <c r="AJ297"/>
  <c r="AJ134"/>
  <c r="AJ187"/>
  <c r="AJ224"/>
  <c r="AJ247"/>
  <c r="AJ76"/>
  <c r="AJ215"/>
  <c r="AJ126"/>
  <c r="AJ250"/>
  <c r="AJ291"/>
  <c r="AJ100"/>
  <c r="AJ200"/>
  <c r="AK200" s="1"/>
  <c r="AJ174"/>
  <c r="AK174" s="1"/>
  <c r="AJ241"/>
  <c r="AJ242"/>
  <c r="AK242" s="1"/>
  <c r="AJ426"/>
  <c r="AJ322"/>
  <c r="AK322" s="1"/>
  <c r="AJ286"/>
  <c r="AJ175"/>
  <c r="AK175" s="1"/>
  <c r="AJ513"/>
  <c r="AK513" s="1"/>
  <c r="AJ519"/>
  <c r="AJ132"/>
  <c r="AJ92"/>
  <c r="AK92" s="1"/>
  <c r="AJ87"/>
  <c r="AJ88"/>
  <c r="AK88" s="1"/>
  <c r="AJ328"/>
  <c r="AJ495"/>
  <c r="AJ499"/>
  <c r="AJ21"/>
  <c r="AJ504"/>
  <c r="AJ509"/>
  <c r="AK509" s="1"/>
  <c r="AJ370"/>
  <c r="AJ359"/>
  <c r="AJ425"/>
  <c r="AK425" s="1"/>
  <c r="AJ235"/>
  <c r="AJ454"/>
  <c r="AJ354"/>
  <c r="AJ414"/>
  <c r="AK414" s="1"/>
  <c r="AJ396"/>
  <c r="AJ3"/>
  <c r="AK3" s="1"/>
  <c r="AJ4"/>
  <c r="AJ428"/>
  <c r="AK428" s="1"/>
  <c r="AJ443"/>
  <c r="AK443" s="1"/>
  <c r="AJ437"/>
  <c r="AJ344"/>
  <c r="AJ279"/>
  <c r="AJ53"/>
  <c r="AK53" s="1"/>
  <c r="AJ18"/>
  <c r="AK18" s="1"/>
  <c r="AJ9"/>
  <c r="AK9" s="1"/>
  <c r="AJ155"/>
  <c r="AJ320"/>
  <c r="AJ307"/>
  <c r="AK307" s="1"/>
  <c r="AJ108"/>
  <c r="AK108" s="1"/>
  <c r="AJ47"/>
  <c r="AR47" s="1"/>
  <c r="AJ46"/>
  <c r="AK46" s="1"/>
  <c r="AJ98"/>
  <c r="AJ131"/>
  <c r="AK131" s="1"/>
  <c r="AJ422"/>
  <c r="AK422" s="1"/>
  <c r="AJ156"/>
  <c r="AK156" s="1"/>
  <c r="AJ127"/>
  <c r="AJ141"/>
  <c r="AK141" s="1"/>
  <c r="AJ102"/>
  <c r="AJ456"/>
  <c r="AK456" s="1"/>
  <c r="AJ487"/>
  <c r="AJ228"/>
  <c r="AK228" s="1"/>
  <c r="AJ222"/>
  <c r="AJ13"/>
  <c r="AJ212"/>
  <c r="AK212" s="1"/>
  <c r="AJ232"/>
  <c r="AJ157"/>
  <c r="AK157" s="1"/>
  <c r="AJ153"/>
  <c r="AJ84"/>
  <c r="AK84" s="1"/>
  <c r="AJ101"/>
  <c r="AK101" s="1"/>
  <c r="AJ346"/>
  <c r="AK346" s="1"/>
  <c r="AJ24"/>
  <c r="AK24" s="1"/>
  <c r="AJ78"/>
  <c r="AK78" s="1"/>
  <c r="AJ214"/>
  <c r="AK214" s="1"/>
  <c r="AJ56"/>
  <c r="AJ55"/>
  <c r="AK55" s="1"/>
  <c r="AJ301"/>
  <c r="AJ292"/>
  <c r="AJ431"/>
  <c r="AK431" s="1"/>
  <c r="AJ217"/>
  <c r="AK217" s="1"/>
  <c r="AJ54"/>
  <c r="AK54" s="1"/>
  <c r="AJ406"/>
  <c r="AK406" s="1"/>
  <c r="AJ239"/>
  <c r="AJ237"/>
  <c r="AK237" s="1"/>
  <c r="AJ107"/>
  <c r="AK107" s="1"/>
  <c r="AJ114"/>
  <c r="AJ192"/>
  <c r="AK192" s="1"/>
  <c r="AJ194"/>
  <c r="AJ199"/>
  <c r="AJ520"/>
  <c r="AJ207"/>
  <c r="AK207" s="1"/>
  <c r="AJ395"/>
  <c r="AJ399"/>
  <c r="AJ464"/>
  <c r="AJ339"/>
  <c r="AJ368"/>
  <c r="AR368" s="1"/>
  <c r="AJ74"/>
  <c r="AK74" s="1"/>
  <c r="AJ168"/>
  <c r="AJ276"/>
  <c r="AK276" s="1"/>
  <c r="AJ505"/>
  <c r="AK505" s="1"/>
  <c r="AJ367"/>
  <c r="AK367" s="1"/>
  <c r="AJ380"/>
  <c r="AJ178"/>
  <c r="AK178" s="1"/>
  <c r="AJ196"/>
  <c r="AK196" s="1"/>
  <c r="AJ163"/>
  <c r="AJ290"/>
  <c r="AK290" s="1"/>
  <c r="AJ193"/>
  <c r="AJ5"/>
  <c r="AK5" s="1"/>
  <c r="AJ283"/>
  <c r="AJ61"/>
  <c r="AK61" s="1"/>
  <c r="AJ11"/>
  <c r="AR11" s="1"/>
  <c r="AJ169"/>
  <c r="AJ243"/>
  <c r="AJ357"/>
  <c r="AJ502"/>
  <c r="AK502" s="1"/>
  <c r="AJ511"/>
  <c r="AJ376"/>
  <c r="AK376" s="1"/>
  <c r="AJ516"/>
  <c r="AK516" s="1"/>
  <c r="AJ515"/>
  <c r="AJ210"/>
  <c r="AK210" s="1"/>
  <c r="AJ373"/>
  <c r="AK373" s="1"/>
  <c r="AJ352"/>
  <c r="AJ419"/>
  <c r="AK419" s="1"/>
  <c r="AJ349"/>
  <c r="AK349" s="1"/>
  <c r="AJ329"/>
  <c r="AJ405"/>
  <c r="AK405" s="1"/>
  <c r="AJ6"/>
  <c r="AK6" s="1"/>
  <c r="AJ236"/>
  <c r="AJ465"/>
  <c r="AK465" s="1"/>
  <c r="AJ289"/>
  <c r="AR289" s="1"/>
  <c r="AJ353"/>
  <c r="AR353" s="1"/>
  <c r="AJ401"/>
  <c r="AR401" s="1"/>
  <c r="AJ274"/>
  <c r="AR274" s="1"/>
  <c r="AJ392"/>
  <c r="AJ332"/>
  <c r="AJ183"/>
  <c r="AR183" s="1"/>
  <c r="AJ23"/>
  <c r="AR23" s="1"/>
  <c r="AJ257"/>
  <c r="AR257" s="1"/>
  <c r="AJ518"/>
  <c r="AR518" s="1"/>
  <c r="AJ12"/>
  <c r="AJ272"/>
  <c r="AJ72"/>
  <c r="AJ81"/>
  <c r="AJ216"/>
  <c r="AJ304"/>
  <c r="AJ19"/>
  <c r="AR19" s="1"/>
  <c r="AJ338"/>
  <c r="AJ109"/>
  <c r="AR109" s="1"/>
  <c r="AJ115"/>
  <c r="AJ342"/>
  <c r="AK342" s="1"/>
  <c r="AJ40"/>
  <c r="AJ449"/>
  <c r="AR449" s="1"/>
  <c r="AJ450"/>
  <c r="AJ95"/>
  <c r="AR95" s="1"/>
  <c r="AJ66"/>
  <c r="AJ29"/>
  <c r="AR29" s="1"/>
  <c r="AJ246"/>
  <c r="AR246" s="1"/>
  <c r="AJ198"/>
  <c r="AR198" s="1"/>
  <c r="AJ416"/>
  <c r="AR416" s="1"/>
  <c r="AJ494"/>
  <c r="AJ435"/>
  <c r="AR435" s="1"/>
  <c r="AJ432"/>
  <c r="AJ170"/>
  <c r="AR170" s="1"/>
  <c r="AJ152"/>
  <c r="AR152" s="1"/>
  <c r="AJ113"/>
  <c r="AJ164"/>
  <c r="AR164" s="1"/>
  <c r="AJ51"/>
  <c r="AK51" s="1"/>
  <c r="AJ117"/>
  <c r="AR117" s="1"/>
  <c r="AJ16"/>
  <c r="AR16" s="1"/>
  <c r="AJ136"/>
  <c r="AJ63"/>
  <c r="AR63" s="1"/>
  <c r="AJ96"/>
  <c r="AR96" s="1"/>
  <c r="AJ80"/>
  <c r="AR80" s="1"/>
  <c r="AJ75"/>
  <c r="AK75" s="1"/>
  <c r="AJ79"/>
  <c r="AJ172"/>
  <c r="AR172" s="1"/>
  <c r="AJ48"/>
  <c r="AR48" s="1"/>
  <c r="AJ439"/>
  <c r="AR439" s="1"/>
  <c r="AJ195"/>
  <c r="AJ418"/>
  <c r="AR418" s="1"/>
  <c r="AJ97"/>
  <c r="AJ503"/>
  <c r="AJ424"/>
  <c r="AJ334"/>
  <c r="AK334" s="1"/>
  <c r="AJ371"/>
  <c r="AJ311"/>
  <c r="AK311" s="1"/>
  <c r="AJ340"/>
  <c r="AJ306"/>
  <c r="AR306" s="1"/>
  <c r="AJ270"/>
  <c r="AR270" s="1"/>
  <c r="AJ285"/>
  <c r="AJ288"/>
  <c r="AR288" s="1"/>
  <c r="AJ26"/>
  <c r="AK26" s="1"/>
  <c r="AJ82"/>
  <c r="AK82" s="1"/>
  <c r="AJ83"/>
  <c r="AJ25"/>
  <c r="AR25" s="1"/>
  <c r="AJ160"/>
  <c r="AR160" s="1"/>
  <c r="AJ260"/>
  <c r="AR260" s="1"/>
  <c r="AJ389"/>
  <c r="AJ461"/>
  <c r="AR461" s="1"/>
  <c r="AJ300"/>
  <c r="AR300" s="1"/>
  <c r="AJ208"/>
  <c r="AR208" s="1"/>
  <c r="AJ159"/>
  <c r="AJ484"/>
  <c r="AR484" s="1"/>
  <c r="AJ138"/>
  <c r="AR138" s="1"/>
  <c r="AJ28"/>
  <c r="AR28" s="1"/>
  <c r="AJ36"/>
  <c r="AR36" s="1"/>
  <c r="AJ71"/>
  <c r="AK71" s="1"/>
  <c r="AJ317"/>
  <c r="AK317" s="1"/>
  <c r="AJ67"/>
  <c r="AJ7"/>
  <c r="AR7" s="1"/>
  <c r="AJ8"/>
  <c r="AJ314"/>
  <c r="AR314" s="1"/>
  <c r="AJ240"/>
  <c r="AJ238"/>
  <c r="AR238" s="1"/>
  <c r="AJ206"/>
  <c r="AJ14"/>
  <c r="AR14" s="1"/>
  <c r="AJ150"/>
  <c r="AJ151"/>
  <c r="AJ145"/>
  <c r="AR145" s="1"/>
  <c r="AJ137"/>
  <c r="AJ251"/>
  <c r="AR251" s="1"/>
  <c r="AJ73"/>
  <c r="AR73" s="1"/>
  <c r="AJ508"/>
  <c r="AK508" s="1"/>
  <c r="AJ490"/>
  <c r="AK490" s="1"/>
  <c r="AJ489"/>
  <c r="AJ10"/>
  <c r="AK10" s="1"/>
  <c r="AJ49"/>
  <c r="AR49" s="1"/>
  <c r="AJ50"/>
  <c r="AJ45"/>
  <c r="AR45" s="1"/>
  <c r="AJ472"/>
  <c r="AJ517"/>
  <c r="AJ110"/>
  <c r="AK110" s="1"/>
  <c r="AJ112"/>
  <c r="AJ142"/>
  <c r="AR142" s="1"/>
  <c r="AJ42"/>
  <c r="AR42" s="1"/>
  <c r="AJ403"/>
  <c r="AR403" s="1"/>
  <c r="AJ365"/>
  <c r="AR365" s="1"/>
  <c r="AJ119"/>
  <c r="AR119" s="1"/>
  <c r="AJ140"/>
  <c r="AJ43"/>
  <c r="AR43" s="1"/>
  <c r="AJ44"/>
  <c r="AJ468"/>
  <c r="AR468" s="1"/>
  <c r="AJ463"/>
  <c r="AR463" s="1"/>
  <c r="AJ415"/>
  <c r="AR415" s="1"/>
  <c r="AJ34"/>
  <c r="AR34" s="1"/>
  <c r="AJ318"/>
  <c r="AK318" s="1"/>
  <c r="AJ94"/>
  <c r="AR94" s="1"/>
  <c r="AJ125"/>
  <c r="AK125" s="1"/>
  <c r="AJ106"/>
  <c r="AJ120"/>
  <c r="AJ470"/>
  <c r="AR470" s="1"/>
  <c r="AJ410"/>
  <c r="AR410" s="1"/>
  <c r="AJ122"/>
  <c r="AR122" s="1"/>
  <c r="AJ33"/>
  <c r="AK33" s="1"/>
  <c r="AJ372"/>
  <c r="AK372" s="1"/>
  <c r="AJ32"/>
  <c r="AJ162"/>
  <c r="AR162" s="1"/>
  <c r="AJ31"/>
  <c r="AK31" s="1"/>
  <c r="AJ229"/>
  <c r="AK229" s="1"/>
  <c r="AJ30"/>
  <c r="AJ2"/>
  <c r="AJ103"/>
  <c r="AR103" s="1"/>
  <c r="AJ375"/>
  <c r="AR375" s="1"/>
  <c r="AJ308"/>
  <c r="AR308" s="1"/>
  <c r="AJ248"/>
  <c r="AR248" s="1"/>
  <c r="AJ256"/>
  <c r="AR256" s="1"/>
  <c r="AJ296"/>
  <c r="AR296" s="1"/>
  <c r="AJ259"/>
  <c r="AR259" s="1"/>
  <c r="AJ459"/>
  <c r="AR459" s="1"/>
  <c r="AJ497"/>
  <c r="AR497" s="1"/>
  <c r="AJ267"/>
  <c r="AR267" s="1"/>
  <c r="AJ177"/>
  <c r="AR177" s="1"/>
  <c r="AJ182"/>
  <c r="AR182" s="1"/>
  <c r="AJ218"/>
  <c r="AR218" s="1"/>
  <c r="AJ173"/>
  <c r="AR173" s="1"/>
  <c r="AJ223"/>
  <c r="AR223" s="1"/>
  <c r="AJ158"/>
  <c r="AR158" s="1"/>
  <c r="AJ265"/>
  <c r="AR265" s="1"/>
  <c r="AJ226"/>
  <c r="AR226" s="1"/>
  <c r="AJ404"/>
  <c r="AR404" s="1"/>
  <c r="AJ466"/>
  <c r="AR466" s="1"/>
  <c r="AJ167"/>
  <c r="AR167" s="1"/>
  <c r="AJ444"/>
  <c r="AR444" s="1"/>
  <c r="AJ378"/>
  <c r="AR378" s="1"/>
  <c r="AJ41"/>
  <c r="AR41" s="1"/>
  <c r="AJ277"/>
  <c r="AR277" s="1"/>
  <c r="AJ258"/>
  <c r="AR258" s="1"/>
  <c r="AJ386"/>
  <c r="AK386" s="1"/>
  <c r="AJ458"/>
  <c r="AR458" s="1"/>
  <c r="AJ144"/>
  <c r="AR144" s="1"/>
  <c r="AJ312"/>
  <c r="AR312" s="1"/>
  <c r="AJ510"/>
  <c r="AR510" s="1"/>
  <c r="AJ482"/>
  <c r="AR482" s="1"/>
  <c r="AJ411"/>
  <c r="AR411" s="1"/>
  <c r="AJ323"/>
  <c r="AR323" s="1"/>
  <c r="AJ492"/>
  <c r="AR492" s="1"/>
  <c r="AJ90"/>
  <c r="AR90" s="1"/>
  <c r="AJ429"/>
  <c r="AR429" s="1"/>
  <c r="AJ469"/>
  <c r="AR469" s="1"/>
  <c r="AJ480"/>
  <c r="AR480" s="1"/>
  <c r="AJ221"/>
  <c r="AR221" s="1"/>
  <c r="AJ85"/>
  <c r="AR85" s="1"/>
  <c r="AJ397"/>
  <c r="AR397" s="1"/>
  <c r="AJ441"/>
  <c r="AR441" s="1"/>
  <c r="AJ436"/>
  <c r="AR436" s="1"/>
  <c r="AJ413"/>
  <c r="AR413" s="1"/>
  <c r="AJ93"/>
  <c r="AR93" s="1"/>
  <c r="AJ91"/>
  <c r="AR91" s="1"/>
  <c r="AJ477"/>
  <c r="AR477" s="1"/>
  <c r="AJ476"/>
  <c r="AR476" s="1"/>
  <c r="AJ253"/>
  <c r="AR253" s="1"/>
  <c r="AJ249"/>
  <c r="AR249" s="1"/>
  <c r="AJ118"/>
  <c r="AR118" s="1"/>
  <c r="AJ77"/>
  <c r="AR77" s="1"/>
  <c r="AJ420"/>
  <c r="AR420" s="1"/>
  <c r="AJ433"/>
  <c r="AR433" s="1"/>
  <c r="AJ351"/>
  <c r="AR351" s="1"/>
  <c r="AJ390"/>
  <c r="AR390" s="1"/>
  <c r="AJ478"/>
  <c r="AR478" s="1"/>
  <c r="AJ189"/>
  <c r="AR189" s="1"/>
  <c r="AJ190"/>
  <c r="AR190" s="1"/>
  <c r="AJ191"/>
  <c r="AR191" s="1"/>
  <c r="AJ176"/>
  <c r="AR176" s="1"/>
  <c r="AJ233"/>
  <c r="AR233" s="1"/>
  <c r="AJ181"/>
  <c r="AR181" s="1"/>
  <c r="AJ184"/>
  <c r="AR184" s="1"/>
  <c r="AJ347"/>
  <c r="AR347" s="1"/>
  <c r="AJ234"/>
  <c r="AR234" s="1"/>
  <c r="AJ230"/>
  <c r="AR230" s="1"/>
  <c r="AJ325"/>
  <c r="AR325" s="1"/>
  <c r="AJ355"/>
  <c r="AR355" s="1"/>
  <c r="AJ295"/>
  <c r="AR295" s="1"/>
  <c r="AJ382"/>
  <c r="AR382" s="1"/>
  <c r="AJ362"/>
  <c r="AR362" s="1"/>
  <c r="AJ319"/>
  <c r="AR319" s="1"/>
  <c r="AJ315"/>
  <c r="AR315" s="1"/>
  <c r="AJ313"/>
  <c r="AR313" s="1"/>
  <c r="AJ430"/>
  <c r="AR430" s="1"/>
  <c r="AJ438"/>
  <c r="AR438" s="1"/>
  <c r="AJ298"/>
  <c r="AR298" s="1"/>
  <c r="AJ202"/>
  <c r="AR202" s="1"/>
  <c r="AJ387"/>
  <c r="AR387" s="1"/>
  <c r="AJ337"/>
  <c r="AR337" s="1"/>
  <c r="AJ402"/>
  <c r="AR402" s="1"/>
  <c r="AJ369"/>
  <c r="AR369" s="1"/>
  <c r="AJ434"/>
  <c r="AR434" s="1"/>
  <c r="AJ457"/>
  <c r="AR457" s="1"/>
  <c r="AJ377"/>
  <c r="AR377" s="1"/>
  <c r="AJ379"/>
  <c r="AR379" s="1"/>
  <c r="AJ383"/>
  <c r="AR383" s="1"/>
  <c r="AJ407"/>
  <c r="AR407" s="1"/>
  <c r="AJ408"/>
  <c r="AR408" s="1"/>
  <c r="AJ500"/>
  <c r="AR500" s="1"/>
  <c r="AJ245"/>
  <c r="AR245" s="1"/>
  <c r="AJ336"/>
  <c r="AR336" s="1"/>
  <c r="AJ350"/>
  <c r="AR350" s="1"/>
  <c r="AJ333"/>
  <c r="AR333" s="1"/>
  <c r="AJ330"/>
  <c r="AR330" s="1"/>
  <c r="AJ486"/>
  <c r="AR486" s="1"/>
  <c r="AJ364"/>
  <c r="AR364" s="1"/>
  <c r="AJ391"/>
  <c r="AR391" s="1"/>
  <c r="AJ446"/>
  <c r="AR446" s="1"/>
  <c r="AJ427"/>
  <c r="AR427" s="1"/>
  <c r="AJ201"/>
  <c r="AR201" s="1"/>
  <c r="AJ188"/>
  <c r="AR188" s="1"/>
  <c r="AJ447"/>
  <c r="AR447" s="1"/>
  <c r="AJ448"/>
  <c r="AR448" s="1"/>
  <c r="AJ460"/>
  <c r="AR460" s="1"/>
  <c r="AJ462"/>
  <c r="AR462" s="1"/>
  <c r="AJ278"/>
  <c r="AR278" s="1"/>
  <c r="AJ294"/>
  <c r="AR294" s="1"/>
  <c r="AJ282"/>
  <c r="AR282" s="1"/>
  <c r="AJ421"/>
  <c r="AR421" s="1"/>
  <c r="AJ271"/>
  <c r="AR271" s="1"/>
  <c r="AJ303"/>
  <c r="AR303" s="1"/>
  <c r="AJ254"/>
  <c r="AR254" s="1"/>
  <c r="AJ128"/>
  <c r="AR128" s="1"/>
  <c r="AJ139"/>
  <c r="AR139" s="1"/>
  <c r="AJ280"/>
  <c r="AR280" s="1"/>
  <c r="AJ284"/>
  <c r="AR284" s="1"/>
  <c r="AJ225"/>
  <c r="AR225" s="1"/>
  <c r="AJ287"/>
  <c r="AR287" s="1"/>
  <c r="AJ345"/>
  <c r="AR345" s="1"/>
  <c r="AJ261"/>
  <c r="AR261" s="1"/>
  <c r="AJ227"/>
  <c r="AR227" s="1"/>
  <c r="AJ281"/>
  <c r="AR281" s="1"/>
  <c r="AJ302"/>
  <c r="AK302" s="1"/>
  <c r="AJ161"/>
  <c r="AR161" s="1"/>
  <c r="AJ147"/>
  <c r="AR147" s="1"/>
  <c r="AJ348"/>
  <c r="AR348" s="1"/>
  <c r="AJ393"/>
  <c r="AR393" s="1"/>
  <c r="AJ219"/>
  <c r="AR219" s="1"/>
  <c r="AJ388"/>
  <c r="AR388" s="1"/>
  <c r="AJ305"/>
  <c r="AR305" s="1"/>
  <c r="AJ498"/>
  <c r="AR498" s="1"/>
  <c r="AJ493"/>
  <c r="AR493" s="1"/>
  <c r="AJ343"/>
  <c r="AR343" s="1"/>
  <c r="AJ366"/>
  <c r="AR366" s="1"/>
  <c r="AJ69"/>
  <c r="AR69" s="1"/>
  <c r="AJ70"/>
  <c r="AR70" s="1"/>
  <c r="AJ20"/>
  <c r="AR20" s="1"/>
  <c r="AJ400"/>
  <c r="AR400" s="1"/>
  <c r="AJ275"/>
  <c r="AR275" s="1"/>
  <c r="AJ266"/>
  <c r="AR266" s="1"/>
  <c r="AJ442"/>
  <c r="AR442" s="1"/>
  <c r="AJ451"/>
  <c r="AR451" s="1"/>
  <c r="AJ255"/>
  <c r="AR255" s="1"/>
  <c r="AJ310"/>
  <c r="AR310" s="1"/>
  <c r="AJ309"/>
  <c r="AR309" s="1"/>
  <c r="AJ185"/>
  <c r="AR185" s="1"/>
  <c r="AJ363"/>
  <c r="AR363" s="1"/>
  <c r="AJ488"/>
  <c r="AR488" s="1"/>
  <c r="AJ213"/>
  <c r="AR213" s="1"/>
  <c r="AJ506"/>
  <c r="AR506" s="1"/>
  <c r="AJ269"/>
  <c r="AR269" s="1"/>
  <c r="AJ514"/>
  <c r="AR514" s="1"/>
  <c r="AJ483"/>
  <c r="AR483" s="1"/>
  <c r="AJ186"/>
  <c r="AR186" s="1"/>
  <c r="AJ180"/>
  <c r="AR180" s="1"/>
  <c r="AJ384"/>
  <c r="AR384" s="1"/>
  <c r="AJ99"/>
  <c r="AR99" s="1"/>
  <c r="AJ27"/>
  <c r="AR27" s="1"/>
  <c r="AJ394"/>
  <c r="AR394" s="1"/>
  <c r="AJ331"/>
  <c r="AR331" s="1"/>
  <c r="AJ326"/>
  <c r="AR326" s="1"/>
  <c r="N5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AL321" i="1" l="1"/>
  <c r="R80" i="14"/>
  <c r="AL59" i="1"/>
  <c r="AK59"/>
  <c r="AR59"/>
  <c r="AR209"/>
  <c r="AL205"/>
  <c r="AL209"/>
  <c r="AK205"/>
  <c r="AR205"/>
  <c r="AR62"/>
  <c r="AK62"/>
  <c r="AR491"/>
  <c r="AK491"/>
  <c r="AK358"/>
  <c r="AR358"/>
  <c r="AR35"/>
  <c r="AK35"/>
  <c r="AK412"/>
  <c r="AR412"/>
  <c r="AK252"/>
  <c r="AR252"/>
  <c r="AK89"/>
  <c r="AR89"/>
  <c r="AL491"/>
  <c r="AL204"/>
  <c r="AL252"/>
  <c r="AL197"/>
  <c r="AL409"/>
  <c r="AL358"/>
  <c r="AL341"/>
  <c r="AL263"/>
  <c r="AL89"/>
  <c r="AL133"/>
  <c r="AL412"/>
  <c r="AL62"/>
  <c r="AL445"/>
  <c r="AL262"/>
  <c r="AL35"/>
  <c r="AK133"/>
  <c r="AR133"/>
  <c r="AR263"/>
  <c r="AK263"/>
  <c r="AR197"/>
  <c r="AK197"/>
  <c r="AK409"/>
  <c r="AR409"/>
  <c r="AR445"/>
  <c r="AK445"/>
  <c r="AK262"/>
  <c r="AR262"/>
  <c r="AK204"/>
  <c r="AR204"/>
  <c r="AK341"/>
  <c r="AR341"/>
  <c r="AL57"/>
  <c r="AL58"/>
  <c r="AK58"/>
  <c r="AR58"/>
  <c r="AK57"/>
  <c r="AR57"/>
  <c r="AL398"/>
  <c r="AK398"/>
  <c r="AR398"/>
  <c r="AL453"/>
  <c r="AR293"/>
  <c r="AK453"/>
  <c r="AR453"/>
  <c r="AL37"/>
  <c r="AL293"/>
  <c r="AK37"/>
  <c r="AR37"/>
  <c r="AK473"/>
  <c r="AR473"/>
  <c r="AK220"/>
  <c r="AR220"/>
  <c r="AL220"/>
  <c r="AL481"/>
  <c r="AL105"/>
  <c r="AL111"/>
  <c r="AL467"/>
  <c r="AL473"/>
  <c r="AK467"/>
  <c r="AR467"/>
  <c r="AK105"/>
  <c r="AR105"/>
  <c r="AK111"/>
  <c r="AR111"/>
  <c r="AK481"/>
  <c r="AR481"/>
  <c r="AK273"/>
  <c r="AR273"/>
  <c r="AR512"/>
  <c r="AK512"/>
  <c r="AL149"/>
  <c r="AL68"/>
  <c r="AL203"/>
  <c r="AL129"/>
  <c r="AL65"/>
  <c r="AL512"/>
  <c r="AL471"/>
  <c r="AL273"/>
  <c r="AR65"/>
  <c r="AK65"/>
  <c r="AK149"/>
  <c r="AR149"/>
  <c r="AK129"/>
  <c r="AR129"/>
  <c r="AR203"/>
  <c r="AK203"/>
  <c r="AK471"/>
  <c r="AR471"/>
  <c r="AR68"/>
  <c r="AK68"/>
  <c r="AL440"/>
  <c r="AL417"/>
  <c r="AL496"/>
  <c r="AL361"/>
  <c r="AK361"/>
  <c r="AR361"/>
  <c r="AK496"/>
  <c r="AR496"/>
  <c r="AK417"/>
  <c r="AR417"/>
  <c r="AK440"/>
  <c r="AR440"/>
  <c r="AL146"/>
  <c r="AL130"/>
  <c r="AK130"/>
  <c r="AR130"/>
  <c r="AK146"/>
  <c r="AR146"/>
  <c r="AL143"/>
  <c r="AK143"/>
  <c r="AR143"/>
  <c r="AK507"/>
  <c r="AR507"/>
  <c r="AL501"/>
  <c r="AL507"/>
  <c r="AK501"/>
  <c r="AR501"/>
  <c r="AL335"/>
  <c r="AL374"/>
  <c r="AK374"/>
  <c r="AR374"/>
  <c r="AK335"/>
  <c r="AR335"/>
  <c r="AL452"/>
  <c r="AR485"/>
  <c r="AK452"/>
  <c r="AR452"/>
  <c r="AL268"/>
  <c r="AL485"/>
  <c r="AK268"/>
  <c r="AR268"/>
  <c r="AL52"/>
  <c r="AK52"/>
  <c r="AR52"/>
  <c r="AL244"/>
  <c r="AL171"/>
  <c r="AK171"/>
  <c r="AR171"/>
  <c r="AK244"/>
  <c r="AR244"/>
  <c r="AR299"/>
  <c r="AL17"/>
  <c r="AL299"/>
  <c r="AK17"/>
  <c r="AR17"/>
  <c r="AR104"/>
  <c r="AR356"/>
  <c r="AR39"/>
  <c r="AL38"/>
  <c r="AL39"/>
  <c r="AK38"/>
  <c r="AR38"/>
  <c r="AL116"/>
  <c r="AL356"/>
  <c r="AK116"/>
  <c r="AR116"/>
  <c r="AL123"/>
  <c r="AL104"/>
  <c r="AK123"/>
  <c r="AR123"/>
  <c r="AK264"/>
  <c r="AR264"/>
  <c r="AL381"/>
  <c r="AL360"/>
  <c r="AL324"/>
  <c r="AL264"/>
  <c r="AK324"/>
  <c r="AR324"/>
  <c r="AK360"/>
  <c r="AR360"/>
  <c r="AK381"/>
  <c r="AR381"/>
  <c r="AK455"/>
  <c r="AR455"/>
  <c r="AK15"/>
  <c r="AR15"/>
  <c r="AL385"/>
  <c r="AL86"/>
  <c r="AL231"/>
  <c r="AL15"/>
  <c r="AL179"/>
  <c r="AL423"/>
  <c r="AL154"/>
  <c r="AL455"/>
  <c r="AK154"/>
  <c r="AR154"/>
  <c r="AK231"/>
  <c r="AR231"/>
  <c r="AK423"/>
  <c r="AR423"/>
  <c r="AK86"/>
  <c r="AR86"/>
  <c r="AK179"/>
  <c r="AR179"/>
  <c r="AK385"/>
  <c r="AR385"/>
  <c r="AL211"/>
  <c r="AL327"/>
  <c r="AK327"/>
  <c r="AR327"/>
  <c r="AK211"/>
  <c r="AR211"/>
  <c r="AL475"/>
  <c r="AL60"/>
  <c r="AL474"/>
  <c r="AL479"/>
  <c r="AL64"/>
  <c r="AR479"/>
  <c r="AK479"/>
  <c r="AK475"/>
  <c r="AR475"/>
  <c r="AK60"/>
  <c r="AR60"/>
  <c r="AR64"/>
  <c r="AK64"/>
  <c r="AK474"/>
  <c r="AR474"/>
  <c r="AK166"/>
  <c r="AR166"/>
  <c r="AK22"/>
  <c r="AR22"/>
  <c r="AL148"/>
  <c r="AL22"/>
  <c r="AL121"/>
  <c r="AL165"/>
  <c r="AL316"/>
  <c r="AL124"/>
  <c r="AL297"/>
  <c r="AL135"/>
  <c r="AL166"/>
  <c r="AK124"/>
  <c r="AR124"/>
  <c r="AK148"/>
  <c r="AR148"/>
  <c r="AK135"/>
  <c r="AR135"/>
  <c r="AK316"/>
  <c r="AR316"/>
  <c r="AK297"/>
  <c r="AR297"/>
  <c r="AK121"/>
  <c r="AR121"/>
  <c r="AK165"/>
  <c r="AR165"/>
  <c r="AK250"/>
  <c r="AR250"/>
  <c r="AK247"/>
  <c r="AR247"/>
  <c r="AK126"/>
  <c r="AR126"/>
  <c r="AK224"/>
  <c r="AR224"/>
  <c r="AL187"/>
  <c r="AL224"/>
  <c r="AL134"/>
  <c r="AL247"/>
  <c r="AL76"/>
  <c r="AL215"/>
  <c r="AL250"/>
  <c r="AL126"/>
  <c r="AL100"/>
  <c r="AL291"/>
  <c r="AK100"/>
  <c r="AR100"/>
  <c r="AK215"/>
  <c r="AR215"/>
  <c r="AK187"/>
  <c r="AR187"/>
  <c r="AK291"/>
  <c r="AR291"/>
  <c r="AK76"/>
  <c r="AR76"/>
  <c r="AK134"/>
  <c r="AR134"/>
  <c r="AR322"/>
  <c r="AR242"/>
  <c r="AR174"/>
  <c r="AR200"/>
  <c r="AR175"/>
  <c r="AL241"/>
  <c r="AL200"/>
  <c r="AK241"/>
  <c r="AR241"/>
  <c r="AL426"/>
  <c r="AL174"/>
  <c r="AK426"/>
  <c r="AR426"/>
  <c r="AL286"/>
  <c r="AL242"/>
  <c r="AK286"/>
  <c r="AR286"/>
  <c r="AL175"/>
  <c r="AL322"/>
  <c r="AR513"/>
  <c r="AL513"/>
  <c r="AL519"/>
  <c r="AK519"/>
  <c r="AR519"/>
  <c r="AL132"/>
  <c r="AK132"/>
  <c r="AR132"/>
  <c r="AL87"/>
  <c r="AR92"/>
  <c r="AK87"/>
  <c r="AR87"/>
  <c r="AL88"/>
  <c r="AL92"/>
  <c r="AR88"/>
  <c r="AL328"/>
  <c r="AK328"/>
  <c r="AR328"/>
  <c r="AL495"/>
  <c r="AK495"/>
  <c r="AR495"/>
  <c r="AL21"/>
  <c r="AL499"/>
  <c r="AK499"/>
  <c r="AR499"/>
  <c r="AK21"/>
  <c r="AR21"/>
  <c r="AL509"/>
  <c r="AL504"/>
  <c r="AK504"/>
  <c r="AR504"/>
  <c r="AR509"/>
  <c r="AL359"/>
  <c r="AL370"/>
  <c r="AK370"/>
  <c r="AR370"/>
  <c r="AK359"/>
  <c r="AR359"/>
  <c r="AL425"/>
  <c r="AR425"/>
  <c r="AL235"/>
  <c r="AK235"/>
  <c r="AR235"/>
  <c r="AL354"/>
  <c r="AL454"/>
  <c r="AK454"/>
  <c r="AR454"/>
  <c r="AK354"/>
  <c r="AR354"/>
  <c r="R37" i="14"/>
  <c r="AL414" i="1"/>
  <c r="AL396"/>
  <c r="AR414"/>
  <c r="AK396"/>
  <c r="AR396"/>
  <c r="AL4"/>
  <c r="R17" i="14"/>
  <c r="AR3" i="1"/>
  <c r="AK4"/>
  <c r="AR4"/>
  <c r="AL428"/>
  <c r="AL3"/>
  <c r="AR428"/>
  <c r="R41" i="14"/>
  <c r="R57"/>
  <c r="R22"/>
  <c r="R74"/>
  <c r="R66"/>
  <c r="R69"/>
  <c r="R42"/>
  <c r="R77"/>
  <c r="R85"/>
  <c r="R53"/>
  <c r="R58"/>
  <c r="R70"/>
  <c r="AR443" i="1"/>
  <c r="AL443"/>
  <c r="AL437"/>
  <c r="AK437"/>
  <c r="AR437"/>
  <c r="AL344"/>
  <c r="AK344"/>
  <c r="AR344"/>
  <c r="AL279"/>
  <c r="AK279"/>
  <c r="AR279"/>
  <c r="AL53"/>
  <c r="AR53"/>
  <c r="AL18"/>
  <c r="AR18"/>
  <c r="AR9"/>
  <c r="AL9"/>
  <c r="AL155"/>
  <c r="AR155"/>
  <c r="AK155"/>
  <c r="AL307"/>
  <c r="AL320"/>
  <c r="AK320"/>
  <c r="AR320"/>
  <c r="AR307"/>
  <c r="AR108"/>
  <c r="AK47"/>
  <c r="AL47"/>
  <c r="AL108"/>
  <c r="AR46"/>
  <c r="AL46"/>
  <c r="AL98"/>
  <c r="AK98"/>
  <c r="AR98"/>
  <c r="AL131"/>
  <c r="AR131"/>
  <c r="AL422"/>
  <c r="AR422"/>
  <c r="AR156"/>
  <c r="AL156"/>
  <c r="AL127"/>
  <c r="AK127"/>
  <c r="AR127"/>
  <c r="AR141"/>
  <c r="AL141"/>
  <c r="AL102"/>
  <c r="AK102"/>
  <c r="AR102"/>
  <c r="AR456"/>
  <c r="AL456"/>
  <c r="AL487"/>
  <c r="AK487"/>
  <c r="AR487"/>
  <c r="AR228"/>
  <c r="AL228"/>
  <c r="AL222"/>
  <c r="AK222"/>
  <c r="AR222"/>
  <c r="AL13"/>
  <c r="AK13"/>
  <c r="AR13"/>
  <c r="AR212"/>
  <c r="AL212"/>
  <c r="AL232"/>
  <c r="AK232"/>
  <c r="AR232"/>
  <c r="AR157"/>
  <c r="AL153"/>
  <c r="AL157"/>
  <c r="AK153"/>
  <c r="AR153"/>
  <c r="AR84"/>
  <c r="AL101"/>
  <c r="AL84"/>
  <c r="AR101"/>
  <c r="AR346"/>
  <c r="AL24"/>
  <c r="AL346"/>
  <c r="AR24"/>
  <c r="AR78"/>
  <c r="AL214"/>
  <c r="AL78"/>
  <c r="AR214"/>
  <c r="AL55"/>
  <c r="AL56"/>
  <c r="AK56"/>
  <c r="AR56"/>
  <c r="AR55"/>
  <c r="AL292"/>
  <c r="AL301"/>
  <c r="AK301"/>
  <c r="AR301"/>
  <c r="AK292"/>
  <c r="AR292"/>
  <c r="AL431"/>
  <c r="AR431"/>
  <c r="AR217"/>
  <c r="AL217"/>
  <c r="AL54"/>
  <c r="AR54"/>
  <c r="AR406"/>
  <c r="AL406"/>
  <c r="AL239"/>
  <c r="AK239"/>
  <c r="AR239"/>
  <c r="AR237"/>
  <c r="AL237"/>
  <c r="AR107"/>
  <c r="AK114"/>
  <c r="AR114"/>
  <c r="AL107"/>
  <c r="AL114"/>
  <c r="AR192"/>
  <c r="AL192"/>
  <c r="AL194"/>
  <c r="AK194"/>
  <c r="AR194"/>
  <c r="AL199"/>
  <c r="AK199"/>
  <c r="AR199"/>
  <c r="AL520"/>
  <c r="AK520"/>
  <c r="AR520"/>
  <c r="AL207"/>
  <c r="AR207"/>
  <c r="AL395"/>
  <c r="AL399"/>
  <c r="AL464"/>
  <c r="AK464"/>
  <c r="AR464"/>
  <c r="AK399"/>
  <c r="AR399"/>
  <c r="AK395"/>
  <c r="AR395"/>
  <c r="AL339"/>
  <c r="AK339"/>
  <c r="AR339"/>
  <c r="AL368"/>
  <c r="AK368"/>
  <c r="AL74"/>
  <c r="AR74"/>
  <c r="AL168"/>
  <c r="AK168"/>
  <c r="AR168"/>
  <c r="AL276"/>
  <c r="AR276"/>
  <c r="AL505"/>
  <c r="AR505"/>
  <c r="AR367"/>
  <c r="AL367"/>
  <c r="AL380"/>
  <c r="AK380"/>
  <c r="AR380"/>
  <c r="AL178"/>
  <c r="AR178"/>
  <c r="AR196"/>
  <c r="AL196"/>
  <c r="AL163"/>
  <c r="AK163"/>
  <c r="AR163"/>
  <c r="AR290"/>
  <c r="AL193"/>
  <c r="AL290"/>
  <c r="AK193"/>
  <c r="AR193"/>
  <c r="AR5"/>
  <c r="AL5"/>
  <c r="AL283"/>
  <c r="AK283"/>
  <c r="AR283"/>
  <c r="AL61"/>
  <c r="AR61"/>
  <c r="AK11"/>
  <c r="AK169"/>
  <c r="AR169"/>
  <c r="AL11"/>
  <c r="AL169"/>
  <c r="AL243"/>
  <c r="AK243"/>
  <c r="AR243"/>
  <c r="AL357"/>
  <c r="AK357"/>
  <c r="AR357"/>
  <c r="AR502"/>
  <c r="AK511"/>
  <c r="AR511"/>
  <c r="AL502"/>
  <c r="AL511"/>
  <c r="AL376"/>
  <c r="AR376"/>
  <c r="AR516"/>
  <c r="AL516"/>
  <c r="AL515"/>
  <c r="AK515"/>
  <c r="AR515"/>
  <c r="AL210"/>
  <c r="AR210"/>
  <c r="AL373"/>
  <c r="AR373"/>
  <c r="AL352"/>
  <c r="AK352"/>
  <c r="AR352"/>
  <c r="AL419"/>
  <c r="AR419"/>
  <c r="AR349"/>
  <c r="AL329"/>
  <c r="AL349"/>
  <c r="AK329"/>
  <c r="AR329"/>
  <c r="AL405"/>
  <c r="AR405"/>
  <c r="AR6"/>
  <c r="AK236"/>
  <c r="AR236"/>
  <c r="AL6"/>
  <c r="AL236"/>
  <c r="AL465"/>
  <c r="AR465"/>
  <c r="R23" i="14"/>
  <c r="R67"/>
  <c r="R63"/>
  <c r="R65"/>
  <c r="R81"/>
  <c r="R73"/>
  <c r="AL289" i="1"/>
  <c r="AK289"/>
  <c r="AL353"/>
  <c r="AK353"/>
  <c r="AL401"/>
  <c r="AK401"/>
  <c r="AL274"/>
  <c r="AK274"/>
  <c r="AL392"/>
  <c r="AK392"/>
  <c r="AR392"/>
  <c r="AL332"/>
  <c r="AK332"/>
  <c r="AR332"/>
  <c r="AL183"/>
  <c r="AK183"/>
  <c r="AL23"/>
  <c r="AK23"/>
  <c r="AK257"/>
  <c r="AK480"/>
  <c r="AL257"/>
  <c r="AK429"/>
  <c r="AK167"/>
  <c r="AK497"/>
  <c r="AK379"/>
  <c r="AK144"/>
  <c r="AK468"/>
  <c r="AK277"/>
  <c r="AK411"/>
  <c r="AK218"/>
  <c r="AK177"/>
  <c r="AK518"/>
  <c r="AK282"/>
  <c r="AK254"/>
  <c r="AK477"/>
  <c r="AL12"/>
  <c r="AL518"/>
  <c r="AK390"/>
  <c r="AK12"/>
  <c r="AR12"/>
  <c r="AK434"/>
  <c r="AK492"/>
  <c r="AK377"/>
  <c r="AK347"/>
  <c r="AK441"/>
  <c r="AK510"/>
  <c r="AK364"/>
  <c r="AK202"/>
  <c r="AK93"/>
  <c r="AK482"/>
  <c r="AK469"/>
  <c r="AK448"/>
  <c r="AK451"/>
  <c r="AK253"/>
  <c r="AK436"/>
  <c r="AK265"/>
  <c r="AK305"/>
  <c r="AK182"/>
  <c r="AK294"/>
  <c r="AK350"/>
  <c r="AK298"/>
  <c r="AK249"/>
  <c r="AK458"/>
  <c r="AK466"/>
  <c r="AK400"/>
  <c r="AK303"/>
  <c r="AK91"/>
  <c r="AK41"/>
  <c r="AK459"/>
  <c r="AK449"/>
  <c r="AK343"/>
  <c r="AK476"/>
  <c r="AK413"/>
  <c r="AK85"/>
  <c r="AK259"/>
  <c r="AK308"/>
  <c r="AK375"/>
  <c r="AK226"/>
  <c r="AK25"/>
  <c r="AK227"/>
  <c r="AR318"/>
  <c r="AR508"/>
  <c r="AK164"/>
  <c r="AK272"/>
  <c r="AR272"/>
  <c r="AK310"/>
  <c r="AR71"/>
  <c r="AK2"/>
  <c r="AL272"/>
  <c r="AK255"/>
  <c r="AK323"/>
  <c r="AK312"/>
  <c r="AK258"/>
  <c r="AK488"/>
  <c r="AK266"/>
  <c r="AK161"/>
  <c r="AK188"/>
  <c r="AK478"/>
  <c r="AK444"/>
  <c r="AK267"/>
  <c r="AK296"/>
  <c r="AR82"/>
  <c r="AR311"/>
  <c r="AK514"/>
  <c r="AK387"/>
  <c r="AK418"/>
  <c r="AK348"/>
  <c r="AK280"/>
  <c r="AK278"/>
  <c r="AK500"/>
  <c r="AK457"/>
  <c r="AK313"/>
  <c r="AK351"/>
  <c r="AK221"/>
  <c r="AK315"/>
  <c r="AK122"/>
  <c r="AR490"/>
  <c r="AK484"/>
  <c r="AR26"/>
  <c r="AR75"/>
  <c r="AK96"/>
  <c r="AK246"/>
  <c r="AR229"/>
  <c r="AK208"/>
  <c r="AK460"/>
  <c r="AR31"/>
  <c r="AK410"/>
  <c r="AR10"/>
  <c r="AR51"/>
  <c r="AK162"/>
  <c r="AR33"/>
  <c r="AR125"/>
  <c r="AK34"/>
  <c r="AK73"/>
  <c r="AK36"/>
  <c r="AK300"/>
  <c r="AK80"/>
  <c r="AK29"/>
  <c r="AK186"/>
  <c r="AK388"/>
  <c r="AK139"/>
  <c r="AK336"/>
  <c r="AR110"/>
  <c r="AK14"/>
  <c r="AK314"/>
  <c r="AR334"/>
  <c r="AK439"/>
  <c r="AK152"/>
  <c r="AK447"/>
  <c r="AK185"/>
  <c r="AK275"/>
  <c r="AK366"/>
  <c r="AK393"/>
  <c r="AK287"/>
  <c r="AK271"/>
  <c r="AK201"/>
  <c r="AK486"/>
  <c r="AK319"/>
  <c r="AK415"/>
  <c r="AK403"/>
  <c r="AK7"/>
  <c r="AK95"/>
  <c r="AK180"/>
  <c r="R68" i="14"/>
  <c r="R64"/>
  <c r="AK331" i="1"/>
  <c r="R76" i="14"/>
  <c r="R56"/>
  <c r="R48"/>
  <c r="R43"/>
  <c r="R83"/>
  <c r="AK493" i="1"/>
  <c r="AK225"/>
  <c r="AK128"/>
  <c r="AK421"/>
  <c r="AK462"/>
  <c r="AK326"/>
  <c r="AK470"/>
  <c r="AK94"/>
  <c r="AK463"/>
  <c r="AK43"/>
  <c r="AK119"/>
  <c r="AK42"/>
  <c r="AK45"/>
  <c r="AK251"/>
  <c r="AK238"/>
  <c r="AK28"/>
  <c r="AK461"/>
  <c r="AK288"/>
  <c r="AK48"/>
  <c r="AK63"/>
  <c r="AK170"/>
  <c r="R72" i="14"/>
  <c r="R47"/>
  <c r="R24"/>
  <c r="R78"/>
  <c r="R86"/>
  <c r="R62"/>
  <c r="R71"/>
  <c r="R59"/>
  <c r="R79"/>
  <c r="R75"/>
  <c r="R82"/>
  <c r="AK483" i="1"/>
  <c r="AK309"/>
  <c r="AK442"/>
  <c r="AK20"/>
  <c r="AK498"/>
  <c r="AK219"/>
  <c r="AK147"/>
  <c r="AK284"/>
  <c r="AK245"/>
  <c r="AK142"/>
  <c r="AK49"/>
  <c r="AK145"/>
  <c r="AK138"/>
  <c r="AK260"/>
  <c r="AK160"/>
  <c r="AK270"/>
  <c r="AK306"/>
  <c r="AK172"/>
  <c r="AK16"/>
  <c r="AK117"/>
  <c r="AK435"/>
  <c r="AK416"/>
  <c r="AK198"/>
  <c r="AK109"/>
  <c r="AK19"/>
  <c r="AL72"/>
  <c r="AL81"/>
  <c r="AK81"/>
  <c r="AR81"/>
  <c r="AK72"/>
  <c r="AR72"/>
  <c r="AL216"/>
  <c r="AL304"/>
  <c r="AK304"/>
  <c r="AR304"/>
  <c r="AK216"/>
  <c r="AR216"/>
  <c r="AL19"/>
  <c r="AL338"/>
  <c r="AK338"/>
  <c r="AR338"/>
  <c r="AL109"/>
  <c r="AL115"/>
  <c r="AK115"/>
  <c r="AR115"/>
  <c r="AR342"/>
  <c r="AL342"/>
  <c r="AL40"/>
  <c r="AK40"/>
  <c r="AR40"/>
  <c r="AL449"/>
  <c r="AL450"/>
  <c r="AK450"/>
  <c r="AR450"/>
  <c r="AL95"/>
  <c r="AL66"/>
  <c r="AK66"/>
  <c r="AR66"/>
  <c r="AL29"/>
  <c r="AL246"/>
  <c r="AL198"/>
  <c r="AL416"/>
  <c r="AL494"/>
  <c r="AK494"/>
  <c r="AR494"/>
  <c r="AL435"/>
  <c r="AL432"/>
  <c r="AK432"/>
  <c r="AR432"/>
  <c r="AL170"/>
  <c r="AL152"/>
  <c r="AL113"/>
  <c r="AK113"/>
  <c r="AR113"/>
  <c r="AL164"/>
  <c r="AL51"/>
  <c r="AL117"/>
  <c r="AL16"/>
  <c r="AL136"/>
  <c r="AK136"/>
  <c r="AR136"/>
  <c r="AL63"/>
  <c r="AL96"/>
  <c r="AL80"/>
  <c r="AL75"/>
  <c r="AL79"/>
  <c r="AK79"/>
  <c r="AR79"/>
  <c r="AL172"/>
  <c r="AL48"/>
  <c r="AL439"/>
  <c r="AL195"/>
  <c r="AK195"/>
  <c r="AR195"/>
  <c r="AL418"/>
  <c r="AL97"/>
  <c r="AK97"/>
  <c r="AR97"/>
  <c r="AL503"/>
  <c r="AL424"/>
  <c r="AK424"/>
  <c r="AR424"/>
  <c r="AK503"/>
  <c r="AR503"/>
  <c r="AL334"/>
  <c r="AL371"/>
  <c r="AK371"/>
  <c r="AR371"/>
  <c r="AL311"/>
  <c r="AL340"/>
  <c r="AK340"/>
  <c r="AR340"/>
  <c r="AL306"/>
  <c r="AL270"/>
  <c r="AL285"/>
  <c r="AK285"/>
  <c r="AR285"/>
  <c r="AL288"/>
  <c r="AL26"/>
  <c r="AL82"/>
  <c r="AL83"/>
  <c r="AK83"/>
  <c r="AR83"/>
  <c r="AL25"/>
  <c r="AL160"/>
  <c r="AL260"/>
  <c r="AL389"/>
  <c r="AK389"/>
  <c r="AR389"/>
  <c r="AL461"/>
  <c r="AL300"/>
  <c r="AL208"/>
  <c r="AL159"/>
  <c r="AK159"/>
  <c r="AR159"/>
  <c r="AL484"/>
  <c r="AL138"/>
  <c r="AL28"/>
  <c r="AR317"/>
  <c r="AL36"/>
  <c r="AL71"/>
  <c r="AL317"/>
  <c r="AL67"/>
  <c r="AK67"/>
  <c r="AR67"/>
  <c r="AL7"/>
  <c r="AL8"/>
  <c r="AK8"/>
  <c r="AR8"/>
  <c r="AL314"/>
  <c r="AL240"/>
  <c r="AK240"/>
  <c r="AR240"/>
  <c r="AL238"/>
  <c r="AL206"/>
  <c r="AK206"/>
  <c r="AR206"/>
  <c r="AL14"/>
  <c r="AL150"/>
  <c r="AL151"/>
  <c r="AK151"/>
  <c r="AR151"/>
  <c r="AK150"/>
  <c r="AR150"/>
  <c r="AL145"/>
  <c r="AL137"/>
  <c r="AK137"/>
  <c r="AR137"/>
  <c r="AL251"/>
  <c r="AL73"/>
  <c r="AL508"/>
  <c r="AL490"/>
  <c r="AL489"/>
  <c r="AK489"/>
  <c r="AR489"/>
  <c r="AL10"/>
  <c r="AR386"/>
  <c r="AL49"/>
  <c r="AL50"/>
  <c r="AK50"/>
  <c r="AR50"/>
  <c r="AL45"/>
  <c r="AL472"/>
  <c r="AL517"/>
  <c r="AK517"/>
  <c r="AR517"/>
  <c r="AK472"/>
  <c r="AR472"/>
  <c r="AL110"/>
  <c r="AL112"/>
  <c r="AK112"/>
  <c r="AR112"/>
  <c r="AL142"/>
  <c r="AL42"/>
  <c r="AL403"/>
  <c r="AL365"/>
  <c r="AK365"/>
  <c r="AL119"/>
  <c r="AL140"/>
  <c r="AK140"/>
  <c r="AR140"/>
  <c r="AL43"/>
  <c r="AL44"/>
  <c r="AK44"/>
  <c r="AR44"/>
  <c r="AL463"/>
  <c r="AL415"/>
  <c r="R31" i="14"/>
  <c r="R32"/>
  <c r="R33"/>
  <c r="R34"/>
  <c r="R52"/>
  <c r="R30"/>
  <c r="AL34" i="1"/>
  <c r="AL318"/>
  <c r="AL94"/>
  <c r="AL125"/>
  <c r="AL106"/>
  <c r="AL120"/>
  <c r="AK120"/>
  <c r="AR120"/>
  <c r="AK106"/>
  <c r="AR106"/>
  <c r="AL47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410" i="1"/>
  <c r="AL122"/>
  <c r="AR372"/>
  <c r="AL33"/>
  <c r="AL372"/>
  <c r="AL32"/>
  <c r="AK32"/>
  <c r="AR32"/>
  <c r="AL162"/>
  <c r="AL31"/>
  <c r="AL229"/>
  <c r="AL30"/>
  <c r="AK30"/>
  <c r="AR30"/>
  <c r="AR2"/>
  <c r="AR302"/>
  <c r="AL2"/>
  <c r="AL176"/>
  <c r="AL308"/>
  <c r="AL248"/>
  <c r="AL375"/>
  <c r="AL221"/>
  <c r="AL85"/>
  <c r="AL397"/>
  <c r="AL441"/>
  <c r="AL436"/>
  <c r="AL413"/>
  <c r="AL93"/>
  <c r="AL91"/>
  <c r="AL477"/>
  <c r="AL476"/>
  <c r="AL253"/>
  <c r="AL249"/>
  <c r="AL118"/>
  <c r="AL77"/>
  <c r="AL420"/>
  <c r="AL433"/>
  <c r="AL351"/>
  <c r="AL390"/>
  <c r="AL478"/>
  <c r="AL189"/>
  <c r="AL190"/>
  <c r="AL191"/>
  <c r="AL233"/>
  <c r="AL181"/>
  <c r="AL184"/>
  <c r="AL347"/>
  <c r="AL234"/>
  <c r="AL230"/>
  <c r="AL325"/>
  <c r="AL355"/>
  <c r="AL295"/>
  <c r="AL382"/>
  <c r="AL362"/>
  <c r="AL319"/>
  <c r="AL315"/>
  <c r="AL313"/>
  <c r="AL430"/>
  <c r="AL438"/>
  <c r="AL298"/>
  <c r="AL202"/>
  <c r="AL387"/>
  <c r="AL337"/>
  <c r="AL402"/>
  <c r="AL369"/>
  <c r="AL434"/>
  <c r="AL457"/>
  <c r="AL377"/>
  <c r="AL379"/>
  <c r="AL383"/>
  <c r="AL407"/>
  <c r="AL408"/>
  <c r="AL500"/>
  <c r="AL245"/>
  <c r="AL336"/>
  <c r="AL350"/>
  <c r="AL333"/>
  <c r="AL330"/>
  <c r="AL486"/>
  <c r="AL468"/>
  <c r="AL364"/>
  <c r="AL391"/>
  <c r="AL446"/>
  <c r="AL427"/>
  <c r="AL201"/>
  <c r="AL188"/>
  <c r="AL447"/>
  <c r="AL448"/>
  <c r="AL460"/>
  <c r="AL462"/>
  <c r="AL278"/>
  <c r="AL294"/>
  <c r="AL282"/>
  <c r="AL421"/>
  <c r="AL271"/>
  <c r="AL303"/>
  <c r="AL254"/>
  <c r="AL128"/>
  <c r="AL139"/>
  <c r="AL280"/>
  <c r="AL284"/>
  <c r="AL225"/>
  <c r="AL287"/>
  <c r="AL345"/>
  <c r="AL261"/>
  <c r="AL227"/>
  <c r="AL281"/>
  <c r="AL302"/>
  <c r="AL161"/>
  <c r="AL147"/>
  <c r="AL348"/>
  <c r="AL393"/>
  <c r="AL219"/>
  <c r="AL388"/>
  <c r="AL305"/>
  <c r="AL498"/>
  <c r="AL493"/>
  <c r="AL343"/>
  <c r="AL366"/>
  <c r="AL69"/>
  <c r="AL70"/>
  <c r="AL20"/>
  <c r="AL400"/>
  <c r="AL275"/>
  <c r="AL266"/>
  <c r="AL442"/>
  <c r="AL451"/>
  <c r="AL255"/>
  <c r="AL310"/>
  <c r="AL309"/>
  <c r="AL185"/>
  <c r="AL363"/>
  <c r="AL488"/>
  <c r="AL213"/>
  <c r="AL506"/>
  <c r="AL269"/>
  <c r="AL514"/>
  <c r="AL483"/>
  <c r="AL186"/>
  <c r="AL180"/>
  <c r="AL384"/>
  <c r="AL394"/>
  <c r="AL326"/>
  <c r="AL331"/>
  <c r="AL27"/>
  <c r="AL256"/>
  <c r="AL296"/>
  <c r="AL259"/>
  <c r="AL459"/>
  <c r="AL497"/>
  <c r="AL267"/>
  <c r="AL177"/>
  <c r="AL182"/>
  <c r="AL218"/>
  <c r="AL173"/>
  <c r="AL223"/>
  <c r="AL158"/>
  <c r="AL265"/>
  <c r="AL226"/>
  <c r="AL404"/>
  <c r="AL466"/>
  <c r="AL167"/>
  <c r="AL444"/>
  <c r="AL378"/>
  <c r="AL41"/>
  <c r="AL277"/>
  <c r="AL258"/>
  <c r="AL386"/>
  <c r="AL458"/>
  <c r="AL144"/>
  <c r="AL312"/>
  <c r="AL510"/>
  <c r="AL482"/>
  <c r="AL411"/>
  <c r="AL323"/>
  <c r="AL492"/>
  <c r="AL99"/>
  <c r="AL103"/>
  <c r="AL90"/>
  <c r="AL429"/>
  <c r="AL469"/>
  <c r="AL480"/>
  <c r="AK384"/>
  <c r="AK394"/>
  <c r="AK269"/>
  <c r="AK506"/>
  <c r="AK213"/>
  <c r="AK363"/>
  <c r="AK70"/>
  <c r="AK69"/>
  <c r="AK281"/>
  <c r="AK261"/>
  <c r="AK345"/>
  <c r="AK427"/>
  <c r="AK446"/>
  <c r="AK391"/>
  <c r="AK330"/>
  <c r="AK333"/>
  <c r="AK408"/>
  <c r="AK407"/>
  <c r="AK383"/>
  <c r="AK369"/>
  <c r="AK402"/>
  <c r="AK337"/>
  <c r="AK438"/>
  <c r="AK430"/>
  <c r="AK362"/>
  <c r="AK382"/>
  <c r="AK295"/>
  <c r="AK355"/>
  <c r="AK325"/>
  <c r="AK230"/>
  <c r="AK234"/>
  <c r="AK184"/>
  <c r="AK181"/>
  <c r="AK233"/>
  <c r="AK176"/>
  <c r="AK191"/>
  <c r="AK190"/>
  <c r="AK189"/>
  <c r="AK433"/>
  <c r="AK420"/>
  <c r="AK77"/>
  <c r="AK118"/>
  <c r="AK397"/>
  <c r="AK248"/>
  <c r="AK378"/>
  <c r="AK404"/>
  <c r="AK158"/>
  <c r="AK223"/>
  <c r="AK173"/>
  <c r="AK256"/>
  <c r="AK90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R932" i="19" l="1"/>
  <c r="R933"/>
  <c r="R934"/>
  <c r="R935"/>
  <c r="R924"/>
  <c r="R925"/>
  <c r="R926"/>
  <c r="R927"/>
  <c r="R928"/>
  <c r="R929"/>
  <c r="R930"/>
  <c r="R931"/>
  <c r="R922"/>
  <c r="R923"/>
  <c r="R912"/>
  <c r="R913"/>
  <c r="R914"/>
  <c r="R915"/>
  <c r="R916"/>
  <c r="R917"/>
  <c r="R918"/>
  <c r="R919"/>
  <c r="R920"/>
  <c r="R921"/>
  <c r="R910"/>
  <c r="R911"/>
  <c r="R908"/>
  <c r="R909"/>
  <c r="R906"/>
  <c r="R907"/>
  <c r="R904"/>
  <c r="R905"/>
  <c r="R902"/>
  <c r="R903"/>
  <c r="R900"/>
  <c r="R901"/>
  <c r="R899"/>
  <c r="R898"/>
  <c r="R897"/>
  <c r="R896"/>
  <c r="R895"/>
  <c r="R894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72"/>
  <c r="R873"/>
  <c r="R863"/>
  <c r="R864"/>
  <c r="R865"/>
  <c r="R866"/>
  <c r="R867"/>
  <c r="R868"/>
  <c r="R869"/>
  <c r="R870"/>
  <c r="R871"/>
  <c r="R854"/>
  <c r="R855"/>
  <c r="R856"/>
  <c r="R857"/>
  <c r="R858"/>
  <c r="R859"/>
  <c r="R860"/>
  <c r="R861"/>
  <c r="R862"/>
  <c r="R848"/>
  <c r="R849"/>
  <c r="R850"/>
  <c r="R851"/>
  <c r="R852"/>
  <c r="R853"/>
  <c r="R845"/>
  <c r="R846"/>
  <c r="R847"/>
  <c r="R842"/>
  <c r="R843"/>
  <c r="R844"/>
  <c r="R839"/>
  <c r="R840"/>
  <c r="R841"/>
  <c r="R836"/>
  <c r="R837"/>
  <c r="R838"/>
  <c r="R833"/>
  <c r="R834"/>
  <c r="R835"/>
  <c r="R831"/>
  <c r="R832"/>
  <c r="R830"/>
  <c r="R829"/>
  <c r="R828"/>
  <c r="R825"/>
  <c r="R826"/>
  <c r="R827"/>
  <c r="R810"/>
  <c r="R811"/>
  <c r="R812"/>
  <c r="R813"/>
  <c r="R814"/>
  <c r="R815"/>
  <c r="R816"/>
  <c r="R817"/>
  <c r="R818"/>
  <c r="R819"/>
  <c r="R820"/>
  <c r="R821"/>
  <c r="R822"/>
  <c r="R823"/>
  <c r="R824"/>
  <c r="R795"/>
  <c r="R796"/>
  <c r="R797"/>
  <c r="R798"/>
  <c r="R799"/>
  <c r="R800"/>
  <c r="R801"/>
  <c r="R802"/>
  <c r="R803"/>
  <c r="R804"/>
  <c r="R805"/>
  <c r="R806"/>
  <c r="R807"/>
  <c r="R808"/>
  <c r="R809"/>
  <c r="R792"/>
  <c r="R793"/>
  <c r="R794"/>
  <c r="R789"/>
  <c r="R790"/>
  <c r="R791"/>
  <c r="R786"/>
  <c r="R787"/>
  <c r="R788"/>
  <c r="R783"/>
  <c r="R784"/>
  <c r="R785"/>
  <c r="R780"/>
  <c r="R781"/>
  <c r="R782"/>
  <c r="R777"/>
  <c r="R778"/>
  <c r="R779"/>
  <c r="R775"/>
  <c r="R776"/>
  <c r="R773"/>
  <c r="R774"/>
  <c r="R771"/>
  <c r="R772"/>
  <c r="R770"/>
  <c r="R769"/>
  <c r="R767"/>
  <c r="R768"/>
  <c r="R759"/>
  <c r="R760"/>
  <c r="R761"/>
  <c r="R762"/>
  <c r="R763"/>
  <c r="R764"/>
  <c r="R765"/>
  <c r="R766"/>
  <c r="R745"/>
  <c r="R746"/>
  <c r="R747"/>
  <c r="R748"/>
  <c r="R749"/>
  <c r="R750"/>
  <c r="R751"/>
  <c r="R752"/>
  <c r="R753"/>
  <c r="R754"/>
  <c r="R755"/>
  <c r="R756"/>
  <c r="R757"/>
  <c r="R758"/>
  <c r="R743"/>
  <c r="R744"/>
  <c r="R741"/>
  <c r="R742"/>
  <c r="R739"/>
  <c r="R740"/>
  <c r="R737"/>
  <c r="R738"/>
  <c r="R735"/>
  <c r="R736"/>
  <c r="R733"/>
  <c r="R734"/>
  <c r="R731"/>
  <c r="R732"/>
  <c r="R728"/>
  <c r="R729"/>
  <c r="R730"/>
  <c r="R725"/>
  <c r="R726"/>
  <c r="R727"/>
  <c r="R722"/>
  <c r="R723"/>
  <c r="R724"/>
  <c r="R721"/>
  <c r="R720"/>
  <c r="R719"/>
  <c r="R718"/>
  <c r="R717"/>
  <c r="R715"/>
  <c r="R716"/>
  <c r="R713"/>
  <c r="R714"/>
  <c r="R711"/>
  <c r="R712"/>
  <c r="R709"/>
  <c r="R710"/>
  <c r="R707"/>
  <c r="R708"/>
  <c r="R705"/>
  <c r="R706"/>
  <c r="R703"/>
  <c r="R704"/>
  <c r="R701"/>
  <c r="R702"/>
  <c r="R700"/>
  <c r="R699"/>
  <c r="R698"/>
  <c r="R697"/>
  <c r="R694"/>
  <c r="R695"/>
  <c r="R696"/>
  <c r="R693"/>
  <c r="R692"/>
  <c r="R690"/>
  <c r="R691"/>
  <c r="R687"/>
  <c r="R688"/>
  <c r="R494"/>
  <c r="R684"/>
  <c r="R685"/>
  <c r="R683"/>
  <c r="R681"/>
  <c r="R682"/>
  <c r="R686"/>
  <c r="R678"/>
  <c r="R679"/>
  <c r="R680"/>
  <c r="R672"/>
  <c r="R673"/>
  <c r="R674"/>
  <c r="R675"/>
  <c r="R676"/>
  <c r="R677"/>
  <c r="R669"/>
  <c r="R670"/>
  <c r="R671"/>
  <c r="R666"/>
  <c r="R667"/>
  <c r="R668"/>
  <c r="R663"/>
  <c r="R664"/>
  <c r="R665"/>
  <c r="R1074"/>
  <c r="R1075"/>
  <c r="R1076"/>
  <c r="R1077"/>
  <c r="R1078"/>
  <c r="R1079"/>
  <c r="R1068"/>
  <c r="R1069"/>
  <c r="R1070"/>
  <c r="R1071"/>
  <c r="R1072"/>
  <c r="R1073"/>
  <c r="R1066"/>
  <c r="R1067"/>
  <c r="R1064"/>
  <c r="R1065"/>
  <c r="R1062"/>
  <c r="R1063"/>
  <c r="R1060"/>
  <c r="R1061"/>
  <c r="R1058"/>
  <c r="R1059"/>
  <c r="R637"/>
  <c r="R638"/>
  <c r="R639"/>
  <c r="R640"/>
  <c r="R633"/>
  <c r="R634"/>
  <c r="R635"/>
  <c r="R636"/>
  <c r="R631"/>
  <c r="R632"/>
  <c r="R629"/>
  <c r="R630"/>
  <c r="R627"/>
  <c r="R628"/>
  <c r="R626"/>
  <c r="R625"/>
  <c r="R621"/>
  <c r="R622"/>
  <c r="R623"/>
  <c r="R624"/>
  <c r="R618"/>
  <c r="R619"/>
  <c r="R620"/>
  <c r="R614"/>
  <c r="R615"/>
  <c r="R103"/>
  <c r="R617"/>
  <c r="R616"/>
  <c r="R608"/>
  <c r="R609"/>
  <c r="R610"/>
  <c r="R611"/>
  <c r="R612"/>
  <c r="R613"/>
  <c r="R602"/>
  <c r="R603"/>
  <c r="R604"/>
  <c r="R605"/>
  <c r="R606"/>
  <c r="R607"/>
  <c r="R596"/>
  <c r="R597"/>
  <c r="R598"/>
  <c r="R599"/>
  <c r="R600"/>
  <c r="R601"/>
  <c r="R593"/>
  <c r="R594"/>
  <c r="R595"/>
  <c r="R590"/>
  <c r="R591"/>
  <c r="R592"/>
  <c r="R589"/>
  <c r="R588"/>
  <c r="R587"/>
  <c r="R586"/>
  <c r="R575"/>
  <c r="R574"/>
  <c r="R573"/>
  <c r="R572"/>
  <c r="R571"/>
  <c r="R570"/>
  <c r="R569"/>
  <c r="R568"/>
  <c r="R567"/>
  <c r="R566"/>
  <c r="R565"/>
  <c r="R564"/>
  <c r="R563"/>
  <c r="R562"/>
  <c r="R561"/>
  <c r="R560"/>
  <c r="R559"/>
  <c r="R558"/>
  <c r="R557"/>
  <c r="R556"/>
  <c r="R555"/>
  <c r="R554"/>
  <c r="R553"/>
  <c r="R552"/>
  <c r="R551"/>
  <c r="R550"/>
  <c r="R549"/>
  <c r="R548"/>
  <c r="R547"/>
  <c r="R546"/>
  <c r="R545"/>
  <c r="R544"/>
  <c r="R543"/>
  <c r="R580"/>
  <c r="R585"/>
  <c r="R579"/>
  <c r="R584"/>
  <c r="R578"/>
  <c r="R583"/>
  <c r="R577"/>
  <c r="R582"/>
  <c r="R581"/>
  <c r="R576"/>
  <c r="R519"/>
  <c r="R520"/>
  <c r="R518"/>
  <c r="R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521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1056"/>
  <c r="R105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522"/>
  <c r="R523"/>
  <c r="R524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689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37"/>
  <c r="R460"/>
  <c r="R458"/>
  <c r="R459"/>
  <c r="R516"/>
  <c r="R517"/>
  <c r="R525"/>
  <c r="R527"/>
  <c r="R529"/>
  <c r="R526"/>
  <c r="R528"/>
  <c r="R530"/>
  <c r="R531"/>
  <c r="R533"/>
  <c r="R535"/>
  <c r="R532"/>
  <c r="R534"/>
  <c r="R536"/>
  <c r="R537"/>
  <c r="R538"/>
  <c r="R539"/>
  <c r="R540"/>
  <c r="R541"/>
  <c r="R542"/>
  <c r="AY321" i="1"/>
  <c r="AY205"/>
  <c r="AY412"/>
  <c r="AY445"/>
  <c r="AY62"/>
  <c r="AY453"/>
  <c r="AY111"/>
  <c r="AY263"/>
  <c r="AY398"/>
  <c r="AY341"/>
  <c r="AY409"/>
  <c r="AY89"/>
  <c r="AY358"/>
  <c r="AY58"/>
  <c r="AY293"/>
  <c r="AY481"/>
  <c r="AY105"/>
  <c r="AY262"/>
  <c r="AY220"/>
  <c r="AY59"/>
  <c r="AY491"/>
  <c r="AY204"/>
  <c r="AY252"/>
  <c r="AY197"/>
  <c r="AY57"/>
  <c r="AY37"/>
  <c r="AY473"/>
  <c r="AY467"/>
  <c r="AY209"/>
  <c r="AY35"/>
  <c r="AY133"/>
  <c r="AY273"/>
  <c r="AY361"/>
  <c r="AY146"/>
  <c r="AY17"/>
  <c r="AY39"/>
  <c r="AY38"/>
  <c r="AY356"/>
  <c r="AY116"/>
  <c r="AY104"/>
  <c r="AY123"/>
  <c r="AY381"/>
  <c r="AY179"/>
  <c r="AY423"/>
  <c r="AY475"/>
  <c r="AY60"/>
  <c r="AY166"/>
  <c r="AY124"/>
  <c r="AY224"/>
  <c r="AY134"/>
  <c r="AY187"/>
  <c r="AY235"/>
  <c r="AY454"/>
  <c r="AY354"/>
  <c r="AY440"/>
  <c r="AY501"/>
  <c r="AY374"/>
  <c r="AY335"/>
  <c r="AY452"/>
  <c r="AY485"/>
  <c r="AY268"/>
  <c r="AY360"/>
  <c r="AY154"/>
  <c r="AY455"/>
  <c r="AY211"/>
  <c r="AY474"/>
  <c r="AY148"/>
  <c r="AY22"/>
  <c r="AY121"/>
  <c r="AY247"/>
  <c r="AY215"/>
  <c r="AY76"/>
  <c r="AY88"/>
  <c r="AY495"/>
  <c r="AY21"/>
  <c r="AY509"/>
  <c r="AY359"/>
  <c r="AY68"/>
  <c r="AY65"/>
  <c r="AY149"/>
  <c r="AY129"/>
  <c r="AY203"/>
  <c r="AY471"/>
  <c r="AY512"/>
  <c r="AY417"/>
  <c r="AY143"/>
  <c r="AY507"/>
  <c r="AY52"/>
  <c r="AY171"/>
  <c r="AY244"/>
  <c r="AY324"/>
  <c r="AY385"/>
  <c r="AY86"/>
  <c r="AY327"/>
  <c r="AY479"/>
  <c r="AY135"/>
  <c r="AY297"/>
  <c r="AY126"/>
  <c r="AY100"/>
  <c r="AY200"/>
  <c r="AY241"/>
  <c r="AY174"/>
  <c r="AY426"/>
  <c r="AY242"/>
  <c r="AY286"/>
  <c r="AY322"/>
  <c r="AY175"/>
  <c r="AY519"/>
  <c r="AY513"/>
  <c r="AY132"/>
  <c r="AY87"/>
  <c r="AY92"/>
  <c r="AY496"/>
  <c r="AY130"/>
  <c r="AY299"/>
  <c r="AY264"/>
  <c r="AY231"/>
  <c r="AY15"/>
  <c r="AY64"/>
  <c r="AY165"/>
  <c r="AY316"/>
  <c r="AY291"/>
  <c r="AY250"/>
  <c r="AY328"/>
  <c r="AY499"/>
  <c r="AY504"/>
  <c r="AY370"/>
  <c r="AY425"/>
  <c r="AY414"/>
  <c r="AY396"/>
  <c r="AY3"/>
  <c r="AY4"/>
  <c r="AY428"/>
  <c r="AY348"/>
  <c r="AY279"/>
  <c r="AY437"/>
  <c r="AY443"/>
  <c r="AY344"/>
  <c r="AY108"/>
  <c r="AY127"/>
  <c r="AY141"/>
  <c r="AY228"/>
  <c r="AY84"/>
  <c r="AY24"/>
  <c r="AY56"/>
  <c r="AY487"/>
  <c r="AY101"/>
  <c r="AY78"/>
  <c r="AY320"/>
  <c r="AY456"/>
  <c r="AY153"/>
  <c r="AY214"/>
  <c r="AY46"/>
  <c r="AY422"/>
  <c r="AY102"/>
  <c r="AY222"/>
  <c r="AY212"/>
  <c r="AY346"/>
  <c r="AY53"/>
  <c r="AY9"/>
  <c r="AY47"/>
  <c r="AY131"/>
  <c r="AY156"/>
  <c r="AY13"/>
  <c r="AY157"/>
  <c r="AY55"/>
  <c r="AY18"/>
  <c r="AY98"/>
  <c r="AY232"/>
  <c r="AY155"/>
  <c r="AY307"/>
  <c r="AY207"/>
  <c r="AY395"/>
  <c r="AY339"/>
  <c r="AY431"/>
  <c r="AY217"/>
  <c r="AY54"/>
  <c r="AY239"/>
  <c r="AY406"/>
  <c r="AY237"/>
  <c r="AY114"/>
  <c r="AY107"/>
  <c r="AY194"/>
  <c r="AY192"/>
  <c r="AY199"/>
  <c r="AY520"/>
  <c r="AY464"/>
  <c r="AY301"/>
  <c r="AY399"/>
  <c r="AY292"/>
  <c r="AY5"/>
  <c r="AY511"/>
  <c r="AY516"/>
  <c r="AY349"/>
  <c r="AY6"/>
  <c r="AY283"/>
  <c r="AY357"/>
  <c r="AY515"/>
  <c r="AY352"/>
  <c r="AY419"/>
  <c r="AY236"/>
  <c r="AY368"/>
  <c r="AY74"/>
  <c r="AY168"/>
  <c r="AY276"/>
  <c r="AY505"/>
  <c r="AY380"/>
  <c r="AY367"/>
  <c r="AY193"/>
  <c r="AY243"/>
  <c r="AY376"/>
  <c r="AY373"/>
  <c r="AY405"/>
  <c r="AY178"/>
  <c r="AY163"/>
  <c r="AY196"/>
  <c r="AY290"/>
  <c r="AY61"/>
  <c r="AY169"/>
  <c r="AY11"/>
  <c r="AY502"/>
  <c r="AY210"/>
  <c r="AY329"/>
  <c r="AY465"/>
  <c r="AY429"/>
  <c r="AY347"/>
  <c r="AY122"/>
  <c r="AY23"/>
  <c r="AY442"/>
  <c r="AY265"/>
  <c r="AY392"/>
  <c r="AY401"/>
  <c r="AY337"/>
  <c r="AY394"/>
  <c r="AY486"/>
  <c r="AY411"/>
  <c r="AY271"/>
  <c r="AY253"/>
  <c r="AY256"/>
  <c r="AY183"/>
  <c r="AY309"/>
  <c r="AY139"/>
  <c r="AY457"/>
  <c r="AY420"/>
  <c r="AY248"/>
  <c r="AY31"/>
  <c r="AY213"/>
  <c r="AY343"/>
  <c r="AY287"/>
  <c r="AY447"/>
  <c r="AY407"/>
  <c r="AY319"/>
  <c r="AY478"/>
  <c r="AY397"/>
  <c r="AY277"/>
  <c r="AY497"/>
  <c r="AY518"/>
  <c r="AY257"/>
  <c r="AY289"/>
  <c r="AY103"/>
  <c r="AY388"/>
  <c r="AY446"/>
  <c r="AY355"/>
  <c r="AY167"/>
  <c r="AY162"/>
  <c r="AY274"/>
  <c r="AY483"/>
  <c r="AY20"/>
  <c r="AY281"/>
  <c r="AY278"/>
  <c r="AY336"/>
  <c r="AY438"/>
  <c r="AY176"/>
  <c r="AY93"/>
  <c r="AY144"/>
  <c r="AY218"/>
  <c r="AY332"/>
  <c r="AY353"/>
  <c r="AY375"/>
  <c r="AY91"/>
  <c r="AY433"/>
  <c r="AY233"/>
  <c r="AY295"/>
  <c r="AY298"/>
  <c r="AY377"/>
  <c r="AY350"/>
  <c r="AY427"/>
  <c r="AY294"/>
  <c r="AY280"/>
  <c r="AY302"/>
  <c r="AY305"/>
  <c r="AY400"/>
  <c r="AY185"/>
  <c r="AY186"/>
  <c r="AY99"/>
  <c r="AY32"/>
  <c r="AY30"/>
  <c r="AY296"/>
  <c r="AY267"/>
  <c r="AY173"/>
  <c r="AY226"/>
  <c r="AY444"/>
  <c r="AY258"/>
  <c r="AY312"/>
  <c r="AY323"/>
  <c r="AY441"/>
  <c r="AY249"/>
  <c r="AY189"/>
  <c r="AY234"/>
  <c r="AY315"/>
  <c r="AY402"/>
  <c r="AY408"/>
  <c r="AY468"/>
  <c r="AY448"/>
  <c r="AY303"/>
  <c r="AY345"/>
  <c r="AY393"/>
  <c r="AY366"/>
  <c r="AY451"/>
  <c r="AY506"/>
  <c r="AY326"/>
  <c r="AY12"/>
  <c r="AY331"/>
  <c r="AY180"/>
  <c r="AY269"/>
  <c r="AY363"/>
  <c r="AY255"/>
  <c r="AY275"/>
  <c r="AY69"/>
  <c r="AY498"/>
  <c r="AY161"/>
  <c r="AY261"/>
  <c r="AY284"/>
  <c r="AY254"/>
  <c r="AY282"/>
  <c r="AY460"/>
  <c r="AY201"/>
  <c r="AY364"/>
  <c r="AY333"/>
  <c r="AY500"/>
  <c r="AY379"/>
  <c r="AY369"/>
  <c r="AY202"/>
  <c r="AY313"/>
  <c r="AY382"/>
  <c r="AY230"/>
  <c r="AY181"/>
  <c r="AY190"/>
  <c r="AY351"/>
  <c r="AY118"/>
  <c r="AY477"/>
  <c r="AY436"/>
  <c r="AY221"/>
  <c r="AY492"/>
  <c r="AY510"/>
  <c r="AY386"/>
  <c r="AY378"/>
  <c r="AY404"/>
  <c r="AY223"/>
  <c r="AY177"/>
  <c r="AY259"/>
  <c r="AY469"/>
  <c r="AY229"/>
  <c r="AY372"/>
  <c r="AY410"/>
  <c r="AY272"/>
  <c r="AY27"/>
  <c r="AY384"/>
  <c r="AY514"/>
  <c r="AY488"/>
  <c r="AY310"/>
  <c r="AY266"/>
  <c r="AY70"/>
  <c r="AY493"/>
  <c r="AY219"/>
  <c r="AY147"/>
  <c r="AY227"/>
  <c r="AY225"/>
  <c r="AY128"/>
  <c r="AY421"/>
  <c r="AY462"/>
  <c r="AY188"/>
  <c r="AY391"/>
  <c r="AY330"/>
  <c r="AY245"/>
  <c r="AY383"/>
  <c r="AY434"/>
  <c r="AY387"/>
  <c r="AY430"/>
  <c r="AY362"/>
  <c r="AY325"/>
  <c r="AY184"/>
  <c r="AY191"/>
  <c r="AY390"/>
  <c r="AY77"/>
  <c r="AY476"/>
  <c r="AY413"/>
  <c r="AY85"/>
  <c r="AY308"/>
  <c r="AY482"/>
  <c r="AY458"/>
  <c r="AY41"/>
  <c r="AY466"/>
  <c r="AY158"/>
  <c r="AY182"/>
  <c r="AY459"/>
  <c r="AY480"/>
  <c r="AY90"/>
  <c r="AY2"/>
  <c r="AY72"/>
  <c r="AY33"/>
  <c r="AY470"/>
  <c r="AY449"/>
  <c r="AY450"/>
  <c r="AY342"/>
  <c r="AY40"/>
  <c r="AY109"/>
  <c r="AY115"/>
  <c r="AY19"/>
  <c r="AY338"/>
  <c r="AY304"/>
  <c r="AY216"/>
  <c r="AY81"/>
  <c r="AY80"/>
  <c r="AY96"/>
  <c r="AY63"/>
  <c r="AY16"/>
  <c r="AY136"/>
  <c r="AY117"/>
  <c r="AY51"/>
  <c r="AY164"/>
  <c r="AY152"/>
  <c r="AY113"/>
  <c r="AY170"/>
  <c r="AY435"/>
  <c r="AY432"/>
  <c r="AY416"/>
  <c r="AY494"/>
  <c r="AY198"/>
  <c r="AY246"/>
  <c r="AY29"/>
  <c r="AY95"/>
  <c r="AY66"/>
  <c r="AY14"/>
  <c r="AY238"/>
  <c r="AY206"/>
  <c r="AY314"/>
  <c r="AY240"/>
  <c r="AY7"/>
  <c r="AY8"/>
  <c r="AY317"/>
  <c r="AY67"/>
  <c r="AY71"/>
  <c r="AY36"/>
  <c r="AY28"/>
  <c r="AY138"/>
  <c r="AY484"/>
  <c r="AY208"/>
  <c r="AY159"/>
  <c r="AY300"/>
  <c r="AY461"/>
  <c r="AY260"/>
  <c r="AY389"/>
  <c r="AY160"/>
  <c r="AY25"/>
  <c r="AY82"/>
  <c r="AY83"/>
  <c r="AY26"/>
  <c r="AY288"/>
  <c r="AY270"/>
  <c r="AY285"/>
  <c r="AY306"/>
  <c r="AY311"/>
  <c r="AY340"/>
  <c r="AY334"/>
  <c r="AY371"/>
  <c r="AY424"/>
  <c r="AY503"/>
  <c r="AY418"/>
  <c r="AY97"/>
  <c r="AY439"/>
  <c r="AY195"/>
  <c r="AY48"/>
  <c r="AY172"/>
  <c r="AY75"/>
  <c r="AY79"/>
  <c r="AY150"/>
  <c r="AY151"/>
  <c r="AY145"/>
  <c r="AY137"/>
  <c r="AY251"/>
  <c r="AY73"/>
  <c r="AY508"/>
  <c r="AY489"/>
  <c r="AY490"/>
  <c r="AY10"/>
  <c r="AY49"/>
  <c r="AY50"/>
  <c r="AY472"/>
  <c r="AY45"/>
  <c r="AY517"/>
  <c r="AY110"/>
  <c r="AY112"/>
  <c r="AY142"/>
  <c r="AY42"/>
  <c r="AY403"/>
  <c r="AY365"/>
  <c r="AY119"/>
  <c r="AY140"/>
  <c r="AY43"/>
  <c r="AY44"/>
  <c r="AY463"/>
  <c r="AY415"/>
  <c r="AY34"/>
  <c r="AY318"/>
  <c r="AY94"/>
  <c r="AY120"/>
  <c r="AY106"/>
  <c r="AY125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Q932" i="19" l="1"/>
  <c r="V932" s="1"/>
  <c r="Q933"/>
  <c r="V933" s="1"/>
  <c r="Q934"/>
  <c r="V934" s="1"/>
  <c r="Q935"/>
  <c r="V935" s="1"/>
  <c r="Q924"/>
  <c r="V924" s="1"/>
  <c r="Q925"/>
  <c r="V925" s="1"/>
  <c r="Q926"/>
  <c r="V926" s="1"/>
  <c r="Q927"/>
  <c r="V927" s="1"/>
  <c r="Q928"/>
  <c r="V928" s="1"/>
  <c r="Q929"/>
  <c r="V929" s="1"/>
  <c r="Q930"/>
  <c r="V930" s="1"/>
  <c r="Q931"/>
  <c r="V931" s="1"/>
  <c r="Q922"/>
  <c r="V922" s="1"/>
  <c r="Q923"/>
  <c r="V923" s="1"/>
  <c r="Q912"/>
  <c r="V912" s="1"/>
  <c r="Q913"/>
  <c r="V913" s="1"/>
  <c r="Q914"/>
  <c r="V914" s="1"/>
  <c r="Q915"/>
  <c r="V915" s="1"/>
  <c r="Q916"/>
  <c r="V916" s="1"/>
  <c r="Q917"/>
  <c r="V917" s="1"/>
  <c r="Q918"/>
  <c r="V918" s="1"/>
  <c r="Q919"/>
  <c r="V919" s="1"/>
  <c r="Q920"/>
  <c r="V920" s="1"/>
  <c r="Q921"/>
  <c r="V921" s="1"/>
  <c r="Q910"/>
  <c r="V910" s="1"/>
  <c r="Q911"/>
  <c r="V911" s="1"/>
  <c r="Q908"/>
  <c r="V908" s="1"/>
  <c r="Q909"/>
  <c r="V909" s="1"/>
  <c r="Q906"/>
  <c r="V906" s="1"/>
  <c r="Q907"/>
  <c r="V907" s="1"/>
  <c r="Q904"/>
  <c r="V904" s="1"/>
  <c r="Q905"/>
  <c r="V905" s="1"/>
  <c r="Q902"/>
  <c r="V902" s="1"/>
  <c r="Q903"/>
  <c r="V903" s="1"/>
  <c r="Q900"/>
  <c r="V900" s="1"/>
  <c r="Q901"/>
  <c r="V901" s="1"/>
  <c r="Q899"/>
  <c r="V899" s="1"/>
  <c r="Q898"/>
  <c r="V898" s="1"/>
  <c r="Q897"/>
  <c r="V897" s="1"/>
  <c r="Q896"/>
  <c r="V896" s="1"/>
  <c r="Q895"/>
  <c r="V895" s="1"/>
  <c r="Q894"/>
  <c r="V894" s="1"/>
  <c r="Q874"/>
  <c r="V874" s="1"/>
  <c r="Q875"/>
  <c r="V875" s="1"/>
  <c r="Q876"/>
  <c r="V876" s="1"/>
  <c r="Q877"/>
  <c r="V877" s="1"/>
  <c r="Q878"/>
  <c r="V878" s="1"/>
  <c r="Q879"/>
  <c r="V879" s="1"/>
  <c r="Q880"/>
  <c r="V880" s="1"/>
  <c r="Q881"/>
  <c r="V881" s="1"/>
  <c r="Q882"/>
  <c r="V882" s="1"/>
  <c r="Q883"/>
  <c r="V883" s="1"/>
  <c r="Q884"/>
  <c r="V884" s="1"/>
  <c r="Q885"/>
  <c r="V885" s="1"/>
  <c r="Q886"/>
  <c r="V886" s="1"/>
  <c r="Q887"/>
  <c r="V887" s="1"/>
  <c r="Q888"/>
  <c r="V888" s="1"/>
  <c r="Q889"/>
  <c r="V889" s="1"/>
  <c r="Q890"/>
  <c r="V890" s="1"/>
  <c r="Q891"/>
  <c r="V891" s="1"/>
  <c r="Q892"/>
  <c r="V892" s="1"/>
  <c r="Q893"/>
  <c r="V893" s="1"/>
  <c r="Q872"/>
  <c r="V872" s="1"/>
  <c r="Q873"/>
  <c r="V873" s="1"/>
  <c r="Q863"/>
  <c r="V863" s="1"/>
  <c r="Q864"/>
  <c r="V864" s="1"/>
  <c r="Q865"/>
  <c r="V865" s="1"/>
  <c r="Q866"/>
  <c r="V866" s="1"/>
  <c r="Q867"/>
  <c r="V867" s="1"/>
  <c r="Q868"/>
  <c r="V868" s="1"/>
  <c r="Q869"/>
  <c r="V869" s="1"/>
  <c r="Q870"/>
  <c r="V870" s="1"/>
  <c r="Q871"/>
  <c r="V871" s="1"/>
  <c r="Q854"/>
  <c r="V854" s="1"/>
  <c r="Q855"/>
  <c r="V855" s="1"/>
  <c r="Q856"/>
  <c r="V856" s="1"/>
  <c r="Q857"/>
  <c r="V857" s="1"/>
  <c r="Q858"/>
  <c r="V858" s="1"/>
  <c r="Q859"/>
  <c r="V859" s="1"/>
  <c r="Q860"/>
  <c r="V860" s="1"/>
  <c r="Q861"/>
  <c r="V861" s="1"/>
  <c r="Q862"/>
  <c r="V862" s="1"/>
  <c r="Q848"/>
  <c r="V848" s="1"/>
  <c r="Q849"/>
  <c r="V849" s="1"/>
  <c r="Q850"/>
  <c r="V850" s="1"/>
  <c r="Q851"/>
  <c r="V851" s="1"/>
  <c r="Q852"/>
  <c r="V852" s="1"/>
  <c r="Q853"/>
  <c r="V853" s="1"/>
  <c r="Q845"/>
  <c r="V845" s="1"/>
  <c r="Q846"/>
  <c r="V846" s="1"/>
  <c r="Q847"/>
  <c r="V847" s="1"/>
  <c r="Q842"/>
  <c r="V842" s="1"/>
  <c r="Q843"/>
  <c r="V843" s="1"/>
  <c r="Q844"/>
  <c r="V844" s="1"/>
  <c r="Q839"/>
  <c r="V839" s="1"/>
  <c r="Q840"/>
  <c r="V840" s="1"/>
  <c r="Q841"/>
  <c r="V841" s="1"/>
  <c r="Q836"/>
  <c r="V836" s="1"/>
  <c r="Q837"/>
  <c r="V837" s="1"/>
  <c r="Q838"/>
  <c r="V838" s="1"/>
  <c r="Q833"/>
  <c r="V833" s="1"/>
  <c r="Q834"/>
  <c r="V834" s="1"/>
  <c r="Q835"/>
  <c r="V835" s="1"/>
  <c r="Q831"/>
  <c r="V831" s="1"/>
  <c r="Q832"/>
  <c r="V832" s="1"/>
  <c r="Q830"/>
  <c r="V830" s="1"/>
  <c r="Q829"/>
  <c r="V829" s="1"/>
  <c r="Q828"/>
  <c r="V828" s="1"/>
  <c r="Q825"/>
  <c r="V825" s="1"/>
  <c r="Q826"/>
  <c r="V826" s="1"/>
  <c r="Q827"/>
  <c r="V827" s="1"/>
  <c r="Q810"/>
  <c r="V810" s="1"/>
  <c r="Q811"/>
  <c r="V811" s="1"/>
  <c r="Q812"/>
  <c r="V812" s="1"/>
  <c r="Q813"/>
  <c r="V813" s="1"/>
  <c r="Q814"/>
  <c r="V814" s="1"/>
  <c r="Q815"/>
  <c r="V815" s="1"/>
  <c r="Q816"/>
  <c r="V816" s="1"/>
  <c r="Q817"/>
  <c r="V817" s="1"/>
  <c r="Q818"/>
  <c r="V818" s="1"/>
  <c r="Q819"/>
  <c r="V819" s="1"/>
  <c r="Q820"/>
  <c r="V820" s="1"/>
  <c r="Q821"/>
  <c r="V821" s="1"/>
  <c r="Q822"/>
  <c r="V822" s="1"/>
  <c r="Q823"/>
  <c r="V823" s="1"/>
  <c r="Q824"/>
  <c r="V824" s="1"/>
  <c r="Q795"/>
  <c r="V795" s="1"/>
  <c r="Q796"/>
  <c r="V796" s="1"/>
  <c r="Q797"/>
  <c r="V797" s="1"/>
  <c r="Q798"/>
  <c r="V798" s="1"/>
  <c r="Q799"/>
  <c r="V799" s="1"/>
  <c r="Q800"/>
  <c r="V800" s="1"/>
  <c r="Q801"/>
  <c r="V801" s="1"/>
  <c r="Q802"/>
  <c r="V802" s="1"/>
  <c r="Q803"/>
  <c r="V803" s="1"/>
  <c r="Q804"/>
  <c r="V804" s="1"/>
  <c r="Q805"/>
  <c r="V805" s="1"/>
  <c r="Q806"/>
  <c r="V806" s="1"/>
  <c r="Q807"/>
  <c r="V807" s="1"/>
  <c r="Q808"/>
  <c r="V808" s="1"/>
  <c r="Q809"/>
  <c r="V809" s="1"/>
  <c r="Q792"/>
  <c r="V792" s="1"/>
  <c r="Q793"/>
  <c r="V793" s="1"/>
  <c r="Q794"/>
  <c r="V794" s="1"/>
  <c r="Q789"/>
  <c r="V789" s="1"/>
  <c r="Q790"/>
  <c r="V790" s="1"/>
  <c r="Q791"/>
  <c r="V791" s="1"/>
  <c r="Q786"/>
  <c r="V786" s="1"/>
  <c r="Q787"/>
  <c r="V787" s="1"/>
  <c r="Q788"/>
  <c r="V788" s="1"/>
  <c r="Q783"/>
  <c r="V783" s="1"/>
  <c r="Q784"/>
  <c r="V784" s="1"/>
  <c r="Q785"/>
  <c r="V785" s="1"/>
  <c r="Q780"/>
  <c r="V780" s="1"/>
  <c r="Q781"/>
  <c r="V781" s="1"/>
  <c r="Q782"/>
  <c r="V782" s="1"/>
  <c r="Q777"/>
  <c r="V777" s="1"/>
  <c r="Q778"/>
  <c r="V778" s="1"/>
  <c r="Q779"/>
  <c r="V779" s="1"/>
  <c r="Q775"/>
  <c r="V775" s="1"/>
  <c r="Q776"/>
  <c r="V776" s="1"/>
  <c r="Q773"/>
  <c r="V773" s="1"/>
  <c r="Q774"/>
  <c r="V774" s="1"/>
  <c r="Q771"/>
  <c r="V771" s="1"/>
  <c r="Q772"/>
  <c r="V772" s="1"/>
  <c r="Q770"/>
  <c r="V770" s="1"/>
  <c r="Q769"/>
  <c r="V769" s="1"/>
  <c r="Q767"/>
  <c r="V767" s="1"/>
  <c r="Q768"/>
  <c r="V768" s="1"/>
  <c r="Q759"/>
  <c r="V759" s="1"/>
  <c r="Q760"/>
  <c r="V760" s="1"/>
  <c r="Q761"/>
  <c r="V761" s="1"/>
  <c r="Q762"/>
  <c r="V762" s="1"/>
  <c r="Q763"/>
  <c r="V763" s="1"/>
  <c r="Q764"/>
  <c r="V764" s="1"/>
  <c r="Q765"/>
  <c r="V765" s="1"/>
  <c r="Q766"/>
  <c r="V766" s="1"/>
  <c r="Q745"/>
  <c r="V745" s="1"/>
  <c r="Q746"/>
  <c r="V746" s="1"/>
  <c r="Q747"/>
  <c r="V747" s="1"/>
  <c r="Q748"/>
  <c r="V748" s="1"/>
  <c r="Q749"/>
  <c r="V749" s="1"/>
  <c r="Q750"/>
  <c r="V750" s="1"/>
  <c r="Q751"/>
  <c r="V751" s="1"/>
  <c r="Q752"/>
  <c r="V752" s="1"/>
  <c r="Q753"/>
  <c r="V753" s="1"/>
  <c r="Q754"/>
  <c r="V754" s="1"/>
  <c r="Q755"/>
  <c r="V755" s="1"/>
  <c r="Q756"/>
  <c r="V756" s="1"/>
  <c r="Q757"/>
  <c r="V757" s="1"/>
  <c r="Q758"/>
  <c r="V758" s="1"/>
  <c r="Q743"/>
  <c r="V743" s="1"/>
  <c r="Q744"/>
  <c r="V744" s="1"/>
  <c r="Q741"/>
  <c r="V741" s="1"/>
  <c r="Q742"/>
  <c r="V742" s="1"/>
  <c r="Q739"/>
  <c r="V739" s="1"/>
  <c r="Q740"/>
  <c r="V740" s="1"/>
  <c r="Q737"/>
  <c r="V737" s="1"/>
  <c r="Q738"/>
  <c r="V738" s="1"/>
  <c r="Q735"/>
  <c r="V735" s="1"/>
  <c r="Q736"/>
  <c r="V736" s="1"/>
  <c r="Q733"/>
  <c r="V733" s="1"/>
  <c r="Q734"/>
  <c r="V734" s="1"/>
  <c r="Q731"/>
  <c r="V731" s="1"/>
  <c r="Q732"/>
  <c r="V732" s="1"/>
  <c r="Q728"/>
  <c r="V728" s="1"/>
  <c r="X728" s="1"/>
  <c r="Q729"/>
  <c r="V729" s="1"/>
  <c r="X729" s="1"/>
  <c r="Q730"/>
  <c r="V730" s="1"/>
  <c r="X730" s="1"/>
  <c r="Q725"/>
  <c r="V725" s="1"/>
  <c r="X725" s="1"/>
  <c r="Q726"/>
  <c r="V726" s="1"/>
  <c r="X726" s="1"/>
  <c r="Q727"/>
  <c r="V727" s="1"/>
  <c r="X727" s="1"/>
  <c r="Q722"/>
  <c r="V722" s="1"/>
  <c r="X722" s="1"/>
  <c r="Q723"/>
  <c r="V723" s="1"/>
  <c r="X723" s="1"/>
  <c r="Q724"/>
  <c r="V724" s="1"/>
  <c r="X724" s="1"/>
  <c r="Q721"/>
  <c r="V721" s="1"/>
  <c r="X721" s="1"/>
  <c r="Q720"/>
  <c r="V720" s="1"/>
  <c r="X720" s="1"/>
  <c r="Q719"/>
  <c r="V719" s="1"/>
  <c r="X719" s="1"/>
  <c r="Q718"/>
  <c r="V718" s="1"/>
  <c r="X718" s="1"/>
  <c r="Q717"/>
  <c r="V717" s="1"/>
  <c r="X717" s="1"/>
  <c r="Q715"/>
  <c r="V715" s="1"/>
  <c r="X715" s="1"/>
  <c r="Q716"/>
  <c r="V716" s="1"/>
  <c r="X716" s="1"/>
  <c r="Q713"/>
  <c r="V713" s="1"/>
  <c r="X713" s="1"/>
  <c r="Q714"/>
  <c r="V714" s="1"/>
  <c r="X714" s="1"/>
  <c r="Q711"/>
  <c r="V711" s="1"/>
  <c r="X711" s="1"/>
  <c r="Q712"/>
  <c r="V712" s="1"/>
  <c r="X712" s="1"/>
  <c r="Q709"/>
  <c r="V709" s="1"/>
  <c r="X709" s="1"/>
  <c r="Q710"/>
  <c r="V710" s="1"/>
  <c r="X710" s="1"/>
  <c r="Q707"/>
  <c r="V707" s="1"/>
  <c r="X707" s="1"/>
  <c r="Q708"/>
  <c r="V708" s="1"/>
  <c r="X708" s="1"/>
  <c r="Q705"/>
  <c r="V705" s="1"/>
  <c r="X705" s="1"/>
  <c r="Q706"/>
  <c r="V706" s="1"/>
  <c r="X706" s="1"/>
  <c r="Q703"/>
  <c r="V703" s="1"/>
  <c r="X703" s="1"/>
  <c r="Q704"/>
  <c r="V704" s="1"/>
  <c r="X704" s="1"/>
  <c r="Q701"/>
  <c r="V701" s="1"/>
  <c r="X701" s="1"/>
  <c r="Q702"/>
  <c r="V702" s="1"/>
  <c r="X702" s="1"/>
  <c r="Q700"/>
  <c r="V700" s="1"/>
  <c r="X700" s="1"/>
  <c r="Q699"/>
  <c r="V699" s="1"/>
  <c r="X699" s="1"/>
  <c r="Q698"/>
  <c r="V698" s="1"/>
  <c r="X698" s="1"/>
  <c r="Q697"/>
  <c r="V697" s="1"/>
  <c r="X697" s="1"/>
  <c r="Q694"/>
  <c r="V694" s="1"/>
  <c r="X694" s="1"/>
  <c r="Q695"/>
  <c r="V695" s="1"/>
  <c r="X695" s="1"/>
  <c r="Q696"/>
  <c r="V696" s="1"/>
  <c r="X696" s="1"/>
  <c r="Q693"/>
  <c r="V693" s="1"/>
  <c r="X693" s="1"/>
  <c r="Q692"/>
  <c r="V692" s="1"/>
  <c r="X692" s="1"/>
  <c r="Q690"/>
  <c r="V690" s="1"/>
  <c r="X690" s="1"/>
  <c r="Q691"/>
  <c r="V691" s="1"/>
  <c r="X691" s="1"/>
  <c r="Q687"/>
  <c r="V687" s="1"/>
  <c r="X687" s="1"/>
  <c r="Q688"/>
  <c r="V688" s="1"/>
  <c r="X688" s="1"/>
  <c r="Q494"/>
  <c r="V494" s="1"/>
  <c r="X494" s="1"/>
  <c r="Q684"/>
  <c r="V684" s="1"/>
  <c r="X684" s="1"/>
  <c r="Q685"/>
  <c r="V685" s="1"/>
  <c r="X685" s="1"/>
  <c r="Q683"/>
  <c r="V683" s="1"/>
  <c r="X683" s="1"/>
  <c r="Q681"/>
  <c r="V681" s="1"/>
  <c r="X681" s="1"/>
  <c r="Q682"/>
  <c r="V682" s="1"/>
  <c r="X682" s="1"/>
  <c r="Q686"/>
  <c r="V686" s="1"/>
  <c r="X686" s="1"/>
  <c r="Q678"/>
  <c r="V678" s="1"/>
  <c r="X678" s="1"/>
  <c r="Q679"/>
  <c r="V679" s="1"/>
  <c r="X679" s="1"/>
  <c r="Q680"/>
  <c r="V680" s="1"/>
  <c r="X680" s="1"/>
  <c r="Q672"/>
  <c r="V672" s="1"/>
  <c r="X672" s="1"/>
  <c r="Q673"/>
  <c r="V673" s="1"/>
  <c r="X673" s="1"/>
  <c r="Q674"/>
  <c r="V674" s="1"/>
  <c r="X674" s="1"/>
  <c r="Q675"/>
  <c r="V675" s="1"/>
  <c r="X675" s="1"/>
  <c r="Q676"/>
  <c r="V676" s="1"/>
  <c r="X676" s="1"/>
  <c r="Q677"/>
  <c r="V677" s="1"/>
  <c r="X677" s="1"/>
  <c r="Q669"/>
  <c r="V669" s="1"/>
  <c r="X669" s="1"/>
  <c r="Q670"/>
  <c r="V670" s="1"/>
  <c r="X670" s="1"/>
  <c r="Q671"/>
  <c r="V671" s="1"/>
  <c r="X671" s="1"/>
  <c r="Q666"/>
  <c r="V666" s="1"/>
  <c r="X666" s="1"/>
  <c r="Q667"/>
  <c r="V667" s="1"/>
  <c r="X667" s="1"/>
  <c r="Q668"/>
  <c r="V668" s="1"/>
  <c r="X668" s="1"/>
  <c r="Q663"/>
  <c r="V663" s="1"/>
  <c r="X663" s="1"/>
  <c r="Q664"/>
  <c r="V664" s="1"/>
  <c r="X664" s="1"/>
  <c r="Q665"/>
  <c r="V665" s="1"/>
  <c r="X665" s="1"/>
  <c r="Q1074"/>
  <c r="V1074" s="1"/>
  <c r="X1074" s="1"/>
  <c r="Q1075"/>
  <c r="V1075" s="1"/>
  <c r="X1075" s="1"/>
  <c r="Q1076"/>
  <c r="V1076" s="1"/>
  <c r="X1076" s="1"/>
  <c r="Q1077"/>
  <c r="V1077" s="1"/>
  <c r="X1077" s="1"/>
  <c r="Q1078"/>
  <c r="V1078" s="1"/>
  <c r="X1078" s="1"/>
  <c r="Q1079"/>
  <c r="V1079" s="1"/>
  <c r="X1079" s="1"/>
  <c r="Q1068"/>
  <c r="V1068" s="1"/>
  <c r="X1068" s="1"/>
  <c r="Q1069"/>
  <c r="V1069" s="1"/>
  <c r="X1069" s="1"/>
  <c r="Q1070"/>
  <c r="V1070" s="1"/>
  <c r="X1070" s="1"/>
  <c r="Q1071"/>
  <c r="V1071" s="1"/>
  <c r="X1071" s="1"/>
  <c r="Q1072"/>
  <c r="V1072" s="1"/>
  <c r="X1072" s="1"/>
  <c r="Q1073"/>
  <c r="V1073" s="1"/>
  <c r="X1073" s="1"/>
  <c r="Q1066"/>
  <c r="V1066" s="1"/>
  <c r="X1066" s="1"/>
  <c r="Q1067"/>
  <c r="V1067" s="1"/>
  <c r="X1067" s="1"/>
  <c r="Q1064"/>
  <c r="V1064" s="1"/>
  <c r="X1064" s="1"/>
  <c r="Q1065"/>
  <c r="V1065" s="1"/>
  <c r="X1065" s="1"/>
  <c r="Q1062"/>
  <c r="V1062" s="1"/>
  <c r="X1062" s="1"/>
  <c r="Q1063"/>
  <c r="V1063" s="1"/>
  <c r="X1063" s="1"/>
  <c r="Q1060"/>
  <c r="V1060" s="1"/>
  <c r="X1060" s="1"/>
  <c r="Q1061"/>
  <c r="V1061" s="1"/>
  <c r="X1061" s="1"/>
  <c r="Q1058"/>
  <c r="V1058" s="1"/>
  <c r="X1058" s="1"/>
  <c r="Q1059"/>
  <c r="V1059" s="1"/>
  <c r="X1059" s="1"/>
  <c r="Q637"/>
  <c r="V637" s="1"/>
  <c r="X637" s="1"/>
  <c r="Q638"/>
  <c r="V638" s="1"/>
  <c r="X638" s="1"/>
  <c r="Q639"/>
  <c r="V639" s="1"/>
  <c r="X639" s="1"/>
  <c r="Q640"/>
  <c r="V640" s="1"/>
  <c r="X640" s="1"/>
  <c r="Q633"/>
  <c r="V633" s="1"/>
  <c r="X633" s="1"/>
  <c r="Q634"/>
  <c r="V634" s="1"/>
  <c r="X634" s="1"/>
  <c r="Q635"/>
  <c r="V635" s="1"/>
  <c r="X635" s="1"/>
  <c r="Q636"/>
  <c r="V636" s="1"/>
  <c r="X636" s="1"/>
  <c r="Q631"/>
  <c r="V631" s="1"/>
  <c r="X631" s="1"/>
  <c r="Q632"/>
  <c r="V632" s="1"/>
  <c r="X632" s="1"/>
  <c r="Q629"/>
  <c r="V629" s="1"/>
  <c r="X629" s="1"/>
  <c r="Q630"/>
  <c r="V630" s="1"/>
  <c r="X630" s="1"/>
  <c r="Q627"/>
  <c r="V627" s="1"/>
  <c r="X627" s="1"/>
  <c r="Q628"/>
  <c r="V628" s="1"/>
  <c r="X628" s="1"/>
  <c r="Q626"/>
  <c r="V626" s="1"/>
  <c r="X626" s="1"/>
  <c r="Q625"/>
  <c r="V625" s="1"/>
  <c r="X625" s="1"/>
  <c r="Q621"/>
  <c r="V621" s="1"/>
  <c r="X621" s="1"/>
  <c r="Q622"/>
  <c r="V622" s="1"/>
  <c r="X622" s="1"/>
  <c r="Q623"/>
  <c r="V623" s="1"/>
  <c r="X623" s="1"/>
  <c r="Q624"/>
  <c r="V624" s="1"/>
  <c r="X624" s="1"/>
  <c r="Q618"/>
  <c r="V618" s="1"/>
  <c r="X618" s="1"/>
  <c r="Q619"/>
  <c r="V619" s="1"/>
  <c r="X619" s="1"/>
  <c r="Q620"/>
  <c r="V620" s="1"/>
  <c r="X620" s="1"/>
  <c r="Q614"/>
  <c r="V614" s="1"/>
  <c r="X614" s="1"/>
  <c r="Q615"/>
  <c r="V615" s="1"/>
  <c r="X615" s="1"/>
  <c r="Q103"/>
  <c r="V103" s="1"/>
  <c r="X103" s="1"/>
  <c r="Q617"/>
  <c r="V617" s="1"/>
  <c r="X617" s="1"/>
  <c r="Q616"/>
  <c r="V616" s="1"/>
  <c r="X616" s="1"/>
  <c r="Q608"/>
  <c r="V608" s="1"/>
  <c r="X608" s="1"/>
  <c r="Q609"/>
  <c r="V609" s="1"/>
  <c r="X609" s="1"/>
  <c r="Q610"/>
  <c r="V610" s="1"/>
  <c r="X610" s="1"/>
  <c r="Q611"/>
  <c r="V611" s="1"/>
  <c r="X611" s="1"/>
  <c r="Q612"/>
  <c r="V612" s="1"/>
  <c r="X612" s="1"/>
  <c r="Q613"/>
  <c r="V613" s="1"/>
  <c r="X613" s="1"/>
  <c r="Q602"/>
  <c r="V602" s="1"/>
  <c r="X602" s="1"/>
  <c r="Q603"/>
  <c r="V603" s="1"/>
  <c r="X603" s="1"/>
  <c r="Q604"/>
  <c r="V604" s="1"/>
  <c r="X604" s="1"/>
  <c r="Q605"/>
  <c r="V605" s="1"/>
  <c r="X605" s="1"/>
  <c r="Q606"/>
  <c r="V606" s="1"/>
  <c r="X606" s="1"/>
  <c r="Q607"/>
  <c r="V607" s="1"/>
  <c r="X607" s="1"/>
  <c r="Q596"/>
  <c r="V596" s="1"/>
  <c r="X596" s="1"/>
  <c r="Q597"/>
  <c r="V597" s="1"/>
  <c r="X597" s="1"/>
  <c r="Q598"/>
  <c r="V598" s="1"/>
  <c r="X598" s="1"/>
  <c r="Q599"/>
  <c r="V599" s="1"/>
  <c r="X599" s="1"/>
  <c r="Q600"/>
  <c r="V600" s="1"/>
  <c r="X600" s="1"/>
  <c r="Q601"/>
  <c r="V601" s="1"/>
  <c r="X601" s="1"/>
  <c r="Q593"/>
  <c r="V593" s="1"/>
  <c r="X593" s="1"/>
  <c r="Q594"/>
  <c r="V594" s="1"/>
  <c r="X594" s="1"/>
  <c r="Q595"/>
  <c r="V595" s="1"/>
  <c r="X595" s="1"/>
  <c r="Q590"/>
  <c r="V590" s="1"/>
  <c r="X590" s="1"/>
  <c r="Q591"/>
  <c r="V591" s="1"/>
  <c r="X591" s="1"/>
  <c r="Q592"/>
  <c r="V592" s="1"/>
  <c r="X592" s="1"/>
  <c r="Q589"/>
  <c r="V589" s="1"/>
  <c r="X589" s="1"/>
  <c r="Q588"/>
  <c r="V588" s="1"/>
  <c r="X588" s="1"/>
  <c r="Q587"/>
  <c r="V587" s="1"/>
  <c r="X587" s="1"/>
  <c r="Q586"/>
  <c r="V586" s="1"/>
  <c r="X586" s="1"/>
  <c r="Q575"/>
  <c r="V575" s="1"/>
  <c r="X575" s="1"/>
  <c r="Q574"/>
  <c r="V574" s="1"/>
  <c r="X574" s="1"/>
  <c r="Q573"/>
  <c r="V573" s="1"/>
  <c r="X573" s="1"/>
  <c r="Q572"/>
  <c r="V572" s="1"/>
  <c r="X572" s="1"/>
  <c r="Q571"/>
  <c r="V571" s="1"/>
  <c r="X571" s="1"/>
  <c r="Q570"/>
  <c r="V570" s="1"/>
  <c r="X570" s="1"/>
  <c r="Q569"/>
  <c r="V569" s="1"/>
  <c r="X569" s="1"/>
  <c r="Q568"/>
  <c r="V568" s="1"/>
  <c r="X568" s="1"/>
  <c r="Q567"/>
  <c r="V567" s="1"/>
  <c r="X567" s="1"/>
  <c r="Q566"/>
  <c r="V566" s="1"/>
  <c r="X566" s="1"/>
  <c r="Q565"/>
  <c r="V565" s="1"/>
  <c r="X565" s="1"/>
  <c r="Q564"/>
  <c r="V564" s="1"/>
  <c r="X564" s="1"/>
  <c r="Q563"/>
  <c r="V563" s="1"/>
  <c r="X563" s="1"/>
  <c r="Q562"/>
  <c r="V562" s="1"/>
  <c r="X562" s="1"/>
  <c r="Q561"/>
  <c r="V561" s="1"/>
  <c r="X561" s="1"/>
  <c r="Q560"/>
  <c r="V560" s="1"/>
  <c r="X560" s="1"/>
  <c r="Q559"/>
  <c r="V559" s="1"/>
  <c r="X559" s="1"/>
  <c r="Q558"/>
  <c r="V558" s="1"/>
  <c r="X558" s="1"/>
  <c r="Q557"/>
  <c r="V557" s="1"/>
  <c r="X557" s="1"/>
  <c r="Q556"/>
  <c r="V556" s="1"/>
  <c r="X556" s="1"/>
  <c r="Q555"/>
  <c r="V555" s="1"/>
  <c r="X555" s="1"/>
  <c r="Q554"/>
  <c r="V554" s="1"/>
  <c r="X554" s="1"/>
  <c r="Q553"/>
  <c r="V553" s="1"/>
  <c r="X553" s="1"/>
  <c r="Q552"/>
  <c r="V552" s="1"/>
  <c r="X552" s="1"/>
  <c r="Q551"/>
  <c r="V551" s="1"/>
  <c r="X551" s="1"/>
  <c r="Q550"/>
  <c r="V550" s="1"/>
  <c r="X550" s="1"/>
  <c r="Q549"/>
  <c r="V549" s="1"/>
  <c r="X549" s="1"/>
  <c r="Q548"/>
  <c r="V548" s="1"/>
  <c r="X548" s="1"/>
  <c r="Q547"/>
  <c r="V547" s="1"/>
  <c r="X547" s="1"/>
  <c r="Q546"/>
  <c r="V546" s="1"/>
  <c r="X546" s="1"/>
  <c r="Q545"/>
  <c r="V545" s="1"/>
  <c r="X545" s="1"/>
  <c r="Q544"/>
  <c r="V544" s="1"/>
  <c r="X544" s="1"/>
  <c r="Q543"/>
  <c r="V543" s="1"/>
  <c r="X543" s="1"/>
  <c r="Q580"/>
  <c r="V580" s="1"/>
  <c r="X580" s="1"/>
  <c r="Q585"/>
  <c r="V585" s="1"/>
  <c r="X585" s="1"/>
  <c r="Q579"/>
  <c r="V579" s="1"/>
  <c r="X579" s="1"/>
  <c r="Q584"/>
  <c r="V584" s="1"/>
  <c r="X584" s="1"/>
  <c r="Q578"/>
  <c r="V578" s="1"/>
  <c r="X578" s="1"/>
  <c r="Q583"/>
  <c r="V583" s="1"/>
  <c r="X583" s="1"/>
  <c r="Q577"/>
  <c r="V577" s="1"/>
  <c r="X577" s="1"/>
  <c r="Q582"/>
  <c r="V582" s="1"/>
  <c r="X582" s="1"/>
  <c r="Q581"/>
  <c r="V581" s="1"/>
  <c r="X581" s="1"/>
  <c r="Q576"/>
  <c r="V576" s="1"/>
  <c r="X576" s="1"/>
  <c r="Q519"/>
  <c r="V519" s="1"/>
  <c r="X519" s="1"/>
  <c r="Q520"/>
  <c r="V520" s="1"/>
  <c r="X520" s="1"/>
  <c r="Q518"/>
  <c r="V518" s="1"/>
  <c r="X518" s="1"/>
  <c r="Q2"/>
  <c r="V2" s="1"/>
  <c r="X2" s="1"/>
  <c r="Q3"/>
  <c r="V3" s="1"/>
  <c r="X3" s="1"/>
  <c r="Q4"/>
  <c r="V4" s="1"/>
  <c r="X4" s="1"/>
  <c r="Q5"/>
  <c r="V5" s="1"/>
  <c r="X5" s="1"/>
  <c r="Q6"/>
  <c r="V6" s="1"/>
  <c r="X6" s="1"/>
  <c r="Q7"/>
  <c r="V7" s="1"/>
  <c r="X7" s="1"/>
  <c r="Q8"/>
  <c r="V8" s="1"/>
  <c r="X8" s="1"/>
  <c r="Q9"/>
  <c r="V9" s="1"/>
  <c r="X9" s="1"/>
  <c r="Q10"/>
  <c r="V10" s="1"/>
  <c r="X10" s="1"/>
  <c r="Q11"/>
  <c r="V11" s="1"/>
  <c r="X11" s="1"/>
  <c r="Q12"/>
  <c r="V12" s="1"/>
  <c r="X12" s="1"/>
  <c r="Q13"/>
  <c r="V13" s="1"/>
  <c r="X13" s="1"/>
  <c r="Q14"/>
  <c r="V14" s="1"/>
  <c r="X14" s="1"/>
  <c r="Q15"/>
  <c r="V15" s="1"/>
  <c r="X15" s="1"/>
  <c r="Q16"/>
  <c r="V16" s="1"/>
  <c r="X16" s="1"/>
  <c r="Q17"/>
  <c r="V17" s="1"/>
  <c r="X17" s="1"/>
  <c r="Q18"/>
  <c r="V18" s="1"/>
  <c r="X18" s="1"/>
  <c r="Q19"/>
  <c r="V19" s="1"/>
  <c r="X19" s="1"/>
  <c r="Q20"/>
  <c r="V20" s="1"/>
  <c r="X20" s="1"/>
  <c r="Q21"/>
  <c r="V21" s="1"/>
  <c r="X21" s="1"/>
  <c r="Q22"/>
  <c r="V22" s="1"/>
  <c r="X22" s="1"/>
  <c r="Q23"/>
  <c r="V23" s="1"/>
  <c r="X23" s="1"/>
  <c r="Q24"/>
  <c r="V24" s="1"/>
  <c r="X24" s="1"/>
  <c r="Q25"/>
  <c r="V25" s="1"/>
  <c r="X25" s="1"/>
  <c r="Q26"/>
  <c r="V26" s="1"/>
  <c r="X26" s="1"/>
  <c r="Q27"/>
  <c r="V27" s="1"/>
  <c r="X27" s="1"/>
  <c r="Q28"/>
  <c r="V28" s="1"/>
  <c r="X28" s="1"/>
  <c r="Q29"/>
  <c r="V29" s="1"/>
  <c r="X29" s="1"/>
  <c r="Q30"/>
  <c r="V30" s="1"/>
  <c r="X30" s="1"/>
  <c r="Q31"/>
  <c r="V31" s="1"/>
  <c r="X31" s="1"/>
  <c r="Q32"/>
  <c r="V32" s="1"/>
  <c r="X32" s="1"/>
  <c r="Q33"/>
  <c r="V33" s="1"/>
  <c r="X33" s="1"/>
  <c r="Q34"/>
  <c r="V34" s="1"/>
  <c r="X34" s="1"/>
  <c r="Q35"/>
  <c r="V35" s="1"/>
  <c r="X35" s="1"/>
  <c r="Q36"/>
  <c r="V36" s="1"/>
  <c r="X36" s="1"/>
  <c r="Q521"/>
  <c r="V521" s="1"/>
  <c r="X521" s="1"/>
  <c r="Q38"/>
  <c r="V38" s="1"/>
  <c r="X38" s="1"/>
  <c r="Q39"/>
  <c r="V39" s="1"/>
  <c r="X39" s="1"/>
  <c r="Q40"/>
  <c r="V40" s="1"/>
  <c r="X40" s="1"/>
  <c r="Q41"/>
  <c r="V41" s="1"/>
  <c r="X41" s="1"/>
  <c r="Q42"/>
  <c r="V42" s="1"/>
  <c r="X42" s="1"/>
  <c r="Q43"/>
  <c r="V43" s="1"/>
  <c r="X43" s="1"/>
  <c r="Q44"/>
  <c r="V44" s="1"/>
  <c r="X44" s="1"/>
  <c r="Q45"/>
  <c r="V45" s="1"/>
  <c r="X45" s="1"/>
  <c r="Q46"/>
  <c r="V46" s="1"/>
  <c r="X46" s="1"/>
  <c r="Q47"/>
  <c r="V47" s="1"/>
  <c r="X47" s="1"/>
  <c r="Q48"/>
  <c r="V48" s="1"/>
  <c r="X48" s="1"/>
  <c r="Q49"/>
  <c r="V49" s="1"/>
  <c r="X49" s="1"/>
  <c r="Q50"/>
  <c r="V50" s="1"/>
  <c r="X50" s="1"/>
  <c r="Q51"/>
  <c r="V51" s="1"/>
  <c r="X51" s="1"/>
  <c r="Q52"/>
  <c r="V52" s="1"/>
  <c r="X52" s="1"/>
  <c r="Q53"/>
  <c r="V53" s="1"/>
  <c r="X53" s="1"/>
  <c r="Q54"/>
  <c r="V54" s="1"/>
  <c r="X54" s="1"/>
  <c r="Q55"/>
  <c r="V55" s="1"/>
  <c r="X55" s="1"/>
  <c r="Q56"/>
  <c r="V56" s="1"/>
  <c r="X56" s="1"/>
  <c r="Q57"/>
  <c r="V57" s="1"/>
  <c r="X57" s="1"/>
  <c r="Q58"/>
  <c r="V58" s="1"/>
  <c r="X58" s="1"/>
  <c r="Q59"/>
  <c r="V59" s="1"/>
  <c r="X59" s="1"/>
  <c r="Q60"/>
  <c r="V60" s="1"/>
  <c r="X60" s="1"/>
  <c r="Q61"/>
  <c r="V61" s="1"/>
  <c r="X61" s="1"/>
  <c r="Q62"/>
  <c r="V62" s="1"/>
  <c r="X62" s="1"/>
  <c r="Q63"/>
  <c r="V63" s="1"/>
  <c r="X63" s="1"/>
  <c r="Q64"/>
  <c r="V64" s="1"/>
  <c r="X64" s="1"/>
  <c r="Q65"/>
  <c r="V65" s="1"/>
  <c r="X65" s="1"/>
  <c r="Q66"/>
  <c r="V66" s="1"/>
  <c r="X66" s="1"/>
  <c r="Q67"/>
  <c r="V67" s="1"/>
  <c r="X67" s="1"/>
  <c r="Q68"/>
  <c r="V68" s="1"/>
  <c r="X68" s="1"/>
  <c r="Q69"/>
  <c r="V69" s="1"/>
  <c r="X69" s="1"/>
  <c r="Q70"/>
  <c r="V70" s="1"/>
  <c r="X70" s="1"/>
  <c r="Q71"/>
  <c r="V71" s="1"/>
  <c r="X71" s="1"/>
  <c r="Q72"/>
  <c r="V72" s="1"/>
  <c r="X72" s="1"/>
  <c r="Q73"/>
  <c r="V73" s="1"/>
  <c r="X73" s="1"/>
  <c r="Q74"/>
  <c r="V74" s="1"/>
  <c r="X74" s="1"/>
  <c r="Q75"/>
  <c r="V75" s="1"/>
  <c r="X75" s="1"/>
  <c r="Q76"/>
  <c r="V76" s="1"/>
  <c r="X76" s="1"/>
  <c r="Q77"/>
  <c r="V77" s="1"/>
  <c r="X77" s="1"/>
  <c r="Q78"/>
  <c r="V78" s="1"/>
  <c r="X78" s="1"/>
  <c r="Q79"/>
  <c r="V79" s="1"/>
  <c r="X79" s="1"/>
  <c r="Q80"/>
  <c r="V80" s="1"/>
  <c r="X80" s="1"/>
  <c r="Q81"/>
  <c r="V81" s="1"/>
  <c r="X81" s="1"/>
  <c r="Q82"/>
  <c r="V82" s="1"/>
  <c r="X82" s="1"/>
  <c r="Q83"/>
  <c r="V83" s="1"/>
  <c r="X83" s="1"/>
  <c r="Q84"/>
  <c r="V84" s="1"/>
  <c r="X84" s="1"/>
  <c r="Q85"/>
  <c r="V85" s="1"/>
  <c r="X85" s="1"/>
  <c r="Q86"/>
  <c r="V86" s="1"/>
  <c r="X86" s="1"/>
  <c r="Q87"/>
  <c r="V87" s="1"/>
  <c r="X87" s="1"/>
  <c r="Q88"/>
  <c r="V88" s="1"/>
  <c r="X88" s="1"/>
  <c r="Q89"/>
  <c r="V89" s="1"/>
  <c r="X89" s="1"/>
  <c r="Q90"/>
  <c r="V90" s="1"/>
  <c r="X90" s="1"/>
  <c r="Q91"/>
  <c r="V91" s="1"/>
  <c r="X91" s="1"/>
  <c r="Q92"/>
  <c r="V92" s="1"/>
  <c r="X92" s="1"/>
  <c r="Q93"/>
  <c r="V93" s="1"/>
  <c r="X93" s="1"/>
  <c r="Q94"/>
  <c r="V94" s="1"/>
  <c r="X94" s="1"/>
  <c r="Q95"/>
  <c r="V95" s="1"/>
  <c r="X95" s="1"/>
  <c r="Q96"/>
  <c r="V96" s="1"/>
  <c r="X96" s="1"/>
  <c r="Q97"/>
  <c r="V97" s="1"/>
  <c r="X97" s="1"/>
  <c r="Q98"/>
  <c r="V98" s="1"/>
  <c r="X98" s="1"/>
  <c r="Q99"/>
  <c r="V99" s="1"/>
  <c r="X99" s="1"/>
  <c r="Q100"/>
  <c r="V100" s="1"/>
  <c r="X100" s="1"/>
  <c r="Q101"/>
  <c r="V101" s="1"/>
  <c r="X101" s="1"/>
  <c r="Q102"/>
  <c r="V102" s="1"/>
  <c r="X102" s="1"/>
  <c r="Q104"/>
  <c r="V104" s="1"/>
  <c r="X104" s="1"/>
  <c r="Q105"/>
  <c r="V105" s="1"/>
  <c r="X105" s="1"/>
  <c r="Q106"/>
  <c r="V106" s="1"/>
  <c r="X106" s="1"/>
  <c r="Q107"/>
  <c r="V107" s="1"/>
  <c r="X107" s="1"/>
  <c r="Q108"/>
  <c r="V108" s="1"/>
  <c r="X108" s="1"/>
  <c r="Q109"/>
  <c r="V109" s="1"/>
  <c r="X109" s="1"/>
  <c r="Q110"/>
  <c r="V110" s="1"/>
  <c r="X110" s="1"/>
  <c r="Q111"/>
  <c r="V111" s="1"/>
  <c r="X111" s="1"/>
  <c r="Q112"/>
  <c r="V112" s="1"/>
  <c r="X112" s="1"/>
  <c r="Q113"/>
  <c r="V113" s="1"/>
  <c r="X113" s="1"/>
  <c r="Q114"/>
  <c r="V114" s="1"/>
  <c r="X114" s="1"/>
  <c r="Q115"/>
  <c r="V115" s="1"/>
  <c r="X115" s="1"/>
  <c r="Q116"/>
  <c r="V116" s="1"/>
  <c r="X116" s="1"/>
  <c r="Q117"/>
  <c r="V117" s="1"/>
  <c r="X117" s="1"/>
  <c r="Q118"/>
  <c r="V118" s="1"/>
  <c r="X118" s="1"/>
  <c r="Q119"/>
  <c r="V119" s="1"/>
  <c r="X119" s="1"/>
  <c r="Q120"/>
  <c r="V120" s="1"/>
  <c r="X120" s="1"/>
  <c r="Q121"/>
  <c r="V121" s="1"/>
  <c r="X121" s="1"/>
  <c r="Q122"/>
  <c r="V122" s="1"/>
  <c r="X122" s="1"/>
  <c r="Q123"/>
  <c r="V123" s="1"/>
  <c r="X123" s="1"/>
  <c r="Q124"/>
  <c r="V124" s="1"/>
  <c r="X124" s="1"/>
  <c r="Q125"/>
  <c r="V125" s="1"/>
  <c r="X125" s="1"/>
  <c r="Q126"/>
  <c r="V126" s="1"/>
  <c r="X126" s="1"/>
  <c r="Q127"/>
  <c r="V127" s="1"/>
  <c r="X127" s="1"/>
  <c r="Q128"/>
  <c r="V128" s="1"/>
  <c r="X128" s="1"/>
  <c r="Q129"/>
  <c r="V129" s="1"/>
  <c r="X129" s="1"/>
  <c r="Q130"/>
  <c r="V130" s="1"/>
  <c r="X130" s="1"/>
  <c r="Q131"/>
  <c r="V131" s="1"/>
  <c r="X131" s="1"/>
  <c r="Q132"/>
  <c r="V132" s="1"/>
  <c r="X132" s="1"/>
  <c r="Q133"/>
  <c r="V133" s="1"/>
  <c r="X133" s="1"/>
  <c r="Q134"/>
  <c r="V134" s="1"/>
  <c r="X134" s="1"/>
  <c r="Q135"/>
  <c r="V135" s="1"/>
  <c r="X135" s="1"/>
  <c r="Q136"/>
  <c r="V136" s="1"/>
  <c r="X136" s="1"/>
  <c r="Q137"/>
  <c r="V137" s="1"/>
  <c r="X137" s="1"/>
  <c r="Q138"/>
  <c r="V138" s="1"/>
  <c r="X138" s="1"/>
  <c r="Q139"/>
  <c r="V139" s="1"/>
  <c r="X139" s="1"/>
  <c r="Q140"/>
  <c r="V140" s="1"/>
  <c r="X140" s="1"/>
  <c r="Q141"/>
  <c r="V141" s="1"/>
  <c r="X141" s="1"/>
  <c r="Q142"/>
  <c r="V142" s="1"/>
  <c r="X142" s="1"/>
  <c r="Q143"/>
  <c r="V143" s="1"/>
  <c r="X143" s="1"/>
  <c r="Q144"/>
  <c r="V144" s="1"/>
  <c r="X144" s="1"/>
  <c r="Q145"/>
  <c r="V145" s="1"/>
  <c r="X145" s="1"/>
  <c r="Q146"/>
  <c r="V146" s="1"/>
  <c r="X146" s="1"/>
  <c r="Q147"/>
  <c r="V147" s="1"/>
  <c r="X147" s="1"/>
  <c r="Q148"/>
  <c r="V148" s="1"/>
  <c r="X148" s="1"/>
  <c r="Q149"/>
  <c r="V149" s="1"/>
  <c r="X149" s="1"/>
  <c r="Q150"/>
  <c r="V150" s="1"/>
  <c r="X150" s="1"/>
  <c r="Q151"/>
  <c r="V151" s="1"/>
  <c r="X151" s="1"/>
  <c r="Q152"/>
  <c r="V152" s="1"/>
  <c r="X152" s="1"/>
  <c r="Q153"/>
  <c r="V153" s="1"/>
  <c r="X153" s="1"/>
  <c r="Q154"/>
  <c r="V154" s="1"/>
  <c r="X154" s="1"/>
  <c r="Q155"/>
  <c r="V155" s="1"/>
  <c r="X155" s="1"/>
  <c r="Q156"/>
  <c r="V156" s="1"/>
  <c r="X156" s="1"/>
  <c r="Q157"/>
  <c r="V157" s="1"/>
  <c r="X157" s="1"/>
  <c r="Q158"/>
  <c r="V158" s="1"/>
  <c r="X158" s="1"/>
  <c r="Q159"/>
  <c r="V159" s="1"/>
  <c r="X159" s="1"/>
  <c r="Q160"/>
  <c r="V160" s="1"/>
  <c r="X160" s="1"/>
  <c r="Q161"/>
  <c r="V161" s="1"/>
  <c r="X161" s="1"/>
  <c r="Q162"/>
  <c r="V162" s="1"/>
  <c r="X162" s="1"/>
  <c r="Q163"/>
  <c r="V163" s="1"/>
  <c r="X163" s="1"/>
  <c r="Q164"/>
  <c r="V164" s="1"/>
  <c r="X164" s="1"/>
  <c r="Q165"/>
  <c r="V165" s="1"/>
  <c r="X165" s="1"/>
  <c r="Q166"/>
  <c r="V166" s="1"/>
  <c r="X166" s="1"/>
  <c r="Q167"/>
  <c r="V167" s="1"/>
  <c r="X167" s="1"/>
  <c r="Q168"/>
  <c r="V168" s="1"/>
  <c r="X168" s="1"/>
  <c r="Q169"/>
  <c r="V169" s="1"/>
  <c r="X169" s="1"/>
  <c r="Q170"/>
  <c r="V170" s="1"/>
  <c r="X170" s="1"/>
  <c r="Q171"/>
  <c r="V171" s="1"/>
  <c r="X171" s="1"/>
  <c r="Q172"/>
  <c r="V172" s="1"/>
  <c r="X172" s="1"/>
  <c r="Q173"/>
  <c r="V173" s="1"/>
  <c r="X173" s="1"/>
  <c r="Q174"/>
  <c r="V174" s="1"/>
  <c r="X174" s="1"/>
  <c r="Q175"/>
  <c r="V175" s="1"/>
  <c r="X175" s="1"/>
  <c r="Q176"/>
  <c r="V176" s="1"/>
  <c r="X176" s="1"/>
  <c r="Q177"/>
  <c r="V177" s="1"/>
  <c r="X177" s="1"/>
  <c r="Q178"/>
  <c r="V178" s="1"/>
  <c r="X178" s="1"/>
  <c r="Q179"/>
  <c r="V179" s="1"/>
  <c r="X179" s="1"/>
  <c r="Q180"/>
  <c r="V180" s="1"/>
  <c r="X180" s="1"/>
  <c r="Q181"/>
  <c r="V181" s="1"/>
  <c r="X181" s="1"/>
  <c r="Q182"/>
  <c r="V182" s="1"/>
  <c r="X182" s="1"/>
  <c r="Q183"/>
  <c r="V183" s="1"/>
  <c r="X183" s="1"/>
  <c r="Q184"/>
  <c r="V184" s="1"/>
  <c r="X184" s="1"/>
  <c r="Q185"/>
  <c r="V185" s="1"/>
  <c r="X185" s="1"/>
  <c r="Q186"/>
  <c r="V186" s="1"/>
  <c r="X186" s="1"/>
  <c r="Q187"/>
  <c r="V187" s="1"/>
  <c r="X187" s="1"/>
  <c r="Q188"/>
  <c r="V188" s="1"/>
  <c r="X188" s="1"/>
  <c r="Q189"/>
  <c r="V189" s="1"/>
  <c r="X189" s="1"/>
  <c r="Q190"/>
  <c r="V190" s="1"/>
  <c r="X190" s="1"/>
  <c r="Q191"/>
  <c r="V191" s="1"/>
  <c r="X191" s="1"/>
  <c r="Q192"/>
  <c r="V192" s="1"/>
  <c r="X192" s="1"/>
  <c r="Q193"/>
  <c r="V193" s="1"/>
  <c r="X193" s="1"/>
  <c r="Q194"/>
  <c r="V194" s="1"/>
  <c r="X194" s="1"/>
  <c r="Q195"/>
  <c r="V195" s="1"/>
  <c r="X195" s="1"/>
  <c r="Q196"/>
  <c r="V196" s="1"/>
  <c r="X196" s="1"/>
  <c r="Q197"/>
  <c r="V197" s="1"/>
  <c r="X197" s="1"/>
  <c r="Q198"/>
  <c r="V198" s="1"/>
  <c r="X198" s="1"/>
  <c r="Q199"/>
  <c r="V199" s="1"/>
  <c r="X199" s="1"/>
  <c r="Q200"/>
  <c r="V200" s="1"/>
  <c r="X200" s="1"/>
  <c r="Q201"/>
  <c r="V201" s="1"/>
  <c r="X201" s="1"/>
  <c r="Q202"/>
  <c r="V202" s="1"/>
  <c r="X202" s="1"/>
  <c r="Q203"/>
  <c r="V203" s="1"/>
  <c r="X203" s="1"/>
  <c r="Q204"/>
  <c r="V204" s="1"/>
  <c r="X204" s="1"/>
  <c r="Q205"/>
  <c r="V205" s="1"/>
  <c r="X205" s="1"/>
  <c r="Q1056"/>
  <c r="V1056" s="1"/>
  <c r="X1056" s="1"/>
  <c r="Q1057"/>
  <c r="V1057" s="1"/>
  <c r="X1057" s="1"/>
  <c r="Q208"/>
  <c r="V208" s="1"/>
  <c r="X208" s="1"/>
  <c r="Q209"/>
  <c r="V209" s="1"/>
  <c r="X209" s="1"/>
  <c r="Q210"/>
  <c r="V210" s="1"/>
  <c r="X210" s="1"/>
  <c r="Q211"/>
  <c r="V211" s="1"/>
  <c r="X211" s="1"/>
  <c r="Q212"/>
  <c r="V212" s="1"/>
  <c r="X212" s="1"/>
  <c r="Q213"/>
  <c r="V213" s="1"/>
  <c r="X213" s="1"/>
  <c r="Q214"/>
  <c r="V214" s="1"/>
  <c r="X214" s="1"/>
  <c r="Q215"/>
  <c r="V215" s="1"/>
  <c r="X215" s="1"/>
  <c r="Q216"/>
  <c r="V216" s="1"/>
  <c r="X216" s="1"/>
  <c r="Q217"/>
  <c r="V217" s="1"/>
  <c r="X217" s="1"/>
  <c r="Q218"/>
  <c r="V218" s="1"/>
  <c r="X218" s="1"/>
  <c r="Q219"/>
  <c r="V219" s="1"/>
  <c r="X219" s="1"/>
  <c r="Q220"/>
  <c r="V220" s="1"/>
  <c r="X220" s="1"/>
  <c r="Q221"/>
  <c r="V221" s="1"/>
  <c r="X221" s="1"/>
  <c r="Q222"/>
  <c r="V222" s="1"/>
  <c r="X222" s="1"/>
  <c r="Q223"/>
  <c r="V223" s="1"/>
  <c r="X223" s="1"/>
  <c r="Q224"/>
  <c r="V224" s="1"/>
  <c r="X224" s="1"/>
  <c r="Q225"/>
  <c r="V225" s="1"/>
  <c r="X225" s="1"/>
  <c r="Q226"/>
  <c r="V226" s="1"/>
  <c r="X226" s="1"/>
  <c r="Q227"/>
  <c r="V227" s="1"/>
  <c r="X227" s="1"/>
  <c r="Q228"/>
  <c r="V228" s="1"/>
  <c r="X228" s="1"/>
  <c r="Q229"/>
  <c r="V229" s="1"/>
  <c r="X229" s="1"/>
  <c r="Q230"/>
  <c r="V230" s="1"/>
  <c r="X230" s="1"/>
  <c r="Q231"/>
  <c r="V231" s="1"/>
  <c r="X231" s="1"/>
  <c r="Q232"/>
  <c r="V232" s="1"/>
  <c r="X232" s="1"/>
  <c r="Q233"/>
  <c r="V233" s="1"/>
  <c r="X233" s="1"/>
  <c r="Q234"/>
  <c r="V234" s="1"/>
  <c r="X234" s="1"/>
  <c r="Q235"/>
  <c r="V235" s="1"/>
  <c r="X235" s="1"/>
  <c r="Q236"/>
  <c r="V236" s="1"/>
  <c r="X236" s="1"/>
  <c r="Q237"/>
  <c r="V237" s="1"/>
  <c r="X237" s="1"/>
  <c r="Q238"/>
  <c r="V238" s="1"/>
  <c r="X238" s="1"/>
  <c r="Q239"/>
  <c r="V239" s="1"/>
  <c r="X239" s="1"/>
  <c r="Q240"/>
  <c r="V240" s="1"/>
  <c r="X240" s="1"/>
  <c r="Q241"/>
  <c r="V241" s="1"/>
  <c r="X241" s="1"/>
  <c r="Q242"/>
  <c r="V242" s="1"/>
  <c r="X242" s="1"/>
  <c r="Q243"/>
  <c r="V243" s="1"/>
  <c r="X243" s="1"/>
  <c r="Q244"/>
  <c r="V244" s="1"/>
  <c r="X244" s="1"/>
  <c r="Q245"/>
  <c r="V245" s="1"/>
  <c r="X245" s="1"/>
  <c r="Q246"/>
  <c r="V246" s="1"/>
  <c r="X246" s="1"/>
  <c r="Q247"/>
  <c r="V247" s="1"/>
  <c r="X247" s="1"/>
  <c r="Q248"/>
  <c r="V248" s="1"/>
  <c r="X248" s="1"/>
  <c r="Q249"/>
  <c r="V249" s="1"/>
  <c r="X249" s="1"/>
  <c r="Q250"/>
  <c r="V250" s="1"/>
  <c r="X250" s="1"/>
  <c r="Q251"/>
  <c r="V251" s="1"/>
  <c r="X251" s="1"/>
  <c r="Q252"/>
  <c r="V252" s="1"/>
  <c r="X252" s="1"/>
  <c r="Q253"/>
  <c r="V253" s="1"/>
  <c r="X253" s="1"/>
  <c r="Q254"/>
  <c r="V254" s="1"/>
  <c r="X254" s="1"/>
  <c r="Q255"/>
  <c r="V255" s="1"/>
  <c r="X255" s="1"/>
  <c r="Q256"/>
  <c r="V256" s="1"/>
  <c r="X256" s="1"/>
  <c r="Q257"/>
  <c r="V257" s="1"/>
  <c r="X257" s="1"/>
  <c r="Q258"/>
  <c r="V258" s="1"/>
  <c r="X258" s="1"/>
  <c r="Q259"/>
  <c r="V259" s="1"/>
  <c r="X259" s="1"/>
  <c r="Q260"/>
  <c r="V260" s="1"/>
  <c r="X260" s="1"/>
  <c r="Q261"/>
  <c r="V261" s="1"/>
  <c r="X261" s="1"/>
  <c r="Q262"/>
  <c r="V262" s="1"/>
  <c r="X262" s="1"/>
  <c r="Q263"/>
  <c r="V263" s="1"/>
  <c r="X263" s="1"/>
  <c r="Q264"/>
  <c r="V264" s="1"/>
  <c r="X264" s="1"/>
  <c r="Q265"/>
  <c r="V265" s="1"/>
  <c r="X265" s="1"/>
  <c r="Q266"/>
  <c r="V266" s="1"/>
  <c r="X266" s="1"/>
  <c r="Q267"/>
  <c r="V267" s="1"/>
  <c r="X267" s="1"/>
  <c r="Q268"/>
  <c r="V268" s="1"/>
  <c r="X268" s="1"/>
  <c r="Q269"/>
  <c r="V269" s="1"/>
  <c r="X269" s="1"/>
  <c r="Q270"/>
  <c r="V270" s="1"/>
  <c r="X270" s="1"/>
  <c r="Q271"/>
  <c r="V271" s="1"/>
  <c r="X271" s="1"/>
  <c r="Q272"/>
  <c r="V272" s="1"/>
  <c r="X272" s="1"/>
  <c r="Q273"/>
  <c r="V273" s="1"/>
  <c r="X273" s="1"/>
  <c r="Q274"/>
  <c r="V274" s="1"/>
  <c r="X274" s="1"/>
  <c r="Q275"/>
  <c r="V275" s="1"/>
  <c r="X275" s="1"/>
  <c r="Q276"/>
  <c r="V276" s="1"/>
  <c r="X276" s="1"/>
  <c r="Q277"/>
  <c r="V277" s="1"/>
  <c r="X277" s="1"/>
  <c r="Q278"/>
  <c r="V278" s="1"/>
  <c r="X278" s="1"/>
  <c r="Q279"/>
  <c r="V279" s="1"/>
  <c r="X279" s="1"/>
  <c r="Q280"/>
  <c r="V280" s="1"/>
  <c r="X280" s="1"/>
  <c r="Q281"/>
  <c r="V281" s="1"/>
  <c r="X281" s="1"/>
  <c r="Q282"/>
  <c r="V282" s="1"/>
  <c r="X282" s="1"/>
  <c r="Q283"/>
  <c r="V283" s="1"/>
  <c r="X283" s="1"/>
  <c r="Q284"/>
  <c r="V284" s="1"/>
  <c r="X284" s="1"/>
  <c r="Q285"/>
  <c r="V285" s="1"/>
  <c r="X285" s="1"/>
  <c r="Q286"/>
  <c r="V286" s="1"/>
  <c r="X286" s="1"/>
  <c r="Q287"/>
  <c r="V287" s="1"/>
  <c r="X287" s="1"/>
  <c r="Q288"/>
  <c r="V288" s="1"/>
  <c r="X288" s="1"/>
  <c r="Q289"/>
  <c r="V289" s="1"/>
  <c r="X289" s="1"/>
  <c r="Q290"/>
  <c r="V290" s="1"/>
  <c r="X290" s="1"/>
  <c r="Q291"/>
  <c r="V291" s="1"/>
  <c r="X291" s="1"/>
  <c r="Q292"/>
  <c r="V292" s="1"/>
  <c r="X292" s="1"/>
  <c r="Q293"/>
  <c r="V293" s="1"/>
  <c r="X293" s="1"/>
  <c r="Q294"/>
  <c r="V294" s="1"/>
  <c r="X294" s="1"/>
  <c r="Q295"/>
  <c r="V295" s="1"/>
  <c r="X295" s="1"/>
  <c r="Q296"/>
  <c r="V296" s="1"/>
  <c r="X296" s="1"/>
  <c r="Q297"/>
  <c r="V297" s="1"/>
  <c r="X297" s="1"/>
  <c r="Q298"/>
  <c r="V298" s="1"/>
  <c r="X298" s="1"/>
  <c r="Q299"/>
  <c r="V299" s="1"/>
  <c r="X299" s="1"/>
  <c r="Q300"/>
  <c r="V300" s="1"/>
  <c r="X300" s="1"/>
  <c r="Q301"/>
  <c r="V301" s="1"/>
  <c r="X301" s="1"/>
  <c r="Q302"/>
  <c r="V302" s="1"/>
  <c r="X302" s="1"/>
  <c r="Q303"/>
  <c r="V303" s="1"/>
  <c r="X303" s="1"/>
  <c r="Q304"/>
  <c r="V304" s="1"/>
  <c r="X304" s="1"/>
  <c r="Q305"/>
  <c r="V305" s="1"/>
  <c r="X305" s="1"/>
  <c r="Q306"/>
  <c r="V306" s="1"/>
  <c r="X306" s="1"/>
  <c r="Q307"/>
  <c r="V307" s="1"/>
  <c r="X307" s="1"/>
  <c r="Q308"/>
  <c r="V308" s="1"/>
  <c r="X308" s="1"/>
  <c r="Q309"/>
  <c r="V309" s="1"/>
  <c r="X309" s="1"/>
  <c r="Q310"/>
  <c r="V310" s="1"/>
  <c r="X310" s="1"/>
  <c r="Q311"/>
  <c r="V311" s="1"/>
  <c r="X311" s="1"/>
  <c r="Q312"/>
  <c r="V312" s="1"/>
  <c r="X312" s="1"/>
  <c r="Q313"/>
  <c r="V313" s="1"/>
  <c r="X313" s="1"/>
  <c r="Q314"/>
  <c r="V314" s="1"/>
  <c r="X314" s="1"/>
  <c r="Q315"/>
  <c r="V315" s="1"/>
  <c r="X315" s="1"/>
  <c r="Q316"/>
  <c r="V316" s="1"/>
  <c r="X316" s="1"/>
  <c r="Q317"/>
  <c r="V317" s="1"/>
  <c r="X317" s="1"/>
  <c r="Q318"/>
  <c r="V318" s="1"/>
  <c r="X318" s="1"/>
  <c r="Q319"/>
  <c r="V319" s="1"/>
  <c r="X319" s="1"/>
  <c r="Q320"/>
  <c r="V320" s="1"/>
  <c r="X320" s="1"/>
  <c r="Q321"/>
  <c r="V321" s="1"/>
  <c r="X321" s="1"/>
  <c r="Q322"/>
  <c r="V322" s="1"/>
  <c r="X322" s="1"/>
  <c r="Q323"/>
  <c r="V323" s="1"/>
  <c r="X323" s="1"/>
  <c r="Q324"/>
  <c r="V324" s="1"/>
  <c r="X324" s="1"/>
  <c r="Q325"/>
  <c r="V325" s="1"/>
  <c r="X325" s="1"/>
  <c r="Q326"/>
  <c r="V326" s="1"/>
  <c r="X326" s="1"/>
  <c r="Q327"/>
  <c r="V327" s="1"/>
  <c r="X327" s="1"/>
  <c r="Q328"/>
  <c r="V328" s="1"/>
  <c r="X328" s="1"/>
  <c r="Q329"/>
  <c r="V329" s="1"/>
  <c r="X329" s="1"/>
  <c r="Q330"/>
  <c r="V330" s="1"/>
  <c r="X330" s="1"/>
  <c r="Q331"/>
  <c r="V331" s="1"/>
  <c r="X331" s="1"/>
  <c r="Q332"/>
  <c r="V332" s="1"/>
  <c r="X332" s="1"/>
  <c r="Q333"/>
  <c r="V333" s="1"/>
  <c r="X333" s="1"/>
  <c r="Q334"/>
  <c r="V334" s="1"/>
  <c r="X334" s="1"/>
  <c r="Q335"/>
  <c r="V335" s="1"/>
  <c r="X335" s="1"/>
  <c r="Q336"/>
  <c r="V336" s="1"/>
  <c r="X336" s="1"/>
  <c r="Q337"/>
  <c r="V337" s="1"/>
  <c r="X337" s="1"/>
  <c r="Q338"/>
  <c r="V338" s="1"/>
  <c r="X338" s="1"/>
  <c r="Q339"/>
  <c r="V339" s="1"/>
  <c r="X339" s="1"/>
  <c r="Q340"/>
  <c r="V340" s="1"/>
  <c r="X340" s="1"/>
  <c r="Q341"/>
  <c r="V341" s="1"/>
  <c r="X341" s="1"/>
  <c r="Q342"/>
  <c r="V342" s="1"/>
  <c r="X342" s="1"/>
  <c r="Q343"/>
  <c r="V343" s="1"/>
  <c r="X343" s="1"/>
  <c r="Q344"/>
  <c r="V344" s="1"/>
  <c r="X344" s="1"/>
  <c r="Q345"/>
  <c r="V345" s="1"/>
  <c r="X345" s="1"/>
  <c r="Q346"/>
  <c r="V346" s="1"/>
  <c r="X346" s="1"/>
  <c r="Q347"/>
  <c r="V347" s="1"/>
  <c r="X347" s="1"/>
  <c r="Q348"/>
  <c r="V348" s="1"/>
  <c r="X348" s="1"/>
  <c r="Q349"/>
  <c r="V349" s="1"/>
  <c r="X349" s="1"/>
  <c r="Q350"/>
  <c r="V350" s="1"/>
  <c r="X350" s="1"/>
  <c r="Q351"/>
  <c r="V351" s="1"/>
  <c r="X351" s="1"/>
  <c r="Q352"/>
  <c r="V352" s="1"/>
  <c r="X352" s="1"/>
  <c r="Q353"/>
  <c r="V353" s="1"/>
  <c r="X353" s="1"/>
  <c r="Q354"/>
  <c r="V354" s="1"/>
  <c r="X354" s="1"/>
  <c r="Q355"/>
  <c r="V355" s="1"/>
  <c r="X355" s="1"/>
  <c r="Q356"/>
  <c r="V356" s="1"/>
  <c r="X356" s="1"/>
  <c r="Q357"/>
  <c r="V357" s="1"/>
  <c r="X357" s="1"/>
  <c r="Q358"/>
  <c r="V358" s="1"/>
  <c r="X358" s="1"/>
  <c r="Q359"/>
  <c r="V359" s="1"/>
  <c r="X359" s="1"/>
  <c r="Q360"/>
  <c r="V360" s="1"/>
  <c r="X360" s="1"/>
  <c r="Q361"/>
  <c r="V361" s="1"/>
  <c r="X361" s="1"/>
  <c r="Q362"/>
  <c r="V362" s="1"/>
  <c r="X362" s="1"/>
  <c r="Q363"/>
  <c r="V363" s="1"/>
  <c r="X363" s="1"/>
  <c r="Q364"/>
  <c r="V364" s="1"/>
  <c r="X364" s="1"/>
  <c r="Q365"/>
  <c r="V365" s="1"/>
  <c r="X365" s="1"/>
  <c r="Q366"/>
  <c r="V366" s="1"/>
  <c r="X366" s="1"/>
  <c r="Q367"/>
  <c r="V367" s="1"/>
  <c r="X367" s="1"/>
  <c r="Q368"/>
  <c r="V368" s="1"/>
  <c r="X368" s="1"/>
  <c r="Q369"/>
  <c r="V369" s="1"/>
  <c r="X369" s="1"/>
  <c r="Q370"/>
  <c r="V370" s="1"/>
  <c r="X370" s="1"/>
  <c r="Q371"/>
  <c r="V371" s="1"/>
  <c r="X371" s="1"/>
  <c r="Q372"/>
  <c r="V372" s="1"/>
  <c r="X372" s="1"/>
  <c r="Q373"/>
  <c r="V373" s="1"/>
  <c r="X373" s="1"/>
  <c r="Q374"/>
  <c r="V374" s="1"/>
  <c r="X374" s="1"/>
  <c r="Q375"/>
  <c r="V375" s="1"/>
  <c r="X375" s="1"/>
  <c r="Q376"/>
  <c r="V376" s="1"/>
  <c r="X376" s="1"/>
  <c r="Q377"/>
  <c r="V377" s="1"/>
  <c r="X377" s="1"/>
  <c r="Q378"/>
  <c r="V378" s="1"/>
  <c r="X378" s="1"/>
  <c r="Q379"/>
  <c r="V379" s="1"/>
  <c r="X379" s="1"/>
  <c r="Q380"/>
  <c r="V380" s="1"/>
  <c r="X380" s="1"/>
  <c r="Q381"/>
  <c r="V381" s="1"/>
  <c r="X381" s="1"/>
  <c r="Q382"/>
  <c r="V382" s="1"/>
  <c r="X382" s="1"/>
  <c r="Q383"/>
  <c r="V383" s="1"/>
  <c r="X383" s="1"/>
  <c r="Q384"/>
  <c r="V384" s="1"/>
  <c r="X384" s="1"/>
  <c r="Q385"/>
  <c r="V385" s="1"/>
  <c r="X385" s="1"/>
  <c r="Q386"/>
  <c r="V386" s="1"/>
  <c r="X386" s="1"/>
  <c r="Q387"/>
  <c r="V387" s="1"/>
  <c r="X387" s="1"/>
  <c r="Q388"/>
  <c r="V388" s="1"/>
  <c r="X388" s="1"/>
  <c r="Q389"/>
  <c r="V389" s="1"/>
  <c r="X389" s="1"/>
  <c r="Q390"/>
  <c r="V390" s="1"/>
  <c r="X390" s="1"/>
  <c r="Q391"/>
  <c r="V391" s="1"/>
  <c r="X391" s="1"/>
  <c r="Q392"/>
  <c r="V392" s="1"/>
  <c r="X392" s="1"/>
  <c r="Q393"/>
  <c r="V393" s="1"/>
  <c r="X393" s="1"/>
  <c r="Q394"/>
  <c r="V394" s="1"/>
  <c r="X394" s="1"/>
  <c r="Q395"/>
  <c r="V395" s="1"/>
  <c r="X395" s="1"/>
  <c r="Q396"/>
  <c r="V396" s="1"/>
  <c r="X396" s="1"/>
  <c r="Q397"/>
  <c r="V397" s="1"/>
  <c r="X397" s="1"/>
  <c r="Q398"/>
  <c r="V398" s="1"/>
  <c r="X398" s="1"/>
  <c r="Q399"/>
  <c r="V399" s="1"/>
  <c r="X399" s="1"/>
  <c r="Q400"/>
  <c r="V400" s="1"/>
  <c r="X400" s="1"/>
  <c r="Q401"/>
  <c r="V401" s="1"/>
  <c r="X401" s="1"/>
  <c r="Q402"/>
  <c r="V402" s="1"/>
  <c r="X402" s="1"/>
  <c r="Q403"/>
  <c r="V403" s="1"/>
  <c r="X403" s="1"/>
  <c r="Q404"/>
  <c r="V404" s="1"/>
  <c r="X404" s="1"/>
  <c r="Q405"/>
  <c r="V405" s="1"/>
  <c r="X405" s="1"/>
  <c r="Q406"/>
  <c r="V406" s="1"/>
  <c r="X406" s="1"/>
  <c r="Q407"/>
  <c r="V407" s="1"/>
  <c r="X407" s="1"/>
  <c r="Q408"/>
  <c r="V408" s="1"/>
  <c r="X408" s="1"/>
  <c r="Q409"/>
  <c r="V409" s="1"/>
  <c r="X409" s="1"/>
  <c r="Q410"/>
  <c r="V410" s="1"/>
  <c r="X410" s="1"/>
  <c r="Q411"/>
  <c r="V411" s="1"/>
  <c r="X411" s="1"/>
  <c r="Q412"/>
  <c r="V412" s="1"/>
  <c r="X412" s="1"/>
  <c r="Q413"/>
  <c r="V413" s="1"/>
  <c r="X413" s="1"/>
  <c r="Q414"/>
  <c r="V414" s="1"/>
  <c r="X414" s="1"/>
  <c r="Q415"/>
  <c r="V415" s="1"/>
  <c r="X415" s="1"/>
  <c r="Q416"/>
  <c r="V416" s="1"/>
  <c r="X416" s="1"/>
  <c r="Q417"/>
  <c r="V417" s="1"/>
  <c r="X417" s="1"/>
  <c r="Q418"/>
  <c r="V418" s="1"/>
  <c r="X418" s="1"/>
  <c r="Q419"/>
  <c r="V419" s="1"/>
  <c r="X419" s="1"/>
  <c r="Q420"/>
  <c r="V420" s="1"/>
  <c r="X420" s="1"/>
  <c r="Q421"/>
  <c r="V421" s="1"/>
  <c r="X421" s="1"/>
  <c r="Q422"/>
  <c r="V422" s="1"/>
  <c r="X422" s="1"/>
  <c r="Q423"/>
  <c r="V423" s="1"/>
  <c r="X423" s="1"/>
  <c r="Q424"/>
  <c r="V424" s="1"/>
  <c r="X424" s="1"/>
  <c r="Q425"/>
  <c r="V425" s="1"/>
  <c r="X425" s="1"/>
  <c r="Q426"/>
  <c r="V426" s="1"/>
  <c r="X426" s="1"/>
  <c r="Q427"/>
  <c r="V427" s="1"/>
  <c r="X427" s="1"/>
  <c r="Q428"/>
  <c r="V428" s="1"/>
  <c r="X428" s="1"/>
  <c r="Q429"/>
  <c r="V429" s="1"/>
  <c r="X429" s="1"/>
  <c r="Q430"/>
  <c r="V430" s="1"/>
  <c r="X430" s="1"/>
  <c r="Q431"/>
  <c r="V431" s="1"/>
  <c r="X431" s="1"/>
  <c r="Q432"/>
  <c r="V432" s="1"/>
  <c r="X432" s="1"/>
  <c r="Q433"/>
  <c r="V433" s="1"/>
  <c r="X433" s="1"/>
  <c r="Q434"/>
  <c r="V434" s="1"/>
  <c r="X434" s="1"/>
  <c r="Q435"/>
  <c r="V435" s="1"/>
  <c r="X435" s="1"/>
  <c r="Q436"/>
  <c r="V436" s="1"/>
  <c r="X436" s="1"/>
  <c r="Q437"/>
  <c r="V437" s="1"/>
  <c r="X437" s="1"/>
  <c r="Q438"/>
  <c r="V438" s="1"/>
  <c r="X438" s="1"/>
  <c r="Q439"/>
  <c r="V439" s="1"/>
  <c r="X439" s="1"/>
  <c r="Q440"/>
  <c r="V440" s="1"/>
  <c r="X440" s="1"/>
  <c r="Q441"/>
  <c r="V441" s="1"/>
  <c r="X441" s="1"/>
  <c r="Q442"/>
  <c r="V442" s="1"/>
  <c r="X442" s="1"/>
  <c r="Q443"/>
  <c r="V443" s="1"/>
  <c r="X443" s="1"/>
  <c r="Q444"/>
  <c r="V444" s="1"/>
  <c r="X444" s="1"/>
  <c r="Q445"/>
  <c r="V445" s="1"/>
  <c r="X445" s="1"/>
  <c r="Q446"/>
  <c r="V446" s="1"/>
  <c r="X446" s="1"/>
  <c r="Q447"/>
  <c r="V447" s="1"/>
  <c r="X447" s="1"/>
  <c r="Q448"/>
  <c r="V448" s="1"/>
  <c r="X448" s="1"/>
  <c r="Q449"/>
  <c r="V449" s="1"/>
  <c r="X449" s="1"/>
  <c r="Q450"/>
  <c r="V450" s="1"/>
  <c r="X450" s="1"/>
  <c r="Q451"/>
  <c r="V451" s="1"/>
  <c r="X451" s="1"/>
  <c r="Q452"/>
  <c r="V452" s="1"/>
  <c r="X452" s="1"/>
  <c r="Q453"/>
  <c r="V453" s="1"/>
  <c r="X453" s="1"/>
  <c r="Q454"/>
  <c r="V454" s="1"/>
  <c r="X454" s="1"/>
  <c r="Q455"/>
  <c r="V455" s="1"/>
  <c r="X455" s="1"/>
  <c r="Q456"/>
  <c r="V456" s="1"/>
  <c r="X456" s="1"/>
  <c r="Q457"/>
  <c r="V457" s="1"/>
  <c r="X457" s="1"/>
  <c r="Q522"/>
  <c r="V522" s="1"/>
  <c r="X522" s="1"/>
  <c r="Q523"/>
  <c r="V523" s="1"/>
  <c r="X523" s="1"/>
  <c r="Q524"/>
  <c r="V524" s="1"/>
  <c r="X524" s="1"/>
  <c r="Q461"/>
  <c r="V461" s="1"/>
  <c r="X461" s="1"/>
  <c r="Q462"/>
  <c r="V462" s="1"/>
  <c r="X462" s="1"/>
  <c r="Q463"/>
  <c r="V463" s="1"/>
  <c r="X463" s="1"/>
  <c r="Q464"/>
  <c r="V464" s="1"/>
  <c r="X464" s="1"/>
  <c r="Q465"/>
  <c r="V465" s="1"/>
  <c r="X465" s="1"/>
  <c r="Q466"/>
  <c r="V466" s="1"/>
  <c r="X466" s="1"/>
  <c r="Q467"/>
  <c r="V467" s="1"/>
  <c r="X467" s="1"/>
  <c r="Q468"/>
  <c r="V468" s="1"/>
  <c r="X468" s="1"/>
  <c r="Q469"/>
  <c r="V469" s="1"/>
  <c r="X469" s="1"/>
  <c r="Q470"/>
  <c r="V470" s="1"/>
  <c r="X470" s="1"/>
  <c r="Q471"/>
  <c r="V471" s="1"/>
  <c r="X471" s="1"/>
  <c r="Q472"/>
  <c r="V472" s="1"/>
  <c r="X472" s="1"/>
  <c r="Q473"/>
  <c r="V473" s="1"/>
  <c r="X473" s="1"/>
  <c r="Q474"/>
  <c r="V474" s="1"/>
  <c r="X474" s="1"/>
  <c r="Q475"/>
  <c r="V475" s="1"/>
  <c r="X475" s="1"/>
  <c r="Q476"/>
  <c r="V476" s="1"/>
  <c r="X476" s="1"/>
  <c r="Q477"/>
  <c r="V477" s="1"/>
  <c r="X477" s="1"/>
  <c r="Q478"/>
  <c r="V478" s="1"/>
  <c r="X478" s="1"/>
  <c r="Q479"/>
  <c r="V479" s="1"/>
  <c r="X479" s="1"/>
  <c r="Q480"/>
  <c r="V480" s="1"/>
  <c r="X480" s="1"/>
  <c r="Q481"/>
  <c r="V481" s="1"/>
  <c r="X481" s="1"/>
  <c r="Q482"/>
  <c r="V482" s="1"/>
  <c r="X482" s="1"/>
  <c r="Q483"/>
  <c r="V483" s="1"/>
  <c r="X483" s="1"/>
  <c r="Q484"/>
  <c r="V484" s="1"/>
  <c r="X484" s="1"/>
  <c r="Q485"/>
  <c r="V485" s="1"/>
  <c r="X485" s="1"/>
  <c r="Q486"/>
  <c r="V486" s="1"/>
  <c r="X486" s="1"/>
  <c r="Q487"/>
  <c r="V487" s="1"/>
  <c r="X487" s="1"/>
  <c r="Q488"/>
  <c r="V488" s="1"/>
  <c r="X488" s="1"/>
  <c r="Q489"/>
  <c r="V489" s="1"/>
  <c r="X489" s="1"/>
  <c r="Q490"/>
  <c r="V490" s="1"/>
  <c r="X490" s="1"/>
  <c r="Q491"/>
  <c r="V491" s="1"/>
  <c r="X491" s="1"/>
  <c r="Q492"/>
  <c r="V492" s="1"/>
  <c r="X492" s="1"/>
  <c r="Q493"/>
  <c r="V493" s="1"/>
  <c r="X493" s="1"/>
  <c r="Q689"/>
  <c r="V689" s="1"/>
  <c r="X689" s="1"/>
  <c r="Q495"/>
  <c r="V495" s="1"/>
  <c r="X495" s="1"/>
  <c r="Q496"/>
  <c r="V496" s="1"/>
  <c r="X496" s="1"/>
  <c r="Q497"/>
  <c r="V497" s="1"/>
  <c r="X497" s="1"/>
  <c r="Q498"/>
  <c r="V498" s="1"/>
  <c r="X498" s="1"/>
  <c r="Q499"/>
  <c r="V499" s="1"/>
  <c r="X499" s="1"/>
  <c r="Q500"/>
  <c r="V500" s="1"/>
  <c r="X500" s="1"/>
  <c r="Q501"/>
  <c r="V501" s="1"/>
  <c r="X501" s="1"/>
  <c r="Q502"/>
  <c r="V502" s="1"/>
  <c r="X502" s="1"/>
  <c r="Q503"/>
  <c r="V503" s="1"/>
  <c r="X503" s="1"/>
  <c r="Q504"/>
  <c r="V504" s="1"/>
  <c r="X504" s="1"/>
  <c r="Q505"/>
  <c r="V505" s="1"/>
  <c r="X505" s="1"/>
  <c r="Q506"/>
  <c r="V506" s="1"/>
  <c r="X506" s="1"/>
  <c r="Q507"/>
  <c r="V507" s="1"/>
  <c r="X507" s="1"/>
  <c r="Q508"/>
  <c r="V508" s="1"/>
  <c r="X508" s="1"/>
  <c r="Q509"/>
  <c r="V509" s="1"/>
  <c r="X509" s="1"/>
  <c r="Q510"/>
  <c r="V510" s="1"/>
  <c r="X510" s="1"/>
  <c r="Q511"/>
  <c r="V511" s="1"/>
  <c r="X511" s="1"/>
  <c r="Q512"/>
  <c r="V512" s="1"/>
  <c r="X512" s="1"/>
  <c r="Q513"/>
  <c r="V513" s="1"/>
  <c r="X513" s="1"/>
  <c r="Q514"/>
  <c r="V514" s="1"/>
  <c r="X514" s="1"/>
  <c r="Q515"/>
  <c r="V515" s="1"/>
  <c r="X515" s="1"/>
  <c r="Q37"/>
  <c r="V37" s="1"/>
  <c r="X37" s="1"/>
  <c r="Q460"/>
  <c r="V460" s="1"/>
  <c r="X460" s="1"/>
  <c r="Q458"/>
  <c r="V458" s="1"/>
  <c r="X458" s="1"/>
  <c r="Q459"/>
  <c r="V459" s="1"/>
  <c r="X459" s="1"/>
  <c r="Q516"/>
  <c r="V516" s="1"/>
  <c r="X516" s="1"/>
  <c r="Q517"/>
  <c r="V517" s="1"/>
  <c r="X517" s="1"/>
  <c r="Q525"/>
  <c r="V525" s="1"/>
  <c r="X525" s="1"/>
  <c r="Q527"/>
  <c r="V527" s="1"/>
  <c r="X527" s="1"/>
  <c r="Q529"/>
  <c r="V529" s="1"/>
  <c r="X529" s="1"/>
  <c r="Q526"/>
  <c r="V526" s="1"/>
  <c r="X526" s="1"/>
  <c r="Q528"/>
  <c r="V528" s="1"/>
  <c r="X528" s="1"/>
  <c r="Q530"/>
  <c r="V530" s="1"/>
  <c r="X530" s="1"/>
  <c r="Q531"/>
  <c r="V531" s="1"/>
  <c r="X531" s="1"/>
  <c r="Q533"/>
  <c r="V533" s="1"/>
  <c r="X533" s="1"/>
  <c r="Q535"/>
  <c r="V535" s="1"/>
  <c r="X535" s="1"/>
  <c r="Q532"/>
  <c r="V532" s="1"/>
  <c r="X532" s="1"/>
  <c r="Q534"/>
  <c r="V534" s="1"/>
  <c r="X534" s="1"/>
  <c r="Q536"/>
  <c r="V536" s="1"/>
  <c r="X536" s="1"/>
  <c r="Q537"/>
  <c r="V537" s="1"/>
  <c r="X537" s="1"/>
  <c r="Q538"/>
  <c r="V538" s="1"/>
  <c r="X538" s="1"/>
  <c r="Q539"/>
  <c r="V539" s="1"/>
  <c r="X539" s="1"/>
  <c r="Q540"/>
  <c r="V540" s="1"/>
  <c r="X540" s="1"/>
  <c r="Q541"/>
  <c r="V541" s="1"/>
  <c r="X541" s="1"/>
  <c r="Q542"/>
  <c r="V542" s="1"/>
  <c r="X542" s="1"/>
  <c r="AX321" i="1"/>
  <c r="AN321" s="1"/>
  <c r="AX209"/>
  <c r="AN209" s="1"/>
  <c r="AX341"/>
  <c r="AN341" s="1"/>
  <c r="AX409"/>
  <c r="AN409" s="1"/>
  <c r="AX89"/>
  <c r="AN89" s="1"/>
  <c r="AX358"/>
  <c r="AN358" s="1"/>
  <c r="AX111"/>
  <c r="AN111" s="1"/>
  <c r="AX491"/>
  <c r="AN491" s="1"/>
  <c r="AX204"/>
  <c r="AN204" s="1"/>
  <c r="AX252"/>
  <c r="AN252" s="1"/>
  <c r="AX197"/>
  <c r="AN197" s="1"/>
  <c r="AX57"/>
  <c r="AN57" s="1"/>
  <c r="AX453"/>
  <c r="AN453" s="1"/>
  <c r="AX37"/>
  <c r="AN37" s="1"/>
  <c r="AX481"/>
  <c r="AN481" s="1"/>
  <c r="AX59"/>
  <c r="AN59" s="1"/>
  <c r="AX205"/>
  <c r="AN205" s="1"/>
  <c r="AX263"/>
  <c r="AN263" s="1"/>
  <c r="AX35"/>
  <c r="AN35" s="1"/>
  <c r="AX262"/>
  <c r="AN262" s="1"/>
  <c r="AX133"/>
  <c r="AN133" s="1"/>
  <c r="AX473"/>
  <c r="AN473" s="1"/>
  <c r="AX467"/>
  <c r="AN467" s="1"/>
  <c r="AX412"/>
  <c r="AN412" s="1"/>
  <c r="AX445"/>
  <c r="AN445" s="1"/>
  <c r="AX62"/>
  <c r="AN62" s="1"/>
  <c r="AX58"/>
  <c r="AN58" s="1"/>
  <c r="AX398"/>
  <c r="AN398" s="1"/>
  <c r="AX293"/>
  <c r="AN293" s="1"/>
  <c r="AX220"/>
  <c r="AN220" s="1"/>
  <c r="AX105"/>
  <c r="AN105" s="1"/>
  <c r="AX273"/>
  <c r="AN273" s="1"/>
  <c r="AX65"/>
  <c r="AN65" s="1"/>
  <c r="AX471"/>
  <c r="AN471" s="1"/>
  <c r="AV471" s="1"/>
  <c r="AX361"/>
  <c r="AN361" s="1"/>
  <c r="AX143"/>
  <c r="AN143" s="1"/>
  <c r="AX501"/>
  <c r="AN501" s="1"/>
  <c r="AX452"/>
  <c r="AN452" s="1"/>
  <c r="AX52"/>
  <c r="AN52" s="1"/>
  <c r="AX299"/>
  <c r="AN299" s="1"/>
  <c r="AX38"/>
  <c r="AN38" s="1"/>
  <c r="AX123"/>
  <c r="AN123" s="1"/>
  <c r="AX264"/>
  <c r="AN264" s="1"/>
  <c r="AX231"/>
  <c r="AN231" s="1"/>
  <c r="AX15"/>
  <c r="AN15" s="1"/>
  <c r="AX474"/>
  <c r="AN474" s="1"/>
  <c r="AX166"/>
  <c r="AN166" s="1"/>
  <c r="AX124"/>
  <c r="AN124" s="1"/>
  <c r="AX291"/>
  <c r="AN291" s="1"/>
  <c r="AX250"/>
  <c r="AN250" s="1"/>
  <c r="AX426"/>
  <c r="AN426" s="1"/>
  <c r="AX175"/>
  <c r="AN175" s="1"/>
  <c r="AX87"/>
  <c r="AN87" s="1"/>
  <c r="AX328"/>
  <c r="AN328" s="1"/>
  <c r="AX504"/>
  <c r="AN504" s="1"/>
  <c r="AX425"/>
  <c r="AN425" s="1"/>
  <c r="AX354"/>
  <c r="AN354" s="1"/>
  <c r="AP354" s="1"/>
  <c r="AX149"/>
  <c r="AN149" s="1"/>
  <c r="AX512"/>
  <c r="AN512" s="1"/>
  <c r="AX440"/>
  <c r="AN440" s="1"/>
  <c r="AX146"/>
  <c r="AN146" s="1"/>
  <c r="AX507"/>
  <c r="AN507" s="1"/>
  <c r="AX485"/>
  <c r="AN485" s="1"/>
  <c r="AX171"/>
  <c r="AN171" s="1"/>
  <c r="AX356"/>
  <c r="AN356" s="1"/>
  <c r="AP356" s="1"/>
  <c r="AX381"/>
  <c r="AN381" s="1"/>
  <c r="AX179"/>
  <c r="AN179" s="1"/>
  <c r="AX423"/>
  <c r="AN423" s="1"/>
  <c r="AX479"/>
  <c r="AN479" s="1"/>
  <c r="AX148"/>
  <c r="AN148" s="1"/>
  <c r="AX22"/>
  <c r="AN22" s="1"/>
  <c r="AX121"/>
  <c r="AN121" s="1"/>
  <c r="AX224"/>
  <c r="AN224" s="1"/>
  <c r="AX134"/>
  <c r="AN134" s="1"/>
  <c r="AX187"/>
  <c r="AN187" s="1"/>
  <c r="AX200"/>
  <c r="AN200" s="1"/>
  <c r="AX242"/>
  <c r="AN242" s="1"/>
  <c r="AX519"/>
  <c r="AN519" s="1"/>
  <c r="AX92"/>
  <c r="AN92" s="1"/>
  <c r="AX495"/>
  <c r="AN495" s="1"/>
  <c r="AX129"/>
  <c r="AN129" s="1"/>
  <c r="AX417"/>
  <c r="AN417" s="1"/>
  <c r="AX374"/>
  <c r="AN374" s="1"/>
  <c r="AX268"/>
  <c r="AN268" s="1"/>
  <c r="AX244"/>
  <c r="AN244" s="1"/>
  <c r="AX17"/>
  <c r="AN17" s="1"/>
  <c r="AX116"/>
  <c r="AN116" s="1"/>
  <c r="AX360"/>
  <c r="AN360" s="1"/>
  <c r="AX154"/>
  <c r="AN154" s="1"/>
  <c r="AX455"/>
  <c r="AN455" s="1"/>
  <c r="AX211"/>
  <c r="AN211" s="1"/>
  <c r="AX64"/>
  <c r="AN64" s="1"/>
  <c r="AX135"/>
  <c r="AN135" s="1"/>
  <c r="AX297"/>
  <c r="AN297" s="1"/>
  <c r="AX247"/>
  <c r="AN247" s="1"/>
  <c r="AX215"/>
  <c r="AN215" s="1"/>
  <c r="AX76"/>
  <c r="AN76" s="1"/>
  <c r="AX241"/>
  <c r="AN241" s="1"/>
  <c r="AV241" s="1"/>
  <c r="AX286"/>
  <c r="AN286" s="1"/>
  <c r="AX513"/>
  <c r="AN513" s="1"/>
  <c r="AX499"/>
  <c r="AN499" s="1"/>
  <c r="AX370"/>
  <c r="AN370" s="1"/>
  <c r="AX235"/>
  <c r="AN235" s="1"/>
  <c r="AX68"/>
  <c r="AN68" s="1"/>
  <c r="AX203"/>
  <c r="AN203" s="1"/>
  <c r="AX496"/>
  <c r="AN496" s="1"/>
  <c r="AX130"/>
  <c r="AN130" s="1"/>
  <c r="AX335"/>
  <c r="AN335" s="1"/>
  <c r="AX39"/>
  <c r="AN39" s="1"/>
  <c r="AX104"/>
  <c r="AN104" s="1"/>
  <c r="AX324"/>
  <c r="AN324" s="1"/>
  <c r="AX385"/>
  <c r="AN385" s="1"/>
  <c r="AV385" s="1"/>
  <c r="AX86"/>
  <c r="AN86" s="1"/>
  <c r="AX327"/>
  <c r="AN327" s="1"/>
  <c r="AX475"/>
  <c r="AN475" s="1"/>
  <c r="AX60"/>
  <c r="AN60" s="1"/>
  <c r="AX165"/>
  <c r="AN165" s="1"/>
  <c r="AX316"/>
  <c r="AN316" s="1"/>
  <c r="AX126"/>
  <c r="AN126" s="1"/>
  <c r="AX100"/>
  <c r="AN100" s="1"/>
  <c r="AX174"/>
  <c r="AN174" s="1"/>
  <c r="AP174" s="1"/>
  <c r="AX322"/>
  <c r="AN322" s="1"/>
  <c r="AX132"/>
  <c r="AN132" s="1"/>
  <c r="AX88"/>
  <c r="AN88" s="1"/>
  <c r="AX21"/>
  <c r="AN21" s="1"/>
  <c r="AX359"/>
  <c r="AN359" s="1"/>
  <c r="AX454"/>
  <c r="AN454" s="1"/>
  <c r="AX509"/>
  <c r="AN509" s="1"/>
  <c r="AX414"/>
  <c r="AN414" s="1"/>
  <c r="AX396"/>
  <c r="AX3"/>
  <c r="AN3" s="1"/>
  <c r="AX4"/>
  <c r="AX428"/>
  <c r="AX437"/>
  <c r="AN437" s="1"/>
  <c r="AX344"/>
  <c r="AN344" s="1"/>
  <c r="AX443"/>
  <c r="AN443" s="1"/>
  <c r="AX279"/>
  <c r="AN279" s="1"/>
  <c r="AX53"/>
  <c r="AN53" s="1"/>
  <c r="AX9"/>
  <c r="AN9" s="1"/>
  <c r="AX47"/>
  <c r="AN47" s="1"/>
  <c r="AX131"/>
  <c r="AN131" s="1"/>
  <c r="AX156"/>
  <c r="AN156" s="1"/>
  <c r="AX487"/>
  <c r="AN487" s="1"/>
  <c r="AX13"/>
  <c r="AN13" s="1"/>
  <c r="AX157"/>
  <c r="AN157" s="1"/>
  <c r="AX101"/>
  <c r="AN101" s="1"/>
  <c r="AX78"/>
  <c r="AN78" s="1"/>
  <c r="AX55"/>
  <c r="AN55" s="1"/>
  <c r="AX232"/>
  <c r="AN232" s="1"/>
  <c r="AX153"/>
  <c r="AN153" s="1"/>
  <c r="AX155"/>
  <c r="AN155" s="1"/>
  <c r="AX46"/>
  <c r="AN46" s="1"/>
  <c r="AX422"/>
  <c r="AN422" s="1"/>
  <c r="AX102"/>
  <c r="AN102" s="1"/>
  <c r="AX222"/>
  <c r="AN222" s="1"/>
  <c r="AX346"/>
  <c r="AN346" s="1"/>
  <c r="AX108"/>
  <c r="AN108" s="1"/>
  <c r="AX127"/>
  <c r="AN127" s="1"/>
  <c r="AX141"/>
  <c r="AN141" s="1"/>
  <c r="AX228"/>
  <c r="AN228" s="1"/>
  <c r="AX84"/>
  <c r="AN84" s="1"/>
  <c r="AX24"/>
  <c r="AN24" s="1"/>
  <c r="AX56"/>
  <c r="AN56" s="1"/>
  <c r="AX18"/>
  <c r="AN18" s="1"/>
  <c r="AX320"/>
  <c r="AN320" s="1"/>
  <c r="AX98"/>
  <c r="AN98" s="1"/>
  <c r="AX456"/>
  <c r="AN456" s="1"/>
  <c r="AX214"/>
  <c r="AN214" s="1"/>
  <c r="AX307"/>
  <c r="AN307" s="1"/>
  <c r="AX212"/>
  <c r="AN212" s="1"/>
  <c r="AX292"/>
  <c r="AN292" s="1"/>
  <c r="AX239"/>
  <c r="AN239" s="1"/>
  <c r="AX107"/>
  <c r="AN107" s="1"/>
  <c r="AX520"/>
  <c r="AN520" s="1"/>
  <c r="AX395"/>
  <c r="AN395" s="1"/>
  <c r="AX431"/>
  <c r="AN431" s="1"/>
  <c r="AX406"/>
  <c r="AN406" s="1"/>
  <c r="AX194"/>
  <c r="AN194" s="1"/>
  <c r="AX399"/>
  <c r="AN399" s="1"/>
  <c r="AX301"/>
  <c r="AN301" s="1"/>
  <c r="AX217"/>
  <c r="AN217" s="1"/>
  <c r="AX237"/>
  <c r="AN237" s="1"/>
  <c r="AX192"/>
  <c r="AN192" s="1"/>
  <c r="AX207"/>
  <c r="AN207" s="1"/>
  <c r="AX464"/>
  <c r="AN464" s="1"/>
  <c r="AX54"/>
  <c r="AN54" s="1"/>
  <c r="AX114"/>
  <c r="AN114" s="1"/>
  <c r="AX199"/>
  <c r="AN199" s="1"/>
  <c r="AX339"/>
  <c r="AN339" s="1"/>
  <c r="AX168"/>
  <c r="AN168" s="1"/>
  <c r="AX367"/>
  <c r="AN367" s="1"/>
  <c r="AX196"/>
  <c r="AN196" s="1"/>
  <c r="AX169"/>
  <c r="AN169" s="1"/>
  <c r="AX357"/>
  <c r="AN357" s="1"/>
  <c r="AX502"/>
  <c r="AN502" s="1"/>
  <c r="AX515"/>
  <c r="AN515" s="1"/>
  <c r="AX210"/>
  <c r="AN210" s="1"/>
  <c r="AX352"/>
  <c r="AN352" s="1"/>
  <c r="AX505"/>
  <c r="AN505" s="1"/>
  <c r="AX419"/>
  <c r="AN419" s="1"/>
  <c r="AX329"/>
  <c r="AN329" s="1"/>
  <c r="AX236"/>
  <c r="AN236" s="1"/>
  <c r="AX465"/>
  <c r="AN465" s="1"/>
  <c r="AX380"/>
  <c r="AN380" s="1"/>
  <c r="AX290"/>
  <c r="AN290" s="1"/>
  <c r="AX283"/>
  <c r="AN283" s="1"/>
  <c r="AX61"/>
  <c r="AN61" s="1"/>
  <c r="AX276"/>
  <c r="AN276" s="1"/>
  <c r="AX11"/>
  <c r="AN11" s="1"/>
  <c r="AX243"/>
  <c r="AN243" s="1"/>
  <c r="AX511"/>
  <c r="AN511" s="1"/>
  <c r="AX376"/>
  <c r="AN376" s="1"/>
  <c r="AX516"/>
  <c r="AN516" s="1"/>
  <c r="AX373"/>
  <c r="AN373" s="1"/>
  <c r="AX368"/>
  <c r="AN368" s="1"/>
  <c r="AX178"/>
  <c r="AN178" s="1"/>
  <c r="AX349"/>
  <c r="AN349" s="1"/>
  <c r="AX405"/>
  <c r="AN405" s="1"/>
  <c r="AX6"/>
  <c r="AN6" s="1"/>
  <c r="AX74"/>
  <c r="AN74" s="1"/>
  <c r="AX163"/>
  <c r="AN163" s="1"/>
  <c r="AX193"/>
  <c r="AN193" s="1"/>
  <c r="AX5"/>
  <c r="AN5" s="1"/>
  <c r="AX289"/>
  <c r="AN289" s="1"/>
  <c r="AX392"/>
  <c r="AN392" s="1"/>
  <c r="AX23"/>
  <c r="AN23" s="1"/>
  <c r="AX401"/>
  <c r="AN401" s="1"/>
  <c r="AX274"/>
  <c r="AN274" s="1"/>
  <c r="AX332"/>
  <c r="AN332" s="1"/>
  <c r="AX183"/>
  <c r="AN183" s="1"/>
  <c r="AX257"/>
  <c r="AN257" s="1"/>
  <c r="AX353"/>
  <c r="AN353" s="1"/>
  <c r="AX518"/>
  <c r="AN518" s="1"/>
  <c r="AX12"/>
  <c r="AN12" s="1"/>
  <c r="AX272"/>
  <c r="AN272" s="1"/>
  <c r="AX72"/>
  <c r="AN72" s="1"/>
  <c r="AX81"/>
  <c r="AN81" s="1"/>
  <c r="AX216"/>
  <c r="AN216" s="1"/>
  <c r="AX304"/>
  <c r="AN304" s="1"/>
  <c r="AX338"/>
  <c r="AN338" s="1"/>
  <c r="AX19"/>
  <c r="AN19" s="1"/>
  <c r="AX115"/>
  <c r="AN115" s="1"/>
  <c r="AP115" s="1"/>
  <c r="AX109"/>
  <c r="AN109" s="1"/>
  <c r="AP109" s="1"/>
  <c r="AX40"/>
  <c r="AN40" s="1"/>
  <c r="AX342"/>
  <c r="AN342" s="1"/>
  <c r="AX450"/>
  <c r="AN450" s="1"/>
  <c r="AX449"/>
  <c r="AN449" s="1"/>
  <c r="AX66"/>
  <c r="AN66" s="1"/>
  <c r="AX95"/>
  <c r="AN95" s="1"/>
  <c r="AX29"/>
  <c r="AN29" s="1"/>
  <c r="AX246"/>
  <c r="AN246" s="1"/>
  <c r="AX198"/>
  <c r="AN198" s="1"/>
  <c r="AX494"/>
  <c r="AN494" s="1"/>
  <c r="AP494" s="1"/>
  <c r="AX416"/>
  <c r="AN416" s="1"/>
  <c r="AX432"/>
  <c r="AN432" s="1"/>
  <c r="AX435"/>
  <c r="AN435" s="1"/>
  <c r="AX170"/>
  <c r="AN170" s="1"/>
  <c r="AX113"/>
  <c r="AN113" s="1"/>
  <c r="AX152"/>
  <c r="AN152" s="1"/>
  <c r="AX164"/>
  <c r="AN164" s="1"/>
  <c r="AX51"/>
  <c r="AN51" s="1"/>
  <c r="AX117"/>
  <c r="AN117" s="1"/>
  <c r="AX136"/>
  <c r="AN136" s="1"/>
  <c r="AX16"/>
  <c r="AN16" s="1"/>
  <c r="AX63"/>
  <c r="AN63" s="1"/>
  <c r="AX96"/>
  <c r="AN96" s="1"/>
  <c r="AX80"/>
  <c r="AN80" s="1"/>
  <c r="AX79"/>
  <c r="AN79" s="1"/>
  <c r="AX75"/>
  <c r="AN75" s="1"/>
  <c r="AX172"/>
  <c r="AN172" s="1"/>
  <c r="AX48"/>
  <c r="AN48" s="1"/>
  <c r="AX195"/>
  <c r="AN195" s="1"/>
  <c r="AX439"/>
  <c r="AN439" s="1"/>
  <c r="AX97"/>
  <c r="AN97" s="1"/>
  <c r="AX418"/>
  <c r="AN418" s="1"/>
  <c r="AX503"/>
  <c r="AN503" s="1"/>
  <c r="AX424"/>
  <c r="AN424" s="1"/>
  <c r="AX371"/>
  <c r="AN371" s="1"/>
  <c r="AX334"/>
  <c r="AN334" s="1"/>
  <c r="AX340"/>
  <c r="AN340" s="1"/>
  <c r="AX311"/>
  <c r="AN311" s="1"/>
  <c r="AX306"/>
  <c r="AN306" s="1"/>
  <c r="AX285"/>
  <c r="AN285" s="1"/>
  <c r="AX270"/>
  <c r="AN270" s="1"/>
  <c r="AX288"/>
  <c r="AN288" s="1"/>
  <c r="AX26"/>
  <c r="AN26" s="1"/>
  <c r="AX83"/>
  <c r="AN83" s="1"/>
  <c r="AX82"/>
  <c r="AN82" s="1"/>
  <c r="AX25"/>
  <c r="AN25" s="1"/>
  <c r="AX160"/>
  <c r="AN160" s="1"/>
  <c r="AP160" s="1"/>
  <c r="AX389"/>
  <c r="AN389" s="1"/>
  <c r="AX260"/>
  <c r="AN260" s="1"/>
  <c r="AX461"/>
  <c r="AN461" s="1"/>
  <c r="AX300"/>
  <c r="AN300" s="1"/>
  <c r="AX159"/>
  <c r="AN159" s="1"/>
  <c r="AX208"/>
  <c r="AN208" s="1"/>
  <c r="AX484"/>
  <c r="AN484" s="1"/>
  <c r="AX138"/>
  <c r="AN138" s="1"/>
  <c r="AX28"/>
  <c r="AN28" s="1"/>
  <c r="AX36"/>
  <c r="AN36" s="1"/>
  <c r="AX71"/>
  <c r="AN71" s="1"/>
  <c r="AX67"/>
  <c r="AN67" s="1"/>
  <c r="AX317"/>
  <c r="AN317" s="1"/>
  <c r="AX8"/>
  <c r="AN8" s="1"/>
  <c r="AX7"/>
  <c r="AN7" s="1"/>
  <c r="AX240"/>
  <c r="AN240" s="1"/>
  <c r="AP240" s="1"/>
  <c r="AX314"/>
  <c r="AN314" s="1"/>
  <c r="AP314" s="1"/>
  <c r="AX206"/>
  <c r="AN206" s="1"/>
  <c r="AX238"/>
  <c r="AN238" s="1"/>
  <c r="AX14"/>
  <c r="AN14" s="1"/>
  <c r="AX150"/>
  <c r="AN150" s="1"/>
  <c r="AX151"/>
  <c r="AN151" s="1"/>
  <c r="AX145"/>
  <c r="AN145" s="1"/>
  <c r="AX137"/>
  <c r="AN137" s="1"/>
  <c r="AX251"/>
  <c r="AN251" s="1"/>
  <c r="AX73"/>
  <c r="AN73" s="1"/>
  <c r="AX508"/>
  <c r="AN508" s="1"/>
  <c r="AX489"/>
  <c r="AN489" s="1"/>
  <c r="AX490"/>
  <c r="AN490" s="1"/>
  <c r="AX10"/>
  <c r="AN10" s="1"/>
  <c r="AX50"/>
  <c r="AN50" s="1"/>
  <c r="AX49"/>
  <c r="AN49" s="1"/>
  <c r="AX45"/>
  <c r="AX472"/>
  <c r="AN472" s="1"/>
  <c r="AP472" s="1"/>
  <c r="AX517"/>
  <c r="AX112"/>
  <c r="AN112" s="1"/>
  <c r="AX110"/>
  <c r="AN110" s="1"/>
  <c r="AX142"/>
  <c r="AN142" s="1"/>
  <c r="AX42"/>
  <c r="AN42" s="1"/>
  <c r="AX365"/>
  <c r="AN365" s="1"/>
  <c r="AX403"/>
  <c r="AN403" s="1"/>
  <c r="AX140"/>
  <c r="AN140" s="1"/>
  <c r="AX119"/>
  <c r="AN119" s="1"/>
  <c r="AX44"/>
  <c r="AN44" s="1"/>
  <c r="AX43"/>
  <c r="AN43" s="1"/>
  <c r="AX463"/>
  <c r="AN463" s="1"/>
  <c r="AX415"/>
  <c r="AN415" s="1"/>
  <c r="AX34"/>
  <c r="AN34" s="1"/>
  <c r="AX318"/>
  <c r="AN318" s="1"/>
  <c r="AX94"/>
  <c r="AN94" s="1"/>
  <c r="AX125"/>
  <c r="AN125" s="1"/>
  <c r="AX106"/>
  <c r="AN106" s="1"/>
  <c r="AX120"/>
  <c r="AN120" s="1"/>
  <c r="AX470"/>
  <c r="AN470" s="1"/>
  <c r="AX410"/>
  <c r="AN410" s="1"/>
  <c r="AX122"/>
  <c r="AN122" s="1"/>
  <c r="AX33"/>
  <c r="AN33" s="1"/>
  <c r="AX32"/>
  <c r="AN32" s="1"/>
  <c r="AX372"/>
  <c r="AN372" s="1"/>
  <c r="AX162"/>
  <c r="AN162" s="1"/>
  <c r="AX31"/>
  <c r="AN31" s="1"/>
  <c r="AX30"/>
  <c r="AN30" s="1"/>
  <c r="AX229"/>
  <c r="AN229" s="1"/>
  <c r="AX2"/>
  <c r="AN2" s="1"/>
  <c r="AX90"/>
  <c r="AN90" s="1"/>
  <c r="AX429"/>
  <c r="AN429" s="1"/>
  <c r="AX469"/>
  <c r="AN469" s="1"/>
  <c r="AX480"/>
  <c r="AN480" s="1"/>
  <c r="AX256"/>
  <c r="AN256" s="1"/>
  <c r="AX296"/>
  <c r="AN296" s="1"/>
  <c r="AX259"/>
  <c r="AN259" s="1"/>
  <c r="AX459"/>
  <c r="AN459" s="1"/>
  <c r="AX497"/>
  <c r="AN497" s="1"/>
  <c r="AX267"/>
  <c r="AN267" s="1"/>
  <c r="AX177"/>
  <c r="AN177" s="1"/>
  <c r="AX182"/>
  <c r="AN182" s="1"/>
  <c r="AX218"/>
  <c r="AN218" s="1"/>
  <c r="AX173"/>
  <c r="AN173" s="1"/>
  <c r="AX223"/>
  <c r="AN223" s="1"/>
  <c r="AX158"/>
  <c r="AN158" s="1"/>
  <c r="AX265"/>
  <c r="AN265" s="1"/>
  <c r="AX226"/>
  <c r="AN226" s="1"/>
  <c r="AX404"/>
  <c r="AN404" s="1"/>
  <c r="AX466"/>
  <c r="AN466" s="1"/>
  <c r="AX167"/>
  <c r="AN167" s="1"/>
  <c r="AX444"/>
  <c r="AN444" s="1"/>
  <c r="AX378"/>
  <c r="AN378" s="1"/>
  <c r="AX41"/>
  <c r="AN41" s="1"/>
  <c r="AX277"/>
  <c r="AN277" s="1"/>
  <c r="AX258"/>
  <c r="AN258" s="1"/>
  <c r="AX386"/>
  <c r="AN386" s="1"/>
  <c r="AV386" s="1"/>
  <c r="AX458"/>
  <c r="AN458" s="1"/>
  <c r="AX144"/>
  <c r="AN144" s="1"/>
  <c r="AX312"/>
  <c r="AN312" s="1"/>
  <c r="AX510"/>
  <c r="AN510" s="1"/>
  <c r="AX482"/>
  <c r="AN482" s="1"/>
  <c r="AX411"/>
  <c r="AN411" s="1"/>
  <c r="AX323"/>
  <c r="AN323" s="1"/>
  <c r="AX492"/>
  <c r="AN492" s="1"/>
  <c r="AX308"/>
  <c r="AN308" s="1"/>
  <c r="AX248"/>
  <c r="AN248" s="1"/>
  <c r="AX375"/>
  <c r="AN375" s="1"/>
  <c r="AX221"/>
  <c r="AN221" s="1"/>
  <c r="AX85"/>
  <c r="AN85" s="1"/>
  <c r="AX397"/>
  <c r="AX441"/>
  <c r="AN441" s="1"/>
  <c r="AX436"/>
  <c r="AN436" s="1"/>
  <c r="AX413"/>
  <c r="AN413" s="1"/>
  <c r="AX93"/>
  <c r="AN93" s="1"/>
  <c r="AX91"/>
  <c r="AN91" s="1"/>
  <c r="AX477"/>
  <c r="AN477" s="1"/>
  <c r="AX476"/>
  <c r="AN476" s="1"/>
  <c r="AX253"/>
  <c r="AN253" s="1"/>
  <c r="AX249"/>
  <c r="AN249" s="1"/>
  <c r="AX118"/>
  <c r="AN118" s="1"/>
  <c r="AX77"/>
  <c r="AN77" s="1"/>
  <c r="AX420"/>
  <c r="AN420" s="1"/>
  <c r="AX433"/>
  <c r="AN433" s="1"/>
  <c r="AX351"/>
  <c r="AN351" s="1"/>
  <c r="AX390"/>
  <c r="AN390" s="1"/>
  <c r="AX478"/>
  <c r="AN478" s="1"/>
  <c r="AX189"/>
  <c r="AN189" s="1"/>
  <c r="AX190"/>
  <c r="AN190" s="1"/>
  <c r="AX191"/>
  <c r="AN191" s="1"/>
  <c r="AX176"/>
  <c r="AN176" s="1"/>
  <c r="AX233"/>
  <c r="AN233" s="1"/>
  <c r="AX181"/>
  <c r="AN181" s="1"/>
  <c r="AX184"/>
  <c r="AN184" s="1"/>
  <c r="AX347"/>
  <c r="AN347" s="1"/>
  <c r="AX234"/>
  <c r="AN234" s="1"/>
  <c r="AX230"/>
  <c r="AN230" s="1"/>
  <c r="AX325"/>
  <c r="AN325" s="1"/>
  <c r="AX355"/>
  <c r="AN355" s="1"/>
  <c r="AX295"/>
  <c r="AN295" s="1"/>
  <c r="AX382"/>
  <c r="AN382" s="1"/>
  <c r="AX362"/>
  <c r="AN362" s="1"/>
  <c r="AX319"/>
  <c r="AN319" s="1"/>
  <c r="AX315"/>
  <c r="AN315" s="1"/>
  <c r="AX313"/>
  <c r="AN313" s="1"/>
  <c r="AX430"/>
  <c r="AN430" s="1"/>
  <c r="AX438"/>
  <c r="AN438" s="1"/>
  <c r="AX298"/>
  <c r="AN298" s="1"/>
  <c r="AX202"/>
  <c r="AN202" s="1"/>
  <c r="AX387"/>
  <c r="AN387" s="1"/>
  <c r="AX337"/>
  <c r="AN337" s="1"/>
  <c r="AX402"/>
  <c r="AN402" s="1"/>
  <c r="AX369"/>
  <c r="AN369" s="1"/>
  <c r="AX434"/>
  <c r="AN434" s="1"/>
  <c r="AX457"/>
  <c r="AN457" s="1"/>
  <c r="AX377"/>
  <c r="AN377" s="1"/>
  <c r="AX379"/>
  <c r="AN379" s="1"/>
  <c r="AX383"/>
  <c r="AN383" s="1"/>
  <c r="AX407"/>
  <c r="AN407" s="1"/>
  <c r="AX408"/>
  <c r="AN408" s="1"/>
  <c r="AX500"/>
  <c r="AN500" s="1"/>
  <c r="AX245"/>
  <c r="AN245" s="1"/>
  <c r="AV245" s="1"/>
  <c r="AX336"/>
  <c r="AN336" s="1"/>
  <c r="AX350"/>
  <c r="AN350" s="1"/>
  <c r="AX333"/>
  <c r="AN333" s="1"/>
  <c r="AV333" s="1"/>
  <c r="AX330"/>
  <c r="AN330" s="1"/>
  <c r="AV330" s="1"/>
  <c r="AX486"/>
  <c r="AN486" s="1"/>
  <c r="AX468"/>
  <c r="AN468" s="1"/>
  <c r="AX364"/>
  <c r="AN364" s="1"/>
  <c r="AX391"/>
  <c r="AN391" s="1"/>
  <c r="AX446"/>
  <c r="AN446" s="1"/>
  <c r="AX427"/>
  <c r="AN427" s="1"/>
  <c r="AX201"/>
  <c r="AN201" s="1"/>
  <c r="AX188"/>
  <c r="AN188" s="1"/>
  <c r="AX447"/>
  <c r="AN447" s="1"/>
  <c r="AX448"/>
  <c r="AN448" s="1"/>
  <c r="AX460"/>
  <c r="AN460" s="1"/>
  <c r="AX462"/>
  <c r="AN462" s="1"/>
  <c r="AX278"/>
  <c r="AN278" s="1"/>
  <c r="AX294"/>
  <c r="AN294" s="1"/>
  <c r="AX282"/>
  <c r="AN282" s="1"/>
  <c r="AX421"/>
  <c r="AN421" s="1"/>
  <c r="AX271"/>
  <c r="AN271" s="1"/>
  <c r="AX303"/>
  <c r="AN303" s="1"/>
  <c r="AX254"/>
  <c r="AN254" s="1"/>
  <c r="AX128"/>
  <c r="AN128" s="1"/>
  <c r="AX139"/>
  <c r="AN139" s="1"/>
  <c r="AX280"/>
  <c r="AN280" s="1"/>
  <c r="AX284"/>
  <c r="AN284" s="1"/>
  <c r="AX225"/>
  <c r="AN225" s="1"/>
  <c r="AX287"/>
  <c r="AN287" s="1"/>
  <c r="AX345"/>
  <c r="AN345" s="1"/>
  <c r="AX261"/>
  <c r="AN261" s="1"/>
  <c r="AX227"/>
  <c r="AN227" s="1"/>
  <c r="AX281"/>
  <c r="AN281" s="1"/>
  <c r="AX302"/>
  <c r="AN302" s="1"/>
  <c r="AX161"/>
  <c r="AN161" s="1"/>
  <c r="AX147"/>
  <c r="AN147" s="1"/>
  <c r="AX348"/>
  <c r="AN348" s="1"/>
  <c r="AX393"/>
  <c r="AN393" s="1"/>
  <c r="AX219"/>
  <c r="AN219" s="1"/>
  <c r="AX388"/>
  <c r="AN388" s="1"/>
  <c r="AX305"/>
  <c r="AN305" s="1"/>
  <c r="AX498"/>
  <c r="AN498" s="1"/>
  <c r="AX493"/>
  <c r="AN493" s="1"/>
  <c r="AX343"/>
  <c r="AN343" s="1"/>
  <c r="AX366"/>
  <c r="AN366" s="1"/>
  <c r="AX69"/>
  <c r="AN69" s="1"/>
  <c r="AX70"/>
  <c r="AN70" s="1"/>
  <c r="AX20"/>
  <c r="AN20" s="1"/>
  <c r="AX400"/>
  <c r="AN400" s="1"/>
  <c r="AX275"/>
  <c r="AN275" s="1"/>
  <c r="AX266"/>
  <c r="AN266" s="1"/>
  <c r="AX442"/>
  <c r="AN442" s="1"/>
  <c r="AX451"/>
  <c r="AN451" s="1"/>
  <c r="AX255"/>
  <c r="AN255" s="1"/>
  <c r="AX310"/>
  <c r="AN310" s="1"/>
  <c r="AX309"/>
  <c r="AN309" s="1"/>
  <c r="AX185"/>
  <c r="AN185" s="1"/>
  <c r="AX363"/>
  <c r="AN363" s="1"/>
  <c r="AX488"/>
  <c r="AN488" s="1"/>
  <c r="AX213"/>
  <c r="AN213" s="1"/>
  <c r="AX506"/>
  <c r="AN506" s="1"/>
  <c r="AX269"/>
  <c r="AN269" s="1"/>
  <c r="AX514"/>
  <c r="AN514" s="1"/>
  <c r="AX483"/>
  <c r="AN483" s="1"/>
  <c r="AX186"/>
  <c r="AN186" s="1"/>
  <c r="AX180"/>
  <c r="AN180" s="1"/>
  <c r="AV180" s="1"/>
  <c r="AX384"/>
  <c r="AN384" s="1"/>
  <c r="AV384" s="1"/>
  <c r="AX394"/>
  <c r="AN394" s="1"/>
  <c r="AV394" s="1"/>
  <c r="AX326"/>
  <c r="AN326" s="1"/>
  <c r="AX331"/>
  <c r="AN331" s="1"/>
  <c r="AX27"/>
  <c r="AN27" s="1"/>
  <c r="AX103"/>
  <c r="AN103" s="1"/>
  <c r="AV103" s="1"/>
  <c r="AX99"/>
  <c r="AN99" s="1"/>
  <c r="AV99" s="1"/>
  <c r="X732" i="19" l="1"/>
  <c r="W732"/>
  <c r="X731"/>
  <c r="W731"/>
  <c r="X734"/>
  <c r="W734"/>
  <c r="X733"/>
  <c r="W733"/>
  <c r="X736"/>
  <c r="W736"/>
  <c r="X735"/>
  <c r="W735"/>
  <c r="X738"/>
  <c r="W738"/>
  <c r="X737"/>
  <c r="W737"/>
  <c r="X740"/>
  <c r="W740"/>
  <c r="X739"/>
  <c r="W739"/>
  <c r="X742"/>
  <c r="W742"/>
  <c r="X741"/>
  <c r="W741"/>
  <c r="W744"/>
  <c r="X744"/>
  <c r="W743"/>
  <c r="X743"/>
  <c r="W758"/>
  <c r="X758"/>
  <c r="W757"/>
  <c r="X757"/>
  <c r="X756"/>
  <c r="W756"/>
  <c r="X755"/>
  <c r="W755"/>
  <c r="X754"/>
  <c r="W754"/>
  <c r="X753"/>
  <c r="W753"/>
  <c r="X752"/>
  <c r="W752"/>
  <c r="X751"/>
  <c r="W751"/>
  <c r="X750"/>
  <c r="W750"/>
  <c r="X749"/>
  <c r="W749"/>
  <c r="X748"/>
  <c r="W748"/>
  <c r="X747"/>
  <c r="W747"/>
  <c r="X746"/>
  <c r="W746"/>
  <c r="X745"/>
  <c r="W745"/>
  <c r="W766"/>
  <c r="X766"/>
  <c r="W765"/>
  <c r="X765"/>
  <c r="X764"/>
  <c r="W764"/>
  <c r="X763"/>
  <c r="W763"/>
  <c r="X762"/>
  <c r="W762"/>
  <c r="X761"/>
  <c r="W761"/>
  <c r="X760"/>
  <c r="W760"/>
  <c r="X759"/>
  <c r="W759"/>
  <c r="W768"/>
  <c r="X768"/>
  <c r="W767"/>
  <c r="X767"/>
  <c r="W769"/>
  <c r="X769"/>
  <c r="W770"/>
  <c r="X770"/>
  <c r="W772"/>
  <c r="X772"/>
  <c r="W771"/>
  <c r="X771"/>
  <c r="W774"/>
  <c r="X774"/>
  <c r="W773"/>
  <c r="X773"/>
  <c r="X776"/>
  <c r="W776"/>
  <c r="X775"/>
  <c r="W775"/>
  <c r="W779"/>
  <c r="X779"/>
  <c r="W778"/>
  <c r="X778"/>
  <c r="W777"/>
  <c r="X777"/>
  <c r="W782"/>
  <c r="X782"/>
  <c r="W781"/>
  <c r="X781"/>
  <c r="W780"/>
  <c r="X780"/>
  <c r="W785"/>
  <c r="X785"/>
  <c r="W784"/>
  <c r="X784"/>
  <c r="W783"/>
  <c r="X783"/>
  <c r="W788"/>
  <c r="X788"/>
  <c r="W787"/>
  <c r="X787"/>
  <c r="W786"/>
  <c r="X786"/>
  <c r="W791"/>
  <c r="X791"/>
  <c r="W790"/>
  <c r="X790"/>
  <c r="W789"/>
  <c r="X789"/>
  <c r="W794"/>
  <c r="X794"/>
  <c r="W793"/>
  <c r="X793"/>
  <c r="W792"/>
  <c r="X792"/>
  <c r="W809"/>
  <c r="X809"/>
  <c r="W808"/>
  <c r="X808"/>
  <c r="W807"/>
  <c r="X807"/>
  <c r="W806"/>
  <c r="X806"/>
  <c r="W805"/>
  <c r="X805"/>
  <c r="W804"/>
  <c r="X804"/>
  <c r="W803"/>
  <c r="X803"/>
  <c r="W802"/>
  <c r="X802"/>
  <c r="W801"/>
  <c r="X801"/>
  <c r="W800"/>
  <c r="X800"/>
  <c r="W799"/>
  <c r="X799"/>
  <c r="W798"/>
  <c r="X798"/>
  <c r="W797"/>
  <c r="X797"/>
  <c r="W796"/>
  <c r="X796"/>
  <c r="W795"/>
  <c r="X795"/>
  <c r="W824"/>
  <c r="X824"/>
  <c r="W823"/>
  <c r="X823"/>
  <c r="W822"/>
  <c r="X822"/>
  <c r="W821"/>
  <c r="X821"/>
  <c r="W820"/>
  <c r="X820"/>
  <c r="W819"/>
  <c r="X819"/>
  <c r="W818"/>
  <c r="X818"/>
  <c r="W817"/>
  <c r="X817"/>
  <c r="W816"/>
  <c r="X816"/>
  <c r="W815"/>
  <c r="X815"/>
  <c r="W814"/>
  <c r="X814"/>
  <c r="W813"/>
  <c r="X813"/>
  <c r="W812"/>
  <c r="X812"/>
  <c r="W811"/>
  <c r="X811"/>
  <c r="W810"/>
  <c r="X810"/>
  <c r="W827"/>
  <c r="X827"/>
  <c r="W826"/>
  <c r="X826"/>
  <c r="W825"/>
  <c r="X825"/>
  <c r="W828"/>
  <c r="X828"/>
  <c r="W829"/>
  <c r="X829"/>
  <c r="W830"/>
  <c r="X830"/>
  <c r="W832"/>
  <c r="X832"/>
  <c r="W831"/>
  <c r="X831"/>
  <c r="W835"/>
  <c r="X835"/>
  <c r="W834"/>
  <c r="X834"/>
  <c r="W833"/>
  <c r="X833"/>
  <c r="W838"/>
  <c r="X838"/>
  <c r="W837"/>
  <c r="X837"/>
  <c r="W836"/>
  <c r="X836"/>
  <c r="W841"/>
  <c r="X841"/>
  <c r="W840"/>
  <c r="X840"/>
  <c r="W839"/>
  <c r="X839"/>
  <c r="W844"/>
  <c r="X844"/>
  <c r="W843"/>
  <c r="X843"/>
  <c r="W842"/>
  <c r="X842"/>
  <c r="W847"/>
  <c r="X847"/>
  <c r="W846"/>
  <c r="X846"/>
  <c r="W845"/>
  <c r="X845"/>
  <c r="W853"/>
  <c r="X853"/>
  <c r="W852"/>
  <c r="X852"/>
  <c r="W851"/>
  <c r="X851"/>
  <c r="W850"/>
  <c r="X850"/>
  <c r="W849"/>
  <c r="X849"/>
  <c r="W848"/>
  <c r="X848"/>
  <c r="W862"/>
  <c r="X862"/>
  <c r="W861"/>
  <c r="X861"/>
  <c r="W860"/>
  <c r="X860"/>
  <c r="W859"/>
  <c r="X859"/>
  <c r="W858"/>
  <c r="X858"/>
  <c r="W857"/>
  <c r="X857"/>
  <c r="W856"/>
  <c r="X856"/>
  <c r="W855"/>
  <c r="X855"/>
  <c r="W854"/>
  <c r="X854"/>
  <c r="W871"/>
  <c r="X871"/>
  <c r="W870"/>
  <c r="X870"/>
  <c r="W869"/>
  <c r="X869"/>
  <c r="W868"/>
  <c r="X868"/>
  <c r="W867"/>
  <c r="X867"/>
  <c r="W866"/>
  <c r="X866"/>
  <c r="W865"/>
  <c r="X865"/>
  <c r="W864"/>
  <c r="X864"/>
  <c r="W863"/>
  <c r="X863"/>
  <c r="W873"/>
  <c r="X873"/>
  <c r="W872"/>
  <c r="X872"/>
  <c r="W893"/>
  <c r="X893"/>
  <c r="W892"/>
  <c r="X892"/>
  <c r="W891"/>
  <c r="X891"/>
  <c r="W890"/>
  <c r="X890"/>
  <c r="W889"/>
  <c r="X889"/>
  <c r="W888"/>
  <c r="X888"/>
  <c r="W887"/>
  <c r="X887"/>
  <c r="W886"/>
  <c r="X886"/>
  <c r="W885"/>
  <c r="X885"/>
  <c r="W884"/>
  <c r="X884"/>
  <c r="W883"/>
  <c r="X883"/>
  <c r="W882"/>
  <c r="X882"/>
  <c r="W881"/>
  <c r="X881"/>
  <c r="W880"/>
  <c r="X880"/>
  <c r="W879"/>
  <c r="X879"/>
  <c r="W878"/>
  <c r="X878"/>
  <c r="W877"/>
  <c r="X877"/>
  <c r="W876"/>
  <c r="X876"/>
  <c r="W875"/>
  <c r="X875"/>
  <c r="W874"/>
  <c r="X874"/>
  <c r="W894"/>
  <c r="X894"/>
  <c r="W895"/>
  <c r="X895"/>
  <c r="W896"/>
  <c r="X896"/>
  <c r="W897"/>
  <c r="X897"/>
  <c r="W898"/>
  <c r="X898"/>
  <c r="W899"/>
  <c r="X899"/>
  <c r="W901"/>
  <c r="X901"/>
  <c r="W900"/>
  <c r="X900"/>
  <c r="W903"/>
  <c r="X903"/>
  <c r="W902"/>
  <c r="X902"/>
  <c r="W905"/>
  <c r="X905"/>
  <c r="W904"/>
  <c r="X904"/>
  <c r="W907"/>
  <c r="X907"/>
  <c r="W906"/>
  <c r="X906"/>
  <c r="W909"/>
  <c r="X909"/>
  <c r="W908"/>
  <c r="X908"/>
  <c r="W911"/>
  <c r="X911"/>
  <c r="W910"/>
  <c r="X910"/>
  <c r="W921"/>
  <c r="X921"/>
  <c r="W920"/>
  <c r="X920"/>
  <c r="W919"/>
  <c r="X919"/>
  <c r="W918"/>
  <c r="X918"/>
  <c r="W917"/>
  <c r="X917"/>
  <c r="W916"/>
  <c r="X916"/>
  <c r="W915"/>
  <c r="X915"/>
  <c r="W914"/>
  <c r="X914"/>
  <c r="W913"/>
  <c r="X913"/>
  <c r="W912"/>
  <c r="X912"/>
  <c r="W923"/>
  <c r="X923"/>
  <c r="W922"/>
  <c r="X922"/>
  <c r="W931"/>
  <c r="X931"/>
  <c r="W930"/>
  <c r="X930"/>
  <c r="W929"/>
  <c r="X929"/>
  <c r="W928"/>
  <c r="X928"/>
  <c r="W927"/>
  <c r="X927"/>
  <c r="W926"/>
  <c r="X926"/>
  <c r="W925"/>
  <c r="X925"/>
  <c r="W924"/>
  <c r="X924"/>
  <c r="W935"/>
  <c r="X935"/>
  <c r="W934"/>
  <c r="X934"/>
  <c r="W933"/>
  <c r="X933"/>
  <c r="W932"/>
  <c r="X932"/>
  <c r="W665"/>
  <c r="W664"/>
  <c r="W663"/>
  <c r="W668"/>
  <c r="W667"/>
  <c r="W666"/>
  <c r="W671"/>
  <c r="W670"/>
  <c r="W669"/>
  <c r="W677"/>
  <c r="W676"/>
  <c r="W675"/>
  <c r="W674"/>
  <c r="W673"/>
  <c r="W672"/>
  <c r="W680"/>
  <c r="W679"/>
  <c r="W678"/>
  <c r="W686"/>
  <c r="W682"/>
  <c r="W681"/>
  <c r="W683"/>
  <c r="W685"/>
  <c r="W684"/>
  <c r="W494"/>
  <c r="W688"/>
  <c r="W687"/>
  <c r="W691"/>
  <c r="W690"/>
  <c r="W692"/>
  <c r="W693"/>
  <c r="W696"/>
  <c r="W695"/>
  <c r="W694"/>
  <c r="W697"/>
  <c r="W698"/>
  <c r="W699"/>
  <c r="W700"/>
  <c r="W702"/>
  <c r="W701"/>
  <c r="W704"/>
  <c r="W703"/>
  <c r="W706"/>
  <c r="W705"/>
  <c r="W708"/>
  <c r="W707"/>
  <c r="W710"/>
  <c r="W709"/>
  <c r="W712"/>
  <c r="W711"/>
  <c r="W714"/>
  <c r="W713"/>
  <c r="W716"/>
  <c r="W715"/>
  <c r="W717"/>
  <c r="W718"/>
  <c r="W719"/>
  <c r="W720"/>
  <c r="W721"/>
  <c r="W724"/>
  <c r="W723"/>
  <c r="W722"/>
  <c r="W727"/>
  <c r="W726"/>
  <c r="W725"/>
  <c r="W730"/>
  <c r="W729"/>
  <c r="W728"/>
  <c r="W542"/>
  <c r="W541"/>
  <c r="W540"/>
  <c r="W539"/>
  <c r="W538"/>
  <c r="W537"/>
  <c r="W536"/>
  <c r="W534"/>
  <c r="W532"/>
  <c r="W535"/>
  <c r="W533"/>
  <c r="W531"/>
  <c r="W530"/>
  <c r="W528"/>
  <c r="W526"/>
  <c r="W529"/>
  <c r="W527"/>
  <c r="W525"/>
  <c r="W517"/>
  <c r="W516"/>
  <c r="W459"/>
  <c r="W458"/>
  <c r="W460"/>
  <c r="W37"/>
  <c r="W515"/>
  <c r="W514"/>
  <c r="W513"/>
  <c r="W512"/>
  <c r="W511"/>
  <c r="W510"/>
  <c r="W509"/>
  <c r="W508"/>
  <c r="W507"/>
  <c r="W506"/>
  <c r="W505"/>
  <c r="W504"/>
  <c r="W503"/>
  <c r="W502"/>
  <c r="W501"/>
  <c r="W500"/>
  <c r="W499"/>
  <c r="W498"/>
  <c r="W497"/>
  <c r="W496"/>
  <c r="W495"/>
  <c r="W689"/>
  <c r="W493"/>
  <c r="W492"/>
  <c r="W491"/>
  <c r="W490"/>
  <c r="W489"/>
  <c r="W488"/>
  <c r="W487"/>
  <c r="W486"/>
  <c r="W485"/>
  <c r="W484"/>
  <c r="W483"/>
  <c r="W482"/>
  <c r="W481"/>
  <c r="W480"/>
  <c r="W479"/>
  <c r="W478"/>
  <c r="W477"/>
  <c r="W476"/>
  <c r="W475"/>
  <c r="W474"/>
  <c r="W473"/>
  <c r="W472"/>
  <c r="W471"/>
  <c r="W470"/>
  <c r="W469"/>
  <c r="W468"/>
  <c r="W467"/>
  <c r="W466"/>
  <c r="W465"/>
  <c r="W464"/>
  <c r="W463"/>
  <c r="W462"/>
  <c r="W461"/>
  <c r="W524"/>
  <c r="W523"/>
  <c r="W522"/>
  <c r="W457"/>
  <c r="W456"/>
  <c r="W455"/>
  <c r="W454"/>
  <c r="W453"/>
  <c r="W452"/>
  <c r="W451"/>
  <c r="W450"/>
  <c r="W449"/>
  <c r="W448"/>
  <c r="W447"/>
  <c r="W446"/>
  <c r="W445"/>
  <c r="W444"/>
  <c r="W443"/>
  <c r="W442"/>
  <c r="W441"/>
  <c r="W440"/>
  <c r="W439"/>
  <c r="W438"/>
  <c r="W437"/>
  <c r="W436"/>
  <c r="W435"/>
  <c r="W434"/>
  <c r="W433"/>
  <c r="W432"/>
  <c r="W431"/>
  <c r="W430"/>
  <c r="W429"/>
  <c r="W428"/>
  <c r="W427"/>
  <c r="W426"/>
  <c r="W425"/>
  <c r="W424"/>
  <c r="W423"/>
  <c r="W422"/>
  <c r="W421"/>
  <c r="W420"/>
  <c r="W419"/>
  <c r="W418"/>
  <c r="W417"/>
  <c r="W416"/>
  <c r="W415"/>
  <c r="W414"/>
  <c r="W413"/>
  <c r="W412"/>
  <c r="W411"/>
  <c r="W410"/>
  <c r="W409"/>
  <c r="W408"/>
  <c r="W407"/>
  <c r="W406"/>
  <c r="W405"/>
  <c r="W404"/>
  <c r="W403"/>
  <c r="W402"/>
  <c r="W401"/>
  <c r="W400"/>
  <c r="W399"/>
  <c r="W398"/>
  <c r="W397"/>
  <c r="W396"/>
  <c r="W395"/>
  <c r="W394"/>
  <c r="W393"/>
  <c r="W392"/>
  <c r="W391"/>
  <c r="W390"/>
  <c r="W389"/>
  <c r="W388"/>
  <c r="W387"/>
  <c r="W386"/>
  <c r="W385"/>
  <c r="W384"/>
  <c r="W383"/>
  <c r="W382"/>
  <c r="W381"/>
  <c r="W380"/>
  <c r="W379"/>
  <c r="W378"/>
  <c r="W377"/>
  <c r="W376"/>
  <c r="W375"/>
  <c r="W374"/>
  <c r="W373"/>
  <c r="W372"/>
  <c r="W371"/>
  <c r="W370"/>
  <c r="W369"/>
  <c r="W368"/>
  <c r="W367"/>
  <c r="W366"/>
  <c r="W365"/>
  <c r="W364"/>
  <c r="W363"/>
  <c r="W362"/>
  <c r="W361"/>
  <c r="W360"/>
  <c r="W359"/>
  <c r="W358"/>
  <c r="W357"/>
  <c r="W356"/>
  <c r="W355"/>
  <c r="W354"/>
  <c r="W353"/>
  <c r="W352"/>
  <c r="W351"/>
  <c r="W350"/>
  <c r="W349"/>
  <c r="W348"/>
  <c r="W347"/>
  <c r="W346"/>
  <c r="W345"/>
  <c r="W344"/>
  <c r="W343"/>
  <c r="W342"/>
  <c r="W341"/>
  <c r="W340"/>
  <c r="W339"/>
  <c r="W338"/>
  <c r="W337"/>
  <c r="W336"/>
  <c r="W335"/>
  <c r="W334"/>
  <c r="W333"/>
  <c r="W332"/>
  <c r="W331"/>
  <c r="W330"/>
  <c r="W329"/>
  <c r="W328"/>
  <c r="W327"/>
  <c r="W326"/>
  <c r="W325"/>
  <c r="W324"/>
  <c r="W323"/>
  <c r="W322"/>
  <c r="W321"/>
  <c r="W320"/>
  <c r="W319"/>
  <c r="W318"/>
  <c r="W317"/>
  <c r="W316"/>
  <c r="W315"/>
  <c r="W314"/>
  <c r="W313"/>
  <c r="W312"/>
  <c r="W311"/>
  <c r="W310"/>
  <c r="W309"/>
  <c r="W308"/>
  <c r="W307"/>
  <c r="W306"/>
  <c r="W305"/>
  <c r="W304"/>
  <c r="W303"/>
  <c r="W302"/>
  <c r="W301"/>
  <c r="W300"/>
  <c r="W299"/>
  <c r="W298"/>
  <c r="W297"/>
  <c r="W296"/>
  <c r="W295"/>
  <c r="W294"/>
  <c r="W293"/>
  <c r="W292"/>
  <c r="W291"/>
  <c r="W290"/>
  <c r="W289"/>
  <c r="W288"/>
  <c r="W287"/>
  <c r="W286"/>
  <c r="W285"/>
  <c r="W284"/>
  <c r="W283"/>
  <c r="W282"/>
  <c r="W281"/>
  <c r="W280"/>
  <c r="W279"/>
  <c r="W278"/>
  <c r="W277"/>
  <c r="W276"/>
  <c r="W275"/>
  <c r="W274"/>
  <c r="W273"/>
  <c r="W272"/>
  <c r="W271"/>
  <c r="W270"/>
  <c r="W269"/>
  <c r="W268"/>
  <c r="W267"/>
  <c r="W266"/>
  <c r="W265"/>
  <c r="W264"/>
  <c r="W263"/>
  <c r="W262"/>
  <c r="W261"/>
  <c r="W260"/>
  <c r="W259"/>
  <c r="W258"/>
  <c r="W257"/>
  <c r="W256"/>
  <c r="W255"/>
  <c r="W254"/>
  <c r="W253"/>
  <c r="W252"/>
  <c r="W251"/>
  <c r="W250"/>
  <c r="W249"/>
  <c r="W248"/>
  <c r="W247"/>
  <c r="W246"/>
  <c r="W245"/>
  <c r="W244"/>
  <c r="W243"/>
  <c r="W242"/>
  <c r="W241"/>
  <c r="W240"/>
  <c r="W239"/>
  <c r="W238"/>
  <c r="W237"/>
  <c r="W236"/>
  <c r="W235"/>
  <c r="W234"/>
  <c r="W233"/>
  <c r="W232"/>
  <c r="W231"/>
  <c r="W230"/>
  <c r="W229"/>
  <c r="W228"/>
  <c r="W227"/>
  <c r="W226"/>
  <c r="W225"/>
  <c r="W224"/>
  <c r="W223"/>
  <c r="W222"/>
  <c r="W221"/>
  <c r="W220"/>
  <c r="W219"/>
  <c r="W218"/>
  <c r="W217"/>
  <c r="W216"/>
  <c r="W215"/>
  <c r="W214"/>
  <c r="W213"/>
  <c r="W212"/>
  <c r="W211"/>
  <c r="W210"/>
  <c r="W209"/>
  <c r="W208"/>
  <c r="W1057"/>
  <c r="W1056"/>
  <c r="W205"/>
  <c r="W204"/>
  <c r="W203"/>
  <c r="W202"/>
  <c r="W201"/>
  <c r="W200"/>
  <c r="W199"/>
  <c r="W198"/>
  <c r="W197"/>
  <c r="W196"/>
  <c r="W195"/>
  <c r="W194"/>
  <c r="W193"/>
  <c r="W192"/>
  <c r="W191"/>
  <c r="W190"/>
  <c r="W189"/>
  <c r="W188"/>
  <c r="W187"/>
  <c r="W186"/>
  <c r="W185"/>
  <c r="W184"/>
  <c r="W183"/>
  <c r="W182"/>
  <c r="W181"/>
  <c r="W180"/>
  <c r="W179"/>
  <c r="W178"/>
  <c r="W177"/>
  <c r="W176"/>
  <c r="W175"/>
  <c r="W174"/>
  <c r="W173"/>
  <c r="W172"/>
  <c r="W171"/>
  <c r="W170"/>
  <c r="W169"/>
  <c r="W168"/>
  <c r="W167"/>
  <c r="W166"/>
  <c r="W165"/>
  <c r="W164"/>
  <c r="W163"/>
  <c r="W162"/>
  <c r="W161"/>
  <c r="W160"/>
  <c r="W159"/>
  <c r="W158"/>
  <c r="W157"/>
  <c r="W156"/>
  <c r="W155"/>
  <c r="W154"/>
  <c r="W153"/>
  <c r="W152"/>
  <c r="W151"/>
  <c r="W150"/>
  <c r="W149"/>
  <c r="W148"/>
  <c r="W147"/>
  <c r="W146"/>
  <c r="W145"/>
  <c r="W144"/>
  <c r="W143"/>
  <c r="W142"/>
  <c r="W141"/>
  <c r="W140"/>
  <c r="W139"/>
  <c r="W138"/>
  <c r="W137"/>
  <c r="W136"/>
  <c r="W135"/>
  <c r="W134"/>
  <c r="W133"/>
  <c r="W132"/>
  <c r="W131"/>
  <c r="W130"/>
  <c r="W129"/>
  <c r="W128"/>
  <c r="W127"/>
  <c r="W126"/>
  <c r="W125"/>
  <c r="W124"/>
  <c r="W123"/>
  <c r="W122"/>
  <c r="W121"/>
  <c r="W120"/>
  <c r="W119"/>
  <c r="W118"/>
  <c r="W117"/>
  <c r="W116"/>
  <c r="W115"/>
  <c r="W114"/>
  <c r="W113"/>
  <c r="W112"/>
  <c r="W111"/>
  <c r="W110"/>
  <c r="W109"/>
  <c r="W108"/>
  <c r="W107"/>
  <c r="W106"/>
  <c r="W105"/>
  <c r="W104"/>
  <c r="W102"/>
  <c r="W101"/>
  <c r="W100"/>
  <c r="W99"/>
  <c r="W98"/>
  <c r="W97"/>
  <c r="W96"/>
  <c r="W95"/>
  <c r="W94"/>
  <c r="W93"/>
  <c r="W92"/>
  <c r="W91"/>
  <c r="W90"/>
  <c r="W89"/>
  <c r="W88"/>
  <c r="W87"/>
  <c r="W86"/>
  <c r="W85"/>
  <c r="W84"/>
  <c r="W83"/>
  <c r="W82"/>
  <c r="W81"/>
  <c r="W80"/>
  <c r="W79"/>
  <c r="W78"/>
  <c r="W77"/>
  <c r="W76"/>
  <c r="W75"/>
  <c r="W74"/>
  <c r="W73"/>
  <c r="W72"/>
  <c r="W71"/>
  <c r="W70"/>
  <c r="W69"/>
  <c r="W68"/>
  <c r="W67"/>
  <c r="W66"/>
  <c r="W65"/>
  <c r="W64"/>
  <c r="W63"/>
  <c r="W62"/>
  <c r="W61"/>
  <c r="W60"/>
  <c r="W59"/>
  <c r="W58"/>
  <c r="W57"/>
  <c r="W56"/>
  <c r="W55"/>
  <c r="W54"/>
  <c r="W53"/>
  <c r="W52"/>
  <c r="W51"/>
  <c r="W50"/>
  <c r="W49"/>
  <c r="W48"/>
  <c r="W47"/>
  <c r="W46"/>
  <c r="W45"/>
  <c r="W44"/>
  <c r="W43"/>
  <c r="W42"/>
  <c r="W41"/>
  <c r="W40"/>
  <c r="W39"/>
  <c r="W38"/>
  <c r="W521"/>
  <c r="W36"/>
  <c r="W35"/>
  <c r="W34"/>
  <c r="W33"/>
  <c r="W32"/>
  <c r="W31"/>
  <c r="W30"/>
  <c r="W29"/>
  <c r="W28"/>
  <c r="W27"/>
  <c r="W26"/>
  <c r="W25"/>
  <c r="W24"/>
  <c r="W23"/>
  <c r="W22"/>
  <c r="W21"/>
  <c r="W20"/>
  <c r="W19"/>
  <c r="W18"/>
  <c r="W17"/>
  <c r="W16"/>
  <c r="W15"/>
  <c r="W14"/>
  <c r="W13"/>
  <c r="W12"/>
  <c r="W11"/>
  <c r="W10"/>
  <c r="W9"/>
  <c r="W8"/>
  <c r="W7"/>
  <c r="W6"/>
  <c r="W5"/>
  <c r="W4"/>
  <c r="W3"/>
  <c r="W2"/>
  <c r="W518"/>
  <c r="W520"/>
  <c r="W519"/>
  <c r="W576"/>
  <c r="W581"/>
  <c r="W582"/>
  <c r="W577"/>
  <c r="W583"/>
  <c r="W578"/>
  <c r="W584"/>
  <c r="W579"/>
  <c r="W585"/>
  <c r="W580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86"/>
  <c r="W587"/>
  <c r="W588"/>
  <c r="W589"/>
  <c r="W592"/>
  <c r="W591"/>
  <c r="W590"/>
  <c r="W595"/>
  <c r="W594"/>
  <c r="W593"/>
  <c r="W601"/>
  <c r="W600"/>
  <c r="W599"/>
  <c r="W598"/>
  <c r="W597"/>
  <c r="W596"/>
  <c r="W607"/>
  <c r="W606"/>
  <c r="W605"/>
  <c r="W604"/>
  <c r="W603"/>
  <c r="W602"/>
  <c r="W613"/>
  <c r="W612"/>
  <c r="W611"/>
  <c r="W610"/>
  <c r="W609"/>
  <c r="W608"/>
  <c r="W616"/>
  <c r="W617"/>
  <c r="W103"/>
  <c r="W615"/>
  <c r="W614"/>
  <c r="W620"/>
  <c r="W619"/>
  <c r="W618"/>
  <c r="W624"/>
  <c r="W623"/>
  <c r="W622"/>
  <c r="W621"/>
  <c r="W625"/>
  <c r="W626"/>
  <c r="W628"/>
  <c r="W627"/>
  <c r="W630"/>
  <c r="W629"/>
  <c r="W632"/>
  <c r="W631"/>
  <c r="W636"/>
  <c r="W635"/>
  <c r="W634"/>
  <c r="W633"/>
  <c r="W640"/>
  <c r="W639"/>
  <c r="W638"/>
  <c r="W637"/>
  <c r="W1059"/>
  <c r="W1058"/>
  <c r="W1061"/>
  <c r="W1060"/>
  <c r="W1063"/>
  <c r="W1062"/>
  <c r="W1065"/>
  <c r="W1064"/>
  <c r="W1067"/>
  <c r="W1066"/>
  <c r="W1073"/>
  <c r="W1072"/>
  <c r="W1071"/>
  <c r="W1070"/>
  <c r="W1069"/>
  <c r="W1068"/>
  <c r="W1079"/>
  <c r="W1078"/>
  <c r="W1077"/>
  <c r="W1076"/>
  <c r="W1075"/>
  <c r="W1074"/>
  <c r="AV321" i="1"/>
  <c r="AW321" s="1"/>
  <c r="S321"/>
  <c r="AO321"/>
  <c r="AP321"/>
  <c r="AT321"/>
  <c r="AU321" s="1"/>
  <c r="AO467"/>
  <c r="AP467"/>
  <c r="AN397"/>
  <c r="AV397" s="1"/>
  <c r="S27"/>
  <c r="AV27"/>
  <c r="S331"/>
  <c r="AV331"/>
  <c r="S326"/>
  <c r="AV326"/>
  <c r="S186"/>
  <c r="AV186"/>
  <c r="S483"/>
  <c r="AV483"/>
  <c r="S514"/>
  <c r="AV514"/>
  <c r="S269"/>
  <c r="AV269"/>
  <c r="S506"/>
  <c r="AV506"/>
  <c r="S213"/>
  <c r="AV213"/>
  <c r="S488"/>
  <c r="AV488"/>
  <c r="S363"/>
  <c r="AV363"/>
  <c r="S185"/>
  <c r="AV185"/>
  <c r="S309"/>
  <c r="AV309"/>
  <c r="S310"/>
  <c r="AV310"/>
  <c r="S255"/>
  <c r="AV255"/>
  <c r="S451"/>
  <c r="AV451"/>
  <c r="S442"/>
  <c r="AV442"/>
  <c r="S266"/>
  <c r="AV266"/>
  <c r="S275"/>
  <c r="AV275"/>
  <c r="S400"/>
  <c r="AV400"/>
  <c r="S20"/>
  <c r="AV20"/>
  <c r="S70"/>
  <c r="AV70"/>
  <c r="S69"/>
  <c r="AV69"/>
  <c r="S366"/>
  <c r="AV366"/>
  <c r="S343"/>
  <c r="AV343"/>
  <c r="S493"/>
  <c r="AV493"/>
  <c r="S498"/>
  <c r="AV498"/>
  <c r="S305"/>
  <c r="AV305"/>
  <c r="S388"/>
  <c r="AV388"/>
  <c r="S219"/>
  <c r="AV219"/>
  <c r="S393"/>
  <c r="AV393"/>
  <c r="S348"/>
  <c r="AV348"/>
  <c r="S147"/>
  <c r="AV147"/>
  <c r="S161"/>
  <c r="AV161"/>
  <c r="S302"/>
  <c r="AV302"/>
  <c r="S281"/>
  <c r="AV281"/>
  <c r="S227"/>
  <c r="AV227"/>
  <c r="S261"/>
  <c r="AV261"/>
  <c r="S345"/>
  <c r="AV345"/>
  <c r="S287"/>
  <c r="AV287"/>
  <c r="S225"/>
  <c r="AV225"/>
  <c r="S284"/>
  <c r="AV284"/>
  <c r="S280"/>
  <c r="AV280"/>
  <c r="S139"/>
  <c r="AV139"/>
  <c r="S128"/>
  <c r="AV128"/>
  <c r="S254"/>
  <c r="AV254"/>
  <c r="S303"/>
  <c r="AV303"/>
  <c r="S271"/>
  <c r="AV271"/>
  <c r="S421"/>
  <c r="AV421"/>
  <c r="S282"/>
  <c r="AV282"/>
  <c r="S294"/>
  <c r="AV294"/>
  <c r="S278"/>
  <c r="AV278"/>
  <c r="S462"/>
  <c r="AV462"/>
  <c r="S460"/>
  <c r="AV460"/>
  <c r="S448"/>
  <c r="AV448"/>
  <c r="S447"/>
  <c r="AV447"/>
  <c r="S188"/>
  <c r="AV188"/>
  <c r="S201"/>
  <c r="AV201"/>
  <c r="S427"/>
  <c r="AV427"/>
  <c r="S446"/>
  <c r="AV446"/>
  <c r="S391"/>
  <c r="AV391"/>
  <c r="S364"/>
  <c r="AV364"/>
  <c r="S468"/>
  <c r="AV468"/>
  <c r="S486"/>
  <c r="AV486"/>
  <c r="S350"/>
  <c r="AV350"/>
  <c r="S336"/>
  <c r="AV336"/>
  <c r="S500"/>
  <c r="AV500"/>
  <c r="S408"/>
  <c r="AV408"/>
  <c r="S407"/>
  <c r="AV407"/>
  <c r="S383"/>
  <c r="AV383"/>
  <c r="S379"/>
  <c r="AV379"/>
  <c r="S377"/>
  <c r="AV377"/>
  <c r="S457"/>
  <c r="AV457"/>
  <c r="S434"/>
  <c r="AV434"/>
  <c r="S369"/>
  <c r="AV369"/>
  <c r="S402"/>
  <c r="AV402"/>
  <c r="S337"/>
  <c r="AV337"/>
  <c r="S387"/>
  <c r="AV387"/>
  <c r="S202"/>
  <c r="AV202"/>
  <c r="S298"/>
  <c r="AV298"/>
  <c r="S438"/>
  <c r="AV438"/>
  <c r="S430"/>
  <c r="AV430"/>
  <c r="S313"/>
  <c r="AV313"/>
  <c r="S315"/>
  <c r="AV315"/>
  <c r="S319"/>
  <c r="AV319"/>
  <c r="S362"/>
  <c r="AV362"/>
  <c r="S382"/>
  <c r="AV382"/>
  <c r="S295"/>
  <c r="AV295"/>
  <c r="S355"/>
  <c r="AV355"/>
  <c r="S325"/>
  <c r="AV325"/>
  <c r="S230"/>
  <c r="AV230"/>
  <c r="S234"/>
  <c r="AV234"/>
  <c r="S347"/>
  <c r="AV347"/>
  <c r="S184"/>
  <c r="AV184"/>
  <c r="S181"/>
  <c r="AV181"/>
  <c r="S233"/>
  <c r="AV233"/>
  <c r="S176"/>
  <c r="AV176"/>
  <c r="S191"/>
  <c r="AV191"/>
  <c r="S190"/>
  <c r="AV190"/>
  <c r="S189"/>
  <c r="AV189"/>
  <c r="S478"/>
  <c r="AV478"/>
  <c r="S390"/>
  <c r="AV390"/>
  <c r="S351"/>
  <c r="AV351"/>
  <c r="S433"/>
  <c r="AV433"/>
  <c r="S420"/>
  <c r="AV420"/>
  <c r="S77"/>
  <c r="AV77"/>
  <c r="S118"/>
  <c r="AV118"/>
  <c r="S249"/>
  <c r="AV249"/>
  <c r="S253"/>
  <c r="AV253"/>
  <c r="S476"/>
  <c r="AV476"/>
  <c r="S477"/>
  <c r="AV477"/>
  <c r="S91"/>
  <c r="AV91"/>
  <c r="S93"/>
  <c r="AV93"/>
  <c r="S413"/>
  <c r="AV413"/>
  <c r="S436"/>
  <c r="AV436"/>
  <c r="S441"/>
  <c r="AV441"/>
  <c r="S85"/>
  <c r="AV85"/>
  <c r="S221"/>
  <c r="AV221"/>
  <c r="S375"/>
  <c r="AV375"/>
  <c r="S248"/>
  <c r="AV248"/>
  <c r="S308"/>
  <c r="AV308"/>
  <c r="S492"/>
  <c r="AV492"/>
  <c r="S323"/>
  <c r="AV323"/>
  <c r="S411"/>
  <c r="AV411"/>
  <c r="S482"/>
  <c r="AV482"/>
  <c r="S510"/>
  <c r="AV510"/>
  <c r="S312"/>
  <c r="AV312"/>
  <c r="S144"/>
  <c r="AV144"/>
  <c r="S458"/>
  <c r="AV458"/>
  <c r="S258"/>
  <c r="AV258"/>
  <c r="S277"/>
  <c r="AV277"/>
  <c r="S41"/>
  <c r="AV41"/>
  <c r="S378"/>
  <c r="AV378"/>
  <c r="S444"/>
  <c r="AV444"/>
  <c r="S167"/>
  <c r="AV167"/>
  <c r="S466"/>
  <c r="AV466"/>
  <c r="S404"/>
  <c r="AV404"/>
  <c r="S226"/>
  <c r="AV226"/>
  <c r="S265"/>
  <c r="AV265"/>
  <c r="S158"/>
  <c r="AV158"/>
  <c r="S223"/>
  <c r="AV223"/>
  <c r="S173"/>
  <c r="AV173"/>
  <c r="S218"/>
  <c r="AV218"/>
  <c r="S182"/>
  <c r="AV182"/>
  <c r="S177"/>
  <c r="AV177"/>
  <c r="S267"/>
  <c r="AV267"/>
  <c r="S497"/>
  <c r="AV497"/>
  <c r="S459"/>
  <c r="AV459"/>
  <c r="S259"/>
  <c r="AV259"/>
  <c r="S296"/>
  <c r="AV296"/>
  <c r="S256"/>
  <c r="AV256"/>
  <c r="S480"/>
  <c r="AV480"/>
  <c r="S469"/>
  <c r="AV469"/>
  <c r="S429"/>
  <c r="AV429"/>
  <c r="S90"/>
  <c r="AV90"/>
  <c r="S2"/>
  <c r="AV2"/>
  <c r="S229"/>
  <c r="AV229"/>
  <c r="S30"/>
  <c r="AV30"/>
  <c r="S31"/>
  <c r="AV31"/>
  <c r="S162"/>
  <c r="AV162"/>
  <c r="S372"/>
  <c r="AV372"/>
  <c r="S32"/>
  <c r="AV32"/>
  <c r="S33"/>
  <c r="AV33"/>
  <c r="S122"/>
  <c r="AV122"/>
  <c r="S410"/>
  <c r="AV410"/>
  <c r="S470"/>
  <c r="AV470"/>
  <c r="S120"/>
  <c r="AV120"/>
  <c r="S106"/>
  <c r="AV106"/>
  <c r="S125"/>
  <c r="AV125"/>
  <c r="S94"/>
  <c r="AV94"/>
  <c r="S318"/>
  <c r="AV318"/>
  <c r="S34"/>
  <c r="AV34"/>
  <c r="S415"/>
  <c r="AV415"/>
  <c r="S463"/>
  <c r="AV463"/>
  <c r="S43"/>
  <c r="AV43"/>
  <c r="S44"/>
  <c r="AV44"/>
  <c r="S119"/>
  <c r="AV119"/>
  <c r="S140"/>
  <c r="AV140"/>
  <c r="S403"/>
  <c r="AV403"/>
  <c r="S365"/>
  <c r="AV365"/>
  <c r="S42"/>
  <c r="AV42"/>
  <c r="S142"/>
  <c r="AV142"/>
  <c r="S110"/>
  <c r="AV110"/>
  <c r="S112"/>
  <c r="AV112"/>
  <c r="S472"/>
  <c r="AV472"/>
  <c r="S49"/>
  <c r="AV49"/>
  <c r="S50"/>
  <c r="AV50"/>
  <c r="S10"/>
  <c r="AV10"/>
  <c r="S490"/>
  <c r="AV490"/>
  <c r="S489"/>
  <c r="AV489"/>
  <c r="S508"/>
  <c r="AV508"/>
  <c r="S73"/>
  <c r="AV73"/>
  <c r="S251"/>
  <c r="AV251"/>
  <c r="S137"/>
  <c r="AV137"/>
  <c r="S145"/>
  <c r="AV145"/>
  <c r="S151"/>
  <c r="AV151"/>
  <c r="S150"/>
  <c r="AV150"/>
  <c r="S14"/>
  <c r="AV14"/>
  <c r="S238"/>
  <c r="AV238"/>
  <c r="S206"/>
  <c r="AV206"/>
  <c r="S314"/>
  <c r="AV314"/>
  <c r="S240"/>
  <c r="AV240"/>
  <c r="S7"/>
  <c r="AV7"/>
  <c r="S8"/>
  <c r="AV8"/>
  <c r="S317"/>
  <c r="AV317"/>
  <c r="S67"/>
  <c r="AV67"/>
  <c r="S71"/>
  <c r="AV71"/>
  <c r="S36"/>
  <c r="AV36"/>
  <c r="S28"/>
  <c r="AV28"/>
  <c r="S138"/>
  <c r="AV138"/>
  <c r="S484"/>
  <c r="AV484"/>
  <c r="S208"/>
  <c r="AV208"/>
  <c r="S159"/>
  <c r="AV159"/>
  <c r="S300"/>
  <c r="AV300"/>
  <c r="S461"/>
  <c r="AV461"/>
  <c r="S260"/>
  <c r="AV260"/>
  <c r="S389"/>
  <c r="AV389"/>
  <c r="S160"/>
  <c r="AV160"/>
  <c r="S25"/>
  <c r="AV25"/>
  <c r="S82"/>
  <c r="AV82"/>
  <c r="S83"/>
  <c r="AV83"/>
  <c r="S26"/>
  <c r="AV26"/>
  <c r="S288"/>
  <c r="AV288"/>
  <c r="S270"/>
  <c r="AV270"/>
  <c r="S285"/>
  <c r="AV285"/>
  <c r="S306"/>
  <c r="AV306"/>
  <c r="S311"/>
  <c r="AV311"/>
  <c r="S340"/>
  <c r="AV340"/>
  <c r="S334"/>
  <c r="AV334"/>
  <c r="S371"/>
  <c r="AV371"/>
  <c r="S424"/>
  <c r="AV424"/>
  <c r="S503"/>
  <c r="AV503"/>
  <c r="S418"/>
  <c r="AV418"/>
  <c r="S97"/>
  <c r="AV97"/>
  <c r="S439"/>
  <c r="AV439"/>
  <c r="S195"/>
  <c r="AV195"/>
  <c r="S48"/>
  <c r="AV48"/>
  <c r="S172"/>
  <c r="AV172"/>
  <c r="S75"/>
  <c r="AV75"/>
  <c r="S79"/>
  <c r="AV79"/>
  <c r="S80"/>
  <c r="AV80"/>
  <c r="S96"/>
  <c r="AV96"/>
  <c r="S63"/>
  <c r="AV63"/>
  <c r="S16"/>
  <c r="AV16"/>
  <c r="S136"/>
  <c r="AV136"/>
  <c r="S117"/>
  <c r="AV117"/>
  <c r="S51"/>
  <c r="AV51"/>
  <c r="S164"/>
  <c r="AV164"/>
  <c r="S152"/>
  <c r="AV152"/>
  <c r="S113"/>
  <c r="AV113"/>
  <c r="S170"/>
  <c r="AV170"/>
  <c r="S435"/>
  <c r="AV435"/>
  <c r="S432"/>
  <c r="AV432"/>
  <c r="S416"/>
  <c r="AV416"/>
  <c r="S494"/>
  <c r="AV494"/>
  <c r="S198"/>
  <c r="AV198"/>
  <c r="S246"/>
  <c r="AV246"/>
  <c r="S29"/>
  <c r="AV29"/>
  <c r="S95"/>
  <c r="AV95"/>
  <c r="S66"/>
  <c r="AV66"/>
  <c r="S449"/>
  <c r="AV449"/>
  <c r="S450"/>
  <c r="AV450"/>
  <c r="S342"/>
  <c r="AV342"/>
  <c r="S40"/>
  <c r="AV40"/>
  <c r="S109"/>
  <c r="AV109"/>
  <c r="S115"/>
  <c r="AV115"/>
  <c r="S19"/>
  <c r="AV19"/>
  <c r="S338"/>
  <c r="AV338"/>
  <c r="S304"/>
  <c r="AV304"/>
  <c r="S216"/>
  <c r="AV216"/>
  <c r="S81"/>
  <c r="AV81"/>
  <c r="S72"/>
  <c r="AV72"/>
  <c r="S272"/>
  <c r="AV272"/>
  <c r="S12"/>
  <c r="AV12"/>
  <c r="S518"/>
  <c r="AV518"/>
  <c r="S353"/>
  <c r="AV353"/>
  <c r="S257"/>
  <c r="AV257"/>
  <c r="S183"/>
  <c r="AV183"/>
  <c r="S332"/>
  <c r="AV332"/>
  <c r="S274"/>
  <c r="AV274"/>
  <c r="S401"/>
  <c r="AV401"/>
  <c r="S23"/>
  <c r="AV23"/>
  <c r="S392"/>
  <c r="AV392"/>
  <c r="S289"/>
  <c r="AV289"/>
  <c r="S5"/>
  <c r="AV5"/>
  <c r="S193"/>
  <c r="AV193"/>
  <c r="S163"/>
  <c r="AV163"/>
  <c r="S74"/>
  <c r="AV74"/>
  <c r="S6"/>
  <c r="AV6"/>
  <c r="S405"/>
  <c r="AV405"/>
  <c r="S349"/>
  <c r="AV349"/>
  <c r="S178"/>
  <c r="AV178"/>
  <c r="S368"/>
  <c r="AV368"/>
  <c r="S373"/>
  <c r="AV373"/>
  <c r="S516"/>
  <c r="AV516"/>
  <c r="S376"/>
  <c r="AV376"/>
  <c r="S511"/>
  <c r="AV511"/>
  <c r="S243"/>
  <c r="AV243"/>
  <c r="S11"/>
  <c r="AV11"/>
  <c r="S276"/>
  <c r="AV276"/>
  <c r="S61"/>
  <c r="AV61"/>
  <c r="S283"/>
  <c r="AV283"/>
  <c r="S290"/>
  <c r="AV290"/>
  <c r="S380"/>
  <c r="AV380"/>
  <c r="S465"/>
  <c r="AV465"/>
  <c r="S236"/>
  <c r="AV236"/>
  <c r="S329"/>
  <c r="AV329"/>
  <c r="S419"/>
  <c r="AV419"/>
  <c r="S505"/>
  <c r="AV505"/>
  <c r="S352"/>
  <c r="AV352"/>
  <c r="S210"/>
  <c r="AV210"/>
  <c r="S515"/>
  <c r="AV515"/>
  <c r="S502"/>
  <c r="AV502"/>
  <c r="S357"/>
  <c r="AV357"/>
  <c r="S169"/>
  <c r="AV169"/>
  <c r="S196"/>
  <c r="AV196"/>
  <c r="S367"/>
  <c r="AV367"/>
  <c r="S168"/>
  <c r="AV168"/>
  <c r="S339"/>
  <c r="AV339"/>
  <c r="S199"/>
  <c r="AV199"/>
  <c r="S114"/>
  <c r="AV114"/>
  <c r="S54"/>
  <c r="AV54"/>
  <c r="S464"/>
  <c r="AV464"/>
  <c r="S207"/>
  <c r="AV207"/>
  <c r="S192"/>
  <c r="AV192"/>
  <c r="S237"/>
  <c r="AV237"/>
  <c r="S217"/>
  <c r="AV217"/>
  <c r="S301"/>
  <c r="AV301"/>
  <c r="S399"/>
  <c r="AV399"/>
  <c r="S194"/>
  <c r="AV194"/>
  <c r="S406"/>
  <c r="AV406"/>
  <c r="S431"/>
  <c r="AV431"/>
  <c r="S395"/>
  <c r="AV395"/>
  <c r="S520"/>
  <c r="AV520"/>
  <c r="S107"/>
  <c r="AV107"/>
  <c r="S239"/>
  <c r="AV239"/>
  <c r="S292"/>
  <c r="AV292"/>
  <c r="S212"/>
  <c r="AV212"/>
  <c r="S307"/>
  <c r="AV307"/>
  <c r="S214"/>
  <c r="AV214"/>
  <c r="S456"/>
  <c r="AV456"/>
  <c r="S98"/>
  <c r="AV98"/>
  <c r="S320"/>
  <c r="AV320"/>
  <c r="S18"/>
  <c r="AV18"/>
  <c r="S56"/>
  <c r="AV56"/>
  <c r="S24"/>
  <c r="AV24"/>
  <c r="S84"/>
  <c r="AV84"/>
  <c r="S228"/>
  <c r="AV228"/>
  <c r="S141"/>
  <c r="AV141"/>
  <c r="S127"/>
  <c r="AV127"/>
  <c r="S108"/>
  <c r="AV108"/>
  <c r="S346"/>
  <c r="AV346"/>
  <c r="S222"/>
  <c r="AV222"/>
  <c r="S102"/>
  <c r="AV102"/>
  <c r="S422"/>
  <c r="AV422"/>
  <c r="S46"/>
  <c r="AV46"/>
  <c r="S155"/>
  <c r="AV155"/>
  <c r="S153"/>
  <c r="AV153"/>
  <c r="S232"/>
  <c r="AV232"/>
  <c r="S55"/>
  <c r="AV55"/>
  <c r="S78"/>
  <c r="AV78"/>
  <c r="S101"/>
  <c r="AV101"/>
  <c r="S157"/>
  <c r="AV157"/>
  <c r="S13"/>
  <c r="AV13"/>
  <c r="S487"/>
  <c r="AV487"/>
  <c r="S156"/>
  <c r="AV156"/>
  <c r="S131"/>
  <c r="AV131"/>
  <c r="S47"/>
  <c r="AV47"/>
  <c r="S9"/>
  <c r="AV9"/>
  <c r="S53"/>
  <c r="AV53"/>
  <c r="S279"/>
  <c r="AV279"/>
  <c r="S443"/>
  <c r="AV443"/>
  <c r="S344"/>
  <c r="AV344"/>
  <c r="S437"/>
  <c r="AV437"/>
  <c r="S3"/>
  <c r="AV3"/>
  <c r="S414"/>
  <c r="AV414"/>
  <c r="S509"/>
  <c r="AV509"/>
  <c r="S454"/>
  <c r="AV454"/>
  <c r="S359"/>
  <c r="AV359"/>
  <c r="S21"/>
  <c r="AV21"/>
  <c r="S88"/>
  <c r="AV88"/>
  <c r="S132"/>
  <c r="AV132"/>
  <c r="S322"/>
  <c r="AV322"/>
  <c r="S174"/>
  <c r="AV174"/>
  <c r="S100"/>
  <c r="AV100"/>
  <c r="S126"/>
  <c r="AV126"/>
  <c r="S316"/>
  <c r="AV316"/>
  <c r="S165"/>
  <c r="AV165"/>
  <c r="S60"/>
  <c r="AV60"/>
  <c r="S475"/>
  <c r="AV475"/>
  <c r="S327"/>
  <c r="AV327"/>
  <c r="S86"/>
  <c r="AV86"/>
  <c r="S324"/>
  <c r="AV324"/>
  <c r="S104"/>
  <c r="AV104"/>
  <c r="S39"/>
  <c r="AV39"/>
  <c r="S335"/>
  <c r="AV335"/>
  <c r="S130"/>
  <c r="AV130"/>
  <c r="S496"/>
  <c r="AV496"/>
  <c r="S203"/>
  <c r="AV203"/>
  <c r="S68"/>
  <c r="AV68"/>
  <c r="S235"/>
  <c r="AV235"/>
  <c r="S370"/>
  <c r="AV370"/>
  <c r="S499"/>
  <c r="AV499"/>
  <c r="S513"/>
  <c r="AV513"/>
  <c r="S286"/>
  <c r="AV286"/>
  <c r="S76"/>
  <c r="AV76"/>
  <c r="S215"/>
  <c r="AV215"/>
  <c r="S247"/>
  <c r="AV247"/>
  <c r="S297"/>
  <c r="AV297"/>
  <c r="S135"/>
  <c r="AV135"/>
  <c r="S64"/>
  <c r="AV64"/>
  <c r="S211"/>
  <c r="AV211"/>
  <c r="S455"/>
  <c r="AV455"/>
  <c r="S154"/>
  <c r="AV154"/>
  <c r="S360"/>
  <c r="AV360"/>
  <c r="S116"/>
  <c r="AV116"/>
  <c r="S17"/>
  <c r="AV17"/>
  <c r="S244"/>
  <c r="AV244"/>
  <c r="S268"/>
  <c r="AV268"/>
  <c r="S374"/>
  <c r="AV374"/>
  <c r="S417"/>
  <c r="AV417"/>
  <c r="S129"/>
  <c r="AV129"/>
  <c r="S495"/>
  <c r="AV495"/>
  <c r="S92"/>
  <c r="AV92"/>
  <c r="S519"/>
  <c r="AV519"/>
  <c r="S242"/>
  <c r="AV242"/>
  <c r="S200"/>
  <c r="AV200"/>
  <c r="S187"/>
  <c r="AV187"/>
  <c r="S134"/>
  <c r="AV134"/>
  <c r="S224"/>
  <c r="AV224"/>
  <c r="S121"/>
  <c r="AV121"/>
  <c r="S22"/>
  <c r="AV22"/>
  <c r="S148"/>
  <c r="AV148"/>
  <c r="S479"/>
  <c r="AV479"/>
  <c r="S423"/>
  <c r="AV423"/>
  <c r="S179"/>
  <c r="AV179"/>
  <c r="S381"/>
  <c r="AV381"/>
  <c r="S356"/>
  <c r="AV356"/>
  <c r="S171"/>
  <c r="AV171"/>
  <c r="S485"/>
  <c r="AV485"/>
  <c r="S507"/>
  <c r="AV507"/>
  <c r="S146"/>
  <c r="AV146"/>
  <c r="S440"/>
  <c r="AV440"/>
  <c r="S512"/>
  <c r="AV512"/>
  <c r="S149"/>
  <c r="AV149"/>
  <c r="S354"/>
  <c r="AV354"/>
  <c r="S425"/>
  <c r="AV425"/>
  <c r="S504"/>
  <c r="AV504"/>
  <c r="S328"/>
  <c r="AV328"/>
  <c r="S87"/>
  <c r="AV87"/>
  <c r="S175"/>
  <c r="AV175"/>
  <c r="S426"/>
  <c r="AV426"/>
  <c r="S250"/>
  <c r="AV250"/>
  <c r="S291"/>
  <c r="AV291"/>
  <c r="S124"/>
  <c r="AV124"/>
  <c r="S166"/>
  <c r="AV166"/>
  <c r="S474"/>
  <c r="AV474"/>
  <c r="S15"/>
  <c r="AV15"/>
  <c r="S231"/>
  <c r="AV231"/>
  <c r="S264"/>
  <c r="AV264"/>
  <c r="S123"/>
  <c r="AV123"/>
  <c r="S38"/>
  <c r="AV38"/>
  <c r="S299"/>
  <c r="AV299"/>
  <c r="S52"/>
  <c r="AV52"/>
  <c r="S452"/>
  <c r="AV452"/>
  <c r="S501"/>
  <c r="AV501"/>
  <c r="S143"/>
  <c r="AV143"/>
  <c r="S361"/>
  <c r="AV361"/>
  <c r="S65"/>
  <c r="AV65"/>
  <c r="S273"/>
  <c r="AV273"/>
  <c r="S105"/>
  <c r="AV105"/>
  <c r="S220"/>
  <c r="AV220"/>
  <c r="S293"/>
  <c r="AV293"/>
  <c r="S398"/>
  <c r="AV398"/>
  <c r="S58"/>
  <c r="AV58"/>
  <c r="S62"/>
  <c r="AV62"/>
  <c r="S445"/>
  <c r="AV445"/>
  <c r="S412"/>
  <c r="AV412"/>
  <c r="S467"/>
  <c r="AV467"/>
  <c r="S473"/>
  <c r="AV473"/>
  <c r="S133"/>
  <c r="AV133"/>
  <c r="S262"/>
  <c r="AV262"/>
  <c r="S35"/>
  <c r="AV35"/>
  <c r="S263"/>
  <c r="AV263"/>
  <c r="S205"/>
  <c r="AV205"/>
  <c r="S59"/>
  <c r="AV59"/>
  <c r="S481"/>
  <c r="AV481"/>
  <c r="S37"/>
  <c r="AV37"/>
  <c r="S453"/>
  <c r="AV453"/>
  <c r="S57"/>
  <c r="AV57"/>
  <c r="S197"/>
  <c r="AV197"/>
  <c r="S252"/>
  <c r="AV252"/>
  <c r="S204"/>
  <c r="AV204"/>
  <c r="S491"/>
  <c r="AV491"/>
  <c r="S111"/>
  <c r="AV111"/>
  <c r="S358"/>
  <c r="AV358"/>
  <c r="S89"/>
  <c r="AV89"/>
  <c r="S409"/>
  <c r="AV409"/>
  <c r="S341"/>
  <c r="AV341"/>
  <c r="S209"/>
  <c r="AV209"/>
  <c r="S180"/>
  <c r="S245"/>
  <c r="S397"/>
  <c r="S384"/>
  <c r="S386"/>
  <c r="S241"/>
  <c r="S394"/>
  <c r="S471"/>
  <c r="S330"/>
  <c r="S333"/>
  <c r="S103"/>
  <c r="S99"/>
  <c r="S385"/>
  <c r="AP385"/>
  <c r="AW293"/>
  <c r="AP293"/>
  <c r="AO293"/>
  <c r="AT293"/>
  <c r="AU293" s="1"/>
  <c r="AW445"/>
  <c r="AO445"/>
  <c r="AT445"/>
  <c r="AU445" s="1"/>
  <c r="AW133"/>
  <c r="AP133"/>
  <c r="AO133"/>
  <c r="AT133"/>
  <c r="AU133" s="1"/>
  <c r="AW205"/>
  <c r="AP205"/>
  <c r="AO205"/>
  <c r="AT205"/>
  <c r="AU205" s="1"/>
  <c r="AW453"/>
  <c r="AP453"/>
  <c r="AO453"/>
  <c r="AT453"/>
  <c r="AU453" s="1"/>
  <c r="AW204"/>
  <c r="AO204"/>
  <c r="AP204"/>
  <c r="AT204"/>
  <c r="AU204" s="1"/>
  <c r="AW89"/>
  <c r="AO89"/>
  <c r="AT89"/>
  <c r="AU89" s="1"/>
  <c r="AW398"/>
  <c r="AP398"/>
  <c r="AO398"/>
  <c r="AT398"/>
  <c r="AU398" s="1"/>
  <c r="AW412"/>
  <c r="AP412"/>
  <c r="AO412"/>
  <c r="AT412"/>
  <c r="AU412" s="1"/>
  <c r="AW262"/>
  <c r="AO262"/>
  <c r="AP262"/>
  <c r="AT262"/>
  <c r="AU262" s="1"/>
  <c r="AW59"/>
  <c r="AO59"/>
  <c r="AT59"/>
  <c r="AU59" s="1"/>
  <c r="AW57"/>
  <c r="AO57"/>
  <c r="AT57"/>
  <c r="AU57" s="1"/>
  <c r="AW491"/>
  <c r="AO491"/>
  <c r="AT491"/>
  <c r="AU491" s="1"/>
  <c r="AW409"/>
  <c r="AP409"/>
  <c r="AO409"/>
  <c r="AT409"/>
  <c r="AU409" s="1"/>
  <c r="AW105"/>
  <c r="AO105"/>
  <c r="AT105"/>
  <c r="AU105" s="1"/>
  <c r="AW58"/>
  <c r="AO58"/>
  <c r="AT58"/>
  <c r="AU58" s="1"/>
  <c r="AW467"/>
  <c r="AT467"/>
  <c r="AU467" s="1"/>
  <c r="AW35"/>
  <c r="AT35"/>
  <c r="AU35" s="1"/>
  <c r="AO35"/>
  <c r="AW481"/>
  <c r="AO481"/>
  <c r="AT481"/>
  <c r="AU481" s="1"/>
  <c r="AW197"/>
  <c r="AP197"/>
  <c r="AO197"/>
  <c r="AT197"/>
  <c r="AU197" s="1"/>
  <c r="AW111"/>
  <c r="AO111"/>
  <c r="AT111"/>
  <c r="AU111" s="1"/>
  <c r="AW341"/>
  <c r="AO341"/>
  <c r="AP341"/>
  <c r="AT341"/>
  <c r="AU341" s="1"/>
  <c r="AW220"/>
  <c r="AO220"/>
  <c r="AP220"/>
  <c r="AT220"/>
  <c r="AU220" s="1"/>
  <c r="AW62"/>
  <c r="AO62"/>
  <c r="AT62"/>
  <c r="AU62" s="1"/>
  <c r="AW473"/>
  <c r="AO473"/>
  <c r="AT473"/>
  <c r="AU473" s="1"/>
  <c r="AW263"/>
  <c r="AO263"/>
  <c r="AT263"/>
  <c r="AU263" s="1"/>
  <c r="AW37"/>
  <c r="AT37"/>
  <c r="AU37" s="1"/>
  <c r="AP37"/>
  <c r="AO37"/>
  <c r="AW252"/>
  <c r="AO252"/>
  <c r="AP252"/>
  <c r="AT252"/>
  <c r="AU252" s="1"/>
  <c r="AW358"/>
  <c r="AO358"/>
  <c r="AP358"/>
  <c r="AT358"/>
  <c r="AU358" s="1"/>
  <c r="AW209"/>
  <c r="AP209"/>
  <c r="AO209"/>
  <c r="AT209"/>
  <c r="AU209" s="1"/>
  <c r="AW454"/>
  <c r="AP454"/>
  <c r="AO454"/>
  <c r="AT454"/>
  <c r="AU454" s="1"/>
  <c r="AW132"/>
  <c r="AO132"/>
  <c r="AT132"/>
  <c r="AU132" s="1"/>
  <c r="AW126"/>
  <c r="AO126"/>
  <c r="AT126"/>
  <c r="AU126" s="1"/>
  <c r="AW475"/>
  <c r="AO475"/>
  <c r="AP475"/>
  <c r="AT475"/>
  <c r="AU475" s="1"/>
  <c r="AW324"/>
  <c r="AP324"/>
  <c r="AO324"/>
  <c r="AT324"/>
  <c r="AU324" s="1"/>
  <c r="AW130"/>
  <c r="AO130"/>
  <c r="AT130"/>
  <c r="AU130" s="1"/>
  <c r="AW235"/>
  <c r="AO235"/>
  <c r="AT235"/>
  <c r="AU235" s="1"/>
  <c r="AW286"/>
  <c r="AO286"/>
  <c r="AP286"/>
  <c r="AT286"/>
  <c r="AU286" s="1"/>
  <c r="AW247"/>
  <c r="AO247"/>
  <c r="AP247"/>
  <c r="AT247"/>
  <c r="AU247" s="1"/>
  <c r="AW211"/>
  <c r="AO211"/>
  <c r="AP211"/>
  <c r="AT211"/>
  <c r="AU211" s="1"/>
  <c r="AW116"/>
  <c r="AO116"/>
  <c r="AT116"/>
  <c r="AU116" s="1"/>
  <c r="AW374"/>
  <c r="AO374"/>
  <c r="AP374"/>
  <c r="AT374"/>
  <c r="AU374" s="1"/>
  <c r="AW92"/>
  <c r="AO92"/>
  <c r="AT92"/>
  <c r="AU92" s="1"/>
  <c r="AW187"/>
  <c r="AP187"/>
  <c r="AO187"/>
  <c r="AT187"/>
  <c r="AU187" s="1"/>
  <c r="AW22"/>
  <c r="AT22"/>
  <c r="AU22" s="1"/>
  <c r="AO22"/>
  <c r="AW179"/>
  <c r="AP179"/>
  <c r="AO179"/>
  <c r="AT179"/>
  <c r="AU179" s="1"/>
  <c r="AW485"/>
  <c r="AO485"/>
  <c r="AP485"/>
  <c r="AT485"/>
  <c r="AU485" s="1"/>
  <c r="AW512"/>
  <c r="AP512"/>
  <c r="AO512"/>
  <c r="AT512"/>
  <c r="AU512" s="1"/>
  <c r="AW504"/>
  <c r="AP504"/>
  <c r="AO504"/>
  <c r="AT504"/>
  <c r="AU504" s="1"/>
  <c r="AW426"/>
  <c r="AP426"/>
  <c r="AO426"/>
  <c r="AT426"/>
  <c r="AU426" s="1"/>
  <c r="AW166"/>
  <c r="AO166"/>
  <c r="AT166"/>
  <c r="AU166" s="1"/>
  <c r="AW264"/>
  <c r="AO264"/>
  <c r="AP264"/>
  <c r="AT264"/>
  <c r="AU264" s="1"/>
  <c r="AW52"/>
  <c r="AO52"/>
  <c r="AT52"/>
  <c r="AU52" s="1"/>
  <c r="AW361"/>
  <c r="AO361"/>
  <c r="AP361"/>
  <c r="AT361"/>
  <c r="AU361" s="1"/>
  <c r="AW359"/>
  <c r="AO359"/>
  <c r="AP359"/>
  <c r="AT359"/>
  <c r="AU359" s="1"/>
  <c r="AW322"/>
  <c r="AO322"/>
  <c r="AP322"/>
  <c r="AT322"/>
  <c r="AU322" s="1"/>
  <c r="AW316"/>
  <c r="AO316"/>
  <c r="AT316"/>
  <c r="AU316" s="1"/>
  <c r="AW327"/>
  <c r="AO327"/>
  <c r="AP327"/>
  <c r="AT327"/>
  <c r="AU327" s="1"/>
  <c r="AW104"/>
  <c r="AO104"/>
  <c r="AT104"/>
  <c r="AU104" s="1"/>
  <c r="AW496"/>
  <c r="AP496"/>
  <c r="AO496"/>
  <c r="AT496"/>
  <c r="AU496" s="1"/>
  <c r="AW370"/>
  <c r="AP370"/>
  <c r="AO370"/>
  <c r="AT370"/>
  <c r="AU370" s="1"/>
  <c r="AW241"/>
  <c r="AO241"/>
  <c r="AP241"/>
  <c r="AT241"/>
  <c r="AU241" s="1"/>
  <c r="AW297"/>
  <c r="AO297"/>
  <c r="AT297"/>
  <c r="AU297" s="1"/>
  <c r="AW455"/>
  <c r="AP455"/>
  <c r="AO455"/>
  <c r="AT455"/>
  <c r="AU455" s="1"/>
  <c r="AW17"/>
  <c r="AT17"/>
  <c r="AU17" s="1"/>
  <c r="AO17"/>
  <c r="AW417"/>
  <c r="AO417"/>
  <c r="AP417"/>
  <c r="AT417"/>
  <c r="AU417" s="1"/>
  <c r="AW519"/>
  <c r="AO519"/>
  <c r="AP519"/>
  <c r="AT519"/>
  <c r="AU519" s="1"/>
  <c r="AW134"/>
  <c r="AO134"/>
  <c r="AP134"/>
  <c r="AT134"/>
  <c r="AU134" s="1"/>
  <c r="AW148"/>
  <c r="AP148"/>
  <c r="AO148"/>
  <c r="AT148"/>
  <c r="AU148" s="1"/>
  <c r="AW381"/>
  <c r="AO381"/>
  <c r="AP381"/>
  <c r="AT381"/>
  <c r="AU381" s="1"/>
  <c r="AW507"/>
  <c r="AO507"/>
  <c r="AP507"/>
  <c r="AT507"/>
  <c r="AU507" s="1"/>
  <c r="AW149"/>
  <c r="AP149"/>
  <c r="AO149"/>
  <c r="AT149"/>
  <c r="AU149" s="1"/>
  <c r="AW328"/>
  <c r="AO328"/>
  <c r="AP328"/>
  <c r="AT328"/>
  <c r="AU328" s="1"/>
  <c r="AW250"/>
  <c r="AP250"/>
  <c r="AO250"/>
  <c r="AT250"/>
  <c r="AU250" s="1"/>
  <c r="AW474"/>
  <c r="AP474"/>
  <c r="AO474"/>
  <c r="AT474"/>
  <c r="AU474" s="1"/>
  <c r="AW123"/>
  <c r="AO123"/>
  <c r="AT123"/>
  <c r="AU123" s="1"/>
  <c r="AW452"/>
  <c r="AO452"/>
  <c r="AP452"/>
  <c r="AT452"/>
  <c r="AU452" s="1"/>
  <c r="AW471"/>
  <c r="AP471"/>
  <c r="AO471"/>
  <c r="AT471"/>
  <c r="AU471" s="1"/>
  <c r="AW21"/>
  <c r="AT21"/>
  <c r="AU21" s="1"/>
  <c r="AO21"/>
  <c r="AP21"/>
  <c r="AW174"/>
  <c r="AO174"/>
  <c r="AT174"/>
  <c r="AU174" s="1"/>
  <c r="AW165"/>
  <c r="AO165"/>
  <c r="AT165"/>
  <c r="AU165" s="1"/>
  <c r="AW86"/>
  <c r="AO86"/>
  <c r="AT86"/>
  <c r="AU86" s="1"/>
  <c r="AW39"/>
  <c r="AO39"/>
  <c r="AP39"/>
  <c r="AT39"/>
  <c r="AU39" s="1"/>
  <c r="AW203"/>
  <c r="AO203"/>
  <c r="AP203"/>
  <c r="AT203"/>
  <c r="AU203" s="1"/>
  <c r="AW499"/>
  <c r="AP499"/>
  <c r="AO499"/>
  <c r="AT499"/>
  <c r="AU499" s="1"/>
  <c r="AW76"/>
  <c r="AO76"/>
  <c r="AT76"/>
  <c r="AU76" s="1"/>
  <c r="AW135"/>
  <c r="AO135"/>
  <c r="AP135"/>
  <c r="AT135"/>
  <c r="AU135" s="1"/>
  <c r="AW154"/>
  <c r="AO154"/>
  <c r="AT154"/>
  <c r="AU154" s="1"/>
  <c r="AW244"/>
  <c r="AP244"/>
  <c r="AO244"/>
  <c r="AT244"/>
  <c r="AU244" s="1"/>
  <c r="AW129"/>
  <c r="AP129"/>
  <c r="AO129"/>
  <c r="AT129"/>
  <c r="AU129" s="1"/>
  <c r="AW242"/>
  <c r="AO242"/>
  <c r="AP242"/>
  <c r="AT242"/>
  <c r="AU242" s="1"/>
  <c r="AW224"/>
  <c r="AO224"/>
  <c r="AP224"/>
  <c r="AT224"/>
  <c r="AU224" s="1"/>
  <c r="AW479"/>
  <c r="AO479"/>
  <c r="AP479"/>
  <c r="AT479"/>
  <c r="AU479" s="1"/>
  <c r="AW356"/>
  <c r="AO356"/>
  <c r="AT356"/>
  <c r="AU356" s="1"/>
  <c r="AW146"/>
  <c r="AO146"/>
  <c r="AT146"/>
  <c r="AU146" s="1"/>
  <c r="AW354"/>
  <c r="AO354"/>
  <c r="AT354"/>
  <c r="AU354" s="1"/>
  <c r="AW87"/>
  <c r="AO87"/>
  <c r="AT87"/>
  <c r="AU87" s="1"/>
  <c r="AW291"/>
  <c r="AO291"/>
  <c r="AP291"/>
  <c r="AT291"/>
  <c r="AU291" s="1"/>
  <c r="AW15"/>
  <c r="AO15"/>
  <c r="AT15"/>
  <c r="AU15" s="1"/>
  <c r="AW38"/>
  <c r="AO38"/>
  <c r="AP38"/>
  <c r="AT38"/>
  <c r="AU38" s="1"/>
  <c r="AW501"/>
  <c r="AO501"/>
  <c r="AP501"/>
  <c r="AT501"/>
  <c r="AU501" s="1"/>
  <c r="AW65"/>
  <c r="AO65"/>
  <c r="AT65"/>
  <c r="AU65" s="1"/>
  <c r="AW509"/>
  <c r="AP509"/>
  <c r="AO509"/>
  <c r="AT509"/>
  <c r="AU509" s="1"/>
  <c r="AW88"/>
  <c r="AO88"/>
  <c r="AT88"/>
  <c r="AU88" s="1"/>
  <c r="AW100"/>
  <c r="AO100"/>
  <c r="AT100"/>
  <c r="AU100" s="1"/>
  <c r="AW60"/>
  <c r="AO60"/>
  <c r="AT60"/>
  <c r="AU60" s="1"/>
  <c r="AW385"/>
  <c r="AO385"/>
  <c r="AT385"/>
  <c r="AU385" s="1"/>
  <c r="AW335"/>
  <c r="AO335"/>
  <c r="AP335"/>
  <c r="AT335"/>
  <c r="AU335" s="1"/>
  <c r="AW68"/>
  <c r="AO68"/>
  <c r="AT68"/>
  <c r="AU68" s="1"/>
  <c r="AW513"/>
  <c r="AO513"/>
  <c r="AP513"/>
  <c r="AT513"/>
  <c r="AU513" s="1"/>
  <c r="AW215"/>
  <c r="AO215"/>
  <c r="AT215"/>
  <c r="AU215" s="1"/>
  <c r="AW64"/>
  <c r="AO64"/>
  <c r="AT64"/>
  <c r="AU64" s="1"/>
  <c r="AW360"/>
  <c r="AP360"/>
  <c r="AO360"/>
  <c r="AT360"/>
  <c r="AU360" s="1"/>
  <c r="AW268"/>
  <c r="AO268"/>
  <c r="AP268"/>
  <c r="AT268"/>
  <c r="AU268" s="1"/>
  <c r="AW495"/>
  <c r="AO495"/>
  <c r="AP495"/>
  <c r="AT495"/>
  <c r="AU495" s="1"/>
  <c r="AW200"/>
  <c r="AO200"/>
  <c r="AP200"/>
  <c r="AT200"/>
  <c r="AU200" s="1"/>
  <c r="AW121"/>
  <c r="AO121"/>
  <c r="AT121"/>
  <c r="AU121" s="1"/>
  <c r="AW423"/>
  <c r="AP423"/>
  <c r="AO423"/>
  <c r="AT423"/>
  <c r="AU423" s="1"/>
  <c r="AW171"/>
  <c r="AO171"/>
  <c r="AT171"/>
  <c r="AU171" s="1"/>
  <c r="AW440"/>
  <c r="AO440"/>
  <c r="AP440"/>
  <c r="AT440"/>
  <c r="AU440" s="1"/>
  <c r="AW425"/>
  <c r="AP425"/>
  <c r="AO425"/>
  <c r="AT425"/>
  <c r="AU425" s="1"/>
  <c r="AW175"/>
  <c r="AO175"/>
  <c r="AT175"/>
  <c r="AU175" s="1"/>
  <c r="AW124"/>
  <c r="AO124"/>
  <c r="AT124"/>
  <c r="AU124" s="1"/>
  <c r="AW231"/>
  <c r="AO231"/>
  <c r="AP231"/>
  <c r="AT231"/>
  <c r="AU231" s="1"/>
  <c r="AW299"/>
  <c r="AO299"/>
  <c r="AT299"/>
  <c r="AU299" s="1"/>
  <c r="AW143"/>
  <c r="AO143"/>
  <c r="AT143"/>
  <c r="AU143" s="1"/>
  <c r="AW273"/>
  <c r="AT273"/>
  <c r="AU273" s="1"/>
  <c r="AN517"/>
  <c r="AV517" s="1"/>
  <c r="AN4"/>
  <c r="AV4" s="1"/>
  <c r="AN45"/>
  <c r="AV45" s="1"/>
  <c r="AN396"/>
  <c r="AV396" s="1"/>
  <c r="AN428"/>
  <c r="AT414"/>
  <c r="AU414" s="1"/>
  <c r="AP414"/>
  <c r="AW414"/>
  <c r="AO414"/>
  <c r="AO3"/>
  <c r="AP3"/>
  <c r="AT3"/>
  <c r="AU3" s="1"/>
  <c r="AW3"/>
  <c r="AW307"/>
  <c r="AP307"/>
  <c r="AO307"/>
  <c r="AT307"/>
  <c r="AU307" s="1"/>
  <c r="AW320"/>
  <c r="AO320"/>
  <c r="AP320"/>
  <c r="AT320"/>
  <c r="AU320" s="1"/>
  <c r="AW84"/>
  <c r="AO84"/>
  <c r="AT84"/>
  <c r="AU84" s="1"/>
  <c r="AW108"/>
  <c r="AO108"/>
  <c r="AT108"/>
  <c r="AU108" s="1"/>
  <c r="AW422"/>
  <c r="AO422"/>
  <c r="AT422"/>
  <c r="AU422" s="1"/>
  <c r="AW232"/>
  <c r="AP232"/>
  <c r="AO232"/>
  <c r="AT232"/>
  <c r="AU232" s="1"/>
  <c r="AW157"/>
  <c r="AO157"/>
  <c r="AT157"/>
  <c r="AU157" s="1"/>
  <c r="AW131"/>
  <c r="AO131"/>
  <c r="AT131"/>
  <c r="AU131" s="1"/>
  <c r="AW279"/>
  <c r="AP279"/>
  <c r="AO279"/>
  <c r="AT279"/>
  <c r="AU279" s="1"/>
  <c r="AW214"/>
  <c r="AO214"/>
  <c r="AT214"/>
  <c r="AU214" s="1"/>
  <c r="AT18"/>
  <c r="AU18" s="1"/>
  <c r="AW18"/>
  <c r="AO18"/>
  <c r="AP18"/>
  <c r="AW228"/>
  <c r="AP228"/>
  <c r="AO228"/>
  <c r="AT228"/>
  <c r="AU228" s="1"/>
  <c r="AW346"/>
  <c r="AO346"/>
  <c r="AT346"/>
  <c r="AU346" s="1"/>
  <c r="AT46"/>
  <c r="AU46" s="1"/>
  <c r="AW46"/>
  <c r="AO46"/>
  <c r="AW55"/>
  <c r="AO55"/>
  <c r="AT55"/>
  <c r="AU55" s="1"/>
  <c r="AW13"/>
  <c r="AO13"/>
  <c r="AP13"/>
  <c r="AT13"/>
  <c r="AU13" s="1"/>
  <c r="AT47"/>
  <c r="AU47" s="1"/>
  <c r="AW47"/>
  <c r="AO47"/>
  <c r="AW443"/>
  <c r="AP443"/>
  <c r="AO443"/>
  <c r="AT443"/>
  <c r="AU443" s="1"/>
  <c r="AW456"/>
  <c r="AO456"/>
  <c r="AT456"/>
  <c r="AU456" s="1"/>
  <c r="AW56"/>
  <c r="AO56"/>
  <c r="AT56"/>
  <c r="AU56" s="1"/>
  <c r="AW141"/>
  <c r="AO141"/>
  <c r="AT141"/>
  <c r="AU141" s="1"/>
  <c r="AW222"/>
  <c r="AO222"/>
  <c r="AP222"/>
  <c r="AT222"/>
  <c r="AU222" s="1"/>
  <c r="AW155"/>
  <c r="AP155"/>
  <c r="AO155"/>
  <c r="AT155"/>
  <c r="AU155" s="1"/>
  <c r="AW78"/>
  <c r="AO78"/>
  <c r="AT78"/>
  <c r="AU78" s="1"/>
  <c r="AW487"/>
  <c r="AO487"/>
  <c r="AT487"/>
  <c r="AU487" s="1"/>
  <c r="AW9"/>
  <c r="AT9"/>
  <c r="AU9" s="1"/>
  <c r="AO9"/>
  <c r="AP9"/>
  <c r="AW344"/>
  <c r="AP344"/>
  <c r="AO344"/>
  <c r="AT344"/>
  <c r="AU344" s="1"/>
  <c r="AW212"/>
  <c r="AO212"/>
  <c r="AP212"/>
  <c r="AT212"/>
  <c r="AU212" s="1"/>
  <c r="AW98"/>
  <c r="AO98"/>
  <c r="AT98"/>
  <c r="AU98" s="1"/>
  <c r="AW24"/>
  <c r="AT24"/>
  <c r="AU24" s="1"/>
  <c r="AO24"/>
  <c r="AW127"/>
  <c r="AP127"/>
  <c r="AO127"/>
  <c r="AT127"/>
  <c r="AU127" s="1"/>
  <c r="AW102"/>
  <c r="AO102"/>
  <c r="AT102"/>
  <c r="AU102" s="1"/>
  <c r="AW153"/>
  <c r="AO153"/>
  <c r="AT153"/>
  <c r="AU153" s="1"/>
  <c r="AW101"/>
  <c r="AO101"/>
  <c r="AT101"/>
  <c r="AU101" s="1"/>
  <c r="AW156"/>
  <c r="AP156"/>
  <c r="AO156"/>
  <c r="AT156"/>
  <c r="AU156" s="1"/>
  <c r="AT53"/>
  <c r="AU53" s="1"/>
  <c r="AW53"/>
  <c r="AO53"/>
  <c r="AW437"/>
  <c r="AO437"/>
  <c r="AP437"/>
  <c r="AT437"/>
  <c r="AU437" s="1"/>
  <c r="AW349"/>
  <c r="AO349"/>
  <c r="AP349"/>
  <c r="AT349"/>
  <c r="AU349" s="1"/>
  <c r="AW236"/>
  <c r="AO236"/>
  <c r="AT236"/>
  <c r="AU236" s="1"/>
  <c r="AW54"/>
  <c r="AT54"/>
  <c r="AU54" s="1"/>
  <c r="AO54"/>
  <c r="AP54"/>
  <c r="AW520"/>
  <c r="AP520"/>
  <c r="AO520"/>
  <c r="AT520"/>
  <c r="AU520" s="1"/>
  <c r="AW11"/>
  <c r="AT11"/>
  <c r="AU11" s="1"/>
  <c r="AO11"/>
  <c r="AW357"/>
  <c r="AP357"/>
  <c r="AO357"/>
  <c r="AT357"/>
  <c r="AU357" s="1"/>
  <c r="AW237"/>
  <c r="AP237"/>
  <c r="AO237"/>
  <c r="AT237"/>
  <c r="AU237" s="1"/>
  <c r="AW5"/>
  <c r="AT5"/>
  <c r="AU5" s="1"/>
  <c r="AP5"/>
  <c r="AO5"/>
  <c r="AW178"/>
  <c r="AO178"/>
  <c r="AT178"/>
  <c r="AU178" s="1"/>
  <c r="AW276"/>
  <c r="AO276"/>
  <c r="AT276"/>
  <c r="AU276" s="1"/>
  <c r="AW329"/>
  <c r="AP329"/>
  <c r="AO329"/>
  <c r="AT329"/>
  <c r="AU329" s="1"/>
  <c r="AW169"/>
  <c r="AO169"/>
  <c r="AT169"/>
  <c r="AU169" s="1"/>
  <c r="AW464"/>
  <c r="AO464"/>
  <c r="AT464"/>
  <c r="AU464" s="1"/>
  <c r="AW406"/>
  <c r="AP406"/>
  <c r="AO406"/>
  <c r="AT406"/>
  <c r="AU406" s="1"/>
  <c r="AW193"/>
  <c r="AO193"/>
  <c r="AT193"/>
  <c r="AU193" s="1"/>
  <c r="AW6"/>
  <c r="AT6"/>
  <c r="AU6" s="1"/>
  <c r="AO6"/>
  <c r="AW368"/>
  <c r="AP368"/>
  <c r="AO368"/>
  <c r="AT368"/>
  <c r="AU368" s="1"/>
  <c r="AW511"/>
  <c r="AO511"/>
  <c r="AP511"/>
  <c r="AT511"/>
  <c r="AU511" s="1"/>
  <c r="AW61"/>
  <c r="AO61"/>
  <c r="AT61"/>
  <c r="AU61" s="1"/>
  <c r="AW380"/>
  <c r="AP380"/>
  <c r="AO380"/>
  <c r="AT380"/>
  <c r="AU380" s="1"/>
  <c r="AW419"/>
  <c r="AO419"/>
  <c r="AT419"/>
  <c r="AU419" s="1"/>
  <c r="AW515"/>
  <c r="AO515"/>
  <c r="AP515"/>
  <c r="AT515"/>
  <c r="AU515" s="1"/>
  <c r="AW196"/>
  <c r="AO196"/>
  <c r="AT196"/>
  <c r="AU196" s="1"/>
  <c r="AW199"/>
  <c r="AO199"/>
  <c r="AP199"/>
  <c r="AT199"/>
  <c r="AU199" s="1"/>
  <c r="AW207"/>
  <c r="AO207"/>
  <c r="AT207"/>
  <c r="AU207" s="1"/>
  <c r="AW301"/>
  <c r="AP301"/>
  <c r="AO301"/>
  <c r="AT301"/>
  <c r="AU301" s="1"/>
  <c r="AW431"/>
  <c r="AP431"/>
  <c r="AO431"/>
  <c r="AT431"/>
  <c r="AU431" s="1"/>
  <c r="AW239"/>
  <c r="AP239"/>
  <c r="AO239"/>
  <c r="AT239"/>
  <c r="AU239" s="1"/>
  <c r="AW163"/>
  <c r="AO163"/>
  <c r="AT163"/>
  <c r="AU163" s="1"/>
  <c r="AW516"/>
  <c r="AP516"/>
  <c r="AO516"/>
  <c r="AT516"/>
  <c r="AU516" s="1"/>
  <c r="AW290"/>
  <c r="AO290"/>
  <c r="AT290"/>
  <c r="AU290" s="1"/>
  <c r="AW352"/>
  <c r="AO352"/>
  <c r="AP352"/>
  <c r="AT352"/>
  <c r="AU352" s="1"/>
  <c r="AW168"/>
  <c r="AO168"/>
  <c r="AT168"/>
  <c r="AU168" s="1"/>
  <c r="AW194"/>
  <c r="AP194"/>
  <c r="AO194"/>
  <c r="AT194"/>
  <c r="AU194" s="1"/>
  <c r="AW74"/>
  <c r="AP74"/>
  <c r="AO74"/>
  <c r="AT74"/>
  <c r="AU74" s="1"/>
  <c r="AW376"/>
  <c r="AP376"/>
  <c r="AO376"/>
  <c r="AT376"/>
  <c r="AU376" s="1"/>
  <c r="AW210"/>
  <c r="AO210"/>
  <c r="AP210"/>
  <c r="AT210"/>
  <c r="AU210" s="1"/>
  <c r="AW339"/>
  <c r="AO339"/>
  <c r="AP339"/>
  <c r="AT339"/>
  <c r="AU339" s="1"/>
  <c r="AW217"/>
  <c r="AO217"/>
  <c r="AT217"/>
  <c r="AU217" s="1"/>
  <c r="AW107"/>
  <c r="AP107"/>
  <c r="AO107"/>
  <c r="AT107"/>
  <c r="AU107" s="1"/>
  <c r="AW405"/>
  <c r="AO405"/>
  <c r="AP405"/>
  <c r="AT405"/>
  <c r="AU405" s="1"/>
  <c r="AW373"/>
  <c r="AP373"/>
  <c r="AO373"/>
  <c r="AT373"/>
  <c r="AU373" s="1"/>
  <c r="AW243"/>
  <c r="AP243"/>
  <c r="AO243"/>
  <c r="AT243"/>
  <c r="AU243" s="1"/>
  <c r="AW283"/>
  <c r="AP283"/>
  <c r="AO283"/>
  <c r="AT283"/>
  <c r="AU283" s="1"/>
  <c r="AW465"/>
  <c r="AO465"/>
  <c r="AP465"/>
  <c r="AT465"/>
  <c r="AU465" s="1"/>
  <c r="AT505"/>
  <c r="AU505" s="1"/>
  <c r="AW505"/>
  <c r="AO505"/>
  <c r="AP505"/>
  <c r="AW502"/>
  <c r="AP502"/>
  <c r="AO502"/>
  <c r="AT502"/>
  <c r="AU502" s="1"/>
  <c r="AW367"/>
  <c r="AO367"/>
  <c r="AP367"/>
  <c r="AT367"/>
  <c r="AU367" s="1"/>
  <c r="AW114"/>
  <c r="AP114"/>
  <c r="AO114"/>
  <c r="AT114"/>
  <c r="AU114" s="1"/>
  <c r="AW192"/>
  <c r="AP192"/>
  <c r="AO192"/>
  <c r="AT192"/>
  <c r="AU192" s="1"/>
  <c r="AW399"/>
  <c r="AO399"/>
  <c r="AT399"/>
  <c r="AU399" s="1"/>
  <c r="AW395"/>
  <c r="AO395"/>
  <c r="AT395"/>
  <c r="AU395" s="1"/>
  <c r="AW292"/>
  <c r="AP292"/>
  <c r="AO292"/>
  <c r="AT292"/>
  <c r="AU292" s="1"/>
  <c r="AO112"/>
  <c r="AW125"/>
  <c r="AT145"/>
  <c r="AU145" s="1"/>
  <c r="AT94"/>
  <c r="AU94" s="1"/>
  <c r="AO142"/>
  <c r="AW73"/>
  <c r="AW274"/>
  <c r="AO274"/>
  <c r="AP274"/>
  <c r="AT274"/>
  <c r="AU274" s="1"/>
  <c r="AW332"/>
  <c r="AO332"/>
  <c r="AP332"/>
  <c r="AT332"/>
  <c r="AU332" s="1"/>
  <c r="AW392"/>
  <c r="AO392"/>
  <c r="AP392"/>
  <c r="AT392"/>
  <c r="AU392" s="1"/>
  <c r="AW257"/>
  <c r="AO257"/>
  <c r="AT257"/>
  <c r="AU257" s="1"/>
  <c r="AW353"/>
  <c r="AO353"/>
  <c r="AP353"/>
  <c r="AT353"/>
  <c r="AU353" s="1"/>
  <c r="AW289"/>
  <c r="AO289"/>
  <c r="AT289"/>
  <c r="AU289" s="1"/>
  <c r="AW183"/>
  <c r="AO183"/>
  <c r="AP183"/>
  <c r="AT183"/>
  <c r="AU183" s="1"/>
  <c r="AW23"/>
  <c r="AO23"/>
  <c r="AP23"/>
  <c r="AT23"/>
  <c r="AU23" s="1"/>
  <c r="AW401"/>
  <c r="AO401"/>
  <c r="AP401"/>
  <c r="AT401"/>
  <c r="AU401" s="1"/>
  <c r="AO518"/>
  <c r="AW518"/>
  <c r="AT518"/>
  <c r="AU518" s="1"/>
  <c r="AO12"/>
  <c r="AW12"/>
  <c r="AT12"/>
  <c r="AU12" s="1"/>
  <c r="AW272"/>
  <c r="AO272"/>
  <c r="AT272"/>
  <c r="AU272" s="1"/>
  <c r="AW449"/>
  <c r="AO449"/>
  <c r="AP449"/>
  <c r="AT449"/>
  <c r="AU449" s="1"/>
  <c r="AW450"/>
  <c r="AO450"/>
  <c r="AP450"/>
  <c r="AT450"/>
  <c r="AU450" s="1"/>
  <c r="AW342"/>
  <c r="AO342"/>
  <c r="AP342"/>
  <c r="AT342"/>
  <c r="AU342" s="1"/>
  <c r="AW40"/>
  <c r="AO40"/>
  <c r="AP40"/>
  <c r="AT40"/>
  <c r="AU40" s="1"/>
  <c r="AW109"/>
  <c r="AO109"/>
  <c r="AT109"/>
  <c r="AU109" s="1"/>
  <c r="AW115"/>
  <c r="AO115"/>
  <c r="AT115"/>
  <c r="AU115" s="1"/>
  <c r="AW19"/>
  <c r="AO19"/>
  <c r="AP19"/>
  <c r="AT19"/>
  <c r="AU19" s="1"/>
  <c r="AW338"/>
  <c r="AO338"/>
  <c r="AP338"/>
  <c r="AT338"/>
  <c r="AU338" s="1"/>
  <c r="AO304"/>
  <c r="AW304"/>
  <c r="AT304"/>
  <c r="AU304" s="1"/>
  <c r="AO216"/>
  <c r="AW216"/>
  <c r="AT216"/>
  <c r="AU216" s="1"/>
  <c r="AP81"/>
  <c r="AO81"/>
  <c r="AW81"/>
  <c r="AT81"/>
  <c r="AU81" s="1"/>
  <c r="AP72"/>
  <c r="AO72"/>
  <c r="AW72"/>
  <c r="AT72"/>
  <c r="AU72" s="1"/>
  <c r="AW96"/>
  <c r="AO96"/>
  <c r="AT96"/>
  <c r="AU96" s="1"/>
  <c r="AW63"/>
  <c r="AO63"/>
  <c r="AT63"/>
  <c r="AU63" s="1"/>
  <c r="AT16"/>
  <c r="AU16" s="1"/>
  <c r="AW16"/>
  <c r="AO16"/>
  <c r="AW136"/>
  <c r="AO136"/>
  <c r="AT136"/>
  <c r="AU136" s="1"/>
  <c r="AW117"/>
  <c r="AO117"/>
  <c r="AT117"/>
  <c r="AU117" s="1"/>
  <c r="AW51"/>
  <c r="AO51"/>
  <c r="AP51"/>
  <c r="AT51"/>
  <c r="AU51" s="1"/>
  <c r="AW164"/>
  <c r="AO164"/>
  <c r="AT164"/>
  <c r="AU164" s="1"/>
  <c r="AW152"/>
  <c r="AO152"/>
  <c r="AT152"/>
  <c r="AU152" s="1"/>
  <c r="AW113"/>
  <c r="AO113"/>
  <c r="AT113"/>
  <c r="AU113" s="1"/>
  <c r="AW170"/>
  <c r="AO170"/>
  <c r="AT170"/>
  <c r="AU170" s="1"/>
  <c r="AW435"/>
  <c r="AO435"/>
  <c r="AT435"/>
  <c r="AU435" s="1"/>
  <c r="AW432"/>
  <c r="AO432"/>
  <c r="AT432"/>
  <c r="AU432" s="1"/>
  <c r="AW416"/>
  <c r="AO416"/>
  <c r="AT416"/>
  <c r="AU416" s="1"/>
  <c r="AW494"/>
  <c r="AO494"/>
  <c r="AT494"/>
  <c r="AU494" s="1"/>
  <c r="AW198"/>
  <c r="AO198"/>
  <c r="AT198"/>
  <c r="AU198" s="1"/>
  <c r="AW246"/>
  <c r="AO246"/>
  <c r="AP246"/>
  <c r="AT246"/>
  <c r="AU246" s="1"/>
  <c r="AW29"/>
  <c r="AO29"/>
  <c r="AP29"/>
  <c r="AT29"/>
  <c r="AU29" s="1"/>
  <c r="AW95"/>
  <c r="AO95"/>
  <c r="AT95"/>
  <c r="AU95" s="1"/>
  <c r="AW66"/>
  <c r="AO66"/>
  <c r="AT66"/>
  <c r="AU66" s="1"/>
  <c r="AW14"/>
  <c r="AO14"/>
  <c r="AP14"/>
  <c r="AT14"/>
  <c r="AU14" s="1"/>
  <c r="AW238"/>
  <c r="AO238"/>
  <c r="AT238"/>
  <c r="AU238" s="1"/>
  <c r="AW206"/>
  <c r="AO206"/>
  <c r="AT206"/>
  <c r="AU206" s="1"/>
  <c r="AW314"/>
  <c r="AO314"/>
  <c r="AT314"/>
  <c r="AU314" s="1"/>
  <c r="AW240"/>
  <c r="AO240"/>
  <c r="AT240"/>
  <c r="AU240" s="1"/>
  <c r="AT7"/>
  <c r="AU7" s="1"/>
  <c r="AW7"/>
  <c r="AO7"/>
  <c r="AT8"/>
  <c r="AU8" s="1"/>
  <c r="AW8"/>
  <c r="AO8"/>
  <c r="AW317"/>
  <c r="AO317"/>
  <c r="AT317"/>
  <c r="AU317" s="1"/>
  <c r="AW67"/>
  <c r="AO67"/>
  <c r="AP67"/>
  <c r="AT67"/>
  <c r="AU67" s="1"/>
  <c r="AW71"/>
  <c r="AO71"/>
  <c r="AP71"/>
  <c r="AT71"/>
  <c r="AU71" s="1"/>
  <c r="AW36"/>
  <c r="AO36"/>
  <c r="AP36"/>
  <c r="AT36"/>
  <c r="AU36" s="1"/>
  <c r="AW28"/>
  <c r="AO28"/>
  <c r="AP28"/>
  <c r="AT28"/>
  <c r="AU28" s="1"/>
  <c r="AW138"/>
  <c r="AO138"/>
  <c r="AP138"/>
  <c r="AT138"/>
  <c r="AU138" s="1"/>
  <c r="AW484"/>
  <c r="AO484"/>
  <c r="AP484"/>
  <c r="AT484"/>
  <c r="AU484" s="1"/>
  <c r="AW208"/>
  <c r="AO208"/>
  <c r="AT208"/>
  <c r="AU208" s="1"/>
  <c r="AW159"/>
  <c r="AO159"/>
  <c r="AT159"/>
  <c r="AU159" s="1"/>
  <c r="AW300"/>
  <c r="AO300"/>
  <c r="AP300"/>
  <c r="AT300"/>
  <c r="AU300" s="1"/>
  <c r="AW461"/>
  <c r="AO461"/>
  <c r="AP461"/>
  <c r="AT461"/>
  <c r="AU461" s="1"/>
  <c r="AW260"/>
  <c r="AO260"/>
  <c r="AP260"/>
  <c r="AT260"/>
  <c r="AU260" s="1"/>
  <c r="AW389"/>
  <c r="AO389"/>
  <c r="AT389"/>
  <c r="AU389" s="1"/>
  <c r="AW160"/>
  <c r="AO160"/>
  <c r="AT160"/>
  <c r="AU160" s="1"/>
  <c r="AT25"/>
  <c r="AU25" s="1"/>
  <c r="AW25"/>
  <c r="AO25"/>
  <c r="AW82"/>
  <c r="AO82"/>
  <c r="AT82"/>
  <c r="AU82" s="1"/>
  <c r="AW83"/>
  <c r="AO83"/>
  <c r="AT83"/>
  <c r="AU83" s="1"/>
  <c r="AT26"/>
  <c r="AU26" s="1"/>
  <c r="AW26"/>
  <c r="AO26"/>
  <c r="AW288"/>
  <c r="AO288"/>
  <c r="AP288"/>
  <c r="AT288"/>
  <c r="AU288" s="1"/>
  <c r="AW270"/>
  <c r="AO270"/>
  <c r="AT270"/>
  <c r="AU270" s="1"/>
  <c r="AW285"/>
  <c r="AO285"/>
  <c r="AT285"/>
  <c r="AU285" s="1"/>
  <c r="AW306"/>
  <c r="AO306"/>
  <c r="AT306"/>
  <c r="AU306" s="1"/>
  <c r="AW311"/>
  <c r="AO311"/>
  <c r="AP311"/>
  <c r="AT311"/>
  <c r="AU311" s="1"/>
  <c r="AW340"/>
  <c r="AO340"/>
  <c r="AP340"/>
  <c r="AT340"/>
  <c r="AU340" s="1"/>
  <c r="AW334"/>
  <c r="AO334"/>
  <c r="AP334"/>
  <c r="AT334"/>
  <c r="AU334" s="1"/>
  <c r="AW371"/>
  <c r="AO371"/>
  <c r="AP371"/>
  <c r="AT371"/>
  <c r="AU371" s="1"/>
  <c r="AW424"/>
  <c r="AO424"/>
  <c r="AT424"/>
  <c r="AU424" s="1"/>
  <c r="AW503"/>
  <c r="AO503"/>
  <c r="AT503"/>
  <c r="AU503" s="1"/>
  <c r="AW418"/>
  <c r="AO418"/>
  <c r="AT418"/>
  <c r="AU418" s="1"/>
  <c r="AW97"/>
  <c r="AO97"/>
  <c r="AT97"/>
  <c r="AU97" s="1"/>
  <c r="AW439"/>
  <c r="AO439"/>
  <c r="AP439"/>
  <c r="AT439"/>
  <c r="AU439" s="1"/>
  <c r="AW195"/>
  <c r="AO195"/>
  <c r="AP195"/>
  <c r="AT195"/>
  <c r="AU195" s="1"/>
  <c r="AW48"/>
  <c r="AO48"/>
  <c r="AP48"/>
  <c r="AT48"/>
  <c r="AU48" s="1"/>
  <c r="AW172"/>
  <c r="AO172"/>
  <c r="AP172"/>
  <c r="AT172"/>
  <c r="AU172" s="1"/>
  <c r="AW75"/>
  <c r="AO75"/>
  <c r="AT75"/>
  <c r="AU75" s="1"/>
  <c r="AW79"/>
  <c r="AO79"/>
  <c r="AT79"/>
  <c r="AU79" s="1"/>
  <c r="AW80"/>
  <c r="AO80"/>
  <c r="AT80"/>
  <c r="AU80" s="1"/>
  <c r="AP2"/>
  <c r="AP372"/>
  <c r="AO372"/>
  <c r="AP32"/>
  <c r="AP33"/>
  <c r="AP122"/>
  <c r="AP470"/>
  <c r="AP318"/>
  <c r="AP34"/>
  <c r="AP415"/>
  <c r="AP463"/>
  <c r="AP43"/>
  <c r="AP44"/>
  <c r="AP403"/>
  <c r="AP365"/>
  <c r="AP42"/>
  <c r="AP49"/>
  <c r="AP10"/>
  <c r="AP490"/>
  <c r="AP251"/>
  <c r="AO151"/>
  <c r="AT151"/>
  <c r="AU151" s="1"/>
  <c r="AW151"/>
  <c r="AO150"/>
  <c r="AT150"/>
  <c r="AU150" s="1"/>
  <c r="AW150"/>
  <c r="AO137"/>
  <c r="AT137"/>
  <c r="AU137" s="1"/>
  <c r="AW137"/>
  <c r="AO49"/>
  <c r="AO472"/>
  <c r="AT472"/>
  <c r="AU472" s="1"/>
  <c r="AW472"/>
  <c r="AO110"/>
  <c r="AT110"/>
  <c r="AU110" s="1"/>
  <c r="AW110"/>
  <c r="AO140"/>
  <c r="AT140"/>
  <c r="AU140" s="1"/>
  <c r="AW140"/>
  <c r="AO119"/>
  <c r="AT119"/>
  <c r="AU119" s="1"/>
  <c r="AW119"/>
  <c r="AO120"/>
  <c r="AT120"/>
  <c r="AU120" s="1"/>
  <c r="AW120"/>
  <c r="AO106"/>
  <c r="AT106"/>
  <c r="AU106" s="1"/>
  <c r="AW106"/>
  <c r="AO410"/>
  <c r="AT410"/>
  <c r="AU410" s="1"/>
  <c r="AW410"/>
  <c r="AP229"/>
  <c r="AO229"/>
  <c r="AT229"/>
  <c r="AU229" s="1"/>
  <c r="AW229"/>
  <c r="AP30"/>
  <c r="AO30"/>
  <c r="AT30"/>
  <c r="AU30" s="1"/>
  <c r="AW30"/>
  <c r="AP31"/>
  <c r="AO31"/>
  <c r="AT31"/>
  <c r="AU31" s="1"/>
  <c r="AW31"/>
  <c r="AW331"/>
  <c r="AO331"/>
  <c r="AP331"/>
  <c r="AT331"/>
  <c r="AU331" s="1"/>
  <c r="AW326"/>
  <c r="AO326"/>
  <c r="AP326"/>
  <c r="AT326"/>
  <c r="AU326" s="1"/>
  <c r="AW394"/>
  <c r="AO394"/>
  <c r="AP394"/>
  <c r="AT394"/>
  <c r="AU394" s="1"/>
  <c r="AO384"/>
  <c r="AP384"/>
  <c r="AW180"/>
  <c r="AO180"/>
  <c r="AP180"/>
  <c r="AT180"/>
  <c r="AU180" s="1"/>
  <c r="AW186"/>
  <c r="AO186"/>
  <c r="AP186"/>
  <c r="AT186"/>
  <c r="AU186" s="1"/>
  <c r="AW483"/>
  <c r="AO483"/>
  <c r="AP483"/>
  <c r="AT483"/>
  <c r="AU483" s="1"/>
  <c r="AW514"/>
  <c r="AO514"/>
  <c r="AP514"/>
  <c r="AT514"/>
  <c r="AU514" s="1"/>
  <c r="AW269"/>
  <c r="AO269"/>
  <c r="AP269"/>
  <c r="AT269"/>
  <c r="AU269" s="1"/>
  <c r="AO506"/>
  <c r="AP506"/>
  <c r="AO213"/>
  <c r="AP213"/>
  <c r="AW488"/>
  <c r="AO488"/>
  <c r="AP488"/>
  <c r="AT488"/>
  <c r="AU488" s="1"/>
  <c r="AO363"/>
  <c r="AP363"/>
  <c r="AW185"/>
  <c r="AO185"/>
  <c r="AP185"/>
  <c r="AT185"/>
  <c r="AU185" s="1"/>
  <c r="AW309"/>
  <c r="AO309"/>
  <c r="AP309"/>
  <c r="AT309"/>
  <c r="AU309" s="1"/>
  <c r="AW310"/>
  <c r="AO310"/>
  <c r="AP310"/>
  <c r="AT310"/>
  <c r="AU310" s="1"/>
  <c r="AW255"/>
  <c r="AO255"/>
  <c r="AP255"/>
  <c r="AT255"/>
  <c r="AU255" s="1"/>
  <c r="AW451"/>
  <c r="AO451"/>
  <c r="AP451"/>
  <c r="AT451"/>
  <c r="AU451" s="1"/>
  <c r="AW442"/>
  <c r="AO442"/>
  <c r="AP442"/>
  <c r="AT442"/>
  <c r="AU442" s="1"/>
  <c r="AW266"/>
  <c r="AO266"/>
  <c r="AP266"/>
  <c r="AT266"/>
  <c r="AU266" s="1"/>
  <c r="AW275"/>
  <c r="AO275"/>
  <c r="AP275"/>
  <c r="AT275"/>
  <c r="AU275" s="1"/>
  <c r="AW400"/>
  <c r="AO400"/>
  <c r="AP400"/>
  <c r="AT400"/>
  <c r="AU400" s="1"/>
  <c r="AW20"/>
  <c r="AO20"/>
  <c r="AP20"/>
  <c r="AT20"/>
  <c r="AU20" s="1"/>
  <c r="AO70"/>
  <c r="AP70"/>
  <c r="AO69"/>
  <c r="AP69"/>
  <c r="AW366"/>
  <c r="AO366"/>
  <c r="AP366"/>
  <c r="AT366"/>
  <c r="AU366" s="1"/>
  <c r="AW343"/>
  <c r="AO343"/>
  <c r="AP343"/>
  <c r="AT343"/>
  <c r="AU343" s="1"/>
  <c r="AW493"/>
  <c r="AO493"/>
  <c r="AP493"/>
  <c r="AT493"/>
  <c r="AU493" s="1"/>
  <c r="AW498"/>
  <c r="AO498"/>
  <c r="AP498"/>
  <c r="AT498"/>
  <c r="AU498" s="1"/>
  <c r="AW305"/>
  <c r="AO305"/>
  <c r="AP305"/>
  <c r="AT305"/>
  <c r="AU305" s="1"/>
  <c r="AW388"/>
  <c r="AO388"/>
  <c r="AP388"/>
  <c r="AT388"/>
  <c r="AU388" s="1"/>
  <c r="AW219"/>
  <c r="AO219"/>
  <c r="AP219"/>
  <c r="AT219"/>
  <c r="AU219" s="1"/>
  <c r="AO273"/>
  <c r="AP273"/>
  <c r="AW393"/>
  <c r="AO393"/>
  <c r="AP393"/>
  <c r="AT393"/>
  <c r="AU393" s="1"/>
  <c r="AW348"/>
  <c r="AO348"/>
  <c r="AP348"/>
  <c r="AT348"/>
  <c r="AU348" s="1"/>
  <c r="AW147"/>
  <c r="AO147"/>
  <c r="AP147"/>
  <c r="AT147"/>
  <c r="AU147" s="1"/>
  <c r="AW161"/>
  <c r="AO161"/>
  <c r="AP161"/>
  <c r="AT161"/>
  <c r="AU161" s="1"/>
  <c r="AW302"/>
  <c r="AO302"/>
  <c r="AP302"/>
  <c r="AT302"/>
  <c r="AU302" s="1"/>
  <c r="AO281"/>
  <c r="AP281"/>
  <c r="AW227"/>
  <c r="AO227"/>
  <c r="AP227"/>
  <c r="AT227"/>
  <c r="AU227" s="1"/>
  <c r="AO261"/>
  <c r="AP261"/>
  <c r="AO345"/>
  <c r="AP345"/>
  <c r="AW287"/>
  <c r="AO287"/>
  <c r="AT287"/>
  <c r="AU287" s="1"/>
  <c r="AW225"/>
  <c r="AO225"/>
  <c r="AT225"/>
  <c r="AU225" s="1"/>
  <c r="AW284"/>
  <c r="AO284"/>
  <c r="AP284"/>
  <c r="AT284"/>
  <c r="AU284" s="1"/>
  <c r="AW280"/>
  <c r="AO280"/>
  <c r="AP280"/>
  <c r="AT280"/>
  <c r="AU280" s="1"/>
  <c r="AW139"/>
  <c r="AO139"/>
  <c r="AT139"/>
  <c r="AU139" s="1"/>
  <c r="AW128"/>
  <c r="AO128"/>
  <c r="AT128"/>
  <c r="AU128" s="1"/>
  <c r="AW254"/>
  <c r="AO254"/>
  <c r="AP254"/>
  <c r="AT254"/>
  <c r="AU254" s="1"/>
  <c r="AW303"/>
  <c r="AO303"/>
  <c r="AP303"/>
  <c r="AT303"/>
  <c r="AU303" s="1"/>
  <c r="AW271"/>
  <c r="AO271"/>
  <c r="AP271"/>
  <c r="AT271"/>
  <c r="AU271" s="1"/>
  <c r="AW421"/>
  <c r="AO421"/>
  <c r="AP421"/>
  <c r="AT421"/>
  <c r="AU421" s="1"/>
  <c r="AW282"/>
  <c r="AO282"/>
  <c r="AP282"/>
  <c r="AT282"/>
  <c r="AU282" s="1"/>
  <c r="AW294"/>
  <c r="AO294"/>
  <c r="AP294"/>
  <c r="AT294"/>
  <c r="AU294" s="1"/>
  <c r="AW278"/>
  <c r="AO278"/>
  <c r="AP278"/>
  <c r="AT278"/>
  <c r="AU278" s="1"/>
  <c r="AW462"/>
  <c r="AO462"/>
  <c r="AP462"/>
  <c r="AT462"/>
  <c r="AU462" s="1"/>
  <c r="AW460"/>
  <c r="AO460"/>
  <c r="AP460"/>
  <c r="AT460"/>
  <c r="AU460" s="1"/>
  <c r="AW448"/>
  <c r="AO448"/>
  <c r="AP448"/>
  <c r="AT448"/>
  <c r="AU448" s="1"/>
  <c r="AW447"/>
  <c r="AO447"/>
  <c r="AP447"/>
  <c r="AT447"/>
  <c r="AU447" s="1"/>
  <c r="AW188"/>
  <c r="AO188"/>
  <c r="AP188"/>
  <c r="AT188"/>
  <c r="AU188" s="1"/>
  <c r="AW201"/>
  <c r="AO201"/>
  <c r="AP201"/>
  <c r="AT201"/>
  <c r="AU201" s="1"/>
  <c r="AO427"/>
  <c r="AP427"/>
  <c r="AW446"/>
  <c r="AO446"/>
  <c r="AP446"/>
  <c r="AT446"/>
  <c r="AU446" s="1"/>
  <c r="AO391"/>
  <c r="AP391"/>
  <c r="AW364"/>
  <c r="AO364"/>
  <c r="AP364"/>
  <c r="AT364"/>
  <c r="AU364" s="1"/>
  <c r="AW468"/>
  <c r="AO468"/>
  <c r="AP468"/>
  <c r="AT468"/>
  <c r="AU468" s="1"/>
  <c r="AW486"/>
  <c r="AO486"/>
  <c r="AP486"/>
  <c r="AT486"/>
  <c r="AU486" s="1"/>
  <c r="AO330"/>
  <c r="AP330"/>
  <c r="AO333"/>
  <c r="AP333"/>
  <c r="AW350"/>
  <c r="AO350"/>
  <c r="AP350"/>
  <c r="AT350"/>
  <c r="AU350" s="1"/>
  <c r="AW336"/>
  <c r="AO336"/>
  <c r="AP336"/>
  <c r="AT336"/>
  <c r="AU336" s="1"/>
  <c r="AW245"/>
  <c r="AO245"/>
  <c r="AP245"/>
  <c r="AT245"/>
  <c r="AU245" s="1"/>
  <c r="AW500"/>
  <c r="AO500"/>
  <c r="AP500"/>
  <c r="AT500"/>
  <c r="AU500" s="1"/>
  <c r="AO408"/>
  <c r="AP408"/>
  <c r="AW407"/>
  <c r="AO407"/>
  <c r="AP407"/>
  <c r="AT407"/>
  <c r="AU407" s="1"/>
  <c r="AO383"/>
  <c r="AP383"/>
  <c r="AW379"/>
  <c r="AO379"/>
  <c r="AP379"/>
  <c r="AT379"/>
  <c r="AU379" s="1"/>
  <c r="AW377"/>
  <c r="AO377"/>
  <c r="AP377"/>
  <c r="AT377"/>
  <c r="AU377" s="1"/>
  <c r="AW457"/>
  <c r="AO457"/>
  <c r="AP457"/>
  <c r="AT457"/>
  <c r="AU457" s="1"/>
  <c r="AW434"/>
  <c r="AO434"/>
  <c r="AP434"/>
  <c r="AT434"/>
  <c r="AU434" s="1"/>
  <c r="AO369"/>
  <c r="AP369"/>
  <c r="AW402"/>
  <c r="AO402"/>
  <c r="AP402"/>
  <c r="AT402"/>
  <c r="AU402" s="1"/>
  <c r="AO337"/>
  <c r="AP337"/>
  <c r="AW387"/>
  <c r="AO387"/>
  <c r="AP387"/>
  <c r="AT387"/>
  <c r="AU387" s="1"/>
  <c r="AW202"/>
  <c r="AO202"/>
  <c r="AP202"/>
  <c r="AT202"/>
  <c r="AU202" s="1"/>
  <c r="AW298"/>
  <c r="AO298"/>
  <c r="AP298"/>
  <c r="AT298"/>
  <c r="AU298" s="1"/>
  <c r="AO438"/>
  <c r="AP438"/>
  <c r="AO430"/>
  <c r="AP430"/>
  <c r="AO313"/>
  <c r="AP313"/>
  <c r="AW315"/>
  <c r="AO315"/>
  <c r="AP315"/>
  <c r="AT315"/>
  <c r="AU315" s="1"/>
  <c r="AO319"/>
  <c r="AP319"/>
  <c r="AO362"/>
  <c r="AP362"/>
  <c r="AO382"/>
  <c r="AP382"/>
  <c r="AW295"/>
  <c r="AO295"/>
  <c r="AP295"/>
  <c r="AT295"/>
  <c r="AU295" s="1"/>
  <c r="AO355"/>
  <c r="AP355"/>
  <c r="AO325"/>
  <c r="AP325"/>
  <c r="AW230"/>
  <c r="AO230"/>
  <c r="AP230"/>
  <c r="AT230"/>
  <c r="AU230" s="1"/>
  <c r="AO234"/>
  <c r="AP234"/>
  <c r="AW347"/>
  <c r="AO347"/>
  <c r="AP347"/>
  <c r="AT347"/>
  <c r="AU347" s="1"/>
  <c r="AW184"/>
  <c r="AO184"/>
  <c r="AP184"/>
  <c r="AT184"/>
  <c r="AU184" s="1"/>
  <c r="AW181"/>
  <c r="AO181"/>
  <c r="AP181"/>
  <c r="AT181"/>
  <c r="AU181" s="1"/>
  <c r="AW233"/>
  <c r="AO233"/>
  <c r="AP233"/>
  <c r="AT233"/>
  <c r="AU233" s="1"/>
  <c r="AW176"/>
  <c r="AO176"/>
  <c r="AP176"/>
  <c r="AT176"/>
  <c r="AU176" s="1"/>
  <c r="AO191"/>
  <c r="AP191"/>
  <c r="AO190"/>
  <c r="AP190"/>
  <c r="AW189"/>
  <c r="AO189"/>
  <c r="AP189"/>
  <c r="AT189"/>
  <c r="AU189" s="1"/>
  <c r="AW478"/>
  <c r="AO478"/>
  <c r="AP478"/>
  <c r="AT478"/>
  <c r="AU478" s="1"/>
  <c r="AW390"/>
  <c r="AO390"/>
  <c r="AP390"/>
  <c r="AT390"/>
  <c r="AU390" s="1"/>
  <c r="AW351"/>
  <c r="AO351"/>
  <c r="AP351"/>
  <c r="AT351"/>
  <c r="AU351" s="1"/>
  <c r="AO433"/>
  <c r="AP433"/>
  <c r="AO420"/>
  <c r="AP420"/>
  <c r="AW77"/>
  <c r="AO77"/>
  <c r="AP77"/>
  <c r="AT77"/>
  <c r="AU77" s="1"/>
  <c r="AO118"/>
  <c r="AP118"/>
  <c r="AW249"/>
  <c r="AO249"/>
  <c r="AP249"/>
  <c r="AT249"/>
  <c r="AU249" s="1"/>
  <c r="AW253"/>
  <c r="AO253"/>
  <c r="AP253"/>
  <c r="AT253"/>
  <c r="AU253" s="1"/>
  <c r="AW476"/>
  <c r="AO476"/>
  <c r="AP476"/>
  <c r="AT476"/>
  <c r="AU476" s="1"/>
  <c r="AW477"/>
  <c r="AO477"/>
  <c r="AP477"/>
  <c r="AT477"/>
  <c r="AU477" s="1"/>
  <c r="AW91"/>
  <c r="AO91"/>
  <c r="AP91"/>
  <c r="AT91"/>
  <c r="AU91" s="1"/>
  <c r="AW93"/>
  <c r="AO93"/>
  <c r="AP93"/>
  <c r="AT93"/>
  <c r="AU93" s="1"/>
  <c r="AW413"/>
  <c r="AO413"/>
  <c r="AP413"/>
  <c r="AT413"/>
  <c r="AU413" s="1"/>
  <c r="AW436"/>
  <c r="AO436"/>
  <c r="AP436"/>
  <c r="AT436"/>
  <c r="AU436" s="1"/>
  <c r="AW441"/>
  <c r="AO441"/>
  <c r="AP441"/>
  <c r="AT441"/>
  <c r="AU441" s="1"/>
  <c r="AO397"/>
  <c r="AP397"/>
  <c r="AW85"/>
  <c r="AO85"/>
  <c r="AP85"/>
  <c r="AT85"/>
  <c r="AU85" s="1"/>
  <c r="AO221"/>
  <c r="AP221"/>
  <c r="AW375"/>
  <c r="AO375"/>
  <c r="AP375"/>
  <c r="AT375"/>
  <c r="AU375" s="1"/>
  <c r="AO248"/>
  <c r="AP248"/>
  <c r="AW308"/>
  <c r="AO308"/>
  <c r="AP308"/>
  <c r="AT308"/>
  <c r="AU308" s="1"/>
  <c r="AW492"/>
  <c r="AO492"/>
  <c r="AP492"/>
  <c r="AT492"/>
  <c r="AU492" s="1"/>
  <c r="AW323"/>
  <c r="AO323"/>
  <c r="AP323"/>
  <c r="AT323"/>
  <c r="AU323" s="1"/>
  <c r="AW411"/>
  <c r="AO411"/>
  <c r="AT411"/>
  <c r="AU411" s="1"/>
  <c r="AW482"/>
  <c r="AO482"/>
  <c r="AT482"/>
  <c r="AU482" s="1"/>
  <c r="AW510"/>
  <c r="AO510"/>
  <c r="AP510"/>
  <c r="AT510"/>
  <c r="AU510" s="1"/>
  <c r="AW312"/>
  <c r="AO312"/>
  <c r="AP312"/>
  <c r="AT312"/>
  <c r="AU312" s="1"/>
  <c r="AW144"/>
  <c r="AO144"/>
  <c r="AP144"/>
  <c r="AT144"/>
  <c r="AU144" s="1"/>
  <c r="AW458"/>
  <c r="AO458"/>
  <c r="AP458"/>
  <c r="AT458"/>
  <c r="AU458" s="1"/>
  <c r="AW386"/>
  <c r="AO386"/>
  <c r="AP386"/>
  <c r="AT386"/>
  <c r="AU386" s="1"/>
  <c r="AW258"/>
  <c r="AO258"/>
  <c r="AT258"/>
  <c r="AU258" s="1"/>
  <c r="AW277"/>
  <c r="AO277"/>
  <c r="AT277"/>
  <c r="AU277" s="1"/>
  <c r="AW41"/>
  <c r="AO41"/>
  <c r="AP41"/>
  <c r="AT41"/>
  <c r="AU41" s="1"/>
  <c r="AO378"/>
  <c r="AP378"/>
  <c r="AW444"/>
  <c r="AO444"/>
  <c r="AP444"/>
  <c r="AT444"/>
  <c r="AU444" s="1"/>
  <c r="AW167"/>
  <c r="AO167"/>
  <c r="AP167"/>
  <c r="AT167"/>
  <c r="AU167" s="1"/>
  <c r="AW466"/>
  <c r="AO466"/>
  <c r="AP466"/>
  <c r="AT466"/>
  <c r="AU466" s="1"/>
  <c r="AO404"/>
  <c r="AP404"/>
  <c r="AW226"/>
  <c r="AO226"/>
  <c r="AP226"/>
  <c r="AT226"/>
  <c r="AU226" s="1"/>
  <c r="AW265"/>
  <c r="AO265"/>
  <c r="AP265"/>
  <c r="AT265"/>
  <c r="AU265" s="1"/>
  <c r="AO158"/>
  <c r="AP158"/>
  <c r="AW223"/>
  <c r="AO223"/>
  <c r="AP223"/>
  <c r="AT223"/>
  <c r="AU223" s="1"/>
  <c r="AO173"/>
  <c r="AP173"/>
  <c r="AW218"/>
  <c r="AO218"/>
  <c r="AP218"/>
  <c r="AT218"/>
  <c r="AU218" s="1"/>
  <c r="AW182"/>
  <c r="AO182"/>
  <c r="AP182"/>
  <c r="AT182"/>
  <c r="AU182" s="1"/>
  <c r="AW177"/>
  <c r="AO177"/>
  <c r="AP177"/>
  <c r="AT177"/>
  <c r="AU177" s="1"/>
  <c r="AW267"/>
  <c r="AO267"/>
  <c r="AP267"/>
  <c r="AT267"/>
  <c r="AU267" s="1"/>
  <c r="AW497"/>
  <c r="AO497"/>
  <c r="AP497"/>
  <c r="AT497"/>
  <c r="AU497" s="1"/>
  <c r="AW459"/>
  <c r="AO459"/>
  <c r="AP459"/>
  <c r="AT459"/>
  <c r="AU459" s="1"/>
  <c r="AW259"/>
  <c r="AO259"/>
  <c r="AP259"/>
  <c r="AT259"/>
  <c r="AU259" s="1"/>
  <c r="AW296"/>
  <c r="AO296"/>
  <c r="AP296"/>
  <c r="AT296"/>
  <c r="AU296" s="1"/>
  <c r="AO256"/>
  <c r="AP256"/>
  <c r="AW480"/>
  <c r="AO480"/>
  <c r="AP480"/>
  <c r="AT480"/>
  <c r="AU480" s="1"/>
  <c r="AW469"/>
  <c r="AO469"/>
  <c r="AP469"/>
  <c r="AT469"/>
  <c r="AU469" s="1"/>
  <c r="AW429"/>
  <c r="AO429"/>
  <c r="AP429"/>
  <c r="AT429"/>
  <c r="AU429" s="1"/>
  <c r="AO90"/>
  <c r="AP90"/>
  <c r="AP428" l="1"/>
  <c r="AV428"/>
  <c r="AO428"/>
  <c r="S428"/>
  <c r="AP517"/>
  <c r="S517"/>
  <c r="AP396"/>
  <c r="S396"/>
  <c r="AW45"/>
  <c r="S45"/>
  <c r="AT4"/>
  <c r="AU4" s="1"/>
  <c r="S4"/>
  <c r="AT517"/>
  <c r="AU517" s="1"/>
  <c r="AO517"/>
  <c r="AW517"/>
  <c r="AT428"/>
  <c r="AU428" s="1"/>
  <c r="AW428"/>
  <c r="AT45"/>
  <c r="AU45" s="1"/>
  <c r="AO396"/>
  <c r="AW4"/>
  <c r="AW396"/>
  <c r="AO45"/>
  <c r="AP45"/>
  <c r="AO4"/>
  <c r="AT396"/>
  <c r="AU396" s="1"/>
  <c r="AP4"/>
  <c r="AT112"/>
  <c r="AU112" s="1"/>
  <c r="AW112"/>
  <c r="AT125"/>
  <c r="AU125" s="1"/>
  <c r="AW142"/>
  <c r="AT142"/>
  <c r="AU142" s="1"/>
  <c r="AO73"/>
  <c r="AO125"/>
  <c r="AT73"/>
  <c r="AU73" s="1"/>
  <c r="AO94"/>
  <c r="AW94"/>
  <c r="AO145"/>
  <c r="AW145"/>
  <c r="AW415"/>
  <c r="AO44"/>
  <c r="AO403"/>
  <c r="AO99"/>
  <c r="AT33"/>
  <c r="AU33" s="1"/>
  <c r="AO34"/>
  <c r="AO2"/>
  <c r="AW34"/>
  <c r="AW318"/>
  <c r="AW122"/>
  <c r="AO122"/>
  <c r="AO470"/>
  <c r="AO415"/>
  <c r="AW403"/>
  <c r="AT403"/>
  <c r="AU403" s="1"/>
  <c r="AP103"/>
  <c r="AO103"/>
  <c r="AT122"/>
  <c r="AU122" s="1"/>
  <c r="AT415"/>
  <c r="AU415" s="1"/>
  <c r="AO42"/>
  <c r="AO32"/>
  <c r="AT318"/>
  <c r="AU318" s="1"/>
  <c r="AO43"/>
  <c r="AW44"/>
  <c r="AW49"/>
  <c r="AT372"/>
  <c r="AU372" s="1"/>
  <c r="AO365"/>
  <c r="AW2"/>
  <c r="AO463"/>
  <c r="AO27"/>
  <c r="AW470"/>
  <c r="AW463"/>
  <c r="AT32"/>
  <c r="AU32" s="1"/>
  <c r="AT43"/>
  <c r="AU43" s="1"/>
  <c r="AT42"/>
  <c r="AU42" s="1"/>
  <c r="AO10"/>
  <c r="AW365"/>
  <c r="AT2"/>
  <c r="AU2" s="1"/>
  <c r="AT27"/>
  <c r="AW32"/>
  <c r="AO318"/>
  <c r="AW43"/>
  <c r="AW42"/>
  <c r="AP27"/>
  <c r="AW372"/>
  <c r="AO33"/>
  <c r="AT470"/>
  <c r="AU470" s="1"/>
  <c r="AT34"/>
  <c r="AU34" s="1"/>
  <c r="AT44"/>
  <c r="AU44" s="1"/>
  <c r="AT365"/>
  <c r="AU365" s="1"/>
  <c r="AT10"/>
  <c r="AU10" s="1"/>
  <c r="AW251"/>
  <c r="AP99"/>
  <c r="AW33"/>
  <c r="AT463"/>
  <c r="AU463" s="1"/>
  <c r="AT49"/>
  <c r="AU49" s="1"/>
  <c r="AO490"/>
  <c r="AW10"/>
  <c r="AT490"/>
  <c r="AU490" s="1"/>
  <c r="AO251"/>
  <c r="AW490"/>
  <c r="AT251"/>
  <c r="AU251" s="1"/>
  <c r="AO508"/>
  <c r="AT508"/>
  <c r="AU508" s="1"/>
  <c r="AW508"/>
  <c r="AO489"/>
  <c r="AT489"/>
  <c r="AU489" s="1"/>
  <c r="AW489"/>
  <c r="AO50"/>
  <c r="AT50"/>
  <c r="AU50" s="1"/>
  <c r="AW50"/>
  <c r="AO162"/>
  <c r="AT162"/>
  <c r="AU162" s="1"/>
  <c r="AW162"/>
  <c r="AP508"/>
  <c r="AP489"/>
  <c r="AP50"/>
  <c r="AP162"/>
  <c r="AK27"/>
  <c r="AK99"/>
  <c r="AK103"/>
  <c r="AS321" l="1"/>
  <c r="AS429"/>
  <c r="AS162"/>
  <c r="AS50"/>
  <c r="AS489"/>
  <c r="AS508"/>
  <c r="AS251"/>
  <c r="AS490"/>
  <c r="AS49"/>
  <c r="AS463"/>
  <c r="AS10"/>
  <c r="AS365"/>
  <c r="AS44"/>
  <c r="AS34"/>
  <c r="AS470"/>
  <c r="AS2"/>
  <c r="AS42"/>
  <c r="AS43"/>
  <c r="AS32"/>
  <c r="AS372"/>
  <c r="AS318"/>
  <c r="AS415"/>
  <c r="AS122"/>
  <c r="AS403"/>
  <c r="AS33"/>
  <c r="AS73"/>
  <c r="AS142"/>
  <c r="AS125"/>
  <c r="AS112"/>
  <c r="AS396"/>
  <c r="AS45"/>
  <c r="AS428"/>
  <c r="AS517"/>
  <c r="AS4"/>
  <c r="AS293"/>
  <c r="AS445"/>
  <c r="AS133"/>
  <c r="AS205"/>
  <c r="AS453"/>
  <c r="AS204"/>
  <c r="AS89"/>
  <c r="AS398"/>
  <c r="AS412"/>
  <c r="AS262"/>
  <c r="AS59"/>
  <c r="AS57"/>
  <c r="AS491"/>
  <c r="AS409"/>
  <c r="AS105"/>
  <c r="AS58"/>
  <c r="AS467"/>
  <c r="AS35"/>
  <c r="AS481"/>
  <c r="AS197"/>
  <c r="AS111"/>
  <c r="AS341"/>
  <c r="AS220"/>
  <c r="AS62"/>
  <c r="AS473"/>
  <c r="AS263"/>
  <c r="AS37"/>
  <c r="AS252"/>
  <c r="AS358"/>
  <c r="AS209"/>
  <c r="AS454"/>
  <c r="AS132"/>
  <c r="AS126"/>
  <c r="AS475"/>
  <c r="AS324"/>
  <c r="AS130"/>
  <c r="AS235"/>
  <c r="AS286"/>
  <c r="AS247"/>
  <c r="AS211"/>
  <c r="AS116"/>
  <c r="AS374"/>
  <c r="AS92"/>
  <c r="AS187"/>
  <c r="AS22"/>
  <c r="AS179"/>
  <c r="AS485"/>
  <c r="AS512"/>
  <c r="AS504"/>
  <c r="AS426"/>
  <c r="AS166"/>
  <c r="AS264"/>
  <c r="AS52"/>
  <c r="AS361"/>
  <c r="AS359"/>
  <c r="AS322"/>
  <c r="AS316"/>
  <c r="AS327"/>
  <c r="AS104"/>
  <c r="AS496"/>
  <c r="AS370"/>
  <c r="AS241"/>
  <c r="AS297"/>
  <c r="AS455"/>
  <c r="AS17"/>
  <c r="AS417"/>
  <c r="AS519"/>
  <c r="AS134"/>
  <c r="AS148"/>
  <c r="AS381"/>
  <c r="AS507"/>
  <c r="AS149"/>
  <c r="AS328"/>
  <c r="AS250"/>
  <c r="AS474"/>
  <c r="AS123"/>
  <c r="AS452"/>
  <c r="AS471"/>
  <c r="AS21"/>
  <c r="AS174"/>
  <c r="AS165"/>
  <c r="AS86"/>
  <c r="AS39"/>
  <c r="AS203"/>
  <c r="AS499"/>
  <c r="AS76"/>
  <c r="AS135"/>
  <c r="AS154"/>
  <c r="AS244"/>
  <c r="AS129"/>
  <c r="AS242"/>
  <c r="AS224"/>
  <c r="AS479"/>
  <c r="AS356"/>
  <c r="AS146"/>
  <c r="AS354"/>
  <c r="AS87"/>
  <c r="AS291"/>
  <c r="AS15"/>
  <c r="AS38"/>
  <c r="AS501"/>
  <c r="AS65"/>
  <c r="AS509"/>
  <c r="AS88"/>
  <c r="AS100"/>
  <c r="AS60"/>
  <c r="AS385"/>
  <c r="AS335"/>
  <c r="AS68"/>
  <c r="AS513"/>
  <c r="AS215"/>
  <c r="AS64"/>
  <c r="AS360"/>
  <c r="AS268"/>
  <c r="AS495"/>
  <c r="AS200"/>
  <c r="AS121"/>
  <c r="AS423"/>
  <c r="AS171"/>
  <c r="AS440"/>
  <c r="AS425"/>
  <c r="AS175"/>
  <c r="AS124"/>
  <c r="AS231"/>
  <c r="AS299"/>
  <c r="AS143"/>
  <c r="AS273"/>
  <c r="AS414"/>
  <c r="AS3"/>
  <c r="AS307"/>
  <c r="AS320"/>
  <c r="AS84"/>
  <c r="AS108"/>
  <c r="AS422"/>
  <c r="AS232"/>
  <c r="AS157"/>
  <c r="AS131"/>
  <c r="AS279"/>
  <c r="AS214"/>
  <c r="AS18"/>
  <c r="AS228"/>
  <c r="AS346"/>
  <c r="AS46"/>
  <c r="AS55"/>
  <c r="AS13"/>
  <c r="AS47"/>
  <c r="AS443"/>
  <c r="AS456"/>
  <c r="AS56"/>
  <c r="AS141"/>
  <c r="AS222"/>
  <c r="AS155"/>
  <c r="AS78"/>
  <c r="AS487"/>
  <c r="AS9"/>
  <c r="AS344"/>
  <c r="AS212"/>
  <c r="AS98"/>
  <c r="AS24"/>
  <c r="AS127"/>
  <c r="AS102"/>
  <c r="AS153"/>
  <c r="AS101"/>
  <c r="AS156"/>
  <c r="AS53"/>
  <c r="AS437"/>
  <c r="AS349"/>
  <c r="AS236"/>
  <c r="AS54"/>
  <c r="AS520"/>
  <c r="AS11"/>
  <c r="AS357"/>
  <c r="AS237"/>
  <c r="AS5"/>
  <c r="AS178"/>
  <c r="AS276"/>
  <c r="AS329"/>
  <c r="AS169"/>
  <c r="AS464"/>
  <c r="AS406"/>
  <c r="AS193"/>
  <c r="AS6"/>
  <c r="AS368"/>
  <c r="AS511"/>
  <c r="AS61"/>
  <c r="AS380"/>
  <c r="AS419"/>
  <c r="AS515"/>
  <c r="AS196"/>
  <c r="AS199"/>
  <c r="AS207"/>
  <c r="AS301"/>
  <c r="AS431"/>
  <c r="AS239"/>
  <c r="AS163"/>
  <c r="AS516"/>
  <c r="AS290"/>
  <c r="AS352"/>
  <c r="AS168"/>
  <c r="AS194"/>
  <c r="AS74"/>
  <c r="AS376"/>
  <c r="AS210"/>
  <c r="AS339"/>
  <c r="AS217"/>
  <c r="AS107"/>
  <c r="AS405"/>
  <c r="AS373"/>
  <c r="AS243"/>
  <c r="AS283"/>
  <c r="AS465"/>
  <c r="AS505"/>
  <c r="AS502"/>
  <c r="AS367"/>
  <c r="AS114"/>
  <c r="AS192"/>
  <c r="AS399"/>
  <c r="AS395"/>
  <c r="AS292"/>
  <c r="AS145"/>
  <c r="AS94"/>
  <c r="AS274"/>
  <c r="AS332"/>
  <c r="AS392"/>
  <c r="AS257"/>
  <c r="AS353"/>
  <c r="AS289"/>
  <c r="AS183"/>
  <c r="AS23"/>
  <c r="AS401"/>
  <c r="AS518"/>
  <c r="AS12"/>
  <c r="AS272"/>
  <c r="AS449"/>
  <c r="AS450"/>
  <c r="AS342"/>
  <c r="AS40"/>
  <c r="AS109"/>
  <c r="AS115"/>
  <c r="AS19"/>
  <c r="AS338"/>
  <c r="AS304"/>
  <c r="AS216"/>
  <c r="AS81"/>
  <c r="AS72"/>
  <c r="AS96"/>
  <c r="AS63"/>
  <c r="AS16"/>
  <c r="AS136"/>
  <c r="AS117"/>
  <c r="AS51"/>
  <c r="AS164"/>
  <c r="AS152"/>
  <c r="AS113"/>
  <c r="AS170"/>
  <c r="AS435"/>
  <c r="AS432"/>
  <c r="AS416"/>
  <c r="AS494"/>
  <c r="AS198"/>
  <c r="AS246"/>
  <c r="AS29"/>
  <c r="AS95"/>
  <c r="AS66"/>
  <c r="AS14"/>
  <c r="AS238"/>
  <c r="AS206"/>
  <c r="AS314"/>
  <c r="AS240"/>
  <c r="AS7"/>
  <c r="AS8"/>
  <c r="AS317"/>
  <c r="AS67"/>
  <c r="AS71"/>
  <c r="AS36"/>
  <c r="AS28"/>
  <c r="AS138"/>
  <c r="AS484"/>
  <c r="AS208"/>
  <c r="AS159"/>
  <c r="AS300"/>
  <c r="AS461"/>
  <c r="AS260"/>
  <c r="AS389"/>
  <c r="AS160"/>
  <c r="AS25"/>
  <c r="AS82"/>
  <c r="AS83"/>
  <c r="AS26"/>
  <c r="AS288"/>
  <c r="AS270"/>
  <c r="AS285"/>
  <c r="AS306"/>
  <c r="AS311"/>
  <c r="AS340"/>
  <c r="AS334"/>
  <c r="AS371"/>
  <c r="AS424"/>
  <c r="AS503"/>
  <c r="AS418"/>
  <c r="AS97"/>
  <c r="AS439"/>
  <c r="AS195"/>
  <c r="AS48"/>
  <c r="AS172"/>
  <c r="AS75"/>
  <c r="AS79"/>
  <c r="AS80"/>
  <c r="AS151"/>
  <c r="AS150"/>
  <c r="AS137"/>
  <c r="AS472"/>
  <c r="AS110"/>
  <c r="AS140"/>
  <c r="AS119"/>
  <c r="AS120"/>
  <c r="AS106"/>
  <c r="AS410"/>
  <c r="AS229"/>
  <c r="AS30"/>
  <c r="AS31"/>
  <c r="AS331"/>
  <c r="AS326"/>
  <c r="AS394"/>
  <c r="AS180"/>
  <c r="AS186"/>
  <c r="AS483"/>
  <c r="AS514"/>
  <c r="AS269"/>
  <c r="AS488"/>
  <c r="AS185"/>
  <c r="AS309"/>
  <c r="AS310"/>
  <c r="AS255"/>
  <c r="AS451"/>
  <c r="AS442"/>
  <c r="AS266"/>
  <c r="AS275"/>
  <c r="AS400"/>
  <c r="AS20"/>
  <c r="AS366"/>
  <c r="AS343"/>
  <c r="AS493"/>
  <c r="AS498"/>
  <c r="AS305"/>
  <c r="AS388"/>
  <c r="AS219"/>
  <c r="AS393"/>
  <c r="AS348"/>
  <c r="AS147"/>
  <c r="AS161"/>
  <c r="AS302"/>
  <c r="AS227"/>
  <c r="AS287"/>
  <c r="AS225"/>
  <c r="AS284"/>
  <c r="AS280"/>
  <c r="AS139"/>
  <c r="AS128"/>
  <c r="AS254"/>
  <c r="AS303"/>
  <c r="AS271"/>
  <c r="AS421"/>
  <c r="AS282"/>
  <c r="AS294"/>
  <c r="AS278"/>
  <c r="AS462"/>
  <c r="AS460"/>
  <c r="AS448"/>
  <c r="AS447"/>
  <c r="AS188"/>
  <c r="AS201"/>
  <c r="AS446"/>
  <c r="AS364"/>
  <c r="AS468"/>
  <c r="AS486"/>
  <c r="AS350"/>
  <c r="AS336"/>
  <c r="AS245"/>
  <c r="AS500"/>
  <c r="AS407"/>
  <c r="AS379"/>
  <c r="AS377"/>
  <c r="AS457"/>
  <c r="AS434"/>
  <c r="AS402"/>
  <c r="AS387"/>
  <c r="AS202"/>
  <c r="AS298"/>
  <c r="AS315"/>
  <c r="AS295"/>
  <c r="AS230"/>
  <c r="AS347"/>
  <c r="AS184"/>
  <c r="AS181"/>
  <c r="AS233"/>
  <c r="AS176"/>
  <c r="AS189"/>
  <c r="AS478"/>
  <c r="AS390"/>
  <c r="AS351"/>
  <c r="AS77"/>
  <c r="AS249"/>
  <c r="AS253"/>
  <c r="AS476"/>
  <c r="AS477"/>
  <c r="AS91"/>
  <c r="AS93"/>
  <c r="AS413"/>
  <c r="AS436"/>
  <c r="AS441"/>
  <c r="AS85"/>
  <c r="AS375"/>
  <c r="AS308"/>
  <c r="AS492"/>
  <c r="AS323"/>
  <c r="AS411"/>
  <c r="AS482"/>
  <c r="AS510"/>
  <c r="AS312"/>
  <c r="AS144"/>
  <c r="AS458"/>
  <c r="AS386"/>
  <c r="AS258"/>
  <c r="AS277"/>
  <c r="AS41"/>
  <c r="AS444"/>
  <c r="AS167"/>
  <c r="AS466"/>
  <c r="AS226"/>
  <c r="AS265"/>
  <c r="AS223"/>
  <c r="AS218"/>
  <c r="AS182"/>
  <c r="AS177"/>
  <c r="AS267"/>
  <c r="AS497"/>
  <c r="AS459"/>
  <c r="AS259"/>
  <c r="AS296"/>
  <c r="AS480"/>
  <c r="AS469"/>
  <c r="AW384"/>
  <c r="AT384"/>
  <c r="AU384" s="1"/>
  <c r="AS384" s="1"/>
  <c r="AW99" l="1"/>
  <c r="AT99"/>
  <c r="AW103"/>
  <c r="AT103"/>
  <c r="AU103" s="1"/>
  <c r="AS103" s="1"/>
  <c r="AW90"/>
  <c r="AT90"/>
  <c r="AU90" s="1"/>
  <c r="AS90" s="1"/>
  <c r="AW256"/>
  <c r="AT256"/>
  <c r="AU256" s="1"/>
  <c r="AS256" s="1"/>
  <c r="AW173"/>
  <c r="AT173"/>
  <c r="AU173" s="1"/>
  <c r="AS173" s="1"/>
  <c r="AW158"/>
  <c r="AT158"/>
  <c r="AU158" s="1"/>
  <c r="AS158" s="1"/>
  <c r="AW404"/>
  <c r="AT404"/>
  <c r="AU404" s="1"/>
  <c r="AS404" s="1"/>
  <c r="AW378"/>
  <c r="AT378"/>
  <c r="AU378" s="1"/>
  <c r="AS378" s="1"/>
  <c r="AW248"/>
  <c r="AT248"/>
  <c r="AU248" s="1"/>
  <c r="AS248" s="1"/>
  <c r="AW221"/>
  <c r="AT221"/>
  <c r="AU221" s="1"/>
  <c r="AS221" s="1"/>
  <c r="AW397"/>
  <c r="AT397"/>
  <c r="AU397" s="1"/>
  <c r="AS397" s="1"/>
  <c r="AW420"/>
  <c r="AT420"/>
  <c r="AU420" s="1"/>
  <c r="AS420" s="1"/>
  <c r="AW433"/>
  <c r="AT433"/>
  <c r="AU433" s="1"/>
  <c r="AS433" s="1"/>
  <c r="AW190"/>
  <c r="AT190"/>
  <c r="AU190" s="1"/>
  <c r="AS190" s="1"/>
  <c r="AW191"/>
  <c r="AT191"/>
  <c r="AU191" s="1"/>
  <c r="AS191" s="1"/>
  <c r="AW234"/>
  <c r="AT234"/>
  <c r="AU234" s="1"/>
  <c r="AS234" s="1"/>
  <c r="AW325"/>
  <c r="AT325"/>
  <c r="AU325" s="1"/>
  <c r="AS325" s="1"/>
  <c r="AW355"/>
  <c r="AT355"/>
  <c r="AU355" s="1"/>
  <c r="AS355" s="1"/>
  <c r="AW382"/>
  <c r="AT382"/>
  <c r="AU382" s="1"/>
  <c r="AS382" s="1"/>
  <c r="AW362"/>
  <c r="AT362"/>
  <c r="AU362" s="1"/>
  <c r="AS362" s="1"/>
  <c r="AW319"/>
  <c r="AT319"/>
  <c r="AU319" s="1"/>
  <c r="AS319" s="1"/>
  <c r="AW313"/>
  <c r="AT313"/>
  <c r="AU313" s="1"/>
  <c r="AS313" s="1"/>
  <c r="AW430"/>
  <c r="AT430"/>
  <c r="AU430" s="1"/>
  <c r="AS430" s="1"/>
  <c r="AW438"/>
  <c r="AT438"/>
  <c r="AU438" s="1"/>
  <c r="AS438" s="1"/>
  <c r="AW337"/>
  <c r="AT337"/>
  <c r="AU337" s="1"/>
  <c r="AS337" s="1"/>
  <c r="AW369"/>
  <c r="AT369"/>
  <c r="AU369" s="1"/>
  <c r="AS369" s="1"/>
  <c r="AW383"/>
  <c r="AT383"/>
  <c r="AU383" s="1"/>
  <c r="AS383" s="1"/>
  <c r="AW408"/>
  <c r="AT408"/>
  <c r="AU408" s="1"/>
  <c r="AS408" s="1"/>
  <c r="AW330"/>
  <c r="AT330"/>
  <c r="AU330" s="1"/>
  <c r="AS330" s="1"/>
  <c r="AW391"/>
  <c r="AT391"/>
  <c r="AU391" s="1"/>
  <c r="AS391" s="1"/>
  <c r="AW427"/>
  <c r="AT427"/>
  <c r="AU427" s="1"/>
  <c r="AS427" s="1"/>
  <c r="AW345"/>
  <c r="AT345"/>
  <c r="AU345" s="1"/>
  <c r="AS345" s="1"/>
  <c r="AW261"/>
  <c r="AT261"/>
  <c r="AU261" s="1"/>
  <c r="AS261" s="1"/>
  <c r="AW281"/>
  <c r="AT281"/>
  <c r="AU281" s="1"/>
  <c r="AS281" s="1"/>
  <c r="AW69"/>
  <c r="AT69"/>
  <c r="AU69" s="1"/>
  <c r="AS69" s="1"/>
  <c r="AW70"/>
  <c r="AT70"/>
  <c r="AU70" s="1"/>
  <c r="AS70" s="1"/>
  <c r="AW363"/>
  <c r="AT363"/>
  <c r="AU363" s="1"/>
  <c r="AS363" s="1"/>
  <c r="AW213"/>
  <c r="AT213"/>
  <c r="AU213" s="1"/>
  <c r="AS213" s="1"/>
  <c r="AW506"/>
  <c r="AT506"/>
  <c r="AU506" s="1"/>
  <c r="AS506" s="1"/>
  <c r="AW118"/>
  <c r="AT118"/>
  <c r="AU118" s="1"/>
  <c r="AS118" s="1"/>
  <c r="AU27"/>
  <c r="AS27" s="1"/>
  <c r="AW27"/>
  <c r="AT333"/>
  <c r="AU99"/>
  <c r="AS99" s="1"/>
  <c r="AU333" l="1"/>
  <c r="AS333" s="1"/>
  <c r="AW333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3" deleted="1" background="1" saveData="1">
    <webPr xl2000="1" htmlTables="1" htmlFormat="all"/>
  </connection>
  <connection id="244" name="Conexão206" type="4" refreshedVersion="3" deleted="1" background="1" saveData="1">
    <webPr xl2000="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deleted="1" background="1" saveData="1">
    <webPr xl2000="1" htmlTables="1" htmlFormat="all"/>
  </connection>
  <connection id="247" name="Conexão208" type="4" refreshedVersion="3" deleted="1" background="1" saveData="1">
    <webPr xl2000="1" htmlTables="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deleted="1" background="1" saveData="1">
    <webPr xl2000="1" htmlTables="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deleted="1" background="1" saveData="1">
    <webPr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deleted="1" background="1" saveData="1">
    <webPr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0" deleted="1" background="1" saveData="1">
    <webPr htmlTables="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0" deleted="1" background="1" saveData="1">
    <webPr htmlTables="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0" deleted="1" background="1" saveData="1">
    <webPr htmlTables="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deleted="1" background="1" saveData="1">
    <webPr xl2000="1" htmlTables="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deleted="1" background="1" saveData="1">
    <webPr xl2000="1" htmlTables="1" htmlFormat="all"/>
  </connection>
  <connection id="269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0" name="Conexão220" type="4" refreshedVersion="3" deleted="1" background="1" saveData="1">
    <webPr xl2000="1" htmlTables="1" htmlFormat="all"/>
  </connection>
  <connection id="271" name="Conexão2201" type="4" refreshedVersion="3" deleted="1" background="1" saveData="1">
    <webPr xl2000="1" htmlTables="1" htmlFormat="all"/>
  </connection>
  <connection id="272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3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2" type="4" refreshedVersion="0" deleted="1" background="1" saveData="1">
    <webPr htmlTables="1" htmlFormat="all"/>
  </connection>
  <connection id="275" name="Conexão2221" type="4" refreshedVersion="0" deleted="1" background="1" saveData="1">
    <webPr htmlTables="1" htmlFormat="all"/>
  </connection>
  <connection id="276" name="Conexão223" type="4" refreshedVersion="3" deleted="1" background="1" saveData="1">
    <webPr xl2000="1" htmlTables="1" htmlFormat="all"/>
  </connection>
  <connection id="277" name="Conexão226" type="4" refreshedVersion="3" deleted="1" background="1" saveData="1">
    <webPr xl2000="1" htmlTables="1" htmlFormat="all"/>
  </connection>
  <connection id="278" name="Conexão2261" type="4" refreshedVersion="3" deleted="1" background="1" saveData="1">
    <webPr xl2000="1" htmlTables="1" htmlFormat="all"/>
  </connection>
  <connection id="279" name="Conexão227" type="4" refreshedVersion="3" deleted="1" background="1" saveData="1">
    <webPr xl2000="1" htmlTables="1" htmlFormat="all"/>
  </connection>
  <connection id="280" name="Conexão2271" type="4" refreshedVersion="3" deleted="1" background="1" saveData="1">
    <webPr xl2000="1" htmlTables="1" htmlFormat="all"/>
  </connection>
  <connection id="281" name="Conexão228" type="4" refreshedVersion="3" deleted="1" background="1" saveData="1">
    <webPr xl2000="1" htmlTables="1" htmlFormat="all"/>
  </connection>
  <connection id="282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3" name="Conexão230" type="4" refreshedVersion="3" deleted="1" background="1" saveData="1">
    <webPr xl2000="1" htmlTables="1" htmlFormat="all"/>
  </connection>
  <connection id="284" name="Conexão231" type="4" refreshedVersion="0" deleted="1" background="1" saveData="1">
    <webPr htmlTables="1" htmlFormat="all"/>
  </connection>
  <connection id="285" name="Conexão2311" type="4" refreshedVersion="0" deleted="1" background="1" saveData="1">
    <webPr htmlTables="1" htmlFormat="all"/>
  </connection>
  <connection id="286" name="Conexão232" type="4" refreshedVersion="0" deleted="1" background="1" saveData="1">
    <webPr htmlTables="1" htmlFormat="all"/>
  </connection>
  <connection id="287" name="Conexão2321" type="4" refreshedVersion="0" deleted="1" background="1" saveData="1">
    <webPr htmlTables="1" htmlFormat="all"/>
  </connection>
  <connection id="288" name="Conexão233" type="4" refreshedVersion="3" deleted="1" background="1" saveData="1">
    <webPr xl2000="1" htmlTables="1" htmlFormat="all"/>
  </connection>
  <connection id="289" name="Conexão2331" type="4" refreshedVersion="3" deleted="1" background="1" saveData="1">
    <webPr xl2000="1" htmlTables="1" htmlFormat="all"/>
  </connection>
  <connection id="290" name="Conexão235" type="4" refreshedVersion="3" deleted="1" background="1" saveData="1">
    <webPr xl2000="1" htmlTables="1" htmlFormat="all"/>
  </connection>
  <connection id="291" name="Conexão2351" type="4" refreshedVersion="3" deleted="1" background="1" saveData="1">
    <webPr xl2000="1" htmlTables="1" htmlFormat="all"/>
  </connection>
  <connection id="292" name="Conexão238" type="4" refreshedVersion="3" deleted="1" background="1" saveData="1">
    <webPr xl2000="1" htmlTables="1" htmlFormat="all"/>
  </connection>
  <connection id="293" name="Conexão2381" type="4" refreshedVersion="3" deleted="1" background="1" saveData="1">
    <webPr xl2000="1" htmlTables="1" htmlFormat="all"/>
  </connection>
  <connection id="294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5" name="Conexão240" type="4" refreshedVersion="3" deleted="1" background="1" saveData="1">
    <webPr xl2000="1" htmlTables="1" htmlFormat="all"/>
  </connection>
  <connection id="296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7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8" name="Conexão242" type="4" refreshedVersion="0" deleted="1" background="1" saveData="1">
    <webPr htmlTables="1" htmlFormat="all"/>
  </connection>
  <connection id="299" name="Conexão2421" type="4" refreshedVersion="0" deleted="1" background="1" saveData="1">
    <webPr htmlTables="1" htmlFormat="all"/>
  </connection>
  <connection id="300" name="Conexão243" type="4" refreshedVersion="3" deleted="1" background="1" saveData="1">
    <webPr xl2000="1" htmlTables="1" htmlFormat="all"/>
  </connection>
  <connection id="301" name="Conexão2431" type="4" refreshedVersion="3" deleted="1" background="1" saveData="1">
    <webPr xl2000="1" htmlTables="1" htmlFormat="all"/>
  </connection>
  <connection id="302" name="Conexão244" type="4" refreshedVersion="3" deleted="1" background="1" saveData="1">
    <webPr xl2000="1" htmlTables="1" htmlFormat="all"/>
  </connection>
  <connection id="303" name="Conexão245" type="4" refreshedVersion="3" deleted="1" background="1" saveData="1">
    <webPr xl2000="1" htmlTables="1" htmlFormat="all"/>
  </connection>
  <connection id="304" name="Conexão246" type="4" refreshedVersion="3" deleted="1" background="1" saveData="1">
    <webPr xl2000="1" htmlTables="1" htmlFormat="all"/>
  </connection>
  <connection id="305" name="Conexão2461" type="4" refreshedVersion="3" deleted="1" background="1" saveData="1">
    <webPr xl2000="1" htmlTables="1" htmlFormat="all"/>
  </connection>
  <connection id="306" name="Conexão248" type="4" refreshedVersion="3" deleted="1" background="1" saveData="1">
    <webPr xl2000="1" htmlTables="1" htmlFormat="all"/>
  </connection>
  <connection id="307" name="Conexão249" type="4" refreshedVersion="3" deleted="1" background="1" saveData="1">
    <webPr xl2000="1" htmlTables="1" htmlFormat="all"/>
  </connection>
  <connection id="308" name="Conexão2491" type="4" refreshedVersion="3" deleted="1" background="1" saveData="1">
    <webPr xl2000="1" htmlTables="1" htmlFormat="all"/>
  </connection>
  <connection id="309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0" name="Conexão250" type="4" refreshedVersion="3" deleted="1" background="1" saveData="1">
    <webPr xl2000="1" htmlTables="1" htmlFormat="all"/>
  </connection>
  <connection id="311" name="Conexão251" type="4" refreshedVersion="0" deleted="1" background="1" saveData="1">
    <webPr htmlTables="1" htmlFormat="all"/>
  </connection>
  <connection id="312" name="Conexão2511" type="4" refreshedVersion="0" deleted="1" background="1" saveData="1">
    <webPr htmlTables="1" htmlFormat="all"/>
  </connection>
  <connection id="313" name="Conexão252" type="4" refreshedVersion="0" deleted="1" background="1" saveData="1">
    <webPr htmlTables="1" htmlFormat="all"/>
  </connection>
  <connection id="314" name="Conexão2521" type="4" refreshedVersion="0" deleted="1" background="1" saveData="1">
    <webPr htmlTables="1" htmlFormat="all"/>
  </connection>
  <connection id="315" name="Conexão253" type="4" refreshedVersion="3" deleted="1" background="1" saveData="1">
    <webPr xl2000="1" htmlTables="1" htmlFormat="all"/>
  </connection>
  <connection id="316" name="Conexão2531" type="4" refreshedVersion="3" deleted="1" background="1" saveData="1">
    <webPr xl2000="1" htmlTables="1" htmlFormat="all"/>
  </connection>
  <connection id="317" name="Conexão254" type="4" refreshedVersion="3" deleted="1" background="1" saveData="1">
    <webPr xl2000="1" htmlTables="1" htmlFormat="all"/>
  </connection>
  <connection id="318" name="Conexão255" type="4" refreshedVersion="3" deleted="1" background="1" saveData="1">
    <webPr xl2000="1" htmlTables="1" htmlFormat="all"/>
  </connection>
  <connection id="319" name="Conexão2551" type="4" refreshedVersion="3" deleted="1" background="1" saveData="1">
    <webPr xl2000="1" htmlTables="1" htmlFormat="all"/>
  </connection>
  <connection id="320" name="Conexão256" type="4" refreshedVersion="3" deleted="1" background="1" saveData="1">
    <webPr xl2000="1" htmlTables="1" htmlFormat="all"/>
  </connection>
  <connection id="321" name="Conexão257" type="4" refreshedVersion="3" deleted="1" background="1" saveData="1">
    <webPr xl2000="1" htmlTables="1" htmlFormat="all"/>
  </connection>
  <connection id="322" name="Conexão2571" type="4" refreshedVersion="3" deleted="1" background="1" saveData="1">
    <webPr xl2000="1" htmlTables="1" htmlFormat="all"/>
  </connection>
  <connection id="323" name="Conexão258" type="4" refreshedVersion="3" deleted="1" background="1" saveData="1">
    <webPr xl2000="1" htmlTables="1" htmlFormat="all"/>
  </connection>
  <connection id="324" name="Conexão259" type="4" refreshedVersion="3" deleted="1" background="1" saveData="1">
    <webPr xl2000="1" htmlTables="1" htmlFormat="all"/>
  </connection>
  <connection id="325" name="Conexão2591" type="4" refreshedVersion="3" deleted="1" background="1" saveData="1">
    <webPr xl2000="1" htmlTables="1" htmlFormat="all"/>
  </connection>
  <connection id="326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7" name="Conexão260" type="4" refreshedVersion="3" deleted="1" background="1" saveData="1">
    <webPr xl2000="1" htmlTables="1" htmlFormat="all"/>
  </connection>
  <connection id="328" name="Conexão261" type="4" refreshedVersion="0" deleted="1" background="1" saveData="1">
    <webPr htmlTables="1" htmlFormat="all"/>
  </connection>
  <connection id="329" name="Conexão2611" type="4" refreshedVersion="0" deleted="1" background="1" saveData="1">
    <webPr htmlTables="1" htmlFormat="all"/>
  </connection>
  <connection id="330" name="Conexão262" type="4" refreshedVersion="0" deleted="1" background="1" saveData="1">
    <webPr htmlTables="1" htmlFormat="all"/>
  </connection>
  <connection id="331" name="Conexão2621" type="4" refreshedVersion="0" deleted="1" background="1" saveData="1">
    <webPr htmlTables="1" htmlFormat="all"/>
  </connection>
  <connection id="332" name="Conexão264" type="4" refreshedVersion="3" deleted="1" background="1" saveData="1">
    <webPr xl2000="1" htmlTables="1" htmlFormat="all"/>
  </connection>
  <connection id="333" name="Conexão2641" type="4" refreshedVersion="3" deleted="1" background="1" saveData="1">
    <webPr xl2000="1" htmlTables="1" htmlFormat="all"/>
  </connection>
  <connection id="334" name="Conexão265" type="4" refreshedVersion="3" deleted="1" background="1" saveData="1">
    <webPr xl2000="1" htmlTables="1" htmlFormat="all"/>
  </connection>
  <connection id="335" name="Conexão266" type="4" refreshedVersion="3" deleted="1" background="1" saveData="1">
    <webPr xl2000="1" htmlTables="1" htmlFormat="all"/>
  </connection>
  <connection id="336" name="Conexão269" type="4" refreshedVersion="3" deleted="1" background="1" saveData="1">
    <webPr xl2000="1" htmlTables="1" htmlFormat="all"/>
  </connection>
  <connection id="337" name="Conexão2691" type="4" refreshedVersion="3" deleted="1" background="1" saveData="1">
    <webPr xl2000="1" htmlTables="1" htmlFormat="all"/>
  </connection>
  <connection id="338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9" name="Conexão270" type="4" refreshedVersion="3" deleted="1" background="1" saveData="1">
    <webPr xl2000="1" htmlTables="1" htmlFormat="all"/>
  </connection>
  <connection id="340" name="Conexão2701" type="4" refreshedVersion="3" deleted="1" background="1" saveData="1">
    <webPr xl2000="1" htmlTables="1" htmlFormat="all"/>
  </connection>
  <connection id="341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2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3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4" name="Conexão272" type="4" refreshedVersion="0" deleted="1" background="1" saveData="1">
    <webPr htmlTables="1" htmlFormat="all"/>
  </connection>
  <connection id="345" name="Conexão2721" type="4" refreshedVersion="0" deleted="1" background="1" saveData="1">
    <webPr htmlTables="1" htmlFormat="all"/>
  </connection>
  <connection id="346" name="Conexão274" type="4" refreshedVersion="3" deleted="1" background="1" saveData="1">
    <webPr xl2000="1" htmlTables="1" htmlFormat="all"/>
  </connection>
  <connection id="347" name="Conexão275" type="4" refreshedVersion="3" deleted="1" background="1" saveData="1">
    <webPr xl2000="1" htmlTables="1" htmlFormat="all"/>
  </connection>
  <connection id="348" name="Conexão276" type="4" refreshedVersion="3" deleted="1" background="1" saveData="1">
    <webPr xl2000="1" htmlTables="1" htmlFormat="all"/>
  </connection>
  <connection id="349" name="Conexão2761" type="4" refreshedVersion="3" deleted="1" background="1" saveData="1">
    <webPr xl2000="1" htmlTables="1" htmlFormat="all"/>
  </connection>
  <connection id="350" name="Conexão277" type="4" refreshedVersion="3" deleted="1" background="1" saveData="1">
    <webPr xl2000="1" htmlTables="1" htmlFormat="all"/>
  </connection>
  <connection id="351" name="Conexão278" type="4" refreshedVersion="3" deleted="1" background="1" saveData="1">
    <webPr xl2000="1" htmlTables="1" htmlFormat="all"/>
  </connection>
  <connection id="352" name="Conexão2781" type="4" refreshedVersion="3" deleted="1" background="1" saveData="1">
    <webPr xl2000="1" htmlTables="1" htmlFormat="all"/>
  </connection>
  <connection id="353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4" name="Conexão280" type="4" refreshedVersion="3" deleted="1" background="1" saveData="1">
    <webPr xl2000="1" htmlTables="1" htmlFormat="all"/>
  </connection>
  <connection id="355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6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7" name="Conexão282" type="4" refreshedVersion="0" deleted="1" background="1" saveData="1">
    <webPr htmlTables="1" htmlFormat="all"/>
  </connection>
  <connection id="358" name="Conexão2821" type="4" refreshedVersion="0" deleted="1" background="1" saveData="1">
    <webPr htmlTables="1" htmlFormat="all"/>
  </connection>
  <connection id="359" name="Conexão283" type="4" refreshedVersion="3" deleted="1" background="1" saveData="1">
    <webPr xl2000="1" htmlTables="1" htmlFormat="all"/>
  </connection>
  <connection id="360" name="Conexão2831" type="4" refreshedVersion="3" deleted="1" background="1" saveData="1">
    <webPr xl2000="1" htmlTables="1" htmlFormat="all"/>
  </connection>
  <connection id="361" name="Conexão284" type="4" refreshedVersion="3" deleted="1" background="1" saveData="1">
    <webPr xl2000="1" htmlTables="1" htmlFormat="all"/>
  </connection>
  <connection id="362" name="Conexão287" type="4" refreshedVersion="3" deleted="1" background="1" saveData="1">
    <webPr xl2000="1" htmlTables="1" htmlFormat="all"/>
  </connection>
  <connection id="363" name="Conexão2871" type="4" refreshedVersion="3" deleted="1" background="1" saveData="1">
    <webPr xl2000="1" htmlTables="1" htmlFormat="all"/>
  </connection>
  <connection id="364" name="Conexão288" type="4" refreshedVersion="3" deleted="1" background="1" saveData="1">
    <webPr xl2000="1" htmlTables="1" htmlFormat="all"/>
  </connection>
  <connection id="365" name="Conexão289" type="4" refreshedVersion="3" deleted="1" background="1" saveData="1">
    <webPr xl2000="1" htmlTables="1" htmlFormat="all"/>
  </connection>
  <connection id="366" name="Conexão2891" type="4" refreshedVersion="3" deleted="1" background="1" saveData="1">
    <webPr xl2000="1" htmlTables="1" htmlFormat="all"/>
  </connection>
  <connection id="367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8" name="Conexão290" type="4" refreshedVersion="3" deleted="1" background="1" saveData="1">
    <webPr xl2000="1" htmlTables="1" htmlFormat="all"/>
  </connection>
  <connection id="369" name="Conexão291" type="4" refreshedVersion="0" deleted="1" background="1" saveData="1">
    <webPr htmlTables="1" htmlFormat="all"/>
  </connection>
  <connection id="370" name="Conexão2911" type="4" refreshedVersion="0" deleted="1" background="1" saveData="1">
    <webPr htmlTables="1" htmlFormat="all"/>
  </connection>
  <connection id="371" name="Conexão292" type="4" refreshedVersion="0" deleted="1" background="1" saveData="1">
    <webPr htmlTables="1" htmlFormat="all"/>
  </connection>
  <connection id="372" name="Conexão2921" type="4" refreshedVersion="0" deleted="1" background="1" saveData="1">
    <webPr htmlTables="1" htmlFormat="all"/>
  </connection>
  <connection id="373" name="Conexão293" type="4" refreshedVersion="3" deleted="1" background="1" saveData="1">
    <webPr xl2000="1" htmlTables="1" htmlFormat="all"/>
  </connection>
  <connection id="374" name="Conexão2931" type="4" refreshedVersion="3" deleted="1" background="1" saveData="1">
    <webPr xl2000="1" htmlTables="1" htmlFormat="all"/>
  </connection>
  <connection id="375" name="Conexão294" type="4" refreshedVersion="3" deleted="1" background="1" saveData="1">
    <webPr xl2000="1" htmlTables="1" htmlFormat="all"/>
  </connection>
  <connection id="376" name="Conexão295" type="4" refreshedVersion="3" deleted="1" background="1" saveData="1">
    <webPr xl2000="1" htmlTables="1" htmlFormat="all"/>
  </connection>
  <connection id="377" name="Conexão2951" type="4" refreshedVersion="3" deleted="1" background="1" saveData="1">
    <webPr xl2000="1" htmlTables="1" htmlFormat="all"/>
  </connection>
  <connection id="378" name="Conexão296" type="4" refreshedVersion="3" deleted="1" background="1" saveData="1">
    <webPr xl2000="1" htmlTables="1" htmlFormat="all"/>
  </connection>
  <connection id="379" name="Conexão297" type="4" refreshedVersion="3" deleted="1" background="1" saveData="1">
    <webPr xl2000="1" htmlTables="1" htmlFormat="all"/>
  </connection>
  <connection id="380" name="Conexão2971" type="4" refreshedVersion="3" deleted="1" background="1" saveData="1">
    <webPr xl2000="1" htmlTables="1" htmlFormat="all"/>
  </connection>
  <connection id="381" name="Conexão298" type="4" refreshedVersion="3" deleted="1" background="1" saveData="1">
    <webPr xl2000="1" htmlTables="1" htmlFormat="all"/>
  </connection>
  <connection id="382" name="Conexão2981" type="4" refreshedVersion="3" deleted="1" background="1" saveData="1">
    <webPr xl2000="1" htmlTables="1" htmlFormat="all"/>
  </connection>
  <connection id="383" name="Conexão3" type="4" refreshedVersion="3" background="1" saveData="1">
    <webPr xl2000="1" url="http://download.finance.yahoo.com/d/quotes.csv?s=PITI3.SA+BPAC3.SA+BPAC5.SA&amp;f=nol1hgd1" htmlFormat="all"/>
  </connection>
  <connection id="384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5" name="Conexão300" type="4" refreshedVersion="3" deleted="1" background="1" saveData="1">
    <webPr xl2000="1" htmlTables="1" htmlFormat="all"/>
  </connection>
  <connection id="386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7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8" name="Conexão302" type="4" refreshedVersion="0" deleted="1" background="1" saveData="1">
    <webPr htmlTables="1" htmlFormat="all"/>
  </connection>
  <connection id="389" name="Conexão3021" type="4" refreshedVersion="0" deleted="1" background="1" saveData="1">
    <webPr htmlTables="1" htmlFormat="all"/>
  </connection>
  <connection id="390" name="Conexão303" type="4" refreshedVersion="3" deleted="1" background="1" saveData="1">
    <webPr xl2000="1" htmlTables="1" htmlFormat="all"/>
  </connection>
  <connection id="391" name="Conexão3031" type="4" refreshedVersion="3" deleted="1" background="1" saveData="1">
    <webPr xl2000="1" htmlTables="1" htmlFormat="all"/>
  </connection>
  <connection id="392" name="Conexão305" type="4" refreshedVersion="3" deleted="1" background="1" saveData="1">
    <webPr xl2000="1" htmlTables="1" htmlFormat="all"/>
  </connection>
  <connection id="393" name="Conexão306" type="4" refreshedVersion="3" deleted="1" background="1" saveData="1">
    <webPr xl2000="1" htmlTables="1" htmlFormat="all"/>
  </connection>
  <connection id="394" name="Conexão3061" type="4" refreshedVersion="3" deleted="1" background="1" saveData="1">
    <webPr xl2000="1" htmlTables="1" htmlFormat="all"/>
  </connection>
  <connection id="395" name="Conexão307" type="4" refreshedVersion="3" deleted="1" background="1" saveData="1">
    <webPr xl2000="1" htmlTables="1" htmlFormat="all"/>
  </connection>
  <connection id="39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7" name="Conexão310" type="4" refreshedVersion="3" background="1" saveData="1">
    <webPr xl2000="1" url="http://download.finance.yahoo.com/d/quotes.csv?s=PITI3.SA+BPAC3.SA+BPAC5.SA&amp;f=nol1hgd1" htmlFormat="all"/>
  </connection>
  <connection id="398" name="Conexão3101" type="4" refreshedVersion="3" background="1" saveData="1">
    <webPr xl2000="1" url="http://download.finance.yahoo.com/d/quotes.csv?s=PITI3.SA+BPAC3.SA+BPAC5.SA&amp;f=nol1hgd1" htmlFormat="all"/>
  </connection>
  <connection id="399" name="Conexão31011" type="4" refreshedVersion="3" background="1" saveData="1">
    <webPr xl2000="1" url="http://download.finance.yahoo.com/d/quotes.csv?s=PITI3.SA+BPAC3.SA+BPAC5.SA&amp;f=nol1hgd1" htmlFormat="all"/>
  </connection>
  <connection id="40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02" name="Conexão312" type="4" refreshedVersion="0" deleted="1" background="1" saveData="1">
    <webPr htmlTables="1" htmlFormat="all"/>
  </connection>
  <connection id="403" name="Conexão3121" type="4" refreshedVersion="0" deleted="1" background="1" saveData="1">
    <webPr htmlTables="1" htmlFormat="all"/>
  </connection>
  <connection id="404" name="Conexão313" type="4" refreshedVersion="0" deleted="1" background="1" saveData="1">
    <webPr htmlTables="1" htmlFormat="all"/>
  </connection>
  <connection id="405" name="Conexão3131" type="4" refreshedVersion="0" deleted="1" background="1" saveData="1">
    <webPr htmlTables="1" htmlFormat="all"/>
  </connection>
  <connection id="406" name="Conexão314" type="4" refreshedVersion="0" deleted="1" background="1" saveData="1">
    <webPr htmlTables="1" htmlFormat="all"/>
  </connection>
  <connection id="407" name="Conexão3141" type="4" refreshedVersion="0" deleted="1" background="1" saveData="1">
    <webPr htmlTables="1" htmlFormat="all"/>
  </connection>
  <connection id="408" name="Conexão315" type="4" refreshedVersion="0" deleted="1" background="1" saveData="1">
    <webPr htmlTables="1" htmlFormat="all"/>
  </connection>
  <connection id="409" name="Conexão3151" type="4" refreshedVersion="0" deleted="1" background="1" saveData="1">
    <webPr htmlTables="1" htmlFormat="all"/>
  </connection>
  <connection id="410" name="Conexão318" type="4" refreshedVersion="3" deleted="1" background="1" saveData="1">
    <webPr xl2000="1" htmlTables="1" htmlFormat="all"/>
  </connection>
  <connection id="411" name="Conexão3181" type="4" refreshedVersion="3" deleted="1" background="1" saveData="1">
    <webPr xl2000="1" htmlTables="1" htmlFormat="all"/>
  </connection>
  <connection id="412" name="Conexão319" type="4" refreshedVersion="3" deleted="1" background="1" saveData="1">
    <webPr xl2000="1" htmlTables="1" htmlFormat="all"/>
  </connection>
  <connection id="413" name="Conexão3191" type="4" refreshedVersion="3" deleted="1" background="1" saveData="1">
    <webPr xl2000="1" htmlTables="1" htmlFormat="all"/>
  </connection>
  <connection id="41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5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6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7" name="Conexão322" type="4" refreshedVersion="0" deleted="1" background="1" saveData="1">
    <webPr htmlTables="1" htmlFormat="all"/>
  </connection>
  <connection id="418" name="Conexão3221" type="4" refreshedVersion="0" deleted="1" background="1" saveData="1">
    <webPr htmlTables="1" htmlFormat="all"/>
  </connection>
  <connection id="419" name="Conexão323" type="4" refreshedVersion="3" deleted="1" background="1" saveData="1">
    <webPr xl2000="1" htmlTables="1" htmlFormat="all"/>
  </connection>
  <connection id="420" name="Conexão325" type="4" refreshedVersion="3" deleted="1" background="1" saveData="1">
    <webPr xl2000="1" htmlTables="1" htmlFormat="all"/>
  </connection>
  <connection id="421" name="Conexão3251" type="4" refreshedVersion="3" deleted="1" background="1" saveData="1">
    <webPr xl2000="1" htmlTables="1" htmlFormat="all"/>
  </connection>
  <connection id="422" name="Conexão326" type="4" refreshedVersion="3" deleted="1" background="1" saveData="1">
    <webPr xl2000="1" htmlTables="1" htmlFormat="all"/>
  </connection>
  <connection id="423" name="Conexão327" type="4" refreshedVersion="3" deleted="1" background="1" saveData="1">
    <webPr xl2000="1" htmlTables="1" htmlFormat="all"/>
  </connection>
  <connection id="424" name="Conexão3271" type="4" refreshedVersion="3" deleted="1" background="1" saveData="1">
    <webPr xl2000="1" htmlTables="1" htmlFormat="all"/>
  </connection>
  <connection id="425" name="Conexão329" type="4" refreshedVersion="3" deleted="1" background="1" saveData="1">
    <webPr xl2000="1" htmlTables="1" htmlFormat="all"/>
  </connection>
  <connection id="42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7" name="Conexão330" type="4" refreshedVersion="3" deleted="1" background="1" saveData="1">
    <webPr xl2000="1" htmlTables="1" htmlFormat="all"/>
  </connection>
  <connection id="428" name="Conexão3301" type="4" refreshedVersion="3" deleted="1" background="1" saveData="1">
    <webPr xl2000="1" htmlTables="1" htmlFormat="all"/>
  </connection>
  <connection id="429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0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31" name="Conexão332" type="4" refreshedVersion="0" deleted="1" background="1" saveData="1">
    <webPr htmlTables="1" htmlFormat="all"/>
  </connection>
  <connection id="432" name="Conexão3321" type="4" refreshedVersion="0" deleted="1" background="1" saveData="1">
    <webPr htmlTables="1" htmlFormat="all"/>
  </connection>
  <connection id="433" name="Conexão333" type="4" refreshedVersion="3" deleted="1" background="1" saveData="1">
    <webPr xl2000="1" htmlTables="1" htmlFormat="all"/>
  </connection>
  <connection id="434" name="Conexão334" type="4" refreshedVersion="3" deleted="1" background="1" saveData="1">
    <webPr xl2000="1" htmlTables="1" htmlFormat="all"/>
  </connection>
  <connection id="435" name="Conexão3341" type="4" refreshedVersion="3" deleted="1" background="1" saveData="1">
    <webPr xl2000="1" htmlTables="1" htmlFormat="all"/>
  </connection>
  <connection id="436" name="Conexão335" type="4" refreshedVersion="3" deleted="1" background="1" saveData="1">
    <webPr xl2000="1" htmlTables="1" htmlFormat="all"/>
  </connection>
  <connection id="437" name="Conexão3351" type="4" refreshedVersion="3" deleted="1" background="1" saveData="1">
    <webPr xl2000="1" htmlTables="1" htmlFormat="all"/>
  </connection>
  <connection id="438" name="Conexão336" type="4" refreshedVersion="3" deleted="1" background="1" saveData="1">
    <webPr xl2000="1" htmlTables="1" htmlFormat="all"/>
  </connection>
  <connection id="439" name="Conexão337" type="4" refreshedVersion="3" deleted="1" background="1" saveData="1">
    <webPr xl2000="1" htmlTables="1" htmlFormat="all"/>
  </connection>
  <connection id="440" name="Conexão3371" type="4" refreshedVersion="3" deleted="1" background="1" saveData="1">
    <webPr xl2000="1" htmlTables="1" htmlFormat="all"/>
  </connection>
  <connection id="441" name="Conexão338" type="4" refreshedVersion="3" deleted="1" background="1" saveData="1">
    <webPr xl2000="1" htmlTables="1" htmlFormat="all"/>
  </connection>
  <connection id="442" name="Conexão3381" type="4" refreshedVersion="3" deleted="1" background="1" saveData="1">
    <webPr xl2000="1" htmlTables="1" htmlFormat="all"/>
  </connection>
  <connection id="443" name="Conexão339" type="4" refreshedVersion="3" deleted="1" background="1" saveData="1">
    <webPr xl2000="1" htmlTables="1" htmlFormat="all"/>
  </connection>
  <connection id="444" name="Conexão3391" type="4" refreshedVersion="3" deleted="1" background="1" saveData="1">
    <webPr xl2000="1" htmlTables="1" htmlFormat="all"/>
  </connection>
  <connection id="44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6" name="Conexão340" type="4" refreshedVersion="3" deleted="1" background="1" saveData="1">
    <webPr xl2000="1" htmlTables="1" htmlFormat="all"/>
  </connection>
  <connection id="447" name="Conexão3401" type="4" refreshedVersion="3" deleted="1" background="1" saveData="1">
    <webPr xl2000="1" htmlTables="1" htmlFormat="all"/>
  </connection>
  <connection id="448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9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0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51" name="Conexão342" type="4" refreshedVersion="0" deleted="1" background="1" saveData="1">
    <webPr htmlTables="1" htmlFormat="all"/>
  </connection>
  <connection id="452" name="Conexão3421" type="4" refreshedVersion="0" deleted="1" background="1" saveData="1">
    <webPr htmlTables="1" htmlFormat="all"/>
  </connection>
  <connection id="453" name="Conexão343" type="4" refreshedVersion="3" deleted="1" background="1" saveData="1">
    <webPr xl2000="1" htmlTables="1" htmlFormat="all"/>
  </connection>
  <connection id="454" name="Conexão3431" type="4" refreshedVersion="3" deleted="1" background="1" saveData="1">
    <webPr xl2000="1" htmlTables="1" htmlFormat="all"/>
  </connection>
  <connection id="455" name="Conexão344" type="4" refreshedVersion="3" deleted="1" background="1" saveData="1">
    <webPr xl2000="1" htmlTables="1" htmlFormat="all"/>
  </connection>
  <connection id="456" name="Conexão3441" type="4" refreshedVersion="3" deleted="1" background="1" saveData="1">
    <webPr xl2000="1" htmlTables="1" htmlFormat="all"/>
  </connection>
  <connection id="457" name="Conexão346" type="4" refreshedVersion="3" deleted="1" background="1" saveData="1">
    <webPr xl2000="1" htmlTables="1" htmlFormat="all"/>
  </connection>
  <connection id="458" name="Conexão3461" type="4" refreshedVersion="3" deleted="1" background="1" saveData="1">
    <webPr xl2000="1" htmlTables="1" htmlFormat="all"/>
  </connection>
  <connection id="459" name="Conexão348" type="4" refreshedVersion="3" deleted="1" background="1" saveData="1">
    <webPr xl2000="1" htmlTables="1" htmlFormat="all"/>
  </connection>
  <connection id="460" name="Conexão3481" type="4" refreshedVersion="3" deleted="1" background="1" saveData="1">
    <webPr xl2000="1" htmlTables="1" htmlFormat="all"/>
  </connection>
  <connection id="461" name="Conexão349" type="4" refreshedVersion="3" deleted="1" background="1" saveData="1">
    <webPr xl2000="1" htmlTables="1" htmlFormat="all"/>
  </connection>
  <connection id="462" name="Conexão3491" type="4" refreshedVersion="3" deleted="1" background="1" saveData="1">
    <webPr xl2000="1" htmlTables="1" htmlFormat="all"/>
  </connection>
  <connection id="463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64" name="Conexão351" type="4" refreshedVersion="0" deleted="1" background="1" saveData="1">
    <webPr htmlTables="1" htmlFormat="all"/>
  </connection>
  <connection id="465" name="Conexão3511" type="4" refreshedVersion="0" deleted="1" background="1" saveData="1">
    <webPr htmlTables="1" htmlFormat="all"/>
  </connection>
  <connection id="466" name="Conexão352" type="4" refreshedVersion="0" deleted="1" background="1" saveData="1">
    <webPr htmlTables="1" htmlFormat="all"/>
  </connection>
  <connection id="467" name="Conexão3521" type="4" refreshedVersion="0" deleted="1" background="1" saveData="1">
    <webPr htmlTables="1" htmlFormat="all"/>
  </connection>
  <connection id="468" name="Conexão353" type="4" refreshedVersion="3" deleted="1" background="1" saveData="1">
    <webPr xl2000="1" htmlTables="1" htmlFormat="all"/>
  </connection>
  <connection id="469" name="Conexão3531" type="4" refreshedVersion="3" deleted="1" background="1" saveData="1">
    <webPr xl2000="1" htmlTables="1" htmlFormat="all"/>
  </connection>
  <connection id="470" name="Conexão354" type="4" refreshedVersion="3" deleted="1" background="1" saveData="1">
    <webPr xl2000="1" htmlTables="1" htmlFormat="all"/>
  </connection>
  <connection id="471" name="Conexão3541" type="4" refreshedVersion="3" deleted="1" background="1" saveData="1">
    <webPr xl2000="1" htmlTables="1" htmlFormat="all"/>
  </connection>
  <connection id="472" name="Conexão355" type="4" refreshedVersion="3" deleted="1" background="1" saveData="1">
    <webPr xl2000="1" htmlTables="1" htmlFormat="all"/>
  </connection>
  <connection id="473" name="Conexão3551" type="4" refreshedVersion="3" deleted="1" background="1" saveData="1">
    <webPr xl2000="1" htmlTables="1" htmlFormat="all"/>
  </connection>
  <connection id="474" name="Conexão357" type="4" refreshedVersion="3" deleted="1" background="1" saveData="1">
    <webPr xl2000="1" htmlTables="1" htmlFormat="all"/>
  </connection>
  <connection id="475" name="Conexão3571" type="4" refreshedVersion="3" deleted="1" background="1" saveData="1">
    <webPr xl2000="1" htmlTables="1" htmlFormat="all"/>
  </connection>
  <connection id="476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7" name="Conexão361" type="4" refreshedVersion="0" deleted="1" background="1" saveData="1">
    <webPr htmlTables="1" htmlFormat="all"/>
  </connection>
  <connection id="478" name="Conexão3611" type="4" refreshedVersion="0" deleted="1" background="1" saveData="1">
    <webPr htmlTables="1" htmlFormat="all"/>
  </connection>
  <connection id="479" name="Conexão362" type="4" refreshedVersion="0" deleted="1" background="1" saveData="1">
    <webPr htmlTables="1" htmlFormat="all"/>
  </connection>
  <connection id="480" name="Conexão3621" type="4" refreshedVersion="0" deleted="1" background="1" saveData="1">
    <webPr htmlTables="1" htmlFormat="all"/>
  </connection>
  <connection id="481" name="Conexão363" type="4" refreshedVersion="3" deleted="1" background="1" saveData="1">
    <webPr xl2000="1" htmlTables="1" htmlFormat="all"/>
  </connection>
  <connection id="482" name="Conexão3631" type="4" refreshedVersion="3" deleted="1" background="1" saveData="1">
    <webPr xl2000="1" htmlTables="1" htmlFormat="all"/>
  </connection>
  <connection id="483" name="Conexão365" type="4" refreshedVersion="3" deleted="1" background="1" saveData="1">
    <webPr xl2000="1" htmlTables="1" htmlFormat="all"/>
  </connection>
  <connection id="484" name="Conexão3651" type="4" refreshedVersion="3" deleted="1" background="1" saveData="1">
    <webPr xl2000="1" htmlTables="1" htmlFormat="all"/>
  </connection>
  <connection id="485" name="Conexão366" type="4" refreshedVersion="3" deleted="1" background="1" saveData="1">
    <webPr xl2000="1" htmlTables="1" htmlFormat="all"/>
  </connection>
  <connection id="486" name="Conexão3661" type="4" refreshedVersion="3" deleted="1" background="1" saveData="1">
    <webPr xl2000="1" htmlTables="1" htmlFormat="all"/>
  </connection>
  <connection id="487" name="Conexão368" type="4" refreshedVersion="3" deleted="1" background="1" saveData="1">
    <webPr xl2000="1" htmlTables="1" htmlFormat="all"/>
  </connection>
  <connection id="488" name="Conexão369" type="4" refreshedVersion="3" deleted="1" background="1" saveData="1">
    <webPr xl2000="1" htmlTables="1" htmlFormat="all"/>
  </connection>
  <connection id="489" name="Conexão3691" type="4" refreshedVersion="3" deleted="1" background="1" saveData="1">
    <webPr xl2000="1" htmlTables="1" htmlFormat="all"/>
  </connection>
  <connection id="490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70" type="4" refreshedVersion="3" deleted="1" background="1" saveData="1">
    <webPr xl2000="1" htmlTables="1" htmlFormat="all"/>
  </connection>
  <connection id="492" name="Conexão3701" type="4" refreshedVersion="3" deleted="1" background="1" saveData="1">
    <webPr xl2000="1" htmlTables="1" htmlFormat="all"/>
  </connection>
  <connection id="493" name="Conexão371" type="4" refreshedVersion="0" deleted="1" background="1" saveData="1">
    <webPr htmlTables="1" htmlFormat="all"/>
  </connection>
  <connection id="494" name="Conexão3711" type="4" refreshedVersion="0" deleted="1" background="1" saveData="1">
    <webPr htmlTables="1" htmlFormat="all"/>
  </connection>
  <connection id="495" name="Conexão372" type="4" refreshedVersion="0" deleted="1" background="1" saveData="1">
    <webPr htmlTables="1" htmlFormat="all"/>
  </connection>
  <connection id="496" name="Conexão3721" type="4" refreshedVersion="0" deleted="1" background="1" saveData="1">
    <webPr htmlTables="1" htmlFormat="all"/>
  </connection>
  <connection id="497" name="Conexão375" type="4" refreshedVersion="3" deleted="1" background="1" saveData="1">
    <webPr xl2000="1" htmlTables="1" htmlFormat="all"/>
  </connection>
  <connection id="498" name="Conexão3751" type="4" refreshedVersion="3" deleted="1" background="1" saveData="1">
    <webPr xl2000="1" htmlTables="1" htmlFormat="all"/>
  </connection>
  <connection id="499" name="Conexão376" type="4" refreshedVersion="3" deleted="1" background="1" saveData="1">
    <webPr xl2000="1" htmlTables="1" htmlFormat="all"/>
  </connection>
  <connection id="500" name="Conexão3761" type="4" refreshedVersion="3" deleted="1" background="1" saveData="1">
    <webPr xl2000="1" htmlTables="1" htmlFormat="all"/>
  </connection>
  <connection id="501" name="Conexão377" type="4" refreshedVersion="3" deleted="1" background="1" saveData="1">
    <webPr xl2000="1" htmlTables="1" htmlFormat="all"/>
  </connection>
  <connection id="502" name="Conexão3771" type="4" refreshedVersion="3" deleted="1" background="1" saveData="1">
    <webPr xl2000="1" htmlTables="1" htmlFormat="all"/>
  </connection>
  <connection id="503" name="Conexão378" type="4" refreshedVersion="3" deleted="1" background="1" saveData="1">
    <webPr xl2000="1" htmlTables="1" htmlFormat="all"/>
  </connection>
  <connection id="504" name="Conexão3781" type="4" refreshedVersion="3" deleted="1" background="1" saveData="1">
    <webPr xl2000="1" htmlTables="1" htmlFormat="all"/>
  </connection>
  <connection id="505" name="Conexão379" type="4" refreshedVersion="3" deleted="1" background="1" saveData="1">
    <webPr xl2000="1" htmlTables="1" htmlFormat="all"/>
  </connection>
  <connection id="506" name="Conexão3791" type="4" refreshedVersion="3" deleted="1" background="1" saveData="1">
    <webPr xl2000="1" htmlTables="1" htmlFormat="all"/>
  </connection>
  <connection id="507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80" type="4" refreshedVersion="3" deleted="1" background="1" saveData="1">
    <webPr xl2000="1" htmlTables="1" htmlFormat="all"/>
  </connection>
  <connection id="509" name="Conexão3801" type="4" refreshedVersion="3" deleted="1" background="1" saveData="1">
    <webPr xl2000="1" htmlTables="1" htmlFormat="all"/>
  </connection>
  <connection id="510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1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2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13" name="Conexão382" type="4" refreshedVersion="0" deleted="1" background="1" saveData="1">
    <webPr htmlTables="1" htmlFormat="all"/>
  </connection>
  <connection id="514" name="Conexão3821" type="4" refreshedVersion="0" deleted="1" background="1" saveData="1">
    <webPr htmlTables="1" htmlFormat="all"/>
  </connection>
  <connection id="515" name="Conexão383" type="4" refreshedVersion="3" deleted="1" background="1" saveData="1">
    <webPr xl2000="1" htmlTables="1" htmlFormat="all"/>
  </connection>
  <connection id="516" name="Conexão3831" type="4" refreshedVersion="3" deleted="1" background="1" saveData="1">
    <webPr xl2000="1" htmlTables="1" htmlFormat="all"/>
  </connection>
  <connection id="517" name="Conexão384" type="4" refreshedVersion="3" deleted="1" background="1" saveData="1">
    <webPr xl2000="1" htmlTables="1" htmlFormat="all"/>
  </connection>
  <connection id="518" name="Conexão3841" type="4" refreshedVersion="3" deleted="1" background="1" saveData="1">
    <webPr xl2000="1" htmlTables="1" htmlFormat="all"/>
  </connection>
  <connection id="519" name="Conexão385" type="4" refreshedVersion="3" deleted="1" background="1" saveData="1">
    <webPr xl2000="1" htmlTables="1" htmlFormat="all"/>
  </connection>
  <connection id="520" name="Conexão3851" type="4" refreshedVersion="3" deleted="1" background="1" saveData="1">
    <webPr xl2000="1" htmlTables="1" htmlFormat="all"/>
  </connection>
  <connection id="521" name="Conexão387" type="4" refreshedVersion="3" deleted="1" background="1" saveData="1">
    <webPr xl2000="1" htmlTables="1" htmlFormat="all"/>
  </connection>
  <connection id="522" name="Conexão3871" type="4" refreshedVersion="3" deleted="1" background="1" saveData="1">
    <webPr xl2000="1" htmlTables="1" htmlFormat="all"/>
  </connection>
  <connection id="523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4" name="Conexão390" type="4" refreshedVersion="3" deleted="1" background="1" saveData="1">
    <webPr xl2000="1" htmlTables="1" htmlFormat="all"/>
  </connection>
  <connection id="525" name="Conexão3901" type="4" refreshedVersion="3" deleted="1" background="1" saveData="1">
    <webPr xl2000="1" htmlTables="1" htmlFormat="all"/>
  </connection>
  <connection id="526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7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8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9" name="Conexão392" type="4" refreshedVersion="0" deleted="1" background="1" saveData="1">
    <webPr htmlTables="1" htmlFormat="all"/>
  </connection>
  <connection id="530" name="Conexão3921" type="4" refreshedVersion="0" deleted="1" background="1" saveData="1">
    <webPr htmlTables="1" htmlFormat="all"/>
  </connection>
  <connection id="531" name="Conexão393" type="4" refreshedVersion="3" deleted="1" background="1" saveData="1">
    <webPr xl2000="1" htmlTables="1" htmlFormat="all"/>
  </connection>
  <connection id="532" name="Conexão3931" type="4" refreshedVersion="3" deleted="1" background="1" saveData="1">
    <webPr xl2000="1" htmlTables="1" htmlFormat="all"/>
  </connection>
  <connection id="533" name="Conexão394" type="4" refreshedVersion="3" deleted="1" background="1" saveData="1">
    <webPr xl2000="1" htmlTables="1" htmlFormat="all"/>
  </connection>
  <connection id="534" name="Conexão3941" type="4" refreshedVersion="3" deleted="1" background="1" saveData="1">
    <webPr xl2000="1" htmlTables="1" htmlFormat="all"/>
  </connection>
  <connection id="535" name="Conexão395" type="4" refreshedVersion="3" deleted="1" background="1" saveData="1">
    <webPr xl2000="1" htmlTables="1" htmlFormat="all"/>
  </connection>
  <connection id="536" name="Conexão3951" type="4" refreshedVersion="3" deleted="1" background="1" saveData="1">
    <webPr xl2000="1" htmlTables="1" htmlFormat="all"/>
  </connection>
  <connection id="537" name="Conexão398" type="4" refreshedVersion="3" deleted="1" background="1" saveData="1">
    <webPr xl2000="1" htmlTables="1" htmlFormat="all"/>
  </connection>
  <connection id="538" name="Conexão3981" type="4" refreshedVersion="3" deleted="1" background="1" saveData="1">
    <webPr xl2000="1" htmlTables="1" htmlFormat="all"/>
  </connection>
  <connection id="539" name="Conexão399" type="4" refreshedVersion="3" deleted="1" background="1" saveData="1">
    <webPr xl2000="1" htmlTables="1" htmlFormat="all"/>
  </connection>
  <connection id="540" name="Conexão3991" type="4" refreshedVersion="3" deleted="1" background="1" saveData="1">
    <webPr xl2000="1" htmlTables="1" htmlFormat="all"/>
  </connection>
  <connection id="541" name="Conexão4" type="4" refreshedVersion="3" background="1" saveData="1">
    <webPr xl2000="1" url="http://download.finance.yahoo.com/d/quotes.csv?s=PITI3.SA+BPAC3.SA+BPAC5.SA&amp;f=nol1hgd1" htmlFormat="all"/>
  </connection>
  <connection id="542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3" name="Conexão400" type="4" refreshedVersion="3" deleted="1" background="1" saveData="1">
    <webPr xl2000="1" htmlTables="1" htmlFormat="all"/>
  </connection>
  <connection id="544" name="Conexão4001" type="4" refreshedVersion="3" deleted="1" background="1" saveData="1">
    <webPr xl2000="1" htmlTables="1" htmlFormat="all"/>
  </connection>
  <connection id="545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6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7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8" name="Conexão402" type="4" refreshedVersion="0" deleted="1" background="1" saveData="1">
    <webPr htmlTables="1" htmlFormat="all"/>
  </connection>
  <connection id="549" name="Conexão4021" type="4" refreshedVersion="0" deleted="1" background="1" saveData="1">
    <webPr htmlTables="1" htmlFormat="all"/>
  </connection>
  <connection id="550" name="Conexão403" type="4" refreshedVersion="3" deleted="1" background="1" saveData="1">
    <webPr xl2000="1" htmlTables="1" htmlFormat="all"/>
  </connection>
  <connection id="551" name="Conexão4031" type="4" refreshedVersion="3" deleted="1" background="1" saveData="1">
    <webPr xl2000="1" htmlTables="1" htmlFormat="all"/>
  </connection>
  <connection id="552" name="Conexão407" type="4" refreshedVersion="3" deleted="1" background="1" saveData="1">
    <webPr xl2000="1" htmlTables="1" htmlFormat="all"/>
  </connection>
  <connection id="553" name="Conexão4071" type="4" refreshedVersion="3" deleted="1" background="1" saveData="1">
    <webPr xl2000="1" htmlTables="1" htmlFormat="all"/>
  </connection>
  <connection id="554" name="Conexão408" type="4" refreshedVersion="3" deleted="1" background="1" saveData="1">
    <webPr xl2000="1" htmlTables="1" htmlFormat="all"/>
  </connection>
  <connection id="555" name="Conexão4081" type="4" refreshedVersion="3" deleted="1" background="1" saveData="1">
    <webPr xl2000="1" htmlTables="1" htmlFormat="all"/>
  </connection>
  <connection id="556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7" name="Conexão410" type="4" refreshedVersion="3" background="1" saveData="1">
    <webPr xl2000="1" url="http://download.finance.yahoo.com/d/quotes.csv?s=PITI3.SA+BPAC3.SA+BPAC5.SA&amp;f=nol1hgd1" htmlFormat="all"/>
  </connection>
  <connection id="558" name="Conexão4101" type="4" refreshedVersion="3" background="1" saveData="1">
    <webPr xl2000="1" url="http://download.finance.yahoo.com/d/quotes.csv?s=PITI3.SA+BPAC3.SA+BPAC5.SA&amp;f=nol1hgd1" htmlFormat="all"/>
  </connection>
  <connection id="559" name="Conexão41011" type="4" refreshedVersion="3" background="1" saveData="1">
    <webPr xl2000="1" url="http://download.finance.yahoo.com/d/quotes.csv?s=PITI3.SA+BPAC3.SA+BPAC5.SA&amp;f=nol1hgd1" htmlFormat="all"/>
  </connection>
  <connection id="560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1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62" name="Conexão412" type="4" refreshedVersion="0" deleted="1" background="1" saveData="1">
    <webPr htmlTables="1" htmlFormat="all"/>
  </connection>
  <connection id="563" name="Conexão4121" type="4" refreshedVersion="0" deleted="1" background="1" saveData="1">
    <webPr htmlTables="1" htmlFormat="all"/>
  </connection>
  <connection id="564" name="Conexão413" type="4" refreshedVersion="3" deleted="1" background="1" saveData="1">
    <webPr xl2000="1" htmlTables="1" htmlFormat="all"/>
  </connection>
  <connection id="565" name="Conexão4131" type="4" refreshedVersion="3" deleted="1" background="1" saveData="1">
    <webPr xl2000="1" htmlTables="1" htmlFormat="all"/>
  </connection>
  <connection id="566" name="Conexão414" type="4" refreshedVersion="3" deleted="1" background="1" saveData="1">
    <webPr xl2000="1" htmlTables="1" htmlFormat="all"/>
  </connection>
  <connection id="567" name="Conexão4141" type="4" refreshedVersion="3" deleted="1" background="1" saveData="1">
    <webPr xl2000="1" htmlTables="1" htmlFormat="all"/>
  </connection>
  <connection id="568" name="Conexão417" type="4" refreshedVersion="3" deleted="1" background="1" saveData="1">
    <webPr xl2000="1" htmlTables="1" htmlFormat="all"/>
  </connection>
  <connection id="569" name="Conexão4171" type="4" refreshedVersion="3" deleted="1" background="1" saveData="1">
    <webPr xl2000="1" htmlTables="1" htmlFormat="all"/>
  </connection>
  <connection id="570" name="Conexão419" type="4" refreshedVersion="3" deleted="1" background="1" saveData="1">
    <webPr xl2000="1" htmlTables="1" htmlFormat="all"/>
  </connection>
  <connection id="571" name="Conexão4191" type="4" refreshedVersion="3" deleted="1" background="1" saveData="1">
    <webPr xl2000="1" htmlTables="1" htmlFormat="all"/>
  </connection>
  <connection id="572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73" name="Conexão421" type="4" refreshedVersion="3" deleted="1" background="1" saveData="1">
    <webPr xl2000="1" htmlTables="1" htmlFormat="all"/>
  </connection>
  <connection id="574" name="Conexão4211" type="4" refreshedVersion="3" deleted="1" background="1" saveData="1">
    <webPr xl2000="1" htmlTables="1" htmlFormat="all"/>
  </connection>
  <connection id="575" name="Conexão422" type="4" refreshedVersion="3" deleted="1" background="1" saveData="1">
    <webPr xl2000="1" htmlTables="1" htmlFormat="all"/>
  </connection>
  <connection id="576" name="Conexão4221" type="4" refreshedVersion="3" deleted="1" background="1" saveData="1">
    <webPr xl2000="1" htmlTables="1" htmlFormat="all"/>
  </connection>
  <connection id="577" name="Conexão423" type="4" refreshedVersion="3" deleted="1" background="1" saveData="1">
    <webPr xl2000="1" htmlTables="1" htmlFormat="all"/>
  </connection>
  <connection id="578" name="Conexão4231" type="4" refreshedVersion="3" deleted="1" background="1" saveData="1">
    <webPr xl2000="1" htmlTables="1" htmlFormat="all"/>
  </connection>
  <connection id="579" name="Conexão424" type="4" refreshedVersion="3" deleted="1" background="1" saveData="1">
    <webPr xl2000="1" htmlTables="1" htmlFormat="all"/>
  </connection>
  <connection id="580" name="Conexão4241" type="4" refreshedVersion="3" deleted="1" background="1" saveData="1">
    <webPr xl2000="1" htmlTables="1" htmlFormat="all"/>
  </connection>
  <connection id="581" name="Conexão425" type="4" refreshedVersion="3" deleted="1" background="1" saveData="1">
    <webPr xl2000="1" htmlTables="1" htmlFormat="all"/>
  </connection>
  <connection id="582" name="Conexão4251" type="4" refreshedVersion="3" deleted="1" background="1" saveData="1">
    <webPr xl2000="1" htmlTables="1" htmlFormat="all"/>
  </connection>
  <connection id="583" name="Conexão427" type="4" refreshedVersion="3" deleted="1" background="1" saveData="1">
    <webPr xl2000="1" htmlTables="1" htmlFormat="all"/>
  </connection>
  <connection id="584" name="Conexão4271" type="4" refreshedVersion="3" deleted="1" background="1" saveData="1">
    <webPr xl2000="1" htmlTables="1" htmlFormat="all"/>
  </connection>
  <connection id="585" name="Conexão429" type="4" refreshedVersion="3" deleted="1" background="1" saveData="1">
    <webPr xl2000="1" htmlTables="1" htmlFormat="all"/>
  </connection>
  <connection id="586" name="Conexão4291" type="4" refreshedVersion="3" deleted="1" background="1" saveData="1">
    <webPr xl2000="1" htmlTables="1" htmlFormat="all"/>
  </connection>
  <connection id="587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8" name="Conexão431" type="4" refreshedVersion="3" deleted="1" background="1" saveData="1">
    <webPr xl2000="1" htmlTables="1" htmlFormat="all"/>
  </connection>
  <connection id="589" name="Conexão4311" type="4" refreshedVersion="3" deleted="1" background="1" saveData="1">
    <webPr xl2000="1" htmlTables="1" htmlFormat="all"/>
  </connection>
  <connection id="590" name="Conexão432" type="4" refreshedVersion="3" deleted="1" background="1" saveData="1">
    <webPr xl2000="1" htmlTables="1" htmlFormat="all"/>
  </connection>
  <connection id="591" name="Conexão4321" type="4" refreshedVersion="3" deleted="1" background="1" saveData="1">
    <webPr xl2000="1" htmlTables="1" htmlFormat="all"/>
  </connection>
  <connection id="592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5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6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7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8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9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0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1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2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03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04" name="Conexão471" type="4" refreshedVersion="3" deleted="1" background="1" saveData="1">
    <webPr xl2000="1" htmlTables="1" htmlFormat="all"/>
  </connection>
  <connection id="605" name="Conexão4711" type="4" refreshedVersion="3" deleted="1" background="1" saveData="1">
    <webPr xl2000="1" htmlTables="1" htmlFormat="all"/>
  </connection>
  <connection id="606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7" name="Conexão481" type="4" refreshedVersion="3" deleted="1" background="1" saveData="1">
    <webPr xl2000="1" htmlTables="1" htmlFormat="all"/>
  </connection>
  <connection id="608" name="Conexão4811" type="4" refreshedVersion="3" deleted="1" background="1" saveData="1">
    <webPr xl2000="1" htmlTables="1" htmlFormat="all"/>
  </connection>
  <connection id="609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91" type="4" refreshedVersion="3" deleted="1" background="1" saveData="1">
    <webPr xl2000="1" htmlTables="1" htmlFormat="all"/>
  </connection>
  <connection id="611" name="Conexão4911" type="4" refreshedVersion="3" deleted="1" background="1" saveData="1">
    <webPr xl2000="1" htmlTables="1" htmlFormat="all"/>
  </connection>
  <connection id="612" name="Conexão5" type="4" refreshedVersion="0" background="1" saveData="1">
    <webPr url="http://download.finance.yahoo.com/d/quotes.csv?s=BPAR3.SA&amp;f=nol1hgd1" htmlTables="1" htmlFormat="all"/>
  </connection>
  <connection id="613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14" name="Conexão501" type="4" refreshedVersion="3" deleted="1" background="1" saveData="1">
    <webPr xl2000="1" htmlTables="1" htmlFormat="all"/>
  </connection>
  <connection id="615" name="Conexão5011" type="4" refreshedVersion="3" deleted="1" background="1" saveData="1">
    <webPr xl2000="1" htmlTables="1" htmlFormat="all"/>
  </connection>
  <connection id="616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7" name="Conexão510" type="4" refreshedVersion="0" deleted="1" background="1" saveData="1">
    <webPr htmlTables="1" htmlFormat="all"/>
  </connection>
  <connection id="618" name="Conexão5101" type="4" refreshedVersion="0" deleted="1" background="1" saveData="1">
    <webPr htmlTables="1" htmlFormat="all"/>
  </connection>
  <connection id="619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0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1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22" name="Conexão512" type="4" refreshedVersion="0" deleted="1" background="1" saveData="1">
    <webPr htmlTables="1" htmlFormat="all"/>
  </connection>
  <connection id="623" name="Conexão5121" type="4" refreshedVersion="0" deleted="1" background="1" saveData="1">
    <webPr htmlTables="1" htmlFormat="all"/>
  </connection>
  <connection id="624" name="Conexão513" type="4" refreshedVersion="0" deleted="1" background="1" saveData="1">
    <webPr htmlTables="1" htmlFormat="all"/>
  </connection>
  <connection id="625" name="Conexão5131" type="4" refreshedVersion="0" deleted="1" background="1" saveData="1">
    <webPr htmlTables="1" htmlFormat="all"/>
  </connection>
  <connection id="626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7" name="Conexão521" type="4" refreshedVersion="3" deleted="1" background="1" saveData="1">
    <webPr xl2000="1" htmlTables="1" htmlFormat="all"/>
  </connection>
  <connection id="628" name="Conexão5211" type="4" refreshedVersion="3" deleted="1" background="1" saveData="1">
    <webPr xl2000="1" htmlTables="1" htmlFormat="all"/>
  </connection>
  <connection id="629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30" name="Conexão531" type="4" refreshedVersion="3" deleted="1" background="1" saveData="1">
    <webPr xl2000="1" htmlTables="1" htmlFormat="all"/>
  </connection>
  <connection id="631" name="Conexão5311" type="4" refreshedVersion="3" deleted="1" background="1" saveData="1">
    <webPr xl2000="1" htmlTables="1" htmlFormat="all"/>
  </connection>
  <connection id="632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3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4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5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6" name="Conexão551" type="4" refreshedVersion="3" deleted="1" background="1" saveData="1">
    <webPr xl2000="1" htmlTables="1" htmlFormat="all"/>
  </connection>
  <connection id="637" name="Conexão5511" type="4" refreshedVersion="3" deleted="1" background="1" saveData="1">
    <webPr xl2000="1" htmlTables="1" htmlFormat="all"/>
  </connection>
  <connection id="638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9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0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1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42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3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4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5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7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8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0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1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2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53" name="Conexão6" type="4" refreshedVersion="0" background="1" saveData="1">
    <webPr url="http://download.finance.yahoo.com/d/quotes.csv?s=BPAR3.SA&amp;f=nol1hgd1" htmlTables="1" htmlFormat="all"/>
  </connection>
  <connection id="654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5" name="Conexão601" type="4" refreshedVersion="3" deleted="1" background="1" saveData="1">
    <webPr xl2000="1" htmlTables="1" htmlFormat="all"/>
  </connection>
  <connection id="656" name="Conexão6011" type="4" refreshedVersion="3" deleted="1" background="1" saveData="1">
    <webPr xl2000="1" htmlTables="1" htmlFormat="all"/>
  </connection>
  <connection id="657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8" name="Conexão610" type="4" refreshedVersion="0" background="1" saveData="1">
    <webPr url="http://download.finance.yahoo.com/d/quotes.csv?s=BPAR3.SA&amp;f=nol1hgd1" htmlTables="1" htmlFormat="all"/>
  </connection>
  <connection id="659" name="Conexão6101" type="4" refreshedVersion="0" background="1" saveData="1">
    <webPr url="http://download.finance.yahoo.com/d/quotes.csv?s=BPAR3.SA&amp;f=nol1hgd1" htmlTables="1" htmlFormat="all"/>
  </connection>
  <connection id="660" name="Conexão61011" type="4" refreshedVersion="0" background="1" saveData="1">
    <webPr url="http://download.finance.yahoo.com/d/quotes.csv?s=BPAR3.SA&amp;f=nol1hgd1" htmlTables="1" htmlFormat="all"/>
  </connection>
  <connection id="661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2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63" name="Conexão612" type="4" refreshedVersion="0" deleted="1" background="1" saveData="1">
    <webPr htmlTables="1" htmlFormat="all"/>
  </connection>
  <connection id="664" name="Conexão6121" type="4" refreshedVersion="0" deleted="1" background="1" saveData="1">
    <webPr htmlTables="1" htmlFormat="all"/>
  </connection>
  <connection id="665" name="Conexão613" type="4" refreshedVersion="3" deleted="1" background="1" saveData="1">
    <webPr xl2000="1" htmlTables="1" htmlFormat="all"/>
  </connection>
  <connection id="666" name="Conexão6131" type="4" refreshedVersion="3" deleted="1" background="1" saveData="1">
    <webPr xl2000="1" htmlTables="1" htmlFormat="all"/>
  </connection>
  <connection id="667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8" name="Conexão621" type="4" refreshedVersion="3" deleted="1" background="1" saveData="1">
    <webPr xl2000="1" htmlTables="1" htmlFormat="all"/>
  </connection>
  <connection id="669" name="Conexão6211" type="4" refreshedVersion="3" deleted="1" background="1" saveData="1">
    <webPr xl2000="1" htmlTables="1" htmlFormat="all"/>
  </connection>
  <connection id="670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71" name="Conexão631" type="4" refreshedVersion="3" deleted="1" background="1" saveData="1">
    <webPr xl2000="1" htmlTables="1" htmlFormat="all"/>
  </connection>
  <connection id="672" name="Conexão6311" type="4" refreshedVersion="3" deleted="1" background="1" saveData="1">
    <webPr xl2000="1" htmlTables="1" htmlFormat="all"/>
  </connection>
  <connection id="673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4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5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6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7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8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9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0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81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2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3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4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5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6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7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8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9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0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91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92" name="Conexão691" type="4" refreshedVersion="3" deleted="1" background="1" saveData="1">
    <webPr xl2000="1" htmlTables="1" htmlFormat="all"/>
  </connection>
  <connection id="693" name="Conexão6911" type="4" refreshedVersion="3" deleted="1" background="1" saveData="1">
    <webPr xl2000="1" htmlTables="1" htmlFormat="all"/>
  </connection>
  <connection id="694" name="Conexão7" type="4" refreshedVersion="0" background="1" saveData="1">
    <webPr url="http://download.finance.yahoo.com/d/quotes.csv?s=BPAR3.SA&amp;f=nol1hgd1" htmlTables="1" htmlFormat="all"/>
  </connection>
  <connection id="695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6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7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8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9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0" name="Conexão710" type="4" refreshedVersion="0" background="1" saveData="1">
    <webPr url="http://download.finance.yahoo.com/d/quotes.csv?s=BPAR3.SA&amp;f=nol1hgd1" htmlTables="1" htmlFormat="all"/>
  </connection>
  <connection id="701" name="Conexão7101" type="4" refreshedVersion="0" background="1" saveData="1">
    <webPr url="http://download.finance.yahoo.com/d/quotes.csv?s=BPAR3.SA&amp;f=nol1hgd1" htmlTables="1" htmlFormat="all"/>
  </connection>
  <connection id="702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3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4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5" name="Conexão712" type="4" refreshedVersion="3" deleted="1" background="1" saveData="1">
    <webPr xl2000="1" htmlTables="1" htmlFormat="all"/>
  </connection>
  <connection id="706" name="Conexão7121" type="4" refreshedVersion="3" deleted="1" background="1" saveData="1">
    <webPr xl2000="1" htmlTables="1" htmlFormat="all"/>
  </connection>
  <connection id="707" name="Conexão713" type="4" refreshedVersion="0" deleted="1" background="1" saveData="1">
    <webPr htmlTables="1" htmlFormat="all"/>
  </connection>
  <connection id="708" name="Conexão7131" type="4" refreshedVersion="0" deleted="1" background="1" saveData="1">
    <webPr htmlTables="1" htmlFormat="all"/>
  </connection>
  <connection id="709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0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1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2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13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4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5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6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7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8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9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0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21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2" name="Conexão751" type="4" refreshedVersion="3" deleted="1" background="1" saveData="1">
    <webPr xl2000="1" htmlTables="1" htmlFormat="all"/>
  </connection>
  <connection id="723" name="Conexão7511" type="4" refreshedVersion="3" deleted="1" background="1" saveData="1">
    <webPr xl2000="1" htmlTables="1" htmlFormat="all"/>
  </connection>
  <connection id="724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5" name="Conexão761" type="4" refreshedVersion="3" deleted="1" background="1" saveData="1">
    <webPr xl2000="1" htmlTables="1" htmlFormat="all"/>
  </connection>
  <connection id="726" name="Conexão7611" type="4" refreshedVersion="3" deleted="1" background="1" saveData="1">
    <webPr xl2000="1" htmlTables="1" htmlFormat="all"/>
  </connection>
  <connection id="727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71" type="4" refreshedVersion="3" deleted="1" background="1" saveData="1">
    <webPr xl2000="1" htmlTables="1" htmlFormat="all"/>
  </connection>
  <connection id="729" name="Conexão7711" type="4" refreshedVersion="3" deleted="1" background="1" saveData="1">
    <webPr xl2000="1" htmlTables="1" htmlFormat="all"/>
  </connection>
  <connection id="730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1" name="Conexão781" type="4" refreshedVersion="3" deleted="1" background="1" saveData="1">
    <webPr xl2000="1" htmlTables="1" htmlFormat="all"/>
  </connection>
  <connection id="732" name="Conexão7811" type="4" refreshedVersion="3" deleted="1" background="1" saveData="1">
    <webPr xl2000="1" htmlTables="1" htmlFormat="all"/>
  </connection>
  <connection id="733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4" name="Conexão791" type="4" refreshedVersion="3" deleted="1" background="1" saveData="1">
    <webPr xl2000="1" htmlTables="1" htmlFormat="all"/>
  </connection>
  <connection id="735" name="Conexão7911" type="4" refreshedVersion="3" deleted="1" background="1" saveData="1">
    <webPr xl2000="1" htmlTables="1" htmlFormat="all"/>
  </connection>
  <connection id="736" name="Conexão8" type="4" refreshedVersion="0" background="1" saveData="1">
    <webPr url="http://download.finance.yahoo.com/d/quotes.csv?s=IDVL3.SA+IDVL4.SA+IDVL11.SA&amp;f=nol1hgd1" htmlTables="1" htmlFormat="all"/>
  </connection>
  <connection id="737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8" name="Conexão801" type="4" refreshedVersion="3" deleted="1" background="1" saveData="1">
    <webPr xl2000="1" htmlTables="1" htmlFormat="all"/>
  </connection>
  <connection id="739" name="Conexão8011" type="4" refreshedVersion="3" deleted="1" background="1" saveData="1">
    <webPr xl2000="1" htmlTables="1" htmlFormat="all"/>
  </connection>
  <connection id="740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1" name="Conexão810" type="4" refreshedVersion="0" background="1" saveData="1">
    <webPr url="http://download.finance.yahoo.com/d/quotes.csv?s=IDVL3.SA+IDVL4.SA+IDVL11.SA&amp;f=nol1hgd1" htmlTables="1" htmlFormat="all"/>
  </connection>
  <connection id="742" name="Conexão8101" type="4" refreshedVersion="0" background="1" saveData="1">
    <webPr url="http://download.finance.yahoo.com/d/quotes.csv?s=IDVL3.SA+IDVL4.SA+IDVL11.SA&amp;f=nol1hgd1" htmlTables="1" htmlFormat="all"/>
  </connection>
  <connection id="743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4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5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6" name="Conexão812" type="4" refreshedVersion="3" deleted="1" background="1" saveData="1">
    <webPr xl2000="1" htmlTables="1" htmlFormat="all"/>
  </connection>
  <connection id="747" name="Conexão8121" type="4" refreshedVersion="3" deleted="1" background="1" saveData="1">
    <webPr xl2000="1" htmlTables="1" htmlFormat="all"/>
  </connection>
  <connection id="748" name="Conexão813" type="4" refreshedVersion="0" deleted="1" background="1" saveData="1">
    <webPr htmlTables="1" htmlFormat="all"/>
  </connection>
  <connection id="749" name="Conexão8131" type="4" refreshedVersion="0" deleted="1" background="1" saveData="1">
    <webPr htmlTables="1" htmlFormat="all"/>
  </connection>
  <connection id="750" name="Conexão814" type="4" refreshedVersion="0" deleted="1" background="1" saveData="1">
    <webPr htmlTables="1" htmlFormat="all"/>
  </connection>
  <connection id="751" name="Conexão8141" type="4" refreshedVersion="0" deleted="1" background="1" saveData="1">
    <webPr htmlTables="1" htmlFormat="all"/>
  </connection>
  <connection id="752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53" name="Conexão821" type="4" refreshedVersion="3" deleted="1" background="1" saveData="1">
    <webPr xl2000="1" htmlTables="1" htmlFormat="all"/>
  </connection>
  <connection id="754" name="Conexão8211" type="4" refreshedVersion="3" deleted="1" background="1" saveData="1">
    <webPr xl2000="1" htmlTables="1" htmlFormat="all"/>
  </connection>
  <connection id="755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6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7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8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9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0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61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2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3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4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5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6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7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8" name="Conexão871" type="4" refreshedVersion="3" deleted="1" background="1" saveData="1">
    <webPr xl2000="1" htmlTables="1" htmlFormat="all"/>
  </connection>
  <connection id="769" name="Conexão8711" type="4" refreshedVersion="3" deleted="1" background="1" saveData="1">
    <webPr xl2000="1" htmlTables="1" htmlFormat="all"/>
  </connection>
  <connection id="770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71" name="Conexão881" type="4" refreshedVersion="0" deleted="1" background="1" saveData="1">
    <webPr htmlTables="1" htmlFormat="all"/>
  </connection>
  <connection id="772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7" name="Conexão9" type="4" refreshedVersion="0" background="1" saveData="1">
    <webPr url="http://download.finance.yahoo.com/d/quotes.csv?s=IDVL3.SA+IDVL4.SA+BMEB3.SA+BMEB4.SA&amp;f=nol1hgd1" htmlTables="1" htmlFormat="all"/>
  </connection>
  <connection id="778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9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0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1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82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3" name="Conexão910" type="4" refreshedVersion="0" background="1" saveData="1">
    <webPr url="http://download.finance.yahoo.com/d/quotes.csv?s=IDVL3.SA+IDVL4.SA+BMEB3.SA+BMEB4.SA&amp;f=nol1hgd1" htmlTables="1" htmlFormat="all"/>
  </connection>
  <connection id="784" name="Conexão9101" type="4" refreshedVersion="0" background="1" saveData="1">
    <webPr url="http://download.finance.yahoo.com/d/quotes.csv?s=IDVL3.SA+IDVL4.SA+BMEB3.SA+BMEB4.SA&amp;f=nol1hgd1" htmlTables="1" htmlFormat="all"/>
  </connection>
  <connection id="785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6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7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8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9" name="Conexão921" type="4" refreshedVersion="0" deleted="1" background="1" saveData="1">
    <webPr htmlTables="1" htmlFormat="all"/>
  </connection>
  <connection id="790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91" name="Conexão931" type="4" refreshedVersion="0" deleted="1" background="1" saveData="1">
    <webPr htmlTables="1" htmlFormat="all"/>
  </connection>
  <connection id="792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93" name="Conexão941" type="4" refreshedVersion="0" deleted="1" background="1" saveData="1">
    <webPr htmlTables="1" htmlFormat="all"/>
  </connection>
  <connection id="794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5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6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7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8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9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0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1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2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03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6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7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8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9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0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11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2" name="Conexão991" type="4" refreshedVersion="3" deleted="1" background="1" saveData="1">
    <webPr xl2000="1" htmlTables="1" htmlFormat="all"/>
  </connection>
  <connection id="813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4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5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6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7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8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9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0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1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22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3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4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5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6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7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9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30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31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32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3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4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5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6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7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9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0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1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42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3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44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5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6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7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8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9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50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51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2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53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4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5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6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7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8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9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60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1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62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3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4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5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6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7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8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9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70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71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2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73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4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5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6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7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8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9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80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81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82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3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4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5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6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7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8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9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90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91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92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93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94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5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6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7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8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9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00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01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02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03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04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5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6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7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8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9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10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1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2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3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4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5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6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7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8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9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20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21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22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3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24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5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6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7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8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9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30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31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32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33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4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5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6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7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8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9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0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1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42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3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4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5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6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7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8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9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0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1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2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3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4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5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6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7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8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9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60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1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2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3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4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5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6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7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8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9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70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1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2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3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4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5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6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7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8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9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80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1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2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3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4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5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1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2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3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4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5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6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7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8" name="Connection28" type="4" refreshedVersion="4" background="1" saveData="1">
    <webPr xl2000="1" url="http://download.finance.yahoo.com/d/quotes.csv?s=IGUA3.SA+IGUA5.SA+IGUA6.SA&amp;f=nol1hgd1" htmlFormat="all"/>
  </connection>
  <connection id="999" name="Connection281" type="4" refreshedVersion="4" background="1" saveData="1">
    <webPr xl2000="1" url="http://download.finance.yahoo.com/d/quotes.csv?s=IGUA3.SA+IGUA5.SA+IGUA6.SA&amp;f=nol1hgd1" htmlFormat="all"/>
  </connection>
  <connection id="1000" name="Connection29" type="4" refreshedVersion="4" background="1" saveData="1">
    <webPr xl2000="1" url="http://download.finance.yahoo.com/d/quotes.csv?s=IGUA3.SA+IGUA5.SA+IGUA6.SA+ODER3.SA+ODER4.SA&amp;f=nol1hgd1" htmlFormat="all"/>
  </connection>
  <connection id="1001" name="Connection291" type="4" refreshedVersion="4" background="1" saveData="1">
    <webPr xl2000="1" url="http://download.finance.yahoo.com/d/quotes.csv?s=IGUA3.SA+IGUA5.SA+IGUA6.SA+ODER3.SA+ODER4.SA&amp;f=nol1hgd1" htmlFormat="all"/>
  </connection>
  <connection id="1002" name="Connection2911" type="4" refreshedVersion="4" background="1" saveData="1">
    <webPr xl2000="1" url="http://download.finance.yahoo.com/d/quotes.csv?s=IGUA3.SA+IGUA5.SA+IGUA6.SA+ODER3.SA+ODER4.SA&amp;f=nol1hgd1" htmlFormat="all"/>
  </connection>
  <connection id="1003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4" name="Connection30" type="4" refreshedVersion="4" background="1" saveData="1">
    <webPr xl2000="1" url="http://download.finance.yahoo.com/d/quotes.csv?s=IGUA3.SA+IGUA5.SA+IGUA6.SA+JOPA3.SA+JOPA4.SA&amp;f=nol1hgd1" htmlFormat="all"/>
  </connection>
  <connection id="1005" name="Connection301" type="4" refreshedVersion="4" background="1" saveData="1">
    <webPr xl2000="1" url="http://download.finance.yahoo.com/d/quotes.csv?s=IGUA3.SA+IGUA5.SA+IGUA6.SA+JOPA3.SA+JOPA4.SA&amp;f=nol1hgd1" htmlFormat="all"/>
  </connection>
  <connection id="1006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7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8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9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10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11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2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13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4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5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6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7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8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9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0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1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2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23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4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5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6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7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8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9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30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1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2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33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4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5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6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7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8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9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40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41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2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43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4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5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6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7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8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9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50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1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2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53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4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5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6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7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8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9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0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61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2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3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64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5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6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7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8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9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70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1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2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3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4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6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8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9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0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1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82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83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4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5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6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7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8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9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0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1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92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3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4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5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6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7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8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9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00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1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02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03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4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5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6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7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8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9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0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1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12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3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4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5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6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7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8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9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20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1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22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3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4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5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6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7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8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9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0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1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2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33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4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5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6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7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8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9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40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1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42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3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4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5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6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7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8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9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<sst xmlns="http://schemas.openxmlformats.org/spreadsheetml/2006/main" count="7225" uniqueCount="2105">
  <si>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</si>
  <si>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</si>
  <si>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</si>
  <si>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</si>
  <si>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</si>
  <si>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</si>
  <si>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</si>
  <si>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</si>
  <si>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</si>
  <si>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</si>
  <si>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</si>
  <si>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</si>
  <si>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</si>
  <si>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</si>
  <si>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</si>
  <si>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</si>
  <si>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</si>
  <si>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</si>
  <si>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</si>
  <si>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</si>
  <si>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</si>
  <si>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</si>
  <si>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</si>
  <si>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</si>
  <si>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</si>
  <si>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</si>
  <si>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</si>
  <si>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</si>
  <si>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</si>
  <si>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</si>
  <si>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</si>
  <si>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</si>
  <si>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</si>
  <si>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</si>
  <si>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</si>
  <si>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</si>
  <si>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</si>
  <si>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</si>
  <si>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</si>
  <si>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</si>
  <si>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</si>
  <si>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</si>
  <si>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</si>
  <si>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</si>
  <si>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</si>
  <si>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</si>
  <si>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</si>
  <si>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</si>
  <si>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</si>
  <si>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</si>
  <si>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</si>
  <si>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</si>
  <si>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</si>
  <si>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</si>
  <si>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</si>
  <si>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</si>
  <si>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</si>
  <si>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</si>
  <si>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</si>
  <si>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</si>
  <si>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</si>
  <si>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</si>
  <si>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</si>
  <si>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</si>
  <si>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</si>
  <si>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</si>
  <si>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</si>
  <si>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</si>
  <si>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</si>
  <si>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</si>
  <si>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</si>
  <si>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</si>
  <si>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</si>
  <si>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</si>
  <si>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</si>
  <si>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</si>
  <si>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</si>
  <si>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</si>
  <si>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</si>
  <si>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</si>
  <si>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</si>
  <si>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</si>
  <si>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</si>
  <si>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</si>
  <si>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</si>
  <si>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</si>
  <si>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</si>
  <si>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</si>
  <si>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</si>
  <si>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</si>
  <si>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</si>
  <si>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</si>
  <si>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</si>
  <si>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</si>
  <si>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</si>
  <si>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</si>
  <si>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</si>
  <si>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</si>
  <si>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</si>
  <si>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</si>
  <si>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</si>
  <si>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</si>
  <si>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</si>
  <si>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</si>
  <si>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</si>
  <si>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</si>
  <si>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</si>
  <si>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</si>
  <si>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</si>
  <si>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</si>
  <si>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</si>
  <si>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</si>
  <si>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</si>
  <si>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</si>
  <si>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</si>
  <si>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</si>
  <si>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</si>
  <si>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</si>
  <si>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</si>
  <si>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</si>
  <si>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</si>
  <si>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</si>
  <si>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</si>
  <si>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</si>
  <si>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</si>
  <si>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</si>
  <si>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</si>
  <si>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</si>
  <si>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</si>
  <si>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</si>
  <si>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</si>
  <si>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</si>
  <si>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</si>
  <si>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</si>
  <si>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</si>
  <si>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</si>
  <si>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</si>
  <si>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</si>
  <si>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</si>
  <si>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</si>
  <si>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</si>
  <si>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</si>
  <si>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</si>
  <si>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</si>
  <si>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</si>
  <si>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</si>
  <si>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</si>
  <si>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</si>
  <si>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</si>
  <si>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</si>
  <si>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</si>
  <si>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</si>
  <si>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</si>
  <si>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</si>
  <si>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</si>
  <si>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</si>
  <si>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</si>
  <si>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</si>
  <si>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</si>
  <si>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</si>
  <si>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</si>
  <si>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</si>
  <si>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</si>
  <si>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</si>
  <si>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</si>
  <si>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</si>
  <si>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</si>
  <si>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</si>
  <si>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</si>
  <si>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</si>
  <si>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</si>
  <si>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</si>
  <si>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</si>
  <si>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</si>
  <si>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</si>
  <si>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</si>
  <si>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</si>
  <si>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</si>
  <si>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</si>
  <si>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</si>
  <si>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</si>
  <si>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</si>
  <si>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</si>
  <si>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</si>
  <si>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</si>
  <si>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</si>
  <si>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</si>
  <si>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</si>
  <si>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</si>
  <si>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</si>
  <si>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</si>
  <si>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</si>
  <si>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</si>
  <si>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</si>
  <si>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</si>
  <si>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</si>
  <si>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</si>
  <si>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</si>
  <si>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</si>
  <si>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</si>
  <si>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</si>
  <si>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</si>
  <si>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</si>
  <si>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</si>
  <si>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</si>
  <si>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</si>
  <si>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</si>
  <si>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</si>
  <si>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</si>
  <si>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</si>
  <si>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</si>
  <si>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</si>
  <si>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</si>
  <si>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</si>
  <si>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</si>
  <si>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</si>
  <si>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</si>
  <si>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</si>
  <si>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</si>
  <si>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</si>
  <si>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</si>
  <si>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</si>
  <si>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</si>
  <si>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</si>
  <si>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</si>
  <si>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</si>
  <si>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</si>
  <si>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</si>
  <si>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</si>
  <si>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</si>
  <si>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</si>
  <si>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</si>
  <si>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</si>
  <si>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</si>
  <si>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</si>
  <si>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</si>
  <si>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</si>
  <si>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</si>
  <si>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</si>
  <si>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</si>
  <si>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</si>
  <si>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</si>
  <si>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</si>
  <si>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</si>
  <si>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</si>
  <si>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</si>
  <si>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</si>
  <si>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</si>
  <si>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</si>
  <si>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</si>
  <si>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</si>
  <si>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</si>
  <si>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</si>
  <si>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</si>
  <si>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</si>
  <si>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</si>
  <si>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</si>
  <si>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</si>
  <si>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</si>
  <si>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</si>
  <si>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</si>
  <si>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</si>
  <si>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</si>
  <si>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</si>
  <si>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</si>
  <si>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</si>
  <si>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</si>
  <si>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</si>
  <si>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</si>
  <si>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</si>
  <si>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</si>
  <si>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</si>
  <si>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</si>
  <si>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</si>
  <si>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</si>
  <si>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</si>
  <si>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</si>
  <si>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</si>
  <si>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</si>
  <si>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</si>
  <si>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</si>
  <si>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</si>
  <si>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</si>
  <si>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</si>
  <si>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</si>
  <si>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</si>
  <si>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</si>
  <si>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</si>
  <si>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</si>
  <si>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</si>
  <si>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</si>
  <si>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</si>
  <si>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</si>
  <si>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</si>
  <si>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</si>
  <si>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</si>
  <si>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</si>
  <si>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</si>
  <si>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</si>
  <si>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</si>
  <si>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</si>
  <si>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</si>
  <si>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</si>
  <si>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</si>
  <si>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</si>
  <si>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</si>
  <si>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</si>
  <si>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</si>
  <si>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</si>
  <si>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</si>
  <si>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</si>
  <si>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</si>
  <si>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</si>
  <si>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</si>
  <si>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</si>
  <si>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</si>
  <si>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</si>
  <si>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</si>
  <si>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</si>
  <si>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</si>
  <si>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</si>
  <si>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</si>
  <si>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</si>
  <si>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</si>
  <si>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</si>
  <si>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</si>
  <si>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</si>
  <si>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</si>
  <si>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</si>
  <si>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</si>
  <si>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</si>
  <si>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</si>
  <si>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</si>
  <si>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</si>
  <si>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</si>
  <si>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</si>
  <si>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</si>
  <si>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</si>
  <si>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</si>
  <si>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</si>
  <si>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</si>
  <si>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</si>
  <si>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</si>
  <si>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</si>
  <si>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</si>
  <si>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</si>
  <si>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</si>
  <si>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</si>
  <si>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</si>
  <si>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</si>
  <si>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</si>
  <si>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</si>
  <si>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</si>
  <si>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</si>
  <si>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</si>
  <si>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</si>
  <si>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</si>
  <si>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</si>
  <si>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</si>
  <si>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</si>
  <si>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</si>
  <si>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</si>
  <si>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</si>
  <si>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</si>
  <si>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</si>
  <si>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</si>
  <si>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</si>
  <si>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</si>
  <si>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</si>
  <si>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</si>
  <si>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</si>
  <si>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</si>
  <si>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</si>
  <si>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</si>
  <si>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</si>
  <si>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</si>
  <si>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</si>
  <si>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</si>
  <si>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</si>
  <si>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</si>
  <si>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</si>
  <si>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</si>
  <si>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</si>
  <si>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</si>
  <si>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</si>
  <si>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</si>
  <si>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</si>
  <si>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</si>
  <si>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</si>
  <si>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</si>
  <si>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</si>
  <si>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</si>
  <si>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</si>
  <si>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</si>
  <si>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</si>
  <si>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</si>
  <si>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</si>
  <si>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</si>
  <si>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</si>
  <si>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</si>
  <si>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</si>
  <si>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</si>
  <si>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</si>
  <si>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</si>
  <si>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</si>
  <si>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</si>
  <si>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</si>
  <si>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</si>
  <si>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</si>
  <si>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</si>
  <si>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</si>
  <si>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</si>
  <si>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</si>
  <si>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</si>
  <si>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</si>
  <si>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</si>
  <si>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</si>
  <si>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</si>
  <si>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</si>
  <si>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</si>
  <si>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</si>
  <si>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</si>
  <si>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</si>
  <si>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</si>
  <si>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</si>
  <si>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</si>
  <si>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</si>
  <si>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</si>
  <si>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</si>
  <si>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</si>
  <si>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</si>
  <si>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</si>
  <si>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</si>
  <si>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</si>
  <si>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</si>
  <si>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</si>
  <si>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</si>
  <si>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</si>
  <si>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</si>
  <si>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</si>
  <si>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</si>
  <si>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</si>
  <si>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</si>
  <si>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</si>
  <si>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</si>
  <si>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</si>
  <si>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</si>
  <si>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</si>
  <si>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</si>
  <si>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</si>
  <si>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</si>
  <si>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</si>
  <si>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</si>
  <si>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</si>
  <si>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</si>
  <si>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</si>
  <si>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</si>
  <si>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</si>
  <si>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</si>
  <si>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</si>
  <si>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</si>
  <si>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</si>
  <si>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</si>
  <si>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</si>
  <si>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</si>
  <si>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</si>
  <si>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</si>
  <si>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</si>
  <si>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</si>
  <si>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</si>
  <si>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</si>
  <si>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</si>
  <si>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</si>
  <si>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</si>
  <si>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</si>
  <si>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</si>
  <si>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</si>
  <si>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</si>
  <si>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</si>
  <si>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</si>
  <si>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</si>
  <si>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</si>
  <si>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</si>
  <si>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</si>
  <si>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</si>
  <si>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</si>
  <si>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</si>
  <si>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</si>
  <si>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</si>
  <si>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</si>
  <si>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</si>
  <si>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</si>
  <si>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</si>
  <si>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</si>
  <si>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</si>
  <si>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</si>
  <si>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</si>
  <si>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</si>
  <si>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</si>
  <si>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</si>
  <si>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</si>
  <si>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</si>
  <si>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</si>
  <si>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</si>
  <si>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</si>
  <si>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</si>
  <si>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</si>
  <si>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</si>
  <si>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</si>
  <si>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</si>
  <si>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</si>
  <si>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</si>
  <si>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</si>
  <si>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</si>
  <si>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</si>
  <si>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</si>
  <si>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</si>
  <si>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</si>
  <si>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</si>
  <si>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</si>
  <si>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</si>
  <si>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</si>
  <si>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</si>
  <si>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</si>
  <si>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</si>
  <si>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</si>
  <si>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</si>
  <si>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</si>
  <si>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</si>
  <si>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</si>
  <si>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</si>
  <si>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</si>
  <si>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</si>
  <si>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</si>
  <si>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</si>
  <si>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</si>
  <si>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</si>
  <si>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</si>
  <si>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</si>
  <si>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</si>
  <si>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</si>
  <si>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</si>
  <si>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</si>
  <si>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</si>
  <si>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</si>
  <si>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</si>
  <si>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</si>
  <si>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</si>
  <si>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</si>
  <si>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</si>
  <si>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</si>
  <si>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</si>
  <si>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</si>
  <si>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</si>
  <si>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</si>
  <si>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</si>
  <si>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</si>
  <si>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</si>
  <si>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</si>
  <si>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</si>
  <si>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</si>
  <si>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</si>
  <si>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</si>
  <si>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</si>
  <si>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</si>
  <si>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</si>
  <si>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</si>
  <si>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</si>
  <si>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</si>
  <si>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</si>
  <si>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</si>
  <si>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</si>
  <si>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</si>
  <si>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</si>
  <si>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</si>
  <si>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</si>
  <si>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</si>
  <si>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</si>
  <si>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</si>
  <si>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</si>
  <si>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</si>
  <si>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</si>
  <si>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</si>
  <si>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</si>
  <si>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</si>
  <si>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</si>
  <si>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</si>
  <si>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</si>
  <si>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</si>
  <si>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</si>
  <si>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</si>
  <si>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</si>
  <si>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</si>
  <si>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</si>
  <si>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</si>
  <si>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</si>
  <si>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</si>
  <si>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</si>
  <si>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</si>
  <si>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</si>
  <si>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</si>
  <si>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</si>
  <si>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</si>
  <si>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</si>
  <si>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</si>
  <si>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</si>
  <si>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</si>
  <si>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</si>
  <si>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</si>
  <si>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</si>
  <si>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</si>
  <si>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</si>
  <si>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</si>
  <si>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</si>
  <si>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</si>
  <si>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</si>
  <si>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</si>
  <si>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</si>
  <si>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</si>
  <si>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</si>
  <si>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</si>
  <si>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</si>
  <si>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</si>
  <si>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</si>
  <si>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</si>
  <si>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</si>
  <si>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</si>
  <si>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</si>
  <si>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</si>
  <si>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</si>
  <si>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</si>
  <si>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</si>
  <si>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</si>
  <si>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</si>
  <si>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</si>
  <si>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</si>
  <si>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</si>
  <si>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</si>
  <si>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</si>
  <si>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</si>
  <si>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</si>
  <si>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</si>
  <si>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</si>
  <si>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</si>
  <si>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</si>
  <si>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</si>
  <si>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</si>
  <si>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</si>
  <si>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</si>
  <si>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</si>
  <si>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</si>
  <si>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</si>
  <si>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</si>
  <si>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</si>
  <si>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</si>
  <si>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</si>
  <si>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</si>
  <si>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</si>
  <si>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</si>
  <si>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</si>
  <si>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</si>
  <si>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</si>
  <si>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</si>
  <si>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</si>
  <si>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</si>
  <si>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</si>
  <si>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</si>
  <si>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</si>
  <si>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</si>
  <si>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</si>
  <si>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</si>
  <si>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</si>
  <si>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</si>
  <si>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</si>
  <si>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</si>
  <si>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</si>
  <si>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</si>
  <si>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</si>
  <si>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</si>
  <si>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</si>
  <si>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</si>
  <si>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</si>
  <si>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</si>
  <si>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</si>
  <si>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</si>
  <si>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</si>
  <si>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</si>
  <si>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</si>
  <si>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</si>
  <si>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</si>
  <si>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</si>
  <si>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</si>
  <si>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</si>
  <si>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</si>
  <si>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</si>
  <si>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</si>
  <si>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</si>
  <si>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</si>
  <si>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</si>
  <si>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</si>
  <si>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</si>
  <si>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</si>
  <si>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</si>
  <si>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</si>
  <si>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</si>
  <si>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</si>
  <si>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</si>
  <si>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</si>
  <si>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</si>
  <si>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</si>
  <si>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</si>
  <si>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</si>
  <si>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</si>
  <si>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</si>
  <si>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</si>
  <si>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</si>
  <si>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</si>
  <si>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</si>
  <si>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</si>
  <si>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</si>
  <si>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</si>
  <si>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</si>
  <si>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</si>
  <si>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</si>
  <si>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</si>
  <si>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</si>
  <si>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</si>
  <si>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</si>
  <si>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</si>
  <si>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</si>
  <si>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</si>
  <si>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</si>
  <si>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</si>
  <si>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</si>
  <si>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</si>
  <si>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</si>
  <si>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</si>
  <si>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</si>
  <si>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</si>
  <si>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</si>
  <si>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</si>
  <si>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</si>
  <si>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</si>
  <si>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</si>
  <si>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</si>
  <si>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</si>
  <si>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</si>
  <si>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</si>
  <si>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1.79</t>
  </si>
  <si>
    <t>0.10</t>
  </si>
  <si>
    <t>3.30</t>
  </si>
  <si>
    <t>ALFA HOLDING-PNA</t>
  </si>
  <si>
    <t>ALFA FINANC -PN</t>
  </si>
  <si>
    <t>156.00</t>
  </si>
  <si>
    <t>10.40</t>
  </si>
  <si>
    <t>10.17</t>
  </si>
  <si>
    <t>9.75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</si>
  <si>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</si>
  <si>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</si>
  <si>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</si>
  <si>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</si>
  <si>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</si>
  <si>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</si>
  <si>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</si>
  <si>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</si>
  <si>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</si>
  <si>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</si>
  <si>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</si>
  <si>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</si>
  <si>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</si>
  <si>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</si>
  <si>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</si>
  <si>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</si>
  <si>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</si>
  <si>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</si>
  <si>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</si>
  <si>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</si>
  <si>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</si>
  <si>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</si>
  <si>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</si>
  <si>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</si>
  <si>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</si>
  <si>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</si>
  <si>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</si>
  <si>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</si>
  <si>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</si>
  <si>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</si>
  <si>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</si>
  <si>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</si>
  <si>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</si>
  <si>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</si>
  <si>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</si>
  <si>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</si>
  <si>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</si>
  <si>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</si>
  <si>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</si>
  <si>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</si>
  <si>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</si>
  <si>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</si>
  <si>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</si>
  <si>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</si>
  <si>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</si>
  <si>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</si>
  <si>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</si>
  <si>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</si>
  <si>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</si>
  <si>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</si>
  <si>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</si>
  <si>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</si>
  <si>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</si>
  <si>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</si>
  <si>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</si>
  <si>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</si>
  <si>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</si>
  <si>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</si>
  <si>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</si>
  <si>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</si>
  <si>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</si>
  <si>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</si>
  <si>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</si>
  <si>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</si>
  <si>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</si>
  <si>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</si>
  <si>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</si>
  <si>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</si>
  <si>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</si>
  <si>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</si>
  <si>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</si>
  <si>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</si>
  <si>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</si>
  <si>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</si>
  <si>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</si>
  <si>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</si>
  <si>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</si>
  <si>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</si>
  <si>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</si>
  <si>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</si>
  <si>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</si>
  <si>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</si>
  <si>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</si>
  <si>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</si>
  <si>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</si>
  <si>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</si>
  <si>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</si>
  <si>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</si>
  <si>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</si>
  <si>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</si>
  <si>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</si>
  <si>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</si>
  <si>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</si>
  <si>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</si>
  <si>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</si>
  <si>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</si>
  <si>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</si>
  <si>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</si>
  <si>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</si>
  <si>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</si>
  <si>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</si>
  <si>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</si>
  <si>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</si>
  <si>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</si>
  <si>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</si>
  <si>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</si>
  <si>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</si>
  <si>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</si>
  <si>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</si>
  <si>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</si>
  <si>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</si>
  <si>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</si>
  <si>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</si>
  <si>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</si>
  <si>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</si>
  <si>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</si>
  <si>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</si>
  <si>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</si>
  <si>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</si>
  <si>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</si>
  <si>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</si>
  <si>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</si>
  <si>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</si>
  <si>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</si>
  <si>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12.50</t>
  </si>
  <si>
    <t>7.00</t>
  </si>
  <si>
    <t>Papel</t>
  </si>
  <si>
    <t>0.60</t>
  </si>
  <si>
    <t>3.87</t>
  </si>
  <si>
    <t>85.00</t>
  </si>
  <si>
    <t>27.30</t>
  </si>
  <si>
    <t>49.00</t>
  </si>
  <si>
    <t>0.54</t>
  </si>
  <si>
    <t>CELUL IRANI -ON</t>
  </si>
  <si>
    <t>CELUL IRANI -PN</t>
  </si>
  <si>
    <t>MONT ARANHA -ON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</si>
  <si>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</si>
  <si>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</si>
  <si>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</si>
  <si>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</si>
  <si>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</si>
  <si>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</si>
  <si>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ESTR3</t>
  </si>
  <si>
    <t>ESTR4</t>
  </si>
  <si>
    <t>ESTRELA     -ON</t>
  </si>
  <si>
    <t>ESTRELA     -PN</t>
  </si>
  <si>
    <t>NAFG3</t>
  </si>
  <si>
    <t>NAFG4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</si>
  <si>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</si>
  <si>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</si>
  <si>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</si>
  <si>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</si>
  <si>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</si>
  <si>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</si>
  <si>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</si>
  <si>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</si>
  <si>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</si>
  <si>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</si>
  <si>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</si>
  <si>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</si>
  <si>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</si>
  <si>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</si>
  <si>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</si>
  <si>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</si>
  <si>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</si>
  <si>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</si>
  <si>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</si>
  <si>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</si>
  <si>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</si>
  <si>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</si>
  <si>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</si>
  <si>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</si>
  <si>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</si>
  <si>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</si>
  <si>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</si>
  <si>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</si>
  <si>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</si>
  <si>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</si>
  <si>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</si>
  <si>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</si>
  <si>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</si>
  <si>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</si>
  <si>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</si>
  <si>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</si>
  <si>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</si>
  <si>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</si>
  <si>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</si>
  <si>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</si>
  <si>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</si>
  <si>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</si>
  <si>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</si>
  <si>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</si>
  <si>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</si>
  <si>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</si>
  <si>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</si>
  <si>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</si>
  <si>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</si>
  <si>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</si>
  <si>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</si>
  <si>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</si>
  <si>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</si>
  <si>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</si>
  <si>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</si>
  <si>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</si>
  <si>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</si>
  <si>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</si>
  <si>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</si>
  <si>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</si>
  <si>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</si>
  <si>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</si>
  <si>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</si>
  <si>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</si>
  <si>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</si>
  <si>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</si>
  <si>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</si>
  <si>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</si>
  <si>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</si>
  <si>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</si>
  <si>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</si>
  <si>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</si>
  <si>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</si>
  <si>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</si>
  <si>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</si>
  <si>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</si>
  <si>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</si>
  <si>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</si>
  <si>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</si>
  <si>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</si>
  <si>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</si>
  <si>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</si>
  <si>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</si>
  <si>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</si>
  <si>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</si>
  <si>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</si>
  <si>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</si>
  <si>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</si>
  <si>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</si>
  <si>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</si>
  <si>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</si>
  <si>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</si>
  <si>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</si>
  <si>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</si>
  <si>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</si>
  <si>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</si>
  <si>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</si>
  <si>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</si>
  <si>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</si>
  <si>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</si>
  <si>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</si>
  <si>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</si>
  <si>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</si>
  <si>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</si>
  <si>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</si>
  <si>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</si>
  <si>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</si>
  <si>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</si>
  <si>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</si>
  <si>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</si>
  <si>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</si>
  <si>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</si>
  <si>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</si>
  <si>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</si>
  <si>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</si>
  <si>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</si>
  <si>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</si>
  <si>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</si>
  <si>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</si>
  <si>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</si>
  <si>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</si>
  <si>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</si>
  <si>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</si>
  <si>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</si>
  <si>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</si>
  <si>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</si>
  <si>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</si>
  <si>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</si>
  <si>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</si>
  <si>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</si>
  <si>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</si>
  <si>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</si>
  <si>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</si>
  <si>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</si>
  <si>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</si>
  <si>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</si>
  <si>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</si>
  <si>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</si>
  <si>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</si>
  <si>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</si>
  <si>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</si>
  <si>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</si>
  <si>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</si>
  <si>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</si>
  <si>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</si>
  <si>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</si>
  <si>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</si>
  <si>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</si>
  <si>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</si>
  <si>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</si>
  <si>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</si>
  <si>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</si>
  <si>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</si>
  <si>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</si>
  <si>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</si>
  <si>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</si>
  <si>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</si>
  <si>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</si>
  <si>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</si>
  <si>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</si>
  <si>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</si>
  <si>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</si>
  <si>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</si>
  <si>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</si>
  <si>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</si>
  <si>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</si>
  <si>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</si>
  <si>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</si>
  <si>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</si>
  <si>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</si>
  <si>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</si>
  <si>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</si>
  <si>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</si>
  <si>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</si>
  <si>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</si>
  <si>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</si>
  <si>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</si>
  <si>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</si>
  <si>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</si>
  <si>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</si>
  <si>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</si>
  <si>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</si>
  <si>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</si>
  <si>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</si>
  <si>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</si>
  <si>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</si>
  <si>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</si>
  <si>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</si>
  <si>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</si>
  <si>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</si>
  <si>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</si>
  <si>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</si>
  <si>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</si>
  <si>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</si>
  <si>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</si>
  <si>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</si>
  <si>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</si>
  <si>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</si>
  <si>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</si>
  <si>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</si>
  <si>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</si>
  <si>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</si>
  <si>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</si>
  <si>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</si>
  <si>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</si>
  <si>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</si>
  <si>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</si>
  <si>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</si>
  <si>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</si>
  <si>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</si>
  <si>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</si>
  <si>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</si>
  <si>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</si>
  <si>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</si>
  <si>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</si>
  <si>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</si>
  <si>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</si>
  <si>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</si>
  <si>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</si>
  <si>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</si>
  <si>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</si>
  <si>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</si>
  <si>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</si>
  <si>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</si>
  <si>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</si>
  <si>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</si>
  <si>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</si>
  <si>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</si>
  <si>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</si>
  <si>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</si>
  <si>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</si>
  <si>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</si>
  <si>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</si>
  <si>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</si>
  <si>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</si>
  <si>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</si>
  <si>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</si>
  <si>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</si>
  <si>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</si>
  <si>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</si>
  <si>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</si>
  <si>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</si>
  <si>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</si>
  <si>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</si>
  <si>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</si>
  <si>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</si>
  <si>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</si>
  <si>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</si>
  <si>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</si>
  <si>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</si>
  <si>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</si>
  <si>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</si>
  <si>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</si>
  <si>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</si>
  <si>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</si>
  <si>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</si>
  <si>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</si>
  <si>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</si>
  <si>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</si>
  <si>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</si>
  <si>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</si>
  <si>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</si>
  <si>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</si>
  <si>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</si>
  <si>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</si>
  <si>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</si>
  <si>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</si>
  <si>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</si>
  <si>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</si>
  <si>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</si>
  <si>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</si>
  <si>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</si>
  <si>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</si>
  <si>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</si>
  <si>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</si>
  <si>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</si>
  <si>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</si>
  <si>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</si>
  <si>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</si>
  <si>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</si>
  <si>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</si>
  <si>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</si>
  <si>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</si>
  <si>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</si>
  <si>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</si>
  <si>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</si>
  <si>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</si>
  <si>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</si>
  <si>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</si>
  <si>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</si>
  <si>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</si>
  <si>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</si>
  <si>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</si>
  <si>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</si>
  <si>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</si>
  <si>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</si>
  <si>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</si>
  <si>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</si>
  <si>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</si>
  <si>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</si>
  <si>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</si>
  <si>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</si>
  <si>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</si>
  <si>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</si>
  <si>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</si>
  <si>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</si>
  <si>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</si>
  <si>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</si>
  <si>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</si>
  <si>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</si>
  <si>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</si>
  <si>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</si>
  <si>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</si>
  <si>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</si>
  <si>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</si>
  <si>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</si>
  <si>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</si>
  <si>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</si>
  <si>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</si>
  <si>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</si>
  <si>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</si>
  <si>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</si>
  <si>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</si>
  <si>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</si>
  <si>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</si>
  <si>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</si>
  <si>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</si>
  <si>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</si>
  <si>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</si>
  <si>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</si>
  <si>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</si>
  <si>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</si>
  <si>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</si>
  <si>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</si>
  <si>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</si>
  <si>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</si>
  <si>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</si>
  <si>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</si>
  <si>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</si>
  <si>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</si>
  <si>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</si>
  <si>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</si>
  <si>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</si>
  <si>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</si>
  <si>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</si>
  <si>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</si>
  <si>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</si>
  <si>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</si>
  <si>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</si>
  <si>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</si>
  <si>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</si>
  <si>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</si>
  <si>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</si>
  <si>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</si>
  <si>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</si>
  <si>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</si>
  <si>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</si>
  <si>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</si>
  <si>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</si>
  <si>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</si>
  <si>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</si>
  <si>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</si>
  <si>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</si>
  <si>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</si>
  <si>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</si>
  <si>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</si>
  <si>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</si>
  <si>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</si>
  <si>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</si>
  <si>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</si>
  <si>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</si>
  <si>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</si>
  <si>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</si>
  <si>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</si>
  <si>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</si>
  <si>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</si>
  <si>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</si>
  <si>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</si>
  <si>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</si>
  <si>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</si>
  <si>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</si>
  <si>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</si>
  <si>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</si>
  <si>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</si>
  <si>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</si>
  <si>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</si>
  <si>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</si>
  <si>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</si>
  <si>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</si>
  <si>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</si>
  <si>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</si>
  <si>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</si>
  <si>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</si>
  <si>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</si>
  <si>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0.38</t>
  </si>
  <si>
    <t>0.84</t>
  </si>
  <si>
    <t>16.98</t>
  </si>
  <si>
    <t>0.21</t>
  </si>
  <si>
    <t>0.31</t>
  </si>
  <si>
    <t>0.42</t>
  </si>
  <si>
    <t>2.29</t>
  </si>
  <si>
    <t>1.45</t>
  </si>
  <si>
    <t>5.49</t>
  </si>
  <si>
    <t>68.00</t>
  </si>
  <si>
    <t>0.14</t>
  </si>
  <si>
    <t xml:space="preserve">BANESTES    -ON  </t>
  </si>
  <si>
    <t xml:space="preserve">BANESTES    -PN  </t>
  </si>
  <si>
    <t>18.01</t>
  </si>
  <si>
    <t>13.99</t>
  </si>
  <si>
    <t>59.99</t>
  </si>
  <si>
    <t>4.25</t>
  </si>
  <si>
    <t>27.00</t>
  </si>
  <si>
    <t>24.00</t>
  </si>
  <si>
    <t>74.00</t>
  </si>
  <si>
    <t>1.47</t>
  </si>
  <si>
    <t>31.15</t>
  </si>
  <si>
    <t>24.88</t>
  </si>
  <si>
    <t>24.87</t>
  </si>
  <si>
    <t>0.81</t>
  </si>
  <si>
    <t>0.58</t>
  </si>
  <si>
    <t>3.03</t>
  </si>
  <si>
    <t>24.50</t>
  </si>
  <si>
    <t>15.30</t>
  </si>
  <si>
    <t>17.00</t>
  </si>
  <si>
    <t>5.15</t>
  </si>
  <si>
    <t>8.70</t>
  </si>
  <si>
    <t>0.09</t>
  </si>
  <si>
    <t>29.99</t>
  </si>
  <si>
    <t>7.20</t>
  </si>
  <si>
    <t>4.40</t>
  </si>
  <si>
    <t>30.01</t>
  </si>
  <si>
    <t>2.01</t>
  </si>
  <si>
    <t>2.05</t>
  </si>
  <si>
    <t>6.12</t>
  </si>
  <si>
    <t>0.80</t>
  </si>
  <si>
    <t>0.41</t>
  </si>
  <si>
    <t>16.40</t>
  </si>
  <si>
    <t>9.01</t>
  </si>
  <si>
    <t>9.13</t>
  </si>
  <si>
    <t>0.63</t>
  </si>
  <si>
    <t>8.81</t>
  </si>
  <si>
    <t>9.39</t>
  </si>
  <si>
    <t>18.05</t>
  </si>
  <si>
    <t>4.30</t>
  </si>
  <si>
    <t>0.28</t>
  </si>
  <si>
    <t xml:space="preserve">SID NACIONAL-ON  </t>
  </si>
  <si>
    <t>25.49</t>
  </si>
  <si>
    <t>5.87</t>
  </si>
  <si>
    <t>0.40</t>
  </si>
  <si>
    <t>0.82</t>
  </si>
  <si>
    <t>0.05</t>
  </si>
  <si>
    <t>9.80</t>
  </si>
  <si>
    <t xml:space="preserve">M.DIASBRANCO-ON  </t>
  </si>
  <si>
    <t>13.60</t>
  </si>
  <si>
    <t>18.50</t>
  </si>
  <si>
    <t>13.25</t>
  </si>
  <si>
    <t>45.70</t>
  </si>
  <si>
    <t>1.20</t>
  </si>
  <si>
    <t>8.40</t>
  </si>
  <si>
    <t>14.00</t>
  </si>
  <si>
    <t>3.80</t>
  </si>
  <si>
    <t>3.70</t>
  </si>
  <si>
    <t>17.20</t>
  </si>
  <si>
    <t>0.57</t>
  </si>
  <si>
    <t>0.13</t>
  </si>
  <si>
    <t>2.95</t>
  </si>
  <si>
    <t>7.86</t>
  </si>
  <si>
    <t>1.46</t>
  </si>
  <si>
    <t>0.34</t>
  </si>
  <si>
    <t>0.64</t>
  </si>
  <si>
    <t>0.30</t>
  </si>
  <si>
    <t>0.43</t>
  </si>
  <si>
    <t>26.00</t>
  </si>
  <si>
    <t>4.96</t>
  </si>
  <si>
    <t>8.30</t>
  </si>
  <si>
    <t>8.14</t>
  </si>
  <si>
    <t>17.35</t>
  </si>
  <si>
    <t>10.00</t>
  </si>
  <si>
    <t>2.99</t>
  </si>
  <si>
    <t>2.53</t>
  </si>
  <si>
    <t>18.40</t>
  </si>
  <si>
    <t>4.94</t>
  </si>
  <si>
    <t>7.90</t>
  </si>
  <si>
    <t>16.85</t>
  </si>
  <si>
    <t>1.99</t>
  </si>
  <si>
    <t>0.27</t>
  </si>
  <si>
    <t>0.25</t>
  </si>
  <si>
    <t>8.52</t>
  </si>
  <si>
    <t>12.60</t>
  </si>
  <si>
    <t>16.81</t>
  </si>
  <si>
    <t>3.90</t>
  </si>
  <si>
    <t>2.02</t>
  </si>
  <si>
    <t>17.05</t>
  </si>
  <si>
    <t>0.20</t>
  </si>
  <si>
    <t>3.21</t>
  </si>
  <si>
    <t>3.91</t>
  </si>
  <si>
    <t>1.35</t>
  </si>
  <si>
    <t>4.78</t>
  </si>
  <si>
    <t>4.08</t>
  </si>
  <si>
    <t>18.00</t>
  </si>
  <si>
    <t>0.83</t>
  </si>
  <si>
    <t>AEDU3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</si>
  <si>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</t>
  </si>
  <si>
    <t>43.00</t>
  </si>
  <si>
    <t>0.06</t>
  </si>
  <si>
    <t>1.75</t>
  </si>
  <si>
    <t>1.80</t>
  </si>
  <si>
    <t>1.84</t>
  </si>
  <si>
    <t>12.95</t>
  </si>
  <si>
    <t>41.00</t>
  </si>
  <si>
    <t xml:space="preserve">ANHANGUERA  -ON  </t>
  </si>
  <si>
    <t>Consumo Cíclico / Diversos / Serviços Educacionais</t>
  </si>
  <si>
    <t>BANESE      -ON</t>
  </si>
  <si>
    <t>BANESE      -PN</t>
  </si>
  <si>
    <t>MERC INVEST -ON</t>
  </si>
  <si>
    <t>MERC INVEST -PN</t>
  </si>
  <si>
    <t>BRB BANCO   -ON</t>
  </si>
  <si>
    <t>BRB BANCO   -PN</t>
  </si>
  <si>
    <t>48.80</t>
  </si>
  <si>
    <t>18.25</t>
  </si>
  <si>
    <t>19.19</t>
  </si>
  <si>
    <t>25.20</t>
  </si>
  <si>
    <t>31.60</t>
  </si>
  <si>
    <t>ENERGISA    -UNT</t>
  </si>
  <si>
    <t>ENERGISA    -ON</t>
  </si>
  <si>
    <t>ENERGISA    -PN</t>
  </si>
  <si>
    <t>8.80</t>
  </si>
  <si>
    <t>17.33</t>
  </si>
  <si>
    <t>3.28</t>
  </si>
  <si>
    <t>8.74</t>
  </si>
  <si>
    <t>18.49</t>
  </si>
  <si>
    <t>12.25</t>
  </si>
  <si>
    <t>7.40</t>
  </si>
  <si>
    <t>7.38</t>
  </si>
  <si>
    <t>MERC FINANC -ON</t>
  </si>
  <si>
    <t>MERC FINANC -PN</t>
  </si>
  <si>
    <t>3.61</t>
  </si>
  <si>
    <t>12.88</t>
  </si>
  <si>
    <t>14.45</t>
  </si>
  <si>
    <t xml:space="preserve">TELEF BRASIL-ON  </t>
  </si>
  <si>
    <t xml:space="preserve">TELEF BRASIL-PN  </t>
  </si>
  <si>
    <t>4.58</t>
  </si>
  <si>
    <t>MERC BRASIL -PN</t>
  </si>
  <si>
    <t>1.63</t>
  </si>
  <si>
    <t>2.30</t>
  </si>
  <si>
    <t>9.65</t>
  </si>
  <si>
    <t>2.97</t>
  </si>
  <si>
    <t>16.83</t>
  </si>
  <si>
    <t>16.45</t>
  </si>
  <si>
    <t>2.06</t>
  </si>
  <si>
    <t>12.37</t>
  </si>
  <si>
    <t>6.71</t>
  </si>
  <si>
    <t xml:space="preserve">GUARARAPES  -ON  </t>
  </si>
  <si>
    <t xml:space="preserve">GUARARAPES  -PN  </t>
  </si>
  <si>
    <t>5.29</t>
  </si>
  <si>
    <t>3.73</t>
  </si>
  <si>
    <t xml:space="preserve">NADIR FIGUEI-ON  </t>
  </si>
  <si>
    <t xml:space="preserve">NADIR FIGUEI-PN  </t>
  </si>
  <si>
    <t>0.16</t>
  </si>
  <si>
    <t>0.01</t>
  </si>
  <si>
    <t>Rótulos de Linha</t>
  </si>
  <si>
    <t>Total geral</t>
  </si>
  <si>
    <t>Tipo</t>
  </si>
  <si>
    <t>div</t>
  </si>
  <si>
    <t>Aprovação</t>
  </si>
  <si>
    <t>Pagamento</t>
  </si>
  <si>
    <t>Lucro p/Ação</t>
  </si>
  <si>
    <t>Provento p/Ação</t>
  </si>
  <si>
    <t>Líquido p/Ação</t>
  </si>
  <si>
    <t>Total Exercício</t>
  </si>
  <si>
    <t>jcp</t>
  </si>
  <si>
    <t>% Yield Exercício</t>
  </si>
  <si>
    <t>Média Pago</t>
  </si>
  <si>
    <t>Média Lucro p/Ação</t>
  </si>
  <si>
    <t>Prévia Pagamento</t>
  </si>
  <si>
    <t>% ROI Prev</t>
  </si>
  <si>
    <t>% ROI Last</t>
  </si>
  <si>
    <t>% Yield Médio</t>
  </si>
  <si>
    <t>18.61</t>
  </si>
  <si>
    <t>6.00</t>
  </si>
  <si>
    <t>11.29</t>
  </si>
  <si>
    <t>18.43</t>
  </si>
  <si>
    <t>13.63</t>
  </si>
  <si>
    <t>48.90</t>
  </si>
  <si>
    <t>35.94</t>
  </si>
  <si>
    <t>16.71</t>
  </si>
  <si>
    <t>1.31</t>
  </si>
  <si>
    <t>8.99</t>
  </si>
  <si>
    <t>7.81</t>
  </si>
  <si>
    <t>8.85</t>
  </si>
  <si>
    <t>12.00</t>
  </si>
  <si>
    <t>11.42</t>
  </si>
  <si>
    <t>11.51</t>
  </si>
  <si>
    <t>8.83</t>
  </si>
  <si>
    <t>8.16</t>
  </si>
  <si>
    <t>29.69</t>
  </si>
  <si>
    <t>16.80</t>
  </si>
  <si>
    <t>9.95</t>
  </si>
  <si>
    <t>9.96</t>
  </si>
  <si>
    <t>5.22</t>
  </si>
  <si>
    <t>18.64</t>
  </si>
  <si>
    <t>18.56</t>
  </si>
  <si>
    <t>16.91</t>
  </si>
  <si>
    <t>17.64</t>
  </si>
  <si>
    <t>17.75</t>
  </si>
  <si>
    <t>15.96</t>
  </si>
  <si>
    <t>18.51</t>
  </si>
  <si>
    <t>14.78</t>
  </si>
  <si>
    <t>14.95</t>
  </si>
  <si>
    <t>15.34</t>
  </si>
  <si>
    <t>10.27</t>
  </si>
  <si>
    <t>1.10</t>
  </si>
  <si>
    <t>4.04</t>
  </si>
  <si>
    <t>3.79</t>
  </si>
  <si>
    <t>10.50</t>
  </si>
  <si>
    <t>20.40</t>
  </si>
  <si>
    <t>3.71</t>
  </si>
  <si>
    <t>3.84</t>
  </si>
  <si>
    <t>3.52</t>
  </si>
  <si>
    <t>19.25</t>
  </si>
  <si>
    <t>29.57</t>
  </si>
  <si>
    <t>17.41</t>
  </si>
  <si>
    <t>14.70</t>
  </si>
  <si>
    <t>1.72</t>
  </si>
  <si>
    <t>0.56</t>
  </si>
  <si>
    <t>1.59</t>
  </si>
  <si>
    <t>1.55</t>
  </si>
  <si>
    <t>50.20</t>
  </si>
  <si>
    <t>1.54</t>
  </si>
  <si>
    <t>6.61</t>
  </si>
  <si>
    <t>3.40</t>
  </si>
  <si>
    <t>1.57</t>
  </si>
  <si>
    <t>2.34</t>
  </si>
  <si>
    <t>0.29</t>
  </si>
  <si>
    <t>8.95</t>
  </si>
  <si>
    <t>9.20</t>
  </si>
  <si>
    <t>13.27</t>
  </si>
  <si>
    <t>16.78</t>
  </si>
  <si>
    <t>17.10</t>
  </si>
  <si>
    <t>2.88</t>
  </si>
  <si>
    <t>0.87</t>
  </si>
  <si>
    <t>2.33</t>
  </si>
  <si>
    <t>0.76</t>
  </si>
  <si>
    <t>0.86</t>
  </si>
  <si>
    <t>13.34</t>
  </si>
  <si>
    <t>15.35</t>
  </si>
  <si>
    <t>165.29</t>
  </si>
  <si>
    <t>150.00</t>
  </si>
  <si>
    <t>160.00</t>
  </si>
  <si>
    <t>16.54</t>
  </si>
  <si>
    <t>11.40</t>
  </si>
  <si>
    <t>1.44</t>
  </si>
  <si>
    <t>0.62</t>
  </si>
  <si>
    <t>3.02</t>
  </si>
  <si>
    <t>15.85</t>
  </si>
  <si>
    <t>7.14</t>
  </si>
  <si>
    <t>6.96</t>
  </si>
  <si>
    <t>1.29</t>
  </si>
  <si>
    <t>1.49</t>
  </si>
  <si>
    <t>1.40</t>
  </si>
  <si>
    <t>2.96</t>
  </si>
  <si>
    <t>6.45</t>
  </si>
  <si>
    <t>2.72</t>
  </si>
  <si>
    <t>2.80</t>
  </si>
  <si>
    <t>4.69</t>
  </si>
  <si>
    <t>4.26</t>
  </si>
  <si>
    <t>16.09</t>
  </si>
  <si>
    <t>12.93</t>
  </si>
  <si>
    <t>83.79</t>
  </si>
  <si>
    <t>83.97</t>
  </si>
  <si>
    <t>80.11</t>
  </si>
  <si>
    <t>1.43</t>
  </si>
  <si>
    <t>102.50</t>
  </si>
  <si>
    <t>5.10</t>
  </si>
  <si>
    <t>5.37</t>
  </si>
  <si>
    <t>34.18</t>
  </si>
  <si>
    <t>0.04</t>
  </si>
  <si>
    <t>23.35</t>
  </si>
  <si>
    <t>4.31</t>
  </si>
  <si>
    <t>17.22</t>
  </si>
  <si>
    <t>4.29</t>
  </si>
  <si>
    <t>* % ROI A.A.</t>
  </si>
  <si>
    <t>outros</t>
  </si>
  <si>
    <t>restituição</t>
  </si>
  <si>
    <t>10.91</t>
  </si>
  <si>
    <t>6.80</t>
  </si>
  <si>
    <t>7.13</t>
  </si>
  <si>
    <t>19.03</t>
  </si>
  <si>
    <t>27.35</t>
  </si>
  <si>
    <t>11.35</t>
  </si>
  <si>
    <t>15.49</t>
  </si>
  <si>
    <t>8.53</t>
  </si>
  <si>
    <t>10.71</t>
  </si>
  <si>
    <t>2.39</t>
  </si>
  <si>
    <t>2.47</t>
  </si>
  <si>
    <t>19.29</t>
  </si>
  <si>
    <t>31.90</t>
  </si>
  <si>
    <t>18.78</t>
  </si>
  <si>
    <t>19.05</t>
  </si>
  <si>
    <t>44.50</t>
  </si>
  <si>
    <t>1.07</t>
  </si>
  <si>
    <t>18.91</t>
  </si>
  <si>
    <t>24.43</t>
  </si>
  <si>
    <t>46.50</t>
  </si>
  <si>
    <t>11.50</t>
  </si>
  <si>
    <t>49.90</t>
  </si>
  <si>
    <t>50.29</t>
  </si>
  <si>
    <t>3.39</t>
  </si>
  <si>
    <t>11.47</t>
  </si>
  <si>
    <t>2.38</t>
  </si>
  <si>
    <t>0.55</t>
  </si>
  <si>
    <t>8.76</t>
  </si>
  <si>
    <t>166.00</t>
  </si>
  <si>
    <t>16.75</t>
  </si>
  <si>
    <t>17.31</t>
  </si>
  <si>
    <t>17.30</t>
  </si>
  <si>
    <t>2.17</t>
  </si>
  <si>
    <t>31.43</t>
  </si>
  <si>
    <t>31.62</t>
  </si>
  <si>
    <t>14.59</t>
  </si>
  <si>
    <t>3.98</t>
  </si>
  <si>
    <t>4.03</t>
  </si>
  <si>
    <t>2.94</t>
  </si>
  <si>
    <t>13.02</t>
  </si>
  <si>
    <t>5.70</t>
  </si>
  <si>
    <t>3.42</t>
  </si>
  <si>
    <t>13.19</t>
  </si>
  <si>
    <t>16.58</t>
  </si>
  <si>
    <t>8.37</t>
  </si>
  <si>
    <t>16.96</t>
  </si>
  <si>
    <t>41.50</t>
  </si>
  <si>
    <t>14.87</t>
  </si>
  <si>
    <t>Média de Cotação</t>
  </si>
  <si>
    <t>Div</t>
  </si>
  <si>
    <t>Jcp</t>
  </si>
  <si>
    <t>Total Div</t>
  </si>
  <si>
    <t>Total Jcp</t>
  </si>
  <si>
    <t>4.79</t>
  </si>
  <si>
    <t>4.77</t>
  </si>
  <si>
    <t>13.07</t>
  </si>
  <si>
    <t>12.97</t>
  </si>
  <si>
    <t>1.32</t>
  </si>
  <si>
    <t>1.28</t>
  </si>
  <si>
    <t>18.82</t>
  </si>
  <si>
    <t>19.17</t>
  </si>
  <si>
    <t>24.52</t>
  </si>
  <si>
    <t>32.98</t>
  </si>
  <si>
    <t>18.03</t>
  </si>
  <si>
    <t>18.27</t>
  </si>
  <si>
    <t>17.93</t>
  </si>
  <si>
    <t>16.73</t>
  </si>
  <si>
    <t>12.83</t>
  </si>
  <si>
    <t>7.88</t>
  </si>
  <si>
    <t>0.68</t>
  </si>
  <si>
    <t>10.31</t>
  </si>
  <si>
    <t>10.25</t>
  </si>
  <si>
    <t>7.07</t>
  </si>
  <si>
    <t>7.04</t>
  </si>
  <si>
    <t>14.03</t>
  </si>
  <si>
    <t>14.02</t>
  </si>
  <si>
    <t>14.09</t>
  </si>
  <si>
    <t>17.55</t>
  </si>
  <si>
    <t>1.91</t>
  </si>
  <si>
    <t>1.38</t>
  </si>
  <si>
    <t>5.23</t>
  </si>
  <si>
    <t>0.71</t>
  </si>
  <si>
    <t>35.99</t>
  </si>
  <si>
    <t>36.30</t>
  </si>
  <si>
    <t>10.20</t>
  </si>
  <si>
    <t>20.08</t>
  </si>
  <si>
    <t>20.10</t>
  </si>
  <si>
    <t>19.90</t>
  </si>
  <si>
    <t>14.80</t>
  </si>
  <si>
    <t>23.74</t>
  </si>
  <si>
    <t>22.80</t>
  </si>
  <si>
    <t>4.28</t>
  </si>
  <si>
    <t>8.04</t>
  </si>
  <si>
    <t>8.07</t>
  </si>
  <si>
    <t>7.95</t>
  </si>
  <si>
    <t>17.01</t>
  </si>
  <si>
    <t>17.12</t>
  </si>
  <si>
    <t>4.47</t>
  </si>
  <si>
    <t>4.59</t>
  </si>
  <si>
    <t>84.40</t>
  </si>
  <si>
    <t>85.38</t>
  </si>
  <si>
    <t>12.51</t>
  </si>
  <si>
    <t>12.56</t>
  </si>
  <si>
    <t>12.21</t>
  </si>
  <si>
    <t>Média de % Yield</t>
  </si>
  <si>
    <t>* Média LPA</t>
  </si>
  <si>
    <t>Média Proventos</t>
  </si>
  <si>
    <t>11.20</t>
  </si>
  <si>
    <t>11.19</t>
  </si>
  <si>
    <t>10.90</t>
  </si>
  <si>
    <t>19.02</t>
  </si>
  <si>
    <t>19.77</t>
  </si>
  <si>
    <t>18.96</t>
  </si>
  <si>
    <t>28.76</t>
  </si>
  <si>
    <t>29.14</t>
  </si>
  <si>
    <t>29.36</t>
  </si>
  <si>
    <t>28.72</t>
  </si>
  <si>
    <t>27.25</t>
  </si>
  <si>
    <t>27.48</t>
  </si>
  <si>
    <t>27.59</t>
  </si>
  <si>
    <t>27.02</t>
  </si>
  <si>
    <t>7.15</t>
  </si>
  <si>
    <t>25.08</t>
  </si>
  <si>
    <t>5.68</t>
  </si>
  <si>
    <t>5.69</t>
  </si>
  <si>
    <t>5.64</t>
  </si>
  <si>
    <t>11.31</t>
  </si>
  <si>
    <t>11.43</t>
  </si>
  <si>
    <t>11.56</t>
  </si>
  <si>
    <t>11.18</t>
  </si>
  <si>
    <t>22.13</t>
  </si>
  <si>
    <t>22.65</t>
  </si>
  <si>
    <t>22.12</t>
  </si>
  <si>
    <t>21.84</t>
  </si>
  <si>
    <t>22.76</t>
  </si>
  <si>
    <t>22.81</t>
  </si>
  <si>
    <t>15.47</t>
  </si>
  <si>
    <t>13.72</t>
  </si>
  <si>
    <t>13.78</t>
  </si>
  <si>
    <t>13.56</t>
  </si>
  <si>
    <t>13.45</t>
  </si>
  <si>
    <t>13.50</t>
  </si>
  <si>
    <t>13.57</t>
  </si>
  <si>
    <t>35.97</t>
  </si>
  <si>
    <t>36.28</t>
  </si>
  <si>
    <t>35.86</t>
  </si>
  <si>
    <t>17.09</t>
  </si>
  <si>
    <t>18.42</t>
  </si>
  <si>
    <t>25.73</t>
  </si>
  <si>
    <t>26.32</t>
  </si>
  <si>
    <t>26.57</t>
  </si>
  <si>
    <t>33.58</t>
  </si>
  <si>
    <t>34.78</t>
  </si>
  <si>
    <t>35.08</t>
  </si>
  <si>
    <t>33.23</t>
  </si>
  <si>
    <t>8.54</t>
  </si>
  <si>
    <t>8.58</t>
  </si>
  <si>
    <t>5.35</t>
  </si>
  <si>
    <t>9.45</t>
  </si>
  <si>
    <t>9.67</t>
  </si>
  <si>
    <t>9.70</t>
  </si>
  <si>
    <t>7.94</t>
  </si>
  <si>
    <t>8.01</t>
  </si>
  <si>
    <t>9.04</t>
  </si>
  <si>
    <t>9.12</t>
  </si>
  <si>
    <t>1.94</t>
  </si>
  <si>
    <t>15.24</t>
  </si>
  <si>
    <t>19.24</t>
  </si>
  <si>
    <t>19.20</t>
  </si>
  <si>
    <t>18.97</t>
  </si>
  <si>
    <t>11.48</t>
  </si>
  <si>
    <t>11.09</t>
  </si>
  <si>
    <t>10.98</t>
  </si>
  <si>
    <t>53.00</t>
  </si>
  <si>
    <t>14.84</t>
  </si>
  <si>
    <t>14.88</t>
  </si>
  <si>
    <t>14.64</t>
  </si>
  <si>
    <t>17.28</t>
  </si>
  <si>
    <t>16.99</t>
  </si>
  <si>
    <t>17.34</t>
  </si>
  <si>
    <t>8.62</t>
  </si>
  <si>
    <t>8.23</t>
  </si>
  <si>
    <t>8.18</t>
  </si>
  <si>
    <t>29.75</t>
  </si>
  <si>
    <t>29.07</t>
  </si>
  <si>
    <t>30.37</t>
  </si>
  <si>
    <t>30.67</t>
  </si>
  <si>
    <t>30.86</t>
  </si>
  <si>
    <t>30.27</t>
  </si>
  <si>
    <t>11.24</t>
  </si>
  <si>
    <t>11.39</t>
  </si>
  <si>
    <t>10.88</t>
  </si>
  <si>
    <t>17.23</t>
  </si>
  <si>
    <t>7.48</t>
  </si>
  <si>
    <t>7.59</t>
  </si>
  <si>
    <t>7.60</t>
  </si>
  <si>
    <t>7.32</t>
  </si>
  <si>
    <t>31.95</t>
  </si>
  <si>
    <t>32.77</t>
  </si>
  <si>
    <t>32.93</t>
  </si>
  <si>
    <t>31.92</t>
  </si>
  <si>
    <t>5.13</t>
  </si>
  <si>
    <t>5.39</t>
  </si>
  <si>
    <t>5.31</t>
  </si>
  <si>
    <t>20.98</t>
  </si>
  <si>
    <t>21.05</t>
  </si>
  <si>
    <t>21.30</t>
  </si>
  <si>
    <t>20.59</t>
  </si>
  <si>
    <t>8.92</t>
  </si>
  <si>
    <t>8.98</t>
  </si>
  <si>
    <t>18.76</t>
  </si>
  <si>
    <t>32.75</t>
  </si>
  <si>
    <t>32.65</t>
  </si>
  <si>
    <t>33.30</t>
  </si>
  <si>
    <t>32.19</t>
  </si>
  <si>
    <t>23.79</t>
  </si>
  <si>
    <t>23.59</t>
  </si>
  <si>
    <t>24.33</t>
  </si>
  <si>
    <t>23.48</t>
  </si>
  <si>
    <t>17.69</t>
  </si>
  <si>
    <t>23.29</t>
  </si>
  <si>
    <t>23.80</t>
  </si>
  <si>
    <t>23.97</t>
  </si>
  <si>
    <t>23.21</t>
  </si>
  <si>
    <t>15.90</t>
  </si>
  <si>
    <t>19.14</t>
  </si>
  <si>
    <t>18.79</t>
  </si>
  <si>
    <t>44.55</t>
  </si>
  <si>
    <t>43.85</t>
  </si>
  <si>
    <t>15.10</t>
  </si>
  <si>
    <t>12.32</t>
  </si>
  <si>
    <t>12.76</t>
  </si>
  <si>
    <t>13.20</t>
  </si>
  <si>
    <t>12.30</t>
  </si>
  <si>
    <t>16.38</t>
  </si>
  <si>
    <t>15.82</t>
  </si>
  <si>
    <t>18.20</t>
  </si>
  <si>
    <t>18.12</t>
  </si>
  <si>
    <t>16.76</t>
  </si>
  <si>
    <t>16.66</t>
  </si>
  <si>
    <t>10.34</t>
  </si>
  <si>
    <t>10.44</t>
  </si>
  <si>
    <t>10.21</t>
  </si>
  <si>
    <t>68.90</t>
  </si>
  <si>
    <t>69.51</t>
  </si>
  <si>
    <t>69.80</t>
  </si>
  <si>
    <t>68.33</t>
  </si>
  <si>
    <t>33.01</t>
  </si>
  <si>
    <t>33.70</t>
  </si>
  <si>
    <t>32.90</t>
  </si>
  <si>
    <t>24.41</t>
  </si>
  <si>
    <t>25.23</t>
  </si>
  <si>
    <t>25.43</t>
  </si>
  <si>
    <t>10.68</t>
  </si>
  <si>
    <t>10.75</t>
  </si>
  <si>
    <t>10.55</t>
  </si>
  <si>
    <t>5.12</t>
  </si>
  <si>
    <t>20.61</t>
  </si>
  <si>
    <t>21.06</t>
  </si>
  <si>
    <t>7.39</t>
  </si>
  <si>
    <t>4.98</t>
  </si>
  <si>
    <t>5.05</t>
  </si>
  <si>
    <t>46.99</t>
  </si>
  <si>
    <t>46.34</t>
  </si>
  <si>
    <t>47.12</t>
  </si>
  <si>
    <t>46.12</t>
  </si>
  <si>
    <t>3.81</t>
  </si>
  <si>
    <t>3.48</t>
  </si>
  <si>
    <t>3.49</t>
  </si>
  <si>
    <t>12.35</t>
  </si>
  <si>
    <t>12.34</t>
  </si>
  <si>
    <t>13.53</t>
  </si>
  <si>
    <t>7.85</t>
  </si>
  <si>
    <t>8.43</t>
  </si>
  <si>
    <t>8.28</t>
  </si>
  <si>
    <t>35.70</t>
  </si>
  <si>
    <t>35.81</t>
  </si>
  <si>
    <t>36.29</t>
  </si>
  <si>
    <t>35.49</t>
  </si>
  <si>
    <t>29.76</t>
  </si>
  <si>
    <t>29.90</t>
  </si>
  <si>
    <t>29.67</t>
  </si>
  <si>
    <t>17.70</t>
  </si>
  <si>
    <t>18.02</t>
  </si>
  <si>
    <t>17.61</t>
  </si>
  <si>
    <t>14.71</t>
  </si>
  <si>
    <t>14.69</t>
  </si>
  <si>
    <t>1.76</t>
  </si>
  <si>
    <t>11.32</t>
  </si>
  <si>
    <t>12.69</t>
  </si>
  <si>
    <t>12.55</t>
  </si>
  <si>
    <t>51.65</t>
  </si>
  <si>
    <t>52.57</t>
  </si>
  <si>
    <t>53.17</t>
  </si>
  <si>
    <t>51.08</t>
  </si>
  <si>
    <t>26.50</t>
  </si>
  <si>
    <t>26.64</t>
  </si>
  <si>
    <t>26.88</t>
  </si>
  <si>
    <t>26.24</t>
  </si>
  <si>
    <t>38.28</t>
  </si>
  <si>
    <t>38.35</t>
  </si>
  <si>
    <t>38.45</t>
  </si>
  <si>
    <t>38.04</t>
  </si>
  <si>
    <t>44.52</t>
  </si>
  <si>
    <t>44.82</t>
  </si>
  <si>
    <t>44.92</t>
  </si>
  <si>
    <t>44.27</t>
  </si>
  <si>
    <t>1.67</t>
  </si>
  <si>
    <t>1.69</t>
  </si>
  <si>
    <t>40.38</t>
  </si>
  <si>
    <t>50.66</t>
  </si>
  <si>
    <t>49.99</t>
  </si>
  <si>
    <t>50.87</t>
  </si>
  <si>
    <t>49.84</t>
  </si>
  <si>
    <t>4.42</t>
  </si>
  <si>
    <t>4.35</t>
  </si>
  <si>
    <t>4.50</t>
  </si>
  <si>
    <t>3.41</t>
  </si>
  <si>
    <t>3.50</t>
  </si>
  <si>
    <t>3.57</t>
  </si>
  <si>
    <t>11.76</t>
  </si>
  <si>
    <t>11.79</t>
  </si>
  <si>
    <t>1.56</t>
  </si>
  <si>
    <t>46.98</t>
  </si>
  <si>
    <t>46.22</t>
  </si>
  <si>
    <t>2.32</t>
  </si>
  <si>
    <t>2.36</t>
  </si>
  <si>
    <t>32.28</t>
  </si>
  <si>
    <t>34.04</t>
  </si>
  <si>
    <t>34.10</t>
  </si>
  <si>
    <t>32.21</t>
  </si>
  <si>
    <t>0.26</t>
  </si>
  <si>
    <t>9.86</t>
  </si>
  <si>
    <t>9.73</t>
  </si>
  <si>
    <t>8.31</t>
  </si>
  <si>
    <t>8.51</t>
  </si>
  <si>
    <t>8.59</t>
  </si>
  <si>
    <t>9.22</t>
  </si>
  <si>
    <t>9.52</t>
  </si>
  <si>
    <t>9.58</t>
  </si>
  <si>
    <t>9.15</t>
  </si>
  <si>
    <t>11.38</t>
  </si>
  <si>
    <t>14.20</t>
  </si>
  <si>
    <t>14.33</t>
  </si>
  <si>
    <t>13.82</t>
  </si>
  <si>
    <t>17.27</t>
  </si>
  <si>
    <t>0.53</t>
  </si>
  <si>
    <t>3.11</t>
  </si>
  <si>
    <t>3.13</t>
  </si>
  <si>
    <t>0.91</t>
  </si>
  <si>
    <t>0.93</t>
  </si>
  <si>
    <t>0.94</t>
  </si>
  <si>
    <t>2.68</t>
  </si>
  <si>
    <t>2.85</t>
  </si>
  <si>
    <t>2.63</t>
  </si>
  <si>
    <t>24.85</t>
  </si>
  <si>
    <t>25.06</t>
  </si>
  <si>
    <t>24.27</t>
  </si>
  <si>
    <t>55.80</t>
  </si>
  <si>
    <t>56.11</t>
  </si>
  <si>
    <t>56.94</t>
  </si>
  <si>
    <t>54.95</t>
  </si>
  <si>
    <t>7.92</t>
  </si>
  <si>
    <t>7.72</t>
  </si>
  <si>
    <t>14.12</t>
  </si>
  <si>
    <t>13.64</t>
  </si>
  <si>
    <t>14.60</t>
  </si>
  <si>
    <t>13.40</t>
  </si>
  <si>
    <t>19.30</t>
  </si>
  <si>
    <t>19.12</t>
  </si>
  <si>
    <t>8.82</t>
  </si>
  <si>
    <t>8.68</t>
  </si>
  <si>
    <t>20.37</t>
  </si>
  <si>
    <t>21.41</t>
  </si>
  <si>
    <t>20.36</t>
  </si>
  <si>
    <t>16.15</t>
  </si>
  <si>
    <t>16.31</t>
  </si>
  <si>
    <t>36.81</t>
  </si>
  <si>
    <t>35.80</t>
  </si>
  <si>
    <t>21.22</t>
  </si>
  <si>
    <t>21.34</t>
  </si>
  <si>
    <t>21.55</t>
  </si>
  <si>
    <t>21.09</t>
  </si>
  <si>
    <t>13.62</t>
  </si>
  <si>
    <t>15.51</t>
  </si>
  <si>
    <t>15.20</t>
  </si>
  <si>
    <t>25.07</t>
  </si>
  <si>
    <t>15.76</t>
  </si>
  <si>
    <t>16.16</t>
  </si>
  <si>
    <t>15.66</t>
  </si>
  <si>
    <t>17.82</t>
  </si>
  <si>
    <t>16.92</t>
  </si>
  <si>
    <t>4.61</t>
  </si>
  <si>
    <t>17.80</t>
  </si>
  <si>
    <t>96.56</t>
  </si>
  <si>
    <t>97.04</t>
  </si>
  <si>
    <t>97.64</t>
  </si>
  <si>
    <t>96.26</t>
  </si>
  <si>
    <t>16.60</t>
  </si>
  <si>
    <t>9.83</t>
  </si>
  <si>
    <t>9.74</t>
  </si>
  <si>
    <t>3.95</t>
  </si>
  <si>
    <t>26.41</t>
  </si>
  <si>
    <t>26.65</t>
  </si>
  <si>
    <t>25.92</t>
  </si>
  <si>
    <t>11.15</t>
  </si>
  <si>
    <t>12.24</t>
  </si>
  <si>
    <t>12.43</t>
  </si>
  <si>
    <t>12.18</t>
  </si>
  <si>
    <t>13.18</t>
  </si>
  <si>
    <t>13.13</t>
  </si>
  <si>
    <t>25.59</t>
  </si>
  <si>
    <t>25.66</t>
  </si>
  <si>
    <t>25.83</t>
  </si>
  <si>
    <t>25.24</t>
  </si>
  <si>
    <t>360.00</t>
  </si>
  <si>
    <t>17.18</t>
  </si>
  <si>
    <t>3.16</t>
  </si>
  <si>
    <t>1.64</t>
  </si>
  <si>
    <t>2.14</t>
  </si>
  <si>
    <t>2.26</t>
  </si>
  <si>
    <t>14.10</t>
  </si>
  <si>
    <t>14.17</t>
  </si>
  <si>
    <t>12.45</t>
  </si>
  <si>
    <t>12.61</t>
  </si>
  <si>
    <t>9.30</t>
  </si>
  <si>
    <t>9.55</t>
  </si>
  <si>
    <t>9.60</t>
  </si>
  <si>
    <t>6.84</t>
  </si>
  <si>
    <t>7.05</t>
  </si>
  <si>
    <t>26.04</t>
  </si>
  <si>
    <t>25.91</t>
  </si>
  <si>
    <t>25.34</t>
  </si>
  <si>
    <t>3.10</t>
  </si>
  <si>
    <t>90.90</t>
  </si>
  <si>
    <t>90.50</t>
  </si>
  <si>
    <t>80.02</t>
  </si>
  <si>
    <t>81.90</t>
  </si>
  <si>
    <t>82.00</t>
  </si>
  <si>
    <t>6.78</t>
  </si>
  <si>
    <t>6.81</t>
  </si>
  <si>
    <t>27.17</t>
  </si>
  <si>
    <t>26.77</t>
  </si>
  <si>
    <t>5.09</t>
  </si>
  <si>
    <t>2.54</t>
  </si>
  <si>
    <t>16.35</t>
  </si>
  <si>
    <t>16.44</t>
  </si>
  <si>
    <t>4.01</t>
  </si>
  <si>
    <t>6.08</t>
  </si>
  <si>
    <t>6.13</t>
  </si>
  <si>
    <t>5.97</t>
  </si>
  <si>
    <t>59.45</t>
  </si>
  <si>
    <t>59.20</t>
  </si>
  <si>
    <t>59.76</t>
  </si>
  <si>
    <t>58.64</t>
  </si>
  <si>
    <t>6.20</t>
  </si>
  <si>
    <t>6.05</t>
  </si>
  <si>
    <t>7.29</t>
  </si>
  <si>
    <t>7.02</t>
  </si>
  <si>
    <t>27.80</t>
  </si>
  <si>
    <t>1.30</t>
  </si>
  <si>
    <t>9.82</t>
  </si>
  <si>
    <t>31.55</t>
  </si>
  <si>
    <t>31.08</t>
  </si>
  <si>
    <t>1.48</t>
  </si>
  <si>
    <t>4.48</t>
  </si>
  <si>
    <t>4.38</t>
  </si>
  <si>
    <t>17.24</t>
  </si>
  <si>
    <t>19.82</t>
  </si>
  <si>
    <t>0.37</t>
  </si>
  <si>
    <t>0.36</t>
  </si>
  <si>
    <t>7.18</t>
  </si>
  <si>
    <t>14.98</t>
  </si>
  <si>
    <t>14.83</t>
  </si>
  <si>
    <t>3.97</t>
  </si>
  <si>
    <t>0.19</t>
  </si>
  <si>
    <t>22.57</t>
  </si>
  <si>
    <t>22.56</t>
  </si>
  <si>
    <t>4.91</t>
  </si>
  <si>
    <t>5.03</t>
  </si>
  <si>
    <t>1.98</t>
  </si>
  <si>
    <t>18.60</t>
  </si>
  <si>
    <t>3.34</t>
  </si>
  <si>
    <t>1.97</t>
  </si>
  <si>
    <t>25.48</t>
  </si>
  <si>
    <t>25.54</t>
  </si>
  <si>
    <t>31.78</t>
  </si>
  <si>
    <t>31.57</t>
  </si>
  <si>
    <t>18.08</t>
  </si>
  <si>
    <t>12.70</t>
  </si>
  <si>
    <t>7.03</t>
  </si>
  <si>
    <t>8.48</t>
  </si>
  <si>
    <t>8.56</t>
  </si>
  <si>
    <t>13.96</t>
  </si>
  <si>
    <t>13.91</t>
  </si>
  <si>
    <t>17.66</t>
  </si>
  <si>
    <t>17.89</t>
  </si>
  <si>
    <t>1.93</t>
  </si>
  <si>
    <t>35.66</t>
  </si>
  <si>
    <t>10.05</t>
  </si>
  <si>
    <t>31.17</t>
  </si>
  <si>
    <t>19.86</t>
  </si>
  <si>
    <t>19.76</t>
  </si>
  <si>
    <t>14.57</t>
  </si>
  <si>
    <t>23.76</t>
  </si>
  <si>
    <t>23.82</t>
  </si>
  <si>
    <t>22.86</t>
  </si>
  <si>
    <t>22.99</t>
  </si>
  <si>
    <t>22.41</t>
  </si>
  <si>
    <t>4.27</t>
  </si>
  <si>
    <t>4.19</t>
  </si>
  <si>
    <t>4.43</t>
  </si>
  <si>
    <t>83.57</t>
  </si>
  <si>
    <t>82.87</t>
  </si>
  <si>
    <t>12.29</t>
  </si>
  <si>
    <t>12.16</t>
  </si>
</sst>
</file>

<file path=xl/styles.xml><?xml version="1.0" encoding="utf-8"?>
<styleSheet xmlns="http://schemas.openxmlformats.org/spreadsheetml/2006/main">
  <numFmts count="12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  <numFmt numFmtId="171" formatCode="_-* #,##0.00000_-;\-* #,##0.00000_-;_-* &quot;-&quot;??_-;_-@_-"/>
    <numFmt numFmtId="172" formatCode="#,##0.00000_);\(#,##0.00000\)"/>
    <numFmt numFmtId="173" formatCode="0.000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0" fontId="11" fillId="0" borderId="0" xfId="0" applyNumberFormat="1" applyFont="1"/>
    <xf numFmtId="0" fontId="11" fillId="0" borderId="0" xfId="2" applyNumberFormat="1" applyFont="1"/>
    <xf numFmtId="165" fontId="11" fillId="0" borderId="0" xfId="2" applyFont="1"/>
    <xf numFmtId="167" fontId="11" fillId="0" borderId="0" xfId="1" applyNumberFormat="1" applyFont="1"/>
    <xf numFmtId="9" fontId="11" fillId="0" borderId="0" xfId="3" applyNumberFormat="1" applyFont="1"/>
    <xf numFmtId="0" fontId="11" fillId="0" borderId="0" xfId="3" applyNumberFormat="1" applyFont="1"/>
    <xf numFmtId="10" fontId="11" fillId="0" borderId="0" xfId="3" applyNumberFormat="1" applyFont="1"/>
    <xf numFmtId="44" fontId="11" fillId="0" borderId="0" xfId="3" applyNumberFormat="1" applyFont="1"/>
    <xf numFmtId="44" fontId="11" fillId="0" borderId="0" xfId="0" applyNumberFormat="1" applyFont="1"/>
    <xf numFmtId="165" fontId="11" fillId="0" borderId="0" xfId="0" applyNumberFormat="1" applyFont="1"/>
    <xf numFmtId="165" fontId="11" fillId="0" borderId="0" xfId="2" applyNumberFormat="1" applyFont="1"/>
    <xf numFmtId="170" fontId="11" fillId="0" borderId="0" xfId="0" applyNumberFormat="1" applyFont="1"/>
    <xf numFmtId="170" fontId="11" fillId="0" borderId="0" xfId="2" applyNumberFormat="1" applyFont="1"/>
    <xf numFmtId="165" fontId="12" fillId="0" borderId="0" xfId="0" applyNumberFormat="1" applyFont="1"/>
    <xf numFmtId="9" fontId="11" fillId="0" borderId="0" xfId="0" applyNumberFormat="1" applyFont="1"/>
    <xf numFmtId="10" fontId="11" fillId="0" borderId="0" xfId="0" applyNumberFormat="1" applyFont="1"/>
    <xf numFmtId="165" fontId="2" fillId="0" borderId="0" xfId="1" applyNumberFormat="1" applyFont="1"/>
    <xf numFmtId="0" fontId="13" fillId="0" borderId="0" xfId="5" applyNumberFormat="1" applyFont="1" applyAlignment="1" applyProtection="1"/>
    <xf numFmtId="0" fontId="13" fillId="0" borderId="0" xfId="5" applyNumberFormat="1" applyFont="1" applyBorder="1" applyAlignment="1" applyProtection="1"/>
    <xf numFmtId="0" fontId="13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1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1" fillId="0" borderId="0" xfId="3" applyNumberFormat="1" applyFont="1"/>
    <xf numFmtId="44" fontId="2" fillId="0" borderId="2" xfId="0" applyNumberFormat="1" applyFont="1" applyBorder="1"/>
    <xf numFmtId="14" fontId="2" fillId="0" borderId="0" xfId="2" applyNumberFormat="1" applyFont="1" applyBorder="1"/>
    <xf numFmtId="44" fontId="2" fillId="0" borderId="0" xfId="1" applyNumberFormat="1" applyFont="1" applyBorder="1"/>
    <xf numFmtId="168" fontId="2" fillId="0" borderId="0" xfId="0" applyNumberFormat="1" applyFont="1" applyBorder="1"/>
    <xf numFmtId="0" fontId="15" fillId="0" borderId="0" xfId="5" applyNumberFormat="1" applyFont="1" applyBorder="1" applyAlignment="1" applyProtection="1"/>
    <xf numFmtId="168" fontId="2" fillId="0" borderId="0" xfId="1" applyNumberFormat="1" applyFont="1" applyBorder="1"/>
    <xf numFmtId="171" fontId="2" fillId="0" borderId="0" xfId="1" applyNumberFormat="1" applyFont="1" applyBorder="1"/>
    <xf numFmtId="165" fontId="2" fillId="0" borderId="0" xfId="1" applyNumberFormat="1" applyFont="1" applyBorder="1"/>
    <xf numFmtId="0" fontId="16" fillId="0" borderId="0" xfId="0" applyFont="1"/>
    <xf numFmtId="0" fontId="17" fillId="0" borderId="0" xfId="2" applyNumberFormat="1" applyFont="1"/>
    <xf numFmtId="0" fontId="2" fillId="0" borderId="0" xfId="1" applyNumberFormat="1" applyFont="1" applyBorder="1"/>
    <xf numFmtId="0" fontId="15" fillId="0" borderId="0" xfId="5" applyFont="1" applyAlignment="1" applyProtection="1"/>
    <xf numFmtId="0" fontId="15" fillId="0" borderId="0" xfId="5" applyNumberFormat="1" applyFont="1" applyAlignment="1" applyProtection="1"/>
    <xf numFmtId="0" fontId="16" fillId="0" borderId="0" xfId="0" applyFont="1" applyBorder="1"/>
    <xf numFmtId="0" fontId="16" fillId="0" borderId="0" xfId="2" applyNumberFormat="1" applyFont="1" applyBorder="1"/>
    <xf numFmtId="0" fontId="16" fillId="0" borderId="0" xfId="0" applyNumberFormat="1" applyFont="1" applyBorder="1"/>
    <xf numFmtId="171" fontId="2" fillId="0" borderId="0" xfId="0" applyNumberFormat="1" applyFont="1" applyBorder="1"/>
    <xf numFmtId="171" fontId="2" fillId="0" borderId="0" xfId="3" applyNumberFormat="1" applyFont="1" applyBorder="1"/>
    <xf numFmtId="14" fontId="2" fillId="0" borderId="0" xfId="1" applyNumberFormat="1" applyFont="1" applyBorder="1"/>
    <xf numFmtId="171" fontId="2" fillId="0" borderId="2" xfId="1" applyNumberFormat="1" applyFont="1" applyBorder="1"/>
    <xf numFmtId="172" fontId="0" fillId="0" borderId="0" xfId="0" applyNumberFormat="1"/>
    <xf numFmtId="173" fontId="0" fillId="0" borderId="0" xfId="0" applyNumberFormat="1"/>
    <xf numFmtId="165" fontId="2" fillId="0" borderId="2" xfId="2" applyFont="1" applyBorder="1"/>
    <xf numFmtId="165" fontId="2" fillId="0" borderId="2" xfId="1" applyNumberFormat="1" applyFont="1" applyBorder="1"/>
    <xf numFmtId="165" fontId="2" fillId="3" borderId="0" xfId="1" applyNumberFormat="1" applyFont="1" applyFill="1" applyBorder="1"/>
    <xf numFmtId="165" fontId="2" fillId="0" borderId="3" xfId="1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Calibri"/>
        <scheme val="none"/>
      </font>
      <numFmt numFmtId="0" formatCode="General"/>
      <alignment horizontal="general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716.387940046297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3">
        <d v="2014-01-06T00:00:00"/>
        <d v="2014-02-03T00:00:00"/>
        <d v="2014-03-18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18"/>
    </cacheField>
    <cacheField name="Mês" numFmtId="0">
      <sharedItems containsSemiMixedTypes="0" containsString="0" containsNumber="1" containsInteger="1" minValue="1" maxValue="3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1200"/>
    </cacheField>
    <cacheField name="Preço Médio" numFmtId="168">
      <sharedItems containsSemiMixedTypes="0" containsString="0" containsNumber="1" minValue="0.46165555555555554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718.461801851852" createdVersion="3" refreshedVersion="3" minRefreshableVersion="3" recordCount="1100">
  <cacheSource type="worksheet">
    <worksheetSource name="Tabela8"/>
  </cacheSource>
  <cacheFields count="26">
    <cacheField name="Classificação Setorial" numFmtId="0">
      <sharedItems/>
    </cacheField>
    <cacheField name="Papel" numFmtId="0">
      <sharedItems count="519">
        <s v="ABCB3"/>
        <s v="ABCB4"/>
        <s v="ABEV3"/>
        <s v="ABRE11"/>
        <s v="ABRE3"/>
        <s v="ABRE4"/>
        <s v="AEDU3"/>
        <s v="AELP3"/>
        <s v="AFLT3"/>
        <s v="AFLU3"/>
        <s v="AFLU5"/>
        <s v="AFLU6"/>
        <s v="AGRO3"/>
        <s v="AHEB3"/>
        <s v="AHEB5"/>
        <s v="AHEB6"/>
        <s v="ALLL3"/>
        <s v="ALPA3"/>
        <s v="ALPA4"/>
        <s v="ALSC3"/>
        <s v="ALUP11"/>
        <s v="ALUP3"/>
        <s v="ALUP4"/>
        <s v="AMAR3"/>
        <s v="ARTR3"/>
        <s v="ARZZ3"/>
        <s v="AUTM3"/>
        <s v="AZEV3"/>
        <s v="AZEV4"/>
        <s v="BAHI3"/>
        <s v="BALM3"/>
        <s v="BALM4"/>
        <s v="BAUH3"/>
        <s v="BAUH4"/>
        <s v="BAZA3"/>
        <s v="BBDC3"/>
        <s v="BBDC4"/>
        <s v="BBRK3"/>
        <s v="BBSE3"/>
        <s v="BDLL3"/>
        <s v="BDLL4"/>
        <s v="BEEF3"/>
        <s v="BEES3"/>
        <s v="BEES4"/>
        <s v="BEMA3"/>
        <s v="BGIP3"/>
        <s v="BGIP4"/>
        <s v="BICB3"/>
        <s v="BICB4"/>
        <s v="BIOM3M"/>
        <s v="BISA3"/>
        <s v="BMEB3"/>
        <s v="BMEB4"/>
        <s v="BMIN3"/>
        <s v="BMIN4"/>
        <s v="BMKS3"/>
        <s v="BMTO3"/>
        <s v="BMTO4"/>
        <s v="BNBR3"/>
        <s v="BNBR4"/>
        <s v="BOBR3"/>
        <s v="BOBR4"/>
        <s v="BPHA3"/>
        <s v="BPMN3"/>
        <s v="BPMN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EV3"/>
        <s v="BSLI3"/>
        <s v="BSLI4"/>
        <s v="BTOW3"/>
        <s v="BTTL3"/>
        <s v="BTTL4"/>
        <s v="BVMF3"/>
        <s v="CALI3"/>
        <s v="CALI4"/>
        <s v="CAMB3"/>
        <s v="CAMB4"/>
        <s v="CARD3"/>
        <s v="CASN3"/>
        <s v="CASN4"/>
        <s v="CBEE3"/>
        <s v="CBMA3"/>
        <s v="CBMA4"/>
        <s v="CCHI3"/>
        <s v="CCHI4"/>
        <s v="CCPR3"/>
        <s v="CCRO3"/>
        <s v="CCXC3"/>
        <s v="CEBR3"/>
        <s v="CEBR5"/>
        <s v="CEBR6"/>
        <s v="CEDO3"/>
        <s v="CEDO4"/>
        <s v="CEEB3"/>
        <s v="CEEB5"/>
        <s v="CEEB6"/>
        <s v="CEED3"/>
        <s v="CEED4"/>
        <s v="CEGR3"/>
        <s v="CELP3"/>
        <s v="CELP5"/>
        <s v="CELP6"/>
        <s v="CELP7"/>
        <s v="CEPE3"/>
        <s v="CEPE5"/>
        <s v="CEPE6"/>
        <s v="CESP3"/>
        <s v="CESP5"/>
        <s v="CESP6"/>
        <s v="CGAS3"/>
        <s v="CGAS5"/>
        <s v="CGRA3"/>
        <s v="CGRA4"/>
        <s v="CIEL3"/>
        <s v="CIQU3"/>
        <s v="CIQU4"/>
        <s v="CLAN3"/>
        <s v="CLAN4"/>
        <s v="CLSC3"/>
        <s v="CLSC4"/>
        <s v="COCE3"/>
        <s v="COCE5"/>
        <s v="COCE6"/>
        <s v="CORR3"/>
        <s v="CORR4"/>
        <s v="CPFE3"/>
        <s v="CPLE3"/>
        <s v="CPLE5"/>
        <s v="CPLE6"/>
        <s v="CRDE3"/>
        <s v="CREM3"/>
        <s v="CRIV3"/>
        <s v="CRIV4"/>
        <s v="CRUZ3"/>
        <s v="CSAB3"/>
        <s v="CSAB4"/>
        <s v="CSAN3"/>
        <s v="CSMG3"/>
        <s v="CSNA3"/>
        <s v="CSRN3"/>
        <s v="CSRN5"/>
        <s v="CSRN6"/>
        <s v="CTAX11"/>
        <s v="CTAX3"/>
        <s v="CTAX4"/>
        <s v="CTIP3"/>
        <s v="CTKA3"/>
        <s v="CTKA4"/>
        <s v="CTNM3"/>
        <s v="CTNM4"/>
        <s v="CTSA3"/>
        <s v="CTSA4"/>
        <s v="CTSA8"/>
        <s v="CVCB3"/>
        <s v="CYRE3"/>
        <s v="DASA3"/>
        <s v="DAYC3"/>
        <s v="DAYC4"/>
        <s v="DHBI3"/>
        <s v="DHBI4"/>
        <s v="DIRR3"/>
        <s v="DOCA3"/>
        <s v="DOCA4"/>
        <s v="DOHL3"/>
        <s v="DOHL4"/>
        <s v="DTCY3"/>
        <s v="DTCY4"/>
        <s v="DTEX3"/>
        <s v="DUQE3"/>
        <s v="DUQE4"/>
        <s v="EALT3"/>
        <s v="EALT4"/>
        <s v="EBTP3"/>
        <s v="EBTP4"/>
        <s v="ECOR3"/>
        <s v="ECPR3"/>
        <s v="ECPR4"/>
        <s v="EEEL3"/>
        <s v="EEEL4"/>
        <s v="EKTR3"/>
        <s v="EKTR4"/>
        <s v="ELEK3"/>
        <s v="ELEK4"/>
        <s v="ELPL3"/>
        <s v="ELPL4"/>
        <s v="EMAE3"/>
        <s v="EMAE4"/>
        <s v="EMBR3"/>
        <s v="ENBR3"/>
        <s v="ENEV3"/>
        <s v="ENGI11"/>
        <s v="ENGI3"/>
        <s v="ENGI4"/>
        <s v="ENMA3B"/>
        <s v="ENMA5B"/>
        <s v="ENMA6B"/>
        <s v="EQTL3"/>
        <s v="ESTR3"/>
        <s v="ESTR4"/>
        <s v="ETER3"/>
        <s v="EUCA3"/>
        <s v="EUCA4"/>
        <s v="EVEN3"/>
        <s v="EZTC3"/>
        <s v="FBMC3"/>
        <s v="FBMC4"/>
        <s v="FESA3"/>
        <s v="FESA4"/>
        <s v="FHER3"/>
        <s v="FIBR3"/>
        <s v="FJTA3"/>
        <s v="FJTA4"/>
        <s v="FLRY3"/>
        <s v="FRAS3"/>
        <s v="FRIO3"/>
        <s v="GEPA4"/>
        <s v="GEPA3"/>
        <s v="GETI3"/>
        <s v="GETI4"/>
        <s v="GFSA3"/>
        <s v="GGBR3"/>
        <s v="GGBR4"/>
        <s v="GOAU3"/>
        <s v="GOAU4"/>
        <s v="GOLL3"/>
        <s v="GOLL4"/>
        <s v="GPAR3"/>
        <s v="GPCP3"/>
        <s v="GRND3"/>
        <s v="GSHP3"/>
        <s v="GTDP3B"/>
        <s v="GUAR3"/>
        <s v="GUAR4"/>
        <s v="HAGA3"/>
        <s v="HAGA4"/>
        <s v="HBOR3"/>
        <s v="HBTS3"/>
        <s v="HBTS5"/>
        <s v="HBTS6"/>
        <s v="HETA3"/>
        <s v="HETA4"/>
        <s v="HGTX3"/>
        <s v="HYPE3"/>
        <s v="IDNT3"/>
        <s v="IDVL3"/>
        <s v="IDVL4"/>
        <s v="IGBR3"/>
        <s v="IGTA3"/>
        <s v="IGUA3"/>
        <s v="IGUA5"/>
        <s v="IGUA6"/>
        <s v="IMBI3"/>
        <s v="IMBI4"/>
        <s v="IMCH3"/>
        <s v="INEP3"/>
        <s v="INEP4"/>
        <s v="INET3"/>
        <s v="ITEC3"/>
        <s v="ITSA3"/>
        <s v="ITSA4"/>
        <s v="ITUB3"/>
        <s v="ITUB4"/>
        <s v="JBDU3"/>
        <s v="JBDU4"/>
        <s v="JBSS3"/>
        <s v="JFEN3"/>
        <s v="JHSF3"/>
        <s v="JOPA3"/>
        <s v="JOPA4"/>
        <s v="JSLG3"/>
        <s v="KEPL3"/>
        <s v="KLBN11"/>
        <s v="KLBN3"/>
        <s v="KLBN4"/>
        <s v="LAME3"/>
        <s v="LAME4"/>
        <s v="LCAM3"/>
        <s v="LEVE3"/>
        <s v="LFFE3"/>
        <s v="LFFE4"/>
        <s v="LHER3"/>
        <s v="LHER4"/>
        <s v="LIGT3"/>
        <s v="LINX3"/>
        <s v="LIPR3"/>
        <s v="LIXC3"/>
        <s v="LIXC4"/>
        <s v="LLIS3"/>
        <s v="LLXL3"/>
        <s v="LOGN3"/>
        <s v="LPSB3"/>
        <s v="LREN3"/>
        <s v="LUXM3"/>
        <s v="LUXM4"/>
        <s v="MAGG3"/>
        <s v="MDIA3"/>
        <s v="MEND3"/>
        <s v="MEND5"/>
        <s v="MEND6"/>
        <s v="MERC3"/>
        <s v="MERC4"/>
        <s v="MGEL3"/>
        <s v="MGEL4"/>
        <s v="MGLU3"/>
        <s v="MILS3"/>
        <s v="MLFT3"/>
        <s v="MLFT4"/>
        <s v="MMXM3"/>
        <s v="MNDL3"/>
        <s v="MNPR3"/>
        <s v="MOAR3"/>
        <s v="MRFG3"/>
        <s v="MRVE3"/>
        <s v="MSPA3"/>
        <s v="MSPA4"/>
        <s v="MTIG3"/>
        <s v="MTIG4"/>
        <s v="MTSA3"/>
        <s v="MTSA4"/>
        <s v="MULT3"/>
        <s v="MULT4"/>
        <s v="MWET3"/>
        <s v="MWET4"/>
        <s v="MYPK3"/>
        <s v="NAFG3"/>
        <s v="NAFG4"/>
        <s v="NATU3"/>
        <s v="NETC3"/>
        <s v="NETC4"/>
        <s v="NUTR3M"/>
        <s v="ODPV3"/>
        <s v="OGXP3"/>
        <s v="OIBR3"/>
        <s v="OIBR4"/>
        <s v="OSXB3"/>
        <s v="PATI3"/>
        <s v="PATI4"/>
        <s v="PCAR3"/>
        <s v="PCAR4"/>
        <s v="PDGR3"/>
        <s v="PEAB3"/>
        <s v="PEAB4"/>
        <s v="PETR3"/>
        <s v="PETR4"/>
        <s v="PFRM3"/>
        <s v="PINE3"/>
        <s v="PINE4"/>
        <s v="PLAS3"/>
        <s v="PMAM3"/>
        <s v="PNVL3"/>
        <s v="PNVL4"/>
        <s v="POMO3"/>
        <s v="POMO4"/>
        <s v="POSI3"/>
        <s v="PRBC3"/>
        <s v="PRBC4"/>
        <s v="PRVI3"/>
        <s v="PSSA3"/>
        <s v="PTBL3"/>
        <s v="PTNT3"/>
        <s v="PTNT4"/>
        <s v="PTPA3"/>
        <s v="PTPA4"/>
        <s v="QGEP3"/>
        <s v="QUAL3"/>
        <s v="RADL3"/>
        <s v="RANI3"/>
        <s v="RANI4"/>
        <s v="RAPT3"/>
        <s v="RAPT4"/>
        <s v="RCSL3"/>
        <s v="RCSL4"/>
        <s v="RDNI3"/>
        <s v="RDTR3"/>
        <s v="REDE3"/>
        <s v="REDE4"/>
        <s v="RENT3"/>
        <s v="RHDS3"/>
        <s v="RNAR3"/>
        <s v="RNEW11"/>
        <s v="RNEW3"/>
        <s v="RNEW4"/>
        <s v="ROMI3"/>
        <s v="RPAD3"/>
        <s v="RPAD5"/>
        <s v="RPAD6"/>
        <s v="RPMG3"/>
        <s v="RPMG4"/>
        <s v="RSID3"/>
        <s v="RSUL3"/>
        <s v="RSUL4"/>
        <s v="SANB11"/>
        <s v="SANB3"/>
        <s v="SANB4"/>
        <s v="SAPR3"/>
        <s v="SAPR4"/>
        <s v="SBSP3"/>
        <s v="SCAR3"/>
        <s v="SFSA3"/>
        <s v="SFSA4"/>
        <s v="SGAS3"/>
        <s v="SGAS4"/>
        <s v="SGEN3"/>
        <s v="SGEN4"/>
        <s v="SGPS3"/>
        <s v="SHOW3"/>
        <s v="SHUL3"/>
        <s v="SHUL4"/>
        <s v="SLCE3"/>
        <s v="SLED3"/>
        <s v="SLED4"/>
        <s v="SMTO3"/>
        <s v="SNSL3M"/>
        <s v="SNSY3"/>
        <s v="SNSY5"/>
        <s v="SNSY6"/>
        <s v="SOND3"/>
        <s v="SOND5"/>
        <s v="SOND6"/>
        <s v="SPRI3"/>
        <s v="SPRI5"/>
        <s v="SPRI6"/>
        <s v="SSBR3"/>
        <s v="STBP11"/>
        <s v="STBP3"/>
        <s v="STBP4"/>
        <s v="SULA11"/>
        <s v="SULA3"/>
        <s v="SULA4"/>
        <s v="SULT3"/>
        <s v="SULT4"/>
        <s v="SUZB3"/>
        <s v="SUZB5"/>
        <s v="SUZB6"/>
        <s v="TBLE3"/>
        <s v="TCNO3"/>
        <s v="TCNO4"/>
        <s v="TCSA3"/>
        <s v="TECN3"/>
        <s v="TELB3"/>
        <s v="TELB4"/>
        <s v="TEMP3"/>
        <s v="TENE3"/>
        <s v="TENE5"/>
        <s v="TENE6"/>
        <s v="TENE7"/>
        <s v="TERI3"/>
        <s v="TGMA3"/>
        <s v="TIBR3"/>
        <s v="TIBR5"/>
        <s v="TIBR6"/>
        <s v="TIMP3"/>
        <s v="TKNO3"/>
        <s v="TKNO4"/>
        <s v="TOTS3"/>
        <s v="TOYB3"/>
        <s v="TOYB4"/>
        <s v="TPIS3"/>
        <s v="TRIS3"/>
        <s v="TRPL3"/>
        <s v="TRPL4"/>
        <s v="TRPN3"/>
        <s v="TUPY3"/>
        <s v="UCAS3"/>
        <s v="UGPA3"/>
        <s v="UNIP3"/>
        <s v="UNIP5"/>
        <s v="UNIP6"/>
        <s v="USIM3"/>
        <s v="USIM5"/>
        <s v="USIM6"/>
        <s v="VAGR3"/>
        <s v="VALE3"/>
        <s v="VALE5"/>
        <s v="VIGR3"/>
        <s v="VIVR3"/>
        <s v="VIVT3"/>
        <s v="VIVT4"/>
        <s v="VLID3"/>
        <s v="VSPT3"/>
        <s v="VSPT4"/>
        <s v="VULC3"/>
        <s v="VVAR11"/>
        <s v="VVAR3"/>
        <s v="VVAR4"/>
        <s v="WEGE3"/>
        <s v="WHRL3"/>
        <s v="WHRL4"/>
        <s v="WMBY3"/>
        <s v="BBAS3"/>
        <s v="TAEE11"/>
        <s v="TAEE3"/>
        <s v="TAEE4"/>
        <s v="CMIG3"/>
        <s v="CMIG4"/>
        <s v="GTDP4B"/>
        <s v="ELET3"/>
        <s v="ELET5"/>
        <s v="ELET6"/>
      </sharedItems>
    </cacheField>
    <cacheField name="Ref" numFmtId="0">
      <sharedItems containsSemiMixedTypes="0" containsString="0" containsNumber="1" containsInteger="1" minValue="2" maxValue="5"/>
    </cacheField>
    <cacheField name="Exercício" numFmtId="0">
      <sharedItems containsString="0" containsBlank="1" containsNumber="1" containsInteger="1" minValue="1997" maxValue="2013" count="18">
        <m/>
        <n v="2010"/>
        <n v="2000"/>
        <n v="2011"/>
        <n v="2012"/>
        <n v="2013"/>
        <n v="2001"/>
        <n v="2002"/>
        <n v="2003"/>
        <n v="2004"/>
        <n v="2005"/>
        <n v="2006"/>
        <n v="2007"/>
        <n v="2008"/>
        <n v="2009"/>
        <n v="1999"/>
        <n v="1998"/>
        <n v="1997"/>
      </sharedItems>
    </cacheField>
    <cacheField name="Tipo" numFmtId="0">
      <sharedItems containsBlank="1"/>
    </cacheField>
    <cacheField name="Lucro p/Ação" numFmtId="0">
      <sharedItems containsString="0" containsBlank="1" containsNumber="1" minValue="-16.31323722126098" maxValue="9.7470999999999997"/>
    </cacheField>
    <cacheField name="Aprovação" numFmtId="0">
      <sharedItems containsNonDate="0" containsDate="1" containsString="0" containsBlank="1" minDate="1998-03-25T00:00:00" maxDate="2014-04-25T00:00:00"/>
    </cacheField>
    <cacheField name="Pagamento" numFmtId="0">
      <sharedItems containsNonDate="0" containsDate="1" containsString="0" containsBlank="1" minDate="1998-05-25T00:00:00" maxDate="2014-03-01T00:00:00"/>
    </cacheField>
    <cacheField name="Provento p/Ação" numFmtId="0">
      <sharedItems containsString="0" containsBlank="1" containsNumber="1" minValue="1E-4" maxValue="5.2304500000000003"/>
    </cacheField>
    <cacheField name="Líquido p/Ação" numFmtId="0">
      <sharedItems containsSemiMixedTypes="0" containsString="0" containsNumber="1" minValue="0" maxValue="5.2304500000000003"/>
    </cacheField>
    <cacheField name="Total Exercício" numFmtId="0">
      <sharedItems containsMixedTypes="1" containsNumber="1" minValue="0" maxValue="12.06086"/>
    </cacheField>
    <cacheField name="% Yield Exercício" numFmtId="0">
      <sharedItems containsMixedTypes="1" containsNumber="1" minValue="0" maxValue="5.500782380013149"/>
    </cacheField>
    <cacheField name="Média Lucro p/Ação" numFmtId="0">
      <sharedItems containsMixedTypes="1" containsNumber="1" minValue="-7.1058827242440916" maxValue="8.0400000000000009"/>
    </cacheField>
    <cacheField name="Média Pago" numFmtId="0">
      <sharedItems containsMixedTypes="1" containsNumber="1" minValue="0" maxValue="6.0555333333333339"/>
    </cacheField>
    <cacheField name="% Yield Médio" numFmtId="0">
      <sharedItems containsMixedTypes="1" containsNumber="1" minValue="-92.769047619047043" maxValue="4.530581395348837"/>
    </cacheField>
    <cacheField name="Prévia Pagamento" numFmtId="0">
      <sharedItems/>
    </cacheField>
    <cacheField name="Cotação 1" numFmtId="165">
      <sharedItems containsSemiMixedTypes="0" containsString="0" containsNumber="1" minValue="0" maxValue="62.04"/>
    </cacheField>
    <cacheField name="Cotação 2" numFmtId="165">
      <sharedItems containsSemiMixedTypes="0" containsString="0" containsNumber="1" minValue="0" maxValue="202.04"/>
    </cacheField>
    <cacheField name="Cotação 3" numFmtId="165">
      <sharedItems containsSemiMixedTypes="0" containsString="0" containsNumber="1" minValue="0" maxValue="210.01"/>
    </cacheField>
    <cacheField name="Cotação 4" numFmtId="165">
      <sharedItems containsSemiMixedTypes="0" containsString="0" containsNumber="1" minValue="0" maxValue="360"/>
    </cacheField>
    <cacheField name="Cotação 5" numFmtId="165">
      <sharedItems containsSemiMixedTypes="0" containsString="0" containsNumber="1" minValue="0" maxValue="102.5"/>
    </cacheField>
    <cacheField name="Cotação" numFmtId="165">
      <sharedItems containsMixedTypes="1" containsNumber="1" minValue="0.01" maxValue="360"/>
    </cacheField>
    <cacheField name="% ROI Prev" numFmtId="0">
      <sharedItems/>
    </cacheField>
    <cacheField name="% ROI Last" numFmtId="0">
      <sharedItems containsMixedTypes="1" containsNumber="1" minValue="0" maxValue="1.3616136649874055"/>
    </cacheField>
    <cacheField name="Div" numFmtId="0">
      <sharedItems containsSemiMixedTypes="0" containsString="0" containsNumber="1" containsInteger="1" minValue="0" maxValue="1"/>
    </cacheField>
    <cacheField name="Jcp" numFmtId="0">
      <sharedItems containsSemiMixedTypes="0" containsString="0" containsNumber="1" containsInteger="1" minValue="0" maxValue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  <r>
    <x v="2"/>
    <n v="18"/>
    <n v="3"/>
    <x v="0"/>
    <x v="1"/>
    <n v="515.12"/>
    <n v="0"/>
    <n v="0"/>
    <n v="0"/>
    <n v="0"/>
    <n v="1200"/>
    <n v="0.46165555555555554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00">
  <r>
    <s v="Financeiro e Outros / Intermediários Financeiros / Bancos"/>
    <x v="0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1"/>
    <n v="4"/>
    <x v="0"/>
    <m/>
    <m/>
    <m/>
    <m/>
    <m/>
    <n v="0"/>
    <s v=""/>
    <s v=""/>
    <s v=""/>
    <s v=""/>
    <s v=""/>
    <s v=""/>
    <n v="11.19"/>
    <n v="0"/>
    <n v="0"/>
    <n v="0"/>
    <n v="0"/>
    <n v="11.19"/>
    <s v=""/>
    <s v=""/>
    <n v="0"/>
    <n v="0"/>
  </r>
  <r>
    <s v="Consumo não Cíclico / Bebidas / Cervejas e Refrigerantes"/>
    <x v="2"/>
    <n v="4"/>
    <x v="0"/>
    <m/>
    <m/>
    <m/>
    <m/>
    <m/>
    <n v="0"/>
    <s v=""/>
    <s v=""/>
    <s v=""/>
    <s v=""/>
    <s v=""/>
    <s v=""/>
    <n v="0"/>
    <n v="0"/>
    <n v="16.71"/>
    <n v="0"/>
    <n v="0"/>
    <n v="16.71"/>
    <s v=""/>
    <s v=""/>
    <n v="0"/>
    <n v="0"/>
  </r>
  <r>
    <s v="Consumo Cíclico / Mídia / Jornais. Livros e Revistas"/>
    <x v="3"/>
    <n v="4"/>
    <x v="0"/>
    <m/>
    <m/>
    <m/>
    <m/>
    <m/>
    <n v="0"/>
    <s v=""/>
    <s v=""/>
    <s v=""/>
    <s v=""/>
    <s v=""/>
    <s v=""/>
    <n v="0"/>
    <n v="0"/>
    <n v="0"/>
    <n v="26.41"/>
    <n v="0"/>
    <n v="26.41"/>
    <s v=""/>
    <s v=""/>
    <n v="0"/>
    <n v="0"/>
  </r>
  <r>
    <s v="Consumo Cíclico / Mídia / Jornais. Livros e Revistas"/>
    <x v="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umo Cíclico / Mídia / Jornais. Livros e Revistas"/>
    <x v="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umo Cíclico / Diversos / Serviços Educacionais"/>
    <x v="6"/>
    <n v="4"/>
    <x v="0"/>
    <m/>
    <m/>
    <m/>
    <m/>
    <m/>
    <n v="0"/>
    <s v=""/>
    <s v=""/>
    <s v=""/>
    <s v=""/>
    <s v=""/>
    <s v=""/>
    <n v="0"/>
    <n v="0"/>
    <n v="0"/>
    <n v="0"/>
    <n v="12.29"/>
    <n v="12.29"/>
    <s v=""/>
    <s v=""/>
    <n v="0"/>
    <n v="0"/>
  </r>
  <r>
    <s v="Utilidade Pública / Energia Elétrica / Energia Elétrica"/>
    <x v="7"/>
    <n v="5"/>
    <x v="1"/>
    <s v="div"/>
    <n v="3.9567899999999998"/>
    <d v="2010-08-05T00:00:00"/>
    <d v="2010-09-16T00:00:00"/>
    <n v="0.79422000000000004"/>
    <n v="0.79422000000000004"/>
    <n v="1.02525"/>
    <n v="0.2591115525463823"/>
    <n v="-0.79471165374659847"/>
    <n v="0.89647245000000009"/>
    <n v="-1.1280474443449511"/>
    <s v=""/>
    <n v="7.13"/>
    <n v="0"/>
    <n v="0"/>
    <n v="0"/>
    <n v="0"/>
    <n v="7.13"/>
    <s v=""/>
    <n v="0.14379382889200562"/>
    <n v="1"/>
    <n v="0"/>
  </r>
  <r>
    <s v="Utilidade Pública / Energia Elétrica / Energia Elétrica"/>
    <x v="8"/>
    <n v="5"/>
    <x v="1"/>
    <s v="div"/>
    <n v="0.30159999999999998"/>
    <d v="2010-04-30T00:00:00"/>
    <d v="2010-06-16T00:00:00"/>
    <n v="0.57686999999999999"/>
    <n v="0.57686999999999999"/>
    <n v="0.57686999999999999"/>
    <n v="1.9126989389920426"/>
    <n v="0.30159999999999998"/>
    <n v="0.57686999999999999"/>
    <n v="1.9126989389920426"/>
    <s v=""/>
    <n v="0"/>
    <n v="2.5299999999999998"/>
    <n v="0"/>
    <n v="0"/>
    <n v="0"/>
    <n v="2.5299999999999998"/>
    <s v=""/>
    <n v="0.2280118577075099"/>
    <n v="1"/>
    <n v="0"/>
  </r>
  <r>
    <s v="Utilidade Pública / Energia Elétrica / Energia Elétrica"/>
    <x v="9"/>
    <n v="3"/>
    <x v="0"/>
    <m/>
    <m/>
    <m/>
    <m/>
    <m/>
    <n v="0"/>
    <s v=""/>
    <s v=""/>
    <s v=""/>
    <s v=""/>
    <s v=""/>
    <s v=""/>
    <n v="0"/>
    <n v="5.55"/>
    <n v="0"/>
    <n v="0"/>
    <n v="0"/>
    <n v="5.55"/>
    <s v=""/>
    <n v="0"/>
    <n v="0"/>
    <n v="0"/>
  </r>
  <r>
    <s v="Utilidade Pública / Energia Elétrica / Energia Elétrica"/>
    <x v="1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Utilidade Pública / Energia Elétrica / Energia Elétrica"/>
    <x v="11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Exploração de Imóveis / Exploração de Imóveis"/>
    <x v="12"/>
    <n v="4"/>
    <x v="0"/>
    <m/>
    <m/>
    <m/>
    <m/>
    <m/>
    <n v="0"/>
    <s v=""/>
    <s v=""/>
    <s v=""/>
    <s v=""/>
    <s v=""/>
    <s v=""/>
    <n v="0"/>
    <n v="0"/>
    <n v="8.58"/>
    <n v="0"/>
    <n v="0"/>
    <n v="8.58"/>
    <s v=""/>
    <s v=""/>
    <n v="0"/>
    <n v="0"/>
  </r>
  <r>
    <s v="Consumo Cíclico / Viagens e Lazer / Produção de Eventos e Shows"/>
    <x v="13"/>
    <n v="3"/>
    <x v="0"/>
    <m/>
    <m/>
    <m/>
    <m/>
    <m/>
    <n v="0"/>
    <s v=""/>
    <s v=""/>
    <s v=""/>
    <s v=""/>
    <s v=""/>
    <s v=""/>
    <n v="0"/>
    <n v="0"/>
    <n v="0"/>
    <n v="19.5"/>
    <n v="0"/>
    <n v="19.5"/>
    <s v=""/>
    <n v="0"/>
    <n v="0"/>
    <n v="0"/>
  </r>
  <r>
    <s v="Consumo Cíclico / Viagens e Lazer / Produção de Eventos e Shows"/>
    <x v="14"/>
    <n v="3"/>
    <x v="0"/>
    <m/>
    <m/>
    <m/>
    <m/>
    <m/>
    <n v="0"/>
    <s v=""/>
    <s v=""/>
    <s v=""/>
    <s v=""/>
    <s v=""/>
    <s v=""/>
    <n v="0"/>
    <n v="0"/>
    <n v="0"/>
    <n v="20.010000000000002"/>
    <n v="0"/>
    <n v="20.010000000000002"/>
    <s v=""/>
    <n v="0"/>
    <n v="0"/>
    <n v="0"/>
  </r>
  <r>
    <s v="Consumo Cíclico / Viagens e Lazer / Produção de Eventos e Shows"/>
    <x v="15"/>
    <n v="3"/>
    <x v="0"/>
    <m/>
    <m/>
    <m/>
    <m/>
    <m/>
    <n v="0"/>
    <s v=""/>
    <s v=""/>
    <s v=""/>
    <s v=""/>
    <s v=""/>
    <s v=""/>
    <n v="0"/>
    <n v="0"/>
    <n v="0"/>
    <n v="35.01"/>
    <n v="0"/>
    <n v="35.01"/>
    <s v=""/>
    <n v="0"/>
    <n v="0"/>
    <n v="0"/>
  </r>
  <r>
    <s v="Construção e Transporte / Transporte / Transporte Ferroviário"/>
    <x v="16"/>
    <n v="4"/>
    <x v="0"/>
    <m/>
    <m/>
    <m/>
    <m/>
    <m/>
    <n v="0"/>
    <s v=""/>
    <s v=""/>
    <s v=""/>
    <s v=""/>
    <s v=""/>
    <s v=""/>
    <n v="0"/>
    <n v="0"/>
    <n v="0"/>
    <n v="0"/>
    <n v="7.05"/>
    <n v="7.05"/>
    <s v=""/>
    <s v=""/>
    <n v="0"/>
    <n v="0"/>
  </r>
  <r>
    <s v="Consumo Cíclico / Tecidos. Vestuário e Calçados / Calçados"/>
    <x v="17"/>
    <n v="4"/>
    <x v="0"/>
    <m/>
    <m/>
    <m/>
    <m/>
    <m/>
    <n v="0"/>
    <s v=""/>
    <s v=""/>
    <s v=""/>
    <s v=""/>
    <s v=""/>
    <s v=""/>
    <n v="0"/>
    <n v="0"/>
    <n v="0"/>
    <n v="11.15"/>
    <n v="0"/>
    <n v="11.15"/>
    <s v=""/>
    <s v=""/>
    <n v="0"/>
    <n v="0"/>
  </r>
  <r>
    <s v="Consumo Cíclico / Tecidos. Vestuário e Calçados / Calçados"/>
    <x v="18"/>
    <n v="4"/>
    <x v="0"/>
    <m/>
    <m/>
    <m/>
    <m/>
    <m/>
    <n v="0"/>
    <s v=""/>
    <s v=""/>
    <s v=""/>
    <s v=""/>
    <s v=""/>
    <s v=""/>
    <n v="0"/>
    <n v="0"/>
    <n v="0"/>
    <n v="12.24"/>
    <n v="0"/>
    <n v="12.24"/>
    <s v=""/>
    <s v=""/>
    <n v="0"/>
    <n v="0"/>
  </r>
  <r>
    <s v="Financeiro e Outros / Exploração de Imóveis / Exploração de Imóveis"/>
    <x v="19"/>
    <n v="3"/>
    <x v="0"/>
    <m/>
    <m/>
    <m/>
    <m/>
    <m/>
    <n v="0"/>
    <s v=""/>
    <s v=""/>
    <s v=""/>
    <s v=""/>
    <s v=""/>
    <s v=""/>
    <n v="0"/>
    <n v="17.75"/>
    <n v="0"/>
    <n v="0"/>
    <n v="0"/>
    <n v="17.75"/>
    <s v=""/>
    <n v="0"/>
    <n v="0"/>
    <n v="0"/>
  </r>
  <r>
    <s v="Utilidade Pública / Energia Elétrica / Energia Elétrica"/>
    <x v="20"/>
    <n v="4"/>
    <x v="0"/>
    <m/>
    <m/>
    <m/>
    <m/>
    <m/>
    <n v="0"/>
    <s v=""/>
    <s v=""/>
    <s v=""/>
    <s v=""/>
    <s v=""/>
    <s v=""/>
    <n v="0"/>
    <n v="17.41"/>
    <n v="0"/>
    <n v="0"/>
    <n v="0"/>
    <n v="17.41"/>
    <s v=""/>
    <s v=""/>
    <n v="0"/>
    <n v="0"/>
  </r>
  <r>
    <s v="Utilidade Pública / Energia Elétrica / Energia Elétrica"/>
    <x v="21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Utilidade Pública / Energia Elétrica / Energia Elétrica"/>
    <x v="22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umo Cíclico / Comércio / Tecidos. Vestuário e Calçados"/>
    <x v="23"/>
    <n v="4"/>
    <x v="0"/>
    <m/>
    <m/>
    <m/>
    <m/>
    <m/>
    <n v="0"/>
    <s v=""/>
    <s v=""/>
    <s v=""/>
    <s v=""/>
    <s v=""/>
    <s v=""/>
    <n v="0"/>
    <n v="0"/>
    <n v="0"/>
    <n v="13.18"/>
    <n v="0"/>
    <n v="13.18"/>
    <s v=""/>
    <s v=""/>
    <n v="0"/>
    <n v="0"/>
  </r>
  <r>
    <s v="Construção e Transporte / Transporte / Exploração de Rodovias"/>
    <x v="24"/>
    <n v="4"/>
    <x v="0"/>
    <m/>
    <m/>
    <m/>
    <m/>
    <m/>
    <n v="0"/>
    <s v=""/>
    <s v=""/>
    <s v=""/>
    <s v=""/>
    <s v=""/>
    <s v=""/>
    <n v="0"/>
    <n v="0"/>
    <n v="0"/>
    <n v="0"/>
    <n v="18.079999999999998"/>
    <n v="18.079999999999998"/>
    <s v=""/>
    <s v=""/>
    <n v="0"/>
    <n v="0"/>
  </r>
  <r>
    <s v="Consumo Cíclico / Comércio / Tecidos. Vestuário e Calçados"/>
    <x v="25"/>
    <n v="3"/>
    <x v="0"/>
    <m/>
    <m/>
    <m/>
    <m/>
    <m/>
    <n v="0"/>
    <s v=""/>
    <s v=""/>
    <s v=""/>
    <s v=""/>
    <s v=""/>
    <s v=""/>
    <n v="0"/>
    <n v="0"/>
    <n v="0"/>
    <n v="25.66"/>
    <n v="0"/>
    <n v="25.66"/>
    <s v=""/>
    <n v="0"/>
    <n v="0"/>
    <n v="0"/>
  </r>
  <r>
    <s v="Bens Industriais / Material de Transporte / Material Rodoviário"/>
    <x v="26"/>
    <n v="4"/>
    <x v="0"/>
    <m/>
    <m/>
    <m/>
    <m/>
    <m/>
    <n v="0"/>
    <s v=""/>
    <s v=""/>
    <s v=""/>
    <s v=""/>
    <s v=""/>
    <s v=""/>
    <n v="0"/>
    <n v="0"/>
    <n v="0"/>
    <n v="0"/>
    <n v="14.59"/>
    <n v="14.59"/>
    <s v=""/>
    <s v=""/>
    <n v="0"/>
    <n v="0"/>
  </r>
  <r>
    <s v="Construção e Transporte / Construção e Engenharia / Construção Pesada"/>
    <x v="27"/>
    <n v="3"/>
    <x v="0"/>
    <m/>
    <m/>
    <m/>
    <m/>
    <m/>
    <n v="0"/>
    <s v=""/>
    <s v=""/>
    <s v=""/>
    <s v=""/>
    <s v=""/>
    <s v=""/>
    <n v="0"/>
    <n v="0"/>
    <n v="0"/>
    <n v="0"/>
    <n v="1.95"/>
    <n v="1.95"/>
    <s v=""/>
    <n v="0"/>
    <n v="0"/>
    <n v="0"/>
  </r>
  <r>
    <s v="Construção e Transporte / Construção e Engenharia / Construção Pesada"/>
    <x v="28"/>
    <n v="3"/>
    <x v="0"/>
    <m/>
    <m/>
    <m/>
    <m/>
    <m/>
    <n v="0"/>
    <s v=""/>
    <s v=""/>
    <s v=""/>
    <s v=""/>
    <s v=""/>
    <s v=""/>
    <n v="0"/>
    <n v="0"/>
    <n v="0"/>
    <n v="0"/>
    <n v="1.51"/>
    <n v="1.51"/>
    <s v=""/>
    <n v="0"/>
    <n v="0"/>
    <n v="0"/>
  </r>
  <r>
    <s v="Financeiro e Outros / Holdings Diversificadas / Holdings Diversificadas"/>
    <x v="29"/>
    <n v="3"/>
    <x v="0"/>
    <m/>
    <m/>
    <m/>
    <m/>
    <m/>
    <n v="0"/>
    <s v=""/>
    <s v=""/>
    <s v=""/>
    <s v=""/>
    <s v=""/>
    <s v=""/>
    <n v="0"/>
    <n v="5.25"/>
    <n v="0"/>
    <n v="0"/>
    <n v="0"/>
    <n v="5.25"/>
    <s v=""/>
    <n v="0"/>
    <n v="0"/>
    <n v="0"/>
  </r>
  <r>
    <s v="Bens Industriais / Máquinas e Equipamentos / Máq. e Equip. Hospitalares"/>
    <x v="30"/>
    <n v="3"/>
    <x v="0"/>
    <m/>
    <m/>
    <m/>
    <m/>
    <m/>
    <n v="0"/>
    <s v=""/>
    <s v=""/>
    <s v=""/>
    <s v=""/>
    <s v=""/>
    <s v=""/>
    <n v="0"/>
    <n v="0"/>
    <n v="0"/>
    <n v="0"/>
    <n v="40"/>
    <n v="40"/>
    <s v=""/>
    <n v="0"/>
    <n v="0"/>
    <n v="0"/>
  </r>
  <r>
    <s v="Bens Industriais / Máquinas e Equipamentos / Máq. e Equip. Hospitalares"/>
    <x v="31"/>
    <n v="3"/>
    <x v="0"/>
    <m/>
    <m/>
    <m/>
    <m/>
    <m/>
    <n v="0"/>
    <s v=""/>
    <s v=""/>
    <s v=""/>
    <s v=""/>
    <s v=""/>
    <s v=""/>
    <n v="0"/>
    <n v="0"/>
    <n v="0"/>
    <n v="0"/>
    <n v="102.5"/>
    <n v="102.5"/>
    <s v=""/>
    <n v="0"/>
    <n v="0"/>
    <n v="0"/>
  </r>
  <r>
    <s v="Consumo não Cíclico / Alimentos Processados / Carnes e Derivados"/>
    <x v="3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não Cíclico / Alimentos Processados / Carnes e Derivados"/>
    <x v="33"/>
    <n v="3"/>
    <x v="0"/>
    <m/>
    <m/>
    <m/>
    <m/>
    <m/>
    <n v="0"/>
    <s v=""/>
    <s v=""/>
    <s v=""/>
    <s v=""/>
    <s v=""/>
    <s v=""/>
    <n v="0"/>
    <n v="0"/>
    <n v="9.1999999999999993"/>
    <n v="0"/>
    <n v="0"/>
    <n v="9.1999999999999993"/>
    <s v=""/>
    <n v="0"/>
    <n v="0"/>
    <n v="0"/>
  </r>
  <r>
    <s v="Financeiro e Outros / Intermediários Financeiros / Bancos"/>
    <x v="34"/>
    <n v="4"/>
    <x v="0"/>
    <m/>
    <m/>
    <m/>
    <m/>
    <m/>
    <n v="0"/>
    <s v=""/>
    <s v=""/>
    <s v=""/>
    <s v=""/>
    <s v=""/>
    <s v=""/>
    <n v="0.3"/>
    <n v="0"/>
    <n v="0"/>
    <n v="0"/>
    <n v="0"/>
    <n v="0.3"/>
    <s v=""/>
    <s v=""/>
    <n v="0"/>
    <n v="0"/>
  </r>
  <r>
    <s v="Utilidade Pública / Energia Elétrica / Energia Elétrica"/>
    <x v="7"/>
    <n v="4"/>
    <x v="1"/>
    <s v="jcp"/>
    <m/>
    <d v="2010-12-02T00:00:00"/>
    <m/>
    <n v="0.27179999999999999"/>
    <n v="0.23102999999999999"/>
    <s v=""/>
    <s v=""/>
    <s v=""/>
    <s v=""/>
    <s v=""/>
    <s v=""/>
    <n v="7.13"/>
    <n v="0"/>
    <n v="0"/>
    <n v="0"/>
    <n v="0"/>
    <n v="7.13"/>
    <s v=""/>
    <s v=""/>
    <n v="0"/>
    <n v="1"/>
  </r>
  <r>
    <s v="Financeiro e Outros / Intermediários Financeiros / Bancos"/>
    <x v="35"/>
    <n v="4"/>
    <x v="0"/>
    <m/>
    <m/>
    <m/>
    <m/>
    <m/>
    <n v="0"/>
    <s v=""/>
    <s v=""/>
    <s v=""/>
    <s v=""/>
    <s v=""/>
    <s v=""/>
    <n v="29.14"/>
    <n v="0"/>
    <n v="0"/>
    <n v="0"/>
    <n v="0"/>
    <n v="29.14"/>
    <s v=""/>
    <s v=""/>
    <n v="0"/>
    <n v="0"/>
  </r>
  <r>
    <s v="Financeiro e Outros / Intermediários Financeiros / Bancos"/>
    <x v="36"/>
    <n v="4"/>
    <x v="0"/>
    <m/>
    <m/>
    <m/>
    <m/>
    <m/>
    <n v="0"/>
    <s v=""/>
    <s v=""/>
    <s v=""/>
    <s v=""/>
    <s v=""/>
    <s v=""/>
    <n v="27.48"/>
    <n v="0"/>
    <n v="0"/>
    <n v="0"/>
    <n v="0"/>
    <n v="27.48"/>
    <s v=""/>
    <s v=""/>
    <n v="0"/>
    <n v="0"/>
  </r>
  <r>
    <s v="Construção e Transporte / Construção e Engenharia / Intermediação Imobiliária"/>
    <x v="37"/>
    <n v="3"/>
    <x v="0"/>
    <m/>
    <m/>
    <m/>
    <m/>
    <m/>
    <n v="0"/>
    <s v=""/>
    <s v=""/>
    <s v=""/>
    <s v=""/>
    <s v=""/>
    <s v=""/>
    <n v="0"/>
    <n v="0"/>
    <n v="0"/>
    <n v="0"/>
    <n v="4.91"/>
    <n v="4.91"/>
    <s v=""/>
    <n v="0"/>
    <n v="0"/>
    <n v="0"/>
  </r>
  <r>
    <s v="Financeiro e Outros / Previdência e Seguros / Seguradoras"/>
    <x v="38"/>
    <n v="4"/>
    <x v="0"/>
    <m/>
    <m/>
    <m/>
    <m/>
    <m/>
    <n v="0"/>
    <s v=""/>
    <s v=""/>
    <s v=""/>
    <s v=""/>
    <s v=""/>
    <s v=""/>
    <n v="0"/>
    <n v="23.8"/>
    <n v="0"/>
    <n v="0"/>
    <n v="0"/>
    <n v="23.8"/>
    <s v=""/>
    <s v=""/>
    <n v="0"/>
    <n v="0"/>
  </r>
  <r>
    <s v="Bens Industriais / Máquinas e Equipamentos / Máq. e Equip. Industriais"/>
    <x v="39"/>
    <n v="3"/>
    <x v="0"/>
    <m/>
    <m/>
    <m/>
    <m/>
    <m/>
    <n v="0"/>
    <s v=""/>
    <s v=""/>
    <s v=""/>
    <s v=""/>
    <s v=""/>
    <s v=""/>
    <n v="0"/>
    <n v="0"/>
    <n v="0"/>
    <n v="0"/>
    <n v="45"/>
    <n v="45"/>
    <s v=""/>
    <n v="0"/>
    <n v="0"/>
    <n v="0"/>
  </r>
  <r>
    <s v="Bens Industriais / Máquinas e Equipamentos / Máq. e Equip. Industriais"/>
    <x v="40"/>
    <n v="3"/>
    <x v="0"/>
    <m/>
    <m/>
    <m/>
    <m/>
    <m/>
    <n v="0"/>
    <s v=""/>
    <s v=""/>
    <s v=""/>
    <s v=""/>
    <s v=""/>
    <s v=""/>
    <n v="0"/>
    <n v="0"/>
    <n v="0"/>
    <n v="0"/>
    <n v="41"/>
    <n v="41"/>
    <s v=""/>
    <n v="0"/>
    <n v="0"/>
    <n v="0"/>
  </r>
  <r>
    <s v="Consumo não Cíclico / Alimentos Processados / Carnes e Derivados"/>
    <x v="41"/>
    <n v="4"/>
    <x v="0"/>
    <m/>
    <m/>
    <m/>
    <m/>
    <m/>
    <n v="0"/>
    <s v=""/>
    <s v=""/>
    <s v=""/>
    <s v=""/>
    <s v=""/>
    <s v=""/>
    <n v="0"/>
    <n v="0"/>
    <n v="9.8000000000000007"/>
    <n v="0"/>
    <n v="0"/>
    <n v="9.8000000000000007"/>
    <s v=""/>
    <s v=""/>
    <n v="0"/>
    <n v="0"/>
  </r>
  <r>
    <s v="Financeiro e Outros / Intermediários Financeiros / Bancos"/>
    <x v="42"/>
    <n v="4"/>
    <x v="0"/>
    <m/>
    <m/>
    <m/>
    <m/>
    <m/>
    <n v="0"/>
    <s v=""/>
    <s v=""/>
    <s v=""/>
    <s v=""/>
    <s v=""/>
    <s v=""/>
    <n v="0.43"/>
    <n v="0"/>
    <n v="0"/>
    <n v="0"/>
    <n v="0"/>
    <n v="0.43"/>
    <s v=""/>
    <s v=""/>
    <n v="0"/>
    <n v="0"/>
  </r>
  <r>
    <s v="Financeiro e Outros / Intermediários Financeiros / Bancos"/>
    <x v="43"/>
    <n v="4"/>
    <x v="0"/>
    <m/>
    <m/>
    <m/>
    <m/>
    <m/>
    <n v="0"/>
    <s v=""/>
    <s v=""/>
    <s v=""/>
    <s v=""/>
    <s v=""/>
    <s v=""/>
    <n v="0.42"/>
    <n v="0"/>
    <n v="0"/>
    <n v="0"/>
    <n v="0"/>
    <n v="0.42"/>
    <s v=""/>
    <s v=""/>
    <n v="0"/>
    <n v="0"/>
  </r>
  <r>
    <s v="Tecnologia da Informação / Computadores e Equipamentos / Computadores e Equipamentos"/>
    <x v="44"/>
    <n v="4"/>
    <x v="0"/>
    <m/>
    <m/>
    <m/>
    <m/>
    <m/>
    <n v="0"/>
    <s v=""/>
    <s v=""/>
    <s v=""/>
    <s v=""/>
    <s v=""/>
    <s v=""/>
    <n v="0"/>
    <n v="0"/>
    <n v="7.9"/>
    <n v="0"/>
    <n v="0"/>
    <n v="7.9"/>
    <s v=""/>
    <s v=""/>
    <n v="0"/>
    <n v="0"/>
  </r>
  <r>
    <s v="Financeiro e Outros / Intermediários Financeiros / Bancos"/>
    <x v="45"/>
    <n v="4"/>
    <x v="0"/>
    <m/>
    <m/>
    <m/>
    <m/>
    <m/>
    <n v="0"/>
    <s v=""/>
    <s v=""/>
    <s v=""/>
    <s v=""/>
    <s v=""/>
    <s v=""/>
    <n v="43.25"/>
    <n v="0"/>
    <n v="0"/>
    <n v="0"/>
    <n v="0"/>
    <n v="43.25"/>
    <s v=""/>
    <s v=""/>
    <n v="0"/>
    <n v="0"/>
  </r>
  <r>
    <s v="Financeiro e Outros / Intermediários Financeiros / Bancos"/>
    <x v="46"/>
    <n v="4"/>
    <x v="0"/>
    <m/>
    <m/>
    <m/>
    <m/>
    <m/>
    <n v="0"/>
    <s v=""/>
    <s v=""/>
    <s v=""/>
    <s v=""/>
    <s v=""/>
    <s v=""/>
    <n v="43"/>
    <n v="0"/>
    <n v="0"/>
    <n v="0"/>
    <n v="0"/>
    <n v="43"/>
    <s v=""/>
    <s v=""/>
    <n v="0"/>
    <n v="0"/>
  </r>
  <r>
    <s v="Financeiro e Outros / Intermediários Financeiros / Bancos"/>
    <x v="47"/>
    <n v="4"/>
    <x v="0"/>
    <m/>
    <m/>
    <m/>
    <m/>
    <m/>
    <n v="0"/>
    <s v=""/>
    <s v=""/>
    <s v=""/>
    <s v=""/>
    <s v=""/>
    <s v=""/>
    <n v="7.21"/>
    <n v="0"/>
    <n v="0"/>
    <n v="0"/>
    <n v="0"/>
    <n v="7.21"/>
    <s v=""/>
    <s v=""/>
    <n v="0"/>
    <n v="0"/>
  </r>
  <r>
    <s v="Financeiro e Outros / Intermediários Financeiros / Bancos"/>
    <x v="48"/>
    <n v="4"/>
    <x v="0"/>
    <m/>
    <m/>
    <m/>
    <m/>
    <m/>
    <n v="0"/>
    <s v=""/>
    <s v=""/>
    <s v=""/>
    <s v=""/>
    <s v=""/>
    <s v=""/>
    <n v="7.15"/>
    <n v="0"/>
    <n v="0"/>
    <n v="0"/>
    <n v="0"/>
    <n v="7.15"/>
    <s v=""/>
    <s v=""/>
    <n v="0"/>
    <n v="0"/>
  </r>
  <r>
    <s v="Consumo não Cíclico / Saúde / Medicamentos e Outros Produtos"/>
    <x v="49"/>
    <n v="3"/>
    <x v="0"/>
    <m/>
    <m/>
    <m/>
    <m/>
    <m/>
    <n v="0"/>
    <s v=""/>
    <s v=""/>
    <s v=""/>
    <s v=""/>
    <s v=""/>
    <s v=""/>
    <n v="0"/>
    <n v="0"/>
    <n v="9.75"/>
    <n v="0"/>
    <n v="0"/>
    <n v="9.75"/>
    <s v=""/>
    <n v="0"/>
    <n v="0"/>
    <n v="0"/>
  </r>
  <r>
    <s v="Construção e Transporte / Construção e Engenharia / Construção Civil"/>
    <x v="50"/>
    <n v="3"/>
    <x v="0"/>
    <m/>
    <m/>
    <m/>
    <m/>
    <m/>
    <n v="0"/>
    <s v=""/>
    <s v=""/>
    <s v=""/>
    <s v=""/>
    <s v=""/>
    <s v=""/>
    <n v="0"/>
    <n v="0"/>
    <n v="0"/>
    <n v="1.46"/>
    <n v="0"/>
    <n v="1.46"/>
    <s v=""/>
    <n v="0"/>
    <n v="0"/>
    <n v="0"/>
  </r>
  <r>
    <s v="Financeiro e Outros / Intermediários Financeiros / Bancos"/>
    <x v="51"/>
    <n v="4"/>
    <x v="0"/>
    <m/>
    <m/>
    <m/>
    <m/>
    <m/>
    <n v="0"/>
    <s v=""/>
    <s v=""/>
    <s v=""/>
    <s v=""/>
    <s v=""/>
    <s v=""/>
    <n v="0"/>
    <n v="0"/>
    <n v="11.5"/>
    <n v="0"/>
    <n v="0"/>
    <n v="11.5"/>
    <s v=""/>
    <s v=""/>
    <n v="0"/>
    <n v="0"/>
  </r>
  <r>
    <s v="Financeiro e Outros / Intermediários Financeiros / Bancos"/>
    <x v="52"/>
    <n v="4"/>
    <x v="0"/>
    <m/>
    <m/>
    <m/>
    <m/>
    <m/>
    <n v="0"/>
    <s v=""/>
    <s v=""/>
    <s v=""/>
    <s v=""/>
    <s v=""/>
    <s v=""/>
    <n v="0"/>
    <n v="0"/>
    <n v="6.61"/>
    <n v="0"/>
    <n v="0"/>
    <n v="6.61"/>
    <s v=""/>
    <s v=""/>
    <n v="0"/>
    <n v="0"/>
  </r>
  <r>
    <s v="Financeiro e Outros / Intermediários Financeiros / Bancos"/>
    <x v="53"/>
    <n v="4"/>
    <x v="0"/>
    <m/>
    <m/>
    <m/>
    <m/>
    <m/>
    <n v="0"/>
    <s v=""/>
    <s v=""/>
    <s v=""/>
    <s v=""/>
    <s v=""/>
    <s v=""/>
    <n v="1"/>
    <n v="0"/>
    <n v="0"/>
    <n v="0"/>
    <n v="0"/>
    <n v="1"/>
    <s v=""/>
    <s v=""/>
    <n v="0"/>
    <n v="0"/>
  </r>
  <r>
    <s v="Financeiro e Outros / Intermediários Financeiros / Bancos"/>
    <x v="54"/>
    <n v="4"/>
    <x v="0"/>
    <m/>
    <m/>
    <m/>
    <m/>
    <m/>
    <n v="0"/>
    <s v=""/>
    <s v=""/>
    <s v=""/>
    <s v=""/>
    <s v=""/>
    <s v=""/>
    <n v="0.21"/>
    <n v="0"/>
    <n v="0"/>
    <n v="0"/>
    <n v="0"/>
    <n v="0.21"/>
    <s v=""/>
    <s v=""/>
    <n v="0"/>
    <n v="0"/>
  </r>
  <r>
    <s v="Consumo Cíclico / Viagens e Lazer / Bicicletas"/>
    <x v="55"/>
    <n v="3"/>
    <x v="0"/>
    <m/>
    <m/>
    <m/>
    <m/>
    <m/>
    <n v="0"/>
    <s v=""/>
    <s v=""/>
    <s v=""/>
    <s v=""/>
    <s v=""/>
    <s v=""/>
    <n v="0"/>
    <n v="0"/>
    <n v="0"/>
    <n v="360"/>
    <n v="0"/>
    <n v="360"/>
    <s v=""/>
    <n v="0"/>
    <n v="0"/>
    <n v="0"/>
  </r>
  <r>
    <s v="Consumo Cíclico / Utilidades Domésticas / Eletrodomésticos"/>
    <x v="56"/>
    <n v="4"/>
    <x v="0"/>
    <m/>
    <m/>
    <m/>
    <m/>
    <m/>
    <n v="0"/>
    <s v=""/>
    <s v=""/>
    <s v=""/>
    <s v=""/>
    <s v=""/>
    <s v=""/>
    <n v="0"/>
    <n v="0"/>
    <n v="0"/>
    <n v="0.78"/>
    <n v="0"/>
    <n v="0.78"/>
    <s v=""/>
    <s v=""/>
    <n v="0"/>
    <n v="0"/>
  </r>
  <r>
    <s v="Consumo Cíclico / Utilidades Domésticas / Eletrodomésticos"/>
    <x v="57"/>
    <n v="3"/>
    <x v="0"/>
    <m/>
    <m/>
    <m/>
    <m/>
    <m/>
    <n v="0"/>
    <s v=""/>
    <s v=""/>
    <s v=""/>
    <s v=""/>
    <s v=""/>
    <s v=""/>
    <n v="0"/>
    <n v="0"/>
    <n v="0"/>
    <n v="0.84"/>
    <n v="0"/>
    <n v="0.84"/>
    <s v=""/>
    <n v="0"/>
    <n v="0"/>
    <n v="0"/>
  </r>
  <r>
    <s v="Financeiro e Outros / Intermediários Financeiros / Bancos"/>
    <x v="58"/>
    <n v="4"/>
    <x v="0"/>
    <m/>
    <m/>
    <m/>
    <m/>
    <m/>
    <n v="0"/>
    <s v=""/>
    <s v=""/>
    <s v=""/>
    <s v=""/>
    <s v=""/>
    <s v=""/>
    <n v="25.08"/>
    <n v="0"/>
    <n v="0"/>
    <n v="0"/>
    <n v="0"/>
    <n v="25.08"/>
    <s v=""/>
    <s v=""/>
    <n v="0"/>
    <n v="0"/>
  </r>
  <r>
    <s v="Financeiro e Outros / Intermediários Financeiros / Bancos"/>
    <x v="59"/>
    <n v="4"/>
    <x v="0"/>
    <m/>
    <m/>
    <m/>
    <m/>
    <m/>
    <n v="0"/>
    <s v=""/>
    <s v=""/>
    <s v=""/>
    <s v=""/>
    <s v=""/>
    <s v=""/>
    <n v="27.01"/>
    <n v="0"/>
    <n v="0"/>
    <n v="0"/>
    <n v="0"/>
    <n v="27.01"/>
    <s v=""/>
    <s v=""/>
    <n v="0"/>
    <n v="0"/>
  </r>
  <r>
    <s v="Consumo não Cíclico / Produtos de Uso Pessoal e de Limpeza / Produtos de Limpeza"/>
    <x v="6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não Cíclico / Produtos de Uso Pessoal e de Limpeza / Produtos de Limpeza"/>
    <x v="61"/>
    <n v="3"/>
    <x v="0"/>
    <m/>
    <m/>
    <m/>
    <m/>
    <m/>
    <n v="0"/>
    <s v=""/>
    <s v=""/>
    <s v=""/>
    <s v=""/>
    <s v=""/>
    <s v=""/>
    <n v="0"/>
    <n v="0"/>
    <n v="6.12"/>
    <n v="0"/>
    <n v="0"/>
    <n v="6.12"/>
    <s v=""/>
    <n v="0"/>
    <n v="0"/>
    <n v="0"/>
  </r>
  <r>
    <s v="Consumo não Cíclico / Comércio e Distribuição / Medicamentos"/>
    <x v="62"/>
    <n v="3"/>
    <x v="0"/>
    <m/>
    <m/>
    <m/>
    <m/>
    <m/>
    <n v="0"/>
    <s v=""/>
    <s v=""/>
    <s v=""/>
    <s v=""/>
    <s v=""/>
    <s v=""/>
    <n v="0"/>
    <n v="0"/>
    <n v="4.6900000000000004"/>
    <n v="0"/>
    <n v="0"/>
    <n v="4.6900000000000004"/>
    <s v=""/>
    <n v="0"/>
    <n v="0"/>
    <n v="0"/>
  </r>
  <r>
    <s v="Financeiro e Outros / Intermediários Financeiros / Bancos"/>
    <x v="63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6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Holdings Diversificadas / Holdings Diversificadas"/>
    <x v="65"/>
    <n v="3"/>
    <x v="0"/>
    <m/>
    <m/>
    <m/>
    <m/>
    <m/>
    <n v="0"/>
    <s v=""/>
    <s v=""/>
    <s v=""/>
    <s v=""/>
    <s v=""/>
    <s v=""/>
    <n v="0"/>
    <n v="15.9"/>
    <n v="0"/>
    <n v="0"/>
    <n v="0"/>
    <n v="15.9"/>
    <s v=""/>
    <n v="0"/>
    <n v="0"/>
    <n v="0"/>
  </r>
  <r>
    <s v="Financeiro e Outros / Holdings Diversificadas / Holdings Diversificadas"/>
    <x v="66"/>
    <n v="3"/>
    <x v="0"/>
    <m/>
    <m/>
    <m/>
    <m/>
    <m/>
    <n v="0"/>
    <s v=""/>
    <s v=""/>
    <s v=""/>
    <s v=""/>
    <s v=""/>
    <s v=""/>
    <n v="0"/>
    <n v="19.02"/>
    <n v="0"/>
    <n v="0"/>
    <n v="0"/>
    <n v="19.02"/>
    <s v=""/>
    <n v="0"/>
    <n v="0"/>
    <n v="0"/>
  </r>
  <r>
    <s v="Consumo não Cíclico / Alimentos Processados / Carnes e Derivados"/>
    <x v="67"/>
    <n v="4"/>
    <x v="0"/>
    <m/>
    <m/>
    <m/>
    <m/>
    <m/>
    <n v="0"/>
    <s v=""/>
    <s v=""/>
    <s v=""/>
    <s v=""/>
    <s v=""/>
    <s v=""/>
    <n v="0"/>
    <n v="44"/>
    <n v="0"/>
    <n v="0"/>
    <n v="0"/>
    <n v="44"/>
    <s v=""/>
    <s v=""/>
    <n v="0"/>
    <n v="0"/>
  </r>
  <r>
    <s v="Financeiro e Outros / Intermediários Financeiros / Bancos"/>
    <x v="68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  <n v="0"/>
    <n v="0"/>
  </r>
  <r>
    <s v="Financeiro e Outros / Intermediários Financeiros / Bancos"/>
    <x v="69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  <n v="0"/>
    <n v="0"/>
  </r>
  <r>
    <s v="Financeiro e Outros / Intermediários Financeiros / Bancos"/>
    <x v="70"/>
    <n v="3"/>
    <x v="0"/>
    <m/>
    <m/>
    <m/>
    <m/>
    <m/>
    <n v="0"/>
    <s v=""/>
    <s v=""/>
    <s v=""/>
    <s v=""/>
    <s v=""/>
    <s v=""/>
    <n v="3.87"/>
    <n v="0"/>
    <n v="0"/>
    <n v="0"/>
    <n v="0"/>
    <n v="3.87"/>
    <s v=""/>
    <n v="0"/>
    <n v="0"/>
    <n v="0"/>
  </r>
  <r>
    <s v="Financeiro e Outros / Intermediários Financeiros / Bancos"/>
    <x v="71"/>
    <n v="3"/>
    <x v="0"/>
    <m/>
    <m/>
    <m/>
    <m/>
    <m/>
    <n v="0"/>
    <s v=""/>
    <s v=""/>
    <s v=""/>
    <s v=""/>
    <s v=""/>
    <s v=""/>
    <n v="3.27"/>
    <n v="0"/>
    <n v="0"/>
    <n v="0"/>
    <n v="0"/>
    <n v="3.27"/>
    <s v=""/>
    <n v="0"/>
    <n v="0"/>
    <n v="0"/>
  </r>
  <r>
    <s v="Financeiro e Outros / Intermediários Financeiros / Bancos"/>
    <x v="72"/>
    <n v="3"/>
    <x v="0"/>
    <m/>
    <m/>
    <m/>
    <m/>
    <m/>
    <n v="0"/>
    <s v=""/>
    <s v=""/>
    <s v=""/>
    <s v=""/>
    <s v=""/>
    <s v=""/>
    <n v="5.96"/>
    <n v="0"/>
    <n v="0"/>
    <n v="0"/>
    <n v="0"/>
    <n v="5.96"/>
    <s v=""/>
    <n v="0"/>
    <n v="0"/>
    <n v="0"/>
  </r>
  <r>
    <s v="Financeiro e Outros / Intermediários Financeiros / Bancos"/>
    <x v="73"/>
    <n v="3"/>
    <x v="0"/>
    <m/>
    <m/>
    <m/>
    <m/>
    <m/>
    <n v="0"/>
    <s v=""/>
    <s v=""/>
    <s v=""/>
    <s v=""/>
    <s v=""/>
    <s v=""/>
    <n v="3.6"/>
    <n v="0"/>
    <n v="0"/>
    <n v="0"/>
    <n v="0"/>
    <n v="3.6"/>
    <s v=""/>
    <n v="0"/>
    <n v="0"/>
    <n v="0"/>
  </r>
  <r>
    <s v="Financeiro e Outros / Intermediários Financeiros / Bancos"/>
    <x v="74"/>
    <n v="3"/>
    <x v="0"/>
    <m/>
    <m/>
    <m/>
    <m/>
    <m/>
    <n v="0"/>
    <s v=""/>
    <s v=""/>
    <s v=""/>
    <s v=""/>
    <s v=""/>
    <s v=""/>
    <n v="3.78"/>
    <n v="0"/>
    <n v="0"/>
    <n v="0"/>
    <n v="0"/>
    <n v="3.78"/>
    <s v=""/>
    <n v="0"/>
    <n v="0"/>
    <n v="0"/>
  </r>
  <r>
    <s v="Financeiro e Outros / Previdência e Seguros / Corretoras de Seguros"/>
    <x v="75"/>
    <n v="3"/>
    <x v="0"/>
    <m/>
    <m/>
    <m/>
    <m/>
    <m/>
    <n v="0"/>
    <s v=""/>
    <s v=""/>
    <s v=""/>
    <s v=""/>
    <s v=""/>
    <s v=""/>
    <n v="0"/>
    <n v="15.1"/>
    <n v="0"/>
    <n v="0"/>
    <n v="0"/>
    <n v="15.1"/>
    <s v=""/>
    <n v="0"/>
    <n v="0"/>
    <n v="0"/>
  </r>
  <r>
    <s v="Financeiro e Outros / Intermediários Financeiros / Bancos"/>
    <x v="76"/>
    <n v="3"/>
    <x v="0"/>
    <m/>
    <m/>
    <m/>
    <m/>
    <m/>
    <n v="0"/>
    <s v=""/>
    <s v=""/>
    <s v=""/>
    <s v=""/>
    <s v=""/>
    <s v=""/>
    <n v="6"/>
    <n v="0"/>
    <n v="0"/>
    <n v="0"/>
    <n v="0"/>
    <n v="6"/>
    <s v=""/>
    <n v="0"/>
    <n v="0"/>
    <n v="0"/>
  </r>
  <r>
    <s v="Financeiro e Outros / Intermediários Financeiros / Bancos"/>
    <x v="77"/>
    <n v="3"/>
    <x v="0"/>
    <m/>
    <m/>
    <m/>
    <m/>
    <m/>
    <n v="0"/>
    <s v=""/>
    <s v=""/>
    <s v=""/>
    <s v=""/>
    <s v=""/>
    <s v=""/>
    <n v="5.69"/>
    <n v="0"/>
    <n v="0"/>
    <n v="0"/>
    <n v="0"/>
    <n v="5.69"/>
    <s v=""/>
    <n v="0"/>
    <n v="0"/>
    <n v="0"/>
  </r>
  <r>
    <s v="Materiais Básicos / Químicos / Petroquímicos"/>
    <x v="78"/>
    <n v="4"/>
    <x v="0"/>
    <m/>
    <m/>
    <m/>
    <m/>
    <m/>
    <n v="0"/>
    <s v=""/>
    <s v=""/>
    <s v=""/>
    <s v=""/>
    <s v=""/>
    <s v=""/>
    <n v="0"/>
    <n v="12.76"/>
    <n v="0"/>
    <n v="0"/>
    <n v="0"/>
    <n v="12.76"/>
    <s v=""/>
    <s v=""/>
    <n v="0"/>
    <n v="0"/>
  </r>
  <r>
    <s v="Materiais Básicos / Químicos / Petroquímicos"/>
    <x v="79"/>
    <n v="4"/>
    <x v="0"/>
    <m/>
    <m/>
    <m/>
    <m/>
    <m/>
    <n v="0"/>
    <s v=""/>
    <s v=""/>
    <s v=""/>
    <s v=""/>
    <s v=""/>
    <s v=""/>
    <n v="0"/>
    <n v="16.38"/>
    <n v="0"/>
    <n v="0"/>
    <n v="0"/>
    <n v="16.38"/>
    <s v=""/>
    <s v=""/>
    <n v="0"/>
    <n v="0"/>
  </r>
  <r>
    <s v="Materiais Básicos / Químicos / Petroquímicos"/>
    <x v="80"/>
    <n v="4"/>
    <x v="0"/>
    <m/>
    <m/>
    <m/>
    <m/>
    <m/>
    <n v="0"/>
    <s v=""/>
    <s v=""/>
    <s v=""/>
    <s v=""/>
    <s v=""/>
    <s v=""/>
    <n v="0"/>
    <n v="10.15"/>
    <n v="0"/>
    <n v="0"/>
    <n v="0"/>
    <n v="10.15"/>
    <s v=""/>
    <s v=""/>
    <n v="0"/>
    <n v="0"/>
  </r>
  <r>
    <s v="Financeiro e Outros / Exploração de Imóveis / Exploração de Imóveis"/>
    <x v="81"/>
    <n v="3"/>
    <x v="0"/>
    <m/>
    <m/>
    <m/>
    <m/>
    <m/>
    <n v="0"/>
    <s v=""/>
    <s v=""/>
    <s v=""/>
    <s v=""/>
    <s v=""/>
    <s v=""/>
    <n v="0"/>
    <n v="18.2"/>
    <n v="0"/>
    <n v="0"/>
    <n v="0"/>
    <n v="18.2"/>
    <s v=""/>
    <n v="0"/>
    <n v="0"/>
    <n v="0"/>
  </r>
  <r>
    <s v="Financeiro e Outros / Exploração de Imóveis / Exploração de Imóveis"/>
    <x v="82"/>
    <n v="4"/>
    <x v="0"/>
    <m/>
    <m/>
    <m/>
    <m/>
    <m/>
    <n v="0"/>
    <s v=""/>
    <s v=""/>
    <s v=""/>
    <s v=""/>
    <s v=""/>
    <s v=""/>
    <n v="0"/>
    <n v="16.850000000000001"/>
    <n v="0"/>
    <n v="0"/>
    <n v="0"/>
    <n v="16.850000000000001"/>
    <s v=""/>
    <s v=""/>
    <n v="0"/>
    <n v="0"/>
  </r>
  <r>
    <s v="Financeiro e Outros / Intermediários Financeiros / Bancos"/>
    <x v="83"/>
    <n v="4"/>
    <x v="0"/>
    <m/>
    <m/>
    <m/>
    <m/>
    <m/>
    <n v="0"/>
    <s v=""/>
    <s v=""/>
    <s v=""/>
    <s v=""/>
    <s v=""/>
    <s v=""/>
    <n v="12.2"/>
    <n v="0"/>
    <n v="0"/>
    <n v="0"/>
    <n v="0"/>
    <n v="12.2"/>
    <s v=""/>
    <s v=""/>
    <n v="0"/>
    <n v="0"/>
  </r>
  <r>
    <s v="Financeiro e Outros / Intermediários Financeiros / Bancos"/>
    <x v="84"/>
    <n v="4"/>
    <x v="0"/>
    <m/>
    <m/>
    <m/>
    <m/>
    <m/>
    <n v="0"/>
    <s v=""/>
    <s v=""/>
    <s v=""/>
    <s v=""/>
    <s v=""/>
    <s v=""/>
    <n v="11.6"/>
    <n v="0"/>
    <n v="0"/>
    <n v="0"/>
    <n v="0"/>
    <n v="11.6"/>
    <s v=""/>
    <s v=""/>
    <n v="0"/>
    <n v="0"/>
  </r>
  <r>
    <s v="Financeiro e Outros / Intermediários Financeiros / Bancos"/>
    <x v="85"/>
    <n v="4"/>
    <x v="0"/>
    <m/>
    <m/>
    <m/>
    <m/>
    <m/>
    <n v="0"/>
    <s v=""/>
    <s v=""/>
    <s v=""/>
    <s v=""/>
    <s v=""/>
    <s v=""/>
    <n v="11.43"/>
    <n v="0"/>
    <n v="0"/>
    <n v="0"/>
    <n v="0"/>
    <n v="11.43"/>
    <s v=""/>
    <s v=""/>
    <n v="0"/>
    <n v="0"/>
  </r>
  <r>
    <s v="Consumo não Cíclico / Alimentos Processados / Açucar e Alcool"/>
    <x v="86"/>
    <n v="4"/>
    <x v="0"/>
    <m/>
    <m/>
    <m/>
    <m/>
    <m/>
    <n v="0"/>
    <s v=""/>
    <s v=""/>
    <s v=""/>
    <s v=""/>
    <s v=""/>
    <s v=""/>
    <n v="0"/>
    <n v="0"/>
    <n v="0"/>
    <n v="8.85"/>
    <n v="0"/>
    <n v="8.85"/>
    <s v=""/>
    <s v=""/>
    <n v="0"/>
    <n v="0"/>
  </r>
  <r>
    <s v="Financeiro e Outros / Intermediários Financeiros / Bancos"/>
    <x v="87"/>
    <n v="4"/>
    <x v="0"/>
    <m/>
    <m/>
    <m/>
    <m/>
    <m/>
    <n v="0"/>
    <s v=""/>
    <s v=""/>
    <s v=""/>
    <s v=""/>
    <s v=""/>
    <s v=""/>
    <n v="26.75"/>
    <n v="0"/>
    <n v="0"/>
    <n v="0"/>
    <n v="0"/>
    <n v="26.75"/>
    <s v=""/>
    <s v=""/>
    <n v="0"/>
    <n v="0"/>
  </r>
  <r>
    <s v="Financeiro e Outros / Intermediários Financeiros / Bancos"/>
    <x v="88"/>
    <n v="4"/>
    <x v="0"/>
    <m/>
    <m/>
    <m/>
    <m/>
    <m/>
    <n v="0"/>
    <s v=""/>
    <s v=""/>
    <s v=""/>
    <s v=""/>
    <s v=""/>
    <s v=""/>
    <n v="28"/>
    <n v="0"/>
    <n v="0"/>
    <n v="0"/>
    <n v="0"/>
    <n v="28"/>
    <s v=""/>
    <s v=""/>
    <n v="0"/>
    <n v="0"/>
  </r>
  <r>
    <s v="Consumo Cíclico / Comércio / Produtos Diversos"/>
    <x v="89"/>
    <n v="4"/>
    <x v="0"/>
    <m/>
    <m/>
    <m/>
    <m/>
    <m/>
    <n v="0"/>
    <s v=""/>
    <s v=""/>
    <s v=""/>
    <s v=""/>
    <s v=""/>
    <s v=""/>
    <n v="0"/>
    <n v="0"/>
    <n v="25.07"/>
    <n v="0"/>
    <n v="0"/>
    <n v="25.07"/>
    <s v=""/>
    <s v=""/>
    <n v="0"/>
    <n v="0"/>
  </r>
  <r>
    <s v="Financeiro e Outros / Holdings Diversificadas / Holdings Diversificadas"/>
    <x v="90"/>
    <n v="4"/>
    <x v="0"/>
    <m/>
    <m/>
    <m/>
    <m/>
    <m/>
    <n v="0"/>
    <s v=""/>
    <s v=""/>
    <s v=""/>
    <s v=""/>
    <s v=""/>
    <s v=""/>
    <n v="0"/>
    <n v="0"/>
    <n v="0.8"/>
    <n v="0"/>
    <n v="0"/>
    <n v="0.8"/>
    <s v=""/>
    <s v=""/>
    <n v="0"/>
    <n v="0"/>
  </r>
  <r>
    <s v="Financeiro e Outros / Holdings Diversificadas / Holdings Diversificadas"/>
    <x v="91"/>
    <n v="4"/>
    <x v="0"/>
    <m/>
    <m/>
    <m/>
    <m/>
    <m/>
    <n v="0"/>
    <s v=""/>
    <s v=""/>
    <s v=""/>
    <s v=""/>
    <s v=""/>
    <s v=""/>
    <n v="0"/>
    <n v="0"/>
    <n v="0.86"/>
    <n v="0"/>
    <n v="0"/>
    <n v="0.86"/>
    <s v=""/>
    <s v=""/>
    <n v="0"/>
    <n v="0"/>
  </r>
  <r>
    <s v="Financeiro e Outros / Serviços Financeiros Diversos / Serviços Financeiros Diversos"/>
    <x v="92"/>
    <n v="4"/>
    <x v="0"/>
    <m/>
    <m/>
    <m/>
    <m/>
    <m/>
    <n v="0"/>
    <s v=""/>
    <s v=""/>
    <s v=""/>
    <s v=""/>
    <s v=""/>
    <s v=""/>
    <n v="0"/>
    <n v="10.34"/>
    <n v="0"/>
    <n v="0"/>
    <n v="0"/>
    <n v="10.34"/>
    <s v=""/>
    <s v=""/>
    <n v="0"/>
    <n v="0"/>
  </r>
  <r>
    <s v="Construção e Transporte / Construção e Engenharia / Construção Civil"/>
    <x v="93"/>
    <n v="3"/>
    <x v="0"/>
    <m/>
    <m/>
    <m/>
    <m/>
    <m/>
    <n v="0"/>
    <s v=""/>
    <s v=""/>
    <s v=""/>
    <s v=""/>
    <s v=""/>
    <s v=""/>
    <n v="0"/>
    <n v="0"/>
    <n v="0"/>
    <n v="126.01"/>
    <n v="0"/>
    <n v="126.01"/>
    <s v=""/>
    <n v="0"/>
    <n v="0"/>
    <n v="0"/>
  </r>
  <r>
    <s v="Construção e Transporte / Construção e Engenharia / Construção Civil"/>
    <x v="94"/>
    <n v="3"/>
    <x v="0"/>
    <m/>
    <m/>
    <m/>
    <m/>
    <m/>
    <n v="0"/>
    <s v=""/>
    <s v=""/>
    <s v=""/>
    <s v=""/>
    <s v=""/>
    <s v=""/>
    <n v="0"/>
    <n v="0"/>
    <n v="0"/>
    <n v="250"/>
    <n v="0"/>
    <n v="250"/>
    <s v=""/>
    <n v="0"/>
    <n v="0"/>
    <n v="0"/>
  </r>
  <r>
    <s v="Consumo Cíclico / Tecidos. Vestuário e Calçados / Calçados"/>
    <x v="95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Calçados"/>
    <x v="96"/>
    <n v="3"/>
    <x v="0"/>
    <m/>
    <m/>
    <m/>
    <m/>
    <m/>
    <n v="0"/>
    <s v=""/>
    <s v=""/>
    <s v=""/>
    <s v=""/>
    <s v=""/>
    <s v=""/>
    <n v="0"/>
    <n v="0"/>
    <n v="0"/>
    <n v="2.17"/>
    <n v="0"/>
    <n v="2.17"/>
    <s v=""/>
    <n v="0"/>
    <n v="0"/>
    <n v="0"/>
  </r>
  <r>
    <s v="Bens Industriais / Serviços / Serviços Diversos"/>
    <x v="97"/>
    <n v="3"/>
    <x v="0"/>
    <m/>
    <m/>
    <m/>
    <m/>
    <m/>
    <n v="0"/>
    <s v=""/>
    <s v=""/>
    <s v=""/>
    <s v=""/>
    <s v=""/>
    <s v=""/>
    <n v="0"/>
    <n v="0"/>
    <n v="0"/>
    <n v="0"/>
    <n v="2.0499999999999998"/>
    <n v="2.0499999999999998"/>
    <s v=""/>
    <n v="0"/>
    <n v="0"/>
    <n v="0"/>
  </r>
  <r>
    <s v="Utilidade Pública / Água e Saneamento / Água e Saneamento"/>
    <x v="98"/>
    <n v="3"/>
    <x v="0"/>
    <m/>
    <m/>
    <m/>
    <m/>
    <m/>
    <n v="0"/>
    <s v=""/>
    <s v=""/>
    <s v=""/>
    <s v=""/>
    <s v=""/>
    <s v=""/>
    <n v="4.12"/>
    <n v="0"/>
    <n v="0"/>
    <n v="0"/>
    <n v="0"/>
    <n v="4.12"/>
    <s v=""/>
    <n v="0"/>
    <n v="0"/>
    <n v="0"/>
  </r>
  <r>
    <s v="Utilidade Pública / Água e Saneamento / Água e Saneamento"/>
    <x v="99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Utilidade Pública / Energia Elétrica / Energia Elétrica"/>
    <x v="100"/>
    <n v="4"/>
    <x v="1"/>
    <s v="div"/>
    <m/>
    <d v="2008-04-29T00:00:00"/>
    <d v="2008-12-29T00:00:00"/>
    <n v="0.01"/>
    <n v="0.01"/>
    <s v=""/>
    <s v=""/>
    <s v=""/>
    <s v=""/>
    <s v=""/>
    <s v=""/>
    <n v="0"/>
    <n v="1.07"/>
    <n v="0"/>
    <n v="0"/>
    <n v="0"/>
    <n v="1.07"/>
    <s v=""/>
    <s v=""/>
    <n v="1"/>
    <n v="0"/>
  </r>
  <r>
    <s v="Bens Industriais / Material de Transporte / Material Ferroviário"/>
    <x v="101"/>
    <n v="3"/>
    <x v="0"/>
    <m/>
    <m/>
    <m/>
    <m/>
    <m/>
    <n v="0"/>
    <s v=""/>
    <s v=""/>
    <s v=""/>
    <s v=""/>
    <s v=""/>
    <s v=""/>
    <n v="0"/>
    <n v="0"/>
    <n v="0"/>
    <n v="0"/>
    <n v="0.04"/>
    <n v="0.04"/>
    <s v=""/>
    <n v="0"/>
    <n v="0"/>
    <n v="0"/>
  </r>
  <r>
    <s v="Bens Industriais / Material de Transporte / Material Ferroviário"/>
    <x v="102"/>
    <n v="3"/>
    <x v="0"/>
    <m/>
    <m/>
    <m/>
    <m/>
    <m/>
    <n v="0"/>
    <s v=""/>
    <s v=""/>
    <s v=""/>
    <s v=""/>
    <s v=""/>
    <s v=""/>
    <n v="0"/>
    <n v="0"/>
    <n v="0"/>
    <n v="0"/>
    <n v="0.04"/>
    <n v="0.04"/>
    <s v=""/>
    <n v="0"/>
    <n v="0"/>
    <n v="0"/>
  </r>
  <r>
    <s v="Construção e Transporte / Construção e Engenharia / Materiais de Construção"/>
    <x v="103"/>
    <n v="3"/>
    <x v="0"/>
    <m/>
    <m/>
    <m/>
    <m/>
    <m/>
    <n v="0"/>
    <s v=""/>
    <s v=""/>
    <s v=""/>
    <s v=""/>
    <s v=""/>
    <s v=""/>
    <n v="0"/>
    <n v="0"/>
    <n v="0"/>
    <n v="0"/>
    <n v="0.12"/>
    <n v="0.12"/>
    <s v=""/>
    <n v="0"/>
    <n v="0"/>
    <n v="0"/>
  </r>
  <r>
    <s v="Construção e Transporte / Construção e Engenharia / Materiais de Construção"/>
    <x v="104"/>
    <n v="3"/>
    <x v="0"/>
    <m/>
    <m/>
    <m/>
    <m/>
    <m/>
    <n v="0"/>
    <s v=""/>
    <s v=""/>
    <s v=""/>
    <s v=""/>
    <s v=""/>
    <s v=""/>
    <n v="0"/>
    <n v="0"/>
    <n v="0"/>
    <n v="0"/>
    <n v="0.09"/>
    <n v="0.09"/>
    <s v=""/>
    <n v="0"/>
    <n v="0"/>
    <n v="0"/>
  </r>
  <r>
    <s v="Financeiro e Outros / Exploração de Imóveis / Exploração de Imóveis"/>
    <x v="105"/>
    <n v="4"/>
    <x v="0"/>
    <m/>
    <m/>
    <m/>
    <m/>
    <m/>
    <n v="0"/>
    <s v=""/>
    <s v=""/>
    <s v=""/>
    <s v=""/>
    <s v=""/>
    <s v=""/>
    <n v="0"/>
    <n v="18.91"/>
    <n v="0"/>
    <n v="0"/>
    <n v="0"/>
    <n v="18.91"/>
    <s v=""/>
    <s v=""/>
    <n v="0"/>
    <n v="0"/>
  </r>
  <r>
    <s v="Construção e Transporte / Transporte / Exploração de Rodovias"/>
    <x v="106"/>
    <n v="4"/>
    <x v="0"/>
    <m/>
    <m/>
    <m/>
    <m/>
    <m/>
    <n v="0"/>
    <s v=""/>
    <s v=""/>
    <s v=""/>
    <s v=""/>
    <s v=""/>
    <s v=""/>
    <n v="0"/>
    <n v="0"/>
    <n v="0"/>
    <n v="0"/>
    <n v="16.829999999999998"/>
    <n v="16.829999999999998"/>
    <s v=""/>
    <s v=""/>
    <n v="0"/>
    <n v="0"/>
  </r>
  <r>
    <s v="Materiais Básicos / Mineração / Minerais Não Metálicos"/>
    <x v="107"/>
    <n v="3"/>
    <x v="0"/>
    <m/>
    <m/>
    <m/>
    <m/>
    <m/>
    <n v="0"/>
    <s v=""/>
    <s v=""/>
    <s v=""/>
    <s v=""/>
    <s v=""/>
    <s v=""/>
    <n v="0"/>
    <n v="0"/>
    <n v="0.93"/>
    <n v="0"/>
    <n v="0"/>
    <n v="0.93"/>
    <s v=""/>
    <n v="0"/>
    <n v="0"/>
    <n v="0"/>
  </r>
  <r>
    <s v="Utilidade Pública / Energia Elétrica / Energia Elétrica"/>
    <x v="108"/>
    <n v="3"/>
    <x v="0"/>
    <m/>
    <m/>
    <m/>
    <m/>
    <m/>
    <n v="0"/>
    <s v=""/>
    <s v=""/>
    <s v=""/>
    <s v=""/>
    <s v=""/>
    <s v=""/>
    <n v="14"/>
    <n v="0"/>
    <n v="0"/>
    <n v="0"/>
    <n v="0"/>
    <n v="14"/>
    <s v=""/>
    <n v="0"/>
    <n v="0"/>
    <n v="0"/>
  </r>
  <r>
    <s v="Utilidade Pública / Energia Elétrica / Energia Elétrica"/>
    <x v="109"/>
    <n v="3"/>
    <x v="0"/>
    <m/>
    <m/>
    <m/>
    <m/>
    <m/>
    <n v="0"/>
    <s v=""/>
    <s v=""/>
    <s v=""/>
    <s v=""/>
    <s v=""/>
    <s v=""/>
    <n v="21"/>
    <n v="0"/>
    <n v="0"/>
    <n v="0"/>
    <n v="0"/>
    <n v="21"/>
    <s v=""/>
    <n v="0"/>
    <n v="0"/>
    <n v="0"/>
  </r>
  <r>
    <s v="Utilidade Pública / Energia Elétrica / Energia Elétrica"/>
    <x v="110"/>
    <n v="3"/>
    <x v="0"/>
    <m/>
    <m/>
    <m/>
    <m/>
    <m/>
    <n v="0"/>
    <s v=""/>
    <s v=""/>
    <s v=""/>
    <s v=""/>
    <s v=""/>
    <s v=""/>
    <n v="17.100000000000001"/>
    <n v="0"/>
    <n v="0"/>
    <n v="0"/>
    <n v="0"/>
    <n v="17.100000000000001"/>
    <s v=""/>
    <n v="0"/>
    <n v="0"/>
    <n v="0"/>
  </r>
  <r>
    <s v="Consumo Cíclico / Tecidos. Vestuário e Calçados / Fios e Tecidos"/>
    <x v="111"/>
    <n v="3"/>
    <x v="0"/>
    <m/>
    <m/>
    <m/>
    <m/>
    <m/>
    <n v="0"/>
    <s v=""/>
    <s v=""/>
    <s v=""/>
    <s v=""/>
    <s v=""/>
    <s v=""/>
    <n v="0"/>
    <n v="0"/>
    <n v="0"/>
    <n v="10"/>
    <n v="0"/>
    <n v="10"/>
    <s v=""/>
    <n v="0"/>
    <n v="0"/>
    <n v="0"/>
  </r>
  <r>
    <s v="Consumo Cíclico / Tecidos. Vestuário e Calçados / Fios e Tecidos"/>
    <x v="112"/>
    <n v="3"/>
    <x v="0"/>
    <m/>
    <m/>
    <m/>
    <m/>
    <m/>
    <n v="0"/>
    <s v=""/>
    <s v=""/>
    <s v=""/>
    <s v=""/>
    <s v=""/>
    <s v=""/>
    <n v="0"/>
    <n v="0"/>
    <n v="0"/>
    <n v="10.5"/>
    <n v="0"/>
    <n v="10.5"/>
    <s v=""/>
    <n v="0"/>
    <n v="0"/>
    <n v="0"/>
  </r>
  <r>
    <s v="Utilidade Pública / Energia Elétrica / Energia Elétrica"/>
    <x v="113"/>
    <n v="4"/>
    <x v="1"/>
    <s v="div"/>
    <m/>
    <d v="2010-03-29T00:00:00"/>
    <d v="2010-06-16T00:00:00"/>
    <n v="1.6702699999999999"/>
    <n v="1.67026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1"/>
    <s v="div"/>
    <m/>
    <d v="2010-03-29T00:00:00"/>
    <d v="2010-06-16T00:00:00"/>
    <n v="1.6702699999999999"/>
    <n v="1.67026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1"/>
    <s v="div"/>
    <m/>
    <d v="2010-03-29T00:00:00"/>
    <d v="2010-06-16T00:00:00"/>
    <n v="1.8372999999999999"/>
    <n v="1.8372999999999999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6"/>
    <n v="3"/>
    <x v="0"/>
    <m/>
    <m/>
    <m/>
    <m/>
    <m/>
    <n v="0"/>
    <s v=""/>
    <s v=""/>
    <s v=""/>
    <s v=""/>
    <s v=""/>
    <s v=""/>
    <n v="0"/>
    <n v="1"/>
    <n v="0"/>
    <n v="0"/>
    <n v="0"/>
    <n v="1"/>
    <s v=""/>
    <n v="0"/>
    <n v="0"/>
    <n v="0"/>
  </r>
  <r>
    <s v="Utilidade Pública / Energia Elétrica / Energia Elétrica"/>
    <x v="117"/>
    <n v="3"/>
    <x v="0"/>
    <m/>
    <m/>
    <m/>
    <m/>
    <m/>
    <n v="0"/>
    <s v=""/>
    <s v=""/>
    <s v=""/>
    <s v=""/>
    <s v=""/>
    <s v=""/>
    <n v="0"/>
    <n v="1.59"/>
    <n v="0"/>
    <n v="0"/>
    <n v="0"/>
    <n v="1.59"/>
    <s v=""/>
    <n v="0"/>
    <n v="0"/>
    <n v="0"/>
  </r>
  <r>
    <s v="Utilidade Pública / Gás / Gás"/>
    <x v="118"/>
    <n v="3"/>
    <x v="0"/>
    <m/>
    <m/>
    <m/>
    <m/>
    <m/>
    <n v="0"/>
    <s v=""/>
    <s v=""/>
    <s v=""/>
    <s v=""/>
    <s v=""/>
    <s v=""/>
    <n v="0"/>
    <n v="85"/>
    <n v="0"/>
    <n v="0"/>
    <n v="0"/>
    <n v="85"/>
    <s v=""/>
    <n v="0"/>
    <n v="0"/>
    <n v="0"/>
  </r>
  <r>
    <s v="Utilidade Pública / Energia Elétrica / Energia Elétrica"/>
    <x v="119"/>
    <n v="4"/>
    <x v="0"/>
    <m/>
    <m/>
    <m/>
    <m/>
    <m/>
    <n v="0"/>
    <s v=""/>
    <s v=""/>
    <s v=""/>
    <s v=""/>
    <s v=""/>
    <s v=""/>
    <n v="0"/>
    <n v="1.2"/>
    <n v="0"/>
    <n v="0"/>
    <n v="0"/>
    <n v="1.2"/>
    <s v=""/>
    <s v=""/>
    <n v="0"/>
    <n v="0"/>
  </r>
  <r>
    <s v="Utilidade Pública / Energia Elétrica / Energia Elétrica"/>
    <x v="120"/>
    <n v="4"/>
    <x v="0"/>
    <m/>
    <m/>
    <m/>
    <m/>
    <m/>
    <n v="0"/>
    <s v=""/>
    <s v=""/>
    <s v=""/>
    <s v=""/>
    <s v=""/>
    <s v=""/>
    <n v="0"/>
    <n v="1"/>
    <n v="0"/>
    <n v="0"/>
    <n v="0"/>
    <n v="1"/>
    <s v=""/>
    <s v=""/>
    <n v="0"/>
    <n v="0"/>
  </r>
  <r>
    <s v="Utilidade Pública / Energia Elétrica / Energia Elétrica"/>
    <x v="121"/>
    <n v="4"/>
    <x v="0"/>
    <m/>
    <m/>
    <m/>
    <m/>
    <m/>
    <n v="0"/>
    <s v=""/>
    <s v=""/>
    <s v=""/>
    <s v=""/>
    <s v=""/>
    <s v=""/>
    <n v="0"/>
    <n v="0.75"/>
    <n v="0"/>
    <n v="0"/>
    <n v="0"/>
    <n v="0.75"/>
    <s v=""/>
    <s v=""/>
    <n v="0"/>
    <n v="0"/>
  </r>
  <r>
    <s v="Utilidade Pública / Energia Elétrica / Energia Elétrica"/>
    <x v="122"/>
    <n v="4"/>
    <x v="0"/>
    <m/>
    <m/>
    <m/>
    <m/>
    <m/>
    <n v="0"/>
    <s v=""/>
    <s v=""/>
    <s v=""/>
    <s v=""/>
    <s v=""/>
    <s v=""/>
    <n v="0"/>
    <n v="0.5"/>
    <n v="0"/>
    <n v="0"/>
    <n v="0"/>
    <n v="0.5"/>
    <s v=""/>
    <s v=""/>
    <n v="0"/>
    <n v="0"/>
  </r>
  <r>
    <s v="Utilidade Pública / Energia Elétrica / Energia Elétrica"/>
    <x v="123"/>
    <n v="3"/>
    <x v="0"/>
    <m/>
    <m/>
    <m/>
    <m/>
    <m/>
    <n v="0"/>
    <s v=""/>
    <s v=""/>
    <s v=""/>
    <s v=""/>
    <s v=""/>
    <s v=""/>
    <n v="0"/>
    <n v="24.53"/>
    <n v="0"/>
    <n v="0"/>
    <n v="0"/>
    <n v="24.53"/>
    <s v=""/>
    <n v="0"/>
    <n v="0"/>
    <n v="0"/>
  </r>
  <r>
    <s v="Utilidade Pública / Energia Elétrica / Energia Elétrica"/>
    <x v="124"/>
    <n v="3"/>
    <x v="0"/>
    <m/>
    <m/>
    <m/>
    <m/>
    <m/>
    <n v="0"/>
    <s v=""/>
    <s v=""/>
    <s v=""/>
    <s v=""/>
    <s v=""/>
    <s v=""/>
    <n v="17.899999999999999"/>
    <n v="0"/>
    <n v="0"/>
    <n v="0"/>
    <n v="0"/>
    <n v="17.899999999999999"/>
    <s v=""/>
    <n v="0"/>
    <n v="0"/>
    <n v="0"/>
  </r>
  <r>
    <s v="Utilidade Pública / Energia Elétrica / Energia Elétrica"/>
    <x v="125"/>
    <n v="3"/>
    <x v="0"/>
    <m/>
    <m/>
    <m/>
    <m/>
    <m/>
    <n v="0"/>
    <s v=""/>
    <s v=""/>
    <s v=""/>
    <s v=""/>
    <s v=""/>
    <s v=""/>
    <n v="18.010000000000002"/>
    <n v="0"/>
    <n v="0"/>
    <n v="0"/>
    <n v="0"/>
    <n v="18.010000000000002"/>
    <s v=""/>
    <n v="0"/>
    <n v="0"/>
    <n v="0"/>
  </r>
  <r>
    <s v="Utilidade Pública / Energia Elétrica / Energia Elétrica"/>
    <x v="126"/>
    <n v="3"/>
    <x v="0"/>
    <m/>
    <m/>
    <m/>
    <m/>
    <m/>
    <n v="0"/>
    <s v=""/>
    <s v=""/>
    <s v=""/>
    <s v=""/>
    <s v=""/>
    <s v=""/>
    <n v="18.399999999999999"/>
    <n v="0"/>
    <n v="0"/>
    <n v="0"/>
    <n v="0"/>
    <n v="18.399999999999999"/>
    <s v=""/>
    <n v="0"/>
    <n v="0"/>
    <n v="0"/>
  </r>
  <r>
    <s v="Utilidade Pública / Energia Elétrica / Energia Elétrica"/>
    <x v="127"/>
    <n v="3"/>
    <x v="0"/>
    <m/>
    <m/>
    <m/>
    <m/>
    <m/>
    <n v="0"/>
    <s v=""/>
    <s v=""/>
    <s v=""/>
    <s v=""/>
    <s v=""/>
    <s v=""/>
    <n v="22.65"/>
    <n v="0"/>
    <n v="0"/>
    <n v="0"/>
    <n v="0"/>
    <n v="22.65"/>
    <s v=""/>
    <n v="0"/>
    <n v="0"/>
    <n v="0"/>
  </r>
  <r>
    <s v="Utilidade Pública / Energia Elétrica / Energia Elétrica"/>
    <x v="128"/>
    <n v="3"/>
    <x v="0"/>
    <m/>
    <m/>
    <m/>
    <m/>
    <m/>
    <n v="0"/>
    <s v=""/>
    <s v=""/>
    <s v=""/>
    <s v=""/>
    <s v=""/>
    <s v=""/>
    <n v="22.76"/>
    <n v="0"/>
    <n v="0"/>
    <n v="0"/>
    <n v="0"/>
    <n v="22.76"/>
    <s v=""/>
    <n v="0"/>
    <n v="0"/>
    <n v="0"/>
  </r>
  <r>
    <s v="Utilidade Pública / Gás / Gás"/>
    <x v="129"/>
    <n v="4"/>
    <x v="0"/>
    <m/>
    <m/>
    <m/>
    <m/>
    <m/>
    <n v="0"/>
    <s v=""/>
    <s v=""/>
    <s v=""/>
    <s v=""/>
    <s v=""/>
    <s v=""/>
    <n v="0"/>
    <n v="50.2"/>
    <n v="0"/>
    <n v="0"/>
    <n v="0"/>
    <n v="50.2"/>
    <s v=""/>
    <s v=""/>
    <n v="0"/>
    <n v="0"/>
  </r>
  <r>
    <s v="Utilidade Pública / Gás / Gás"/>
    <x v="130"/>
    <n v="4"/>
    <x v="0"/>
    <m/>
    <m/>
    <m/>
    <m/>
    <m/>
    <n v="0"/>
    <s v=""/>
    <s v=""/>
    <s v=""/>
    <s v=""/>
    <s v=""/>
    <s v=""/>
    <n v="0"/>
    <n v="49.99"/>
    <n v="0"/>
    <n v="0"/>
    <n v="0"/>
    <n v="49.99"/>
    <s v=""/>
    <s v=""/>
    <n v="0"/>
    <n v="0"/>
  </r>
  <r>
    <s v="Consumo Cíclico / Comércio / Tecidos. Vestuário e Calçados"/>
    <x v="131"/>
    <n v="4"/>
    <x v="0"/>
    <m/>
    <m/>
    <m/>
    <m/>
    <m/>
    <n v="0"/>
    <s v=""/>
    <s v=""/>
    <s v=""/>
    <s v=""/>
    <s v=""/>
    <s v=""/>
    <n v="0"/>
    <n v="0"/>
    <n v="0"/>
    <n v="16.8"/>
    <n v="0"/>
    <n v="16.8"/>
    <s v=""/>
    <s v=""/>
    <n v="0"/>
    <n v="0"/>
  </r>
  <r>
    <s v="Consumo Cíclico / Comércio / Tecidos. Vestuário e Calçados"/>
    <x v="132"/>
    <n v="4"/>
    <x v="0"/>
    <m/>
    <m/>
    <m/>
    <m/>
    <m/>
    <n v="0"/>
    <s v=""/>
    <s v=""/>
    <s v=""/>
    <s v=""/>
    <s v=""/>
    <s v=""/>
    <n v="0"/>
    <n v="0"/>
    <n v="0"/>
    <n v="17.18"/>
    <n v="0"/>
    <n v="17.18"/>
    <s v=""/>
    <s v=""/>
    <n v="0"/>
    <n v="0"/>
  </r>
  <r>
    <s v="Financeiro e Outros / Serviços Financeiros Diversos / Serviços Financeiros Diversos"/>
    <x v="133"/>
    <n v="4"/>
    <x v="0"/>
    <m/>
    <m/>
    <m/>
    <m/>
    <m/>
    <n v="0"/>
    <s v=""/>
    <s v=""/>
    <s v=""/>
    <s v=""/>
    <s v=""/>
    <s v=""/>
    <n v="0"/>
    <n v="69.510000000000005"/>
    <n v="0"/>
    <n v="0"/>
    <n v="0"/>
    <n v="69.510000000000005"/>
    <s v=""/>
    <s v=""/>
    <n v="0"/>
    <n v="0"/>
  </r>
  <r>
    <s v="Consumo não Cíclico / Alimentos Processados / Café"/>
    <x v="134"/>
    <n v="3"/>
    <x v="0"/>
    <m/>
    <m/>
    <m/>
    <m/>
    <m/>
    <n v="0"/>
    <s v=""/>
    <s v=""/>
    <s v=""/>
    <s v=""/>
    <s v=""/>
    <s v=""/>
    <n v="0"/>
    <n v="7.08"/>
    <n v="0"/>
    <n v="0"/>
    <n v="0"/>
    <n v="7.08"/>
    <s v=""/>
    <n v="0"/>
    <n v="0"/>
    <n v="0"/>
  </r>
  <r>
    <s v="Consumo não Cíclico / Alimentos Processados / Café"/>
    <x v="135"/>
    <n v="3"/>
    <x v="0"/>
    <m/>
    <m/>
    <m/>
    <m/>
    <m/>
    <n v="0"/>
    <s v=""/>
    <s v=""/>
    <s v=""/>
    <s v=""/>
    <s v=""/>
    <s v=""/>
    <n v="0"/>
    <n v="13.99"/>
    <n v="0"/>
    <n v="0"/>
    <n v="0"/>
    <n v="13.99"/>
    <s v=""/>
    <n v="0"/>
    <n v="0"/>
    <n v="0"/>
  </r>
  <r>
    <s v="Consumo não Cíclico / Alimentos Processados / Grãos e Derivados"/>
    <x v="136"/>
    <n v="2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não Cíclico / Alimentos Processados / Grãos e Derivados"/>
    <x v="137"/>
    <n v="2"/>
    <x v="0"/>
    <m/>
    <m/>
    <m/>
    <m/>
    <m/>
    <n v="0"/>
    <s v=""/>
    <s v=""/>
    <s v=""/>
    <s v=""/>
    <s v=""/>
    <s v=""/>
    <n v="0"/>
    <n v="0"/>
    <n v="3"/>
    <n v="0"/>
    <n v="0"/>
    <n v="3"/>
    <s v=""/>
    <n v="0"/>
    <n v="0"/>
    <n v="0"/>
  </r>
  <r>
    <s v="Utilidade Pública / Energia Elétrica / Energia Elétrica"/>
    <x v="138"/>
    <n v="4"/>
    <x v="1"/>
    <s v="div"/>
    <m/>
    <d v="2010-04-30T00:00:00"/>
    <d v="2010-06-29T00:00:00"/>
    <n v="0.88744999999999996"/>
    <n v="0.88744999999999996"/>
    <s v=""/>
    <s v=""/>
    <s v=""/>
    <s v=""/>
    <s v=""/>
    <s v=""/>
    <n v="0"/>
    <n v="40"/>
    <n v="0"/>
    <n v="0"/>
    <n v="0"/>
    <n v="40"/>
    <s v=""/>
    <s v=""/>
    <n v="1"/>
    <n v="0"/>
  </r>
  <r>
    <s v="Utilidade Pública / Energia Elétrica / Energia Elétrica"/>
    <x v="139"/>
    <n v="4"/>
    <x v="1"/>
    <s v="div"/>
    <m/>
    <d v="2010-04-30T00:00:00"/>
    <d v="2010-06-29T00:00:00"/>
    <n v="0.97619999999999996"/>
    <n v="0.97619999999999996"/>
    <s v=""/>
    <s v=""/>
    <s v=""/>
    <s v=""/>
    <s v=""/>
    <s v=""/>
    <n v="15.47"/>
    <n v="0"/>
    <n v="0"/>
    <n v="0"/>
    <n v="0"/>
    <n v="15.47"/>
    <s v=""/>
    <s v=""/>
    <n v="1"/>
    <n v="0"/>
  </r>
  <r>
    <s v="Utilidade Pública / Energia Elétrica / Energia Elétrica"/>
    <x v="140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48.9"/>
    <n v="0"/>
    <n v="0"/>
    <n v="0"/>
    <n v="0"/>
    <n v="48.9"/>
    <s v=""/>
    <n v="5.5947648261758694E-2"/>
    <n v="1"/>
    <n v="0"/>
  </r>
  <r>
    <s v="Utilidade Pública / Energia Elétrica / Energia Elétrica"/>
    <x v="141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36.28"/>
    <n v="0"/>
    <n v="0"/>
    <n v="0"/>
    <n v="0"/>
    <n v="36.28"/>
    <s v=""/>
    <n v="7.5409040793825793E-2"/>
    <n v="1"/>
    <n v="0"/>
  </r>
  <r>
    <s v="Utilidade Pública / Energia Elétrica / Energia Elétrica"/>
    <x v="142"/>
    <n v="5"/>
    <x v="1"/>
    <s v="div"/>
    <n v="6.0612899999999996"/>
    <d v="2010-04-28T00:00:00"/>
    <d v="2010-12-10T00:00:00"/>
    <n v="2.73584"/>
    <n v="2.73584"/>
    <n v="2.73584"/>
    <n v="0.45136266372339884"/>
    <n v="6.0612899999999996"/>
    <n v="2.73584"/>
    <n v="0.45136266372339884"/>
    <s v=""/>
    <n v="0"/>
    <n v="35"/>
    <n v="0"/>
    <n v="0"/>
    <n v="0"/>
    <n v="35"/>
    <s v=""/>
    <n v="7.8166857142857149E-2"/>
    <n v="1"/>
    <n v="0"/>
  </r>
  <r>
    <s v="Financeiro e Outros / Exploração de Imóveis / Exploração de Imóveis"/>
    <x v="143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Exploração de Imóveis / Exploração de Imóveis"/>
    <x v="144"/>
    <n v="3"/>
    <x v="0"/>
    <m/>
    <m/>
    <m/>
    <m/>
    <m/>
    <n v="0"/>
    <s v=""/>
    <s v=""/>
    <s v=""/>
    <s v=""/>
    <s v=""/>
    <s v=""/>
    <n v="0"/>
    <n v="0"/>
    <n v="210.01"/>
    <n v="0"/>
    <n v="0"/>
    <n v="210.01"/>
    <s v=""/>
    <n v="0"/>
    <n v="0"/>
    <n v="0"/>
  </r>
  <r>
    <s v="Utilidade Pública / Energia Elétrica / Energia Elétrica"/>
    <x v="145"/>
    <n v="3"/>
    <x v="0"/>
    <m/>
    <m/>
    <m/>
    <m/>
    <m/>
    <n v="0"/>
    <s v=""/>
    <s v=""/>
    <s v=""/>
    <s v=""/>
    <s v=""/>
    <s v=""/>
    <n v="16.96"/>
    <n v="0"/>
    <n v="0"/>
    <n v="0"/>
    <n v="0"/>
    <n v="16.96"/>
    <s v=""/>
    <n v="0"/>
    <n v="0"/>
    <n v="0"/>
  </r>
  <r>
    <s v="Utilidade Pública / Energia Elétrica / Energia Elétrica"/>
    <x v="146"/>
    <n v="4"/>
    <x v="1"/>
    <s v="div"/>
    <m/>
    <m/>
    <m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1"/>
    <s v="div"/>
    <m/>
    <m/>
    <m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1"/>
    <s v="div"/>
    <m/>
    <m/>
    <m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Construção e Transporte / Construção e Engenharia / Construção Civil"/>
    <x v="149"/>
    <n v="4"/>
    <x v="0"/>
    <m/>
    <m/>
    <m/>
    <m/>
    <m/>
    <n v="0"/>
    <s v=""/>
    <s v=""/>
    <s v=""/>
    <s v=""/>
    <s v=""/>
    <s v=""/>
    <n v="0"/>
    <n v="0"/>
    <n v="0"/>
    <n v="3.16"/>
    <n v="0"/>
    <n v="3.16"/>
    <s v=""/>
    <s v=""/>
    <n v="0"/>
    <n v="0"/>
  </r>
  <r>
    <s v="Consumo não Cíclico / Saúde / Medicamentos e Outros Produtos"/>
    <x v="150"/>
    <n v="3"/>
    <x v="0"/>
    <m/>
    <m/>
    <m/>
    <m/>
    <m/>
    <n v="0"/>
    <s v=""/>
    <s v=""/>
    <s v=""/>
    <s v=""/>
    <s v=""/>
    <s v=""/>
    <n v="0"/>
    <n v="0"/>
    <n v="16.149999999999999"/>
    <n v="0"/>
    <n v="0"/>
    <n v="16.149999999999999"/>
    <s v=""/>
    <n v="0"/>
    <n v="0"/>
    <n v="0"/>
  </r>
  <r>
    <s v="Financeiro e Outros / Intermediários Financeiros / Soc. Crédito e Financiamento"/>
    <x v="151"/>
    <n v="3"/>
    <x v="0"/>
    <m/>
    <m/>
    <m/>
    <m/>
    <m/>
    <n v="0"/>
    <s v=""/>
    <s v=""/>
    <s v=""/>
    <s v=""/>
    <s v=""/>
    <s v=""/>
    <n v="0"/>
    <n v="4.04"/>
    <n v="0"/>
    <n v="0"/>
    <n v="0"/>
    <n v="4.04"/>
    <s v=""/>
    <n v="0"/>
    <n v="0"/>
    <n v="0"/>
  </r>
  <r>
    <s v="Financeiro e Outros / Intermediários Financeiros / Soc. Crédito e Financiamento"/>
    <x v="152"/>
    <n v="3"/>
    <x v="0"/>
    <m/>
    <m/>
    <m/>
    <m/>
    <m/>
    <n v="0"/>
    <s v=""/>
    <s v=""/>
    <s v=""/>
    <s v=""/>
    <s v=""/>
    <s v=""/>
    <n v="0"/>
    <n v="3.84"/>
    <n v="0"/>
    <n v="0"/>
    <n v="0"/>
    <n v="3.84"/>
    <s v=""/>
    <n v="0"/>
    <n v="0"/>
    <n v="0"/>
  </r>
  <r>
    <s v="Consumo não Cíclico / Fumo / Cigarros e Fumo"/>
    <x v="153"/>
    <n v="4"/>
    <x v="0"/>
    <m/>
    <m/>
    <m/>
    <m/>
    <m/>
    <n v="0"/>
    <s v=""/>
    <s v=""/>
    <s v=""/>
    <s v=""/>
    <s v=""/>
    <s v=""/>
    <n v="0"/>
    <n v="0"/>
    <n v="21.34"/>
    <n v="0"/>
    <n v="0"/>
    <n v="21.34"/>
    <s v=""/>
    <s v=""/>
    <n v="0"/>
    <n v="0"/>
  </r>
  <r>
    <s v="Financeiro e Outros / Previdência e Seguros / Seguradoras"/>
    <x v="154"/>
    <n v="4"/>
    <x v="0"/>
    <m/>
    <m/>
    <m/>
    <m/>
    <m/>
    <n v="0"/>
    <s v=""/>
    <s v=""/>
    <s v=""/>
    <s v=""/>
    <s v=""/>
    <s v=""/>
    <n v="0"/>
    <n v="30"/>
    <n v="0"/>
    <n v="0"/>
    <n v="0"/>
    <n v="30"/>
    <s v=""/>
    <s v=""/>
    <n v="0"/>
    <n v="0"/>
  </r>
  <r>
    <s v="Financeiro e Outros / Previdência e Seguros / Seguradoras"/>
    <x v="155"/>
    <n v="4"/>
    <x v="0"/>
    <m/>
    <m/>
    <m/>
    <m/>
    <m/>
    <n v="0"/>
    <s v=""/>
    <s v=""/>
    <s v=""/>
    <s v=""/>
    <s v=""/>
    <s v=""/>
    <n v="0"/>
    <n v="30"/>
    <n v="0"/>
    <n v="0"/>
    <n v="0"/>
    <n v="30"/>
    <s v=""/>
    <s v=""/>
    <n v="0"/>
    <n v="0"/>
  </r>
  <r>
    <s v="Consumo não Cíclico / Alimentos Processados / Açucar e Alcool"/>
    <x v="156"/>
    <n v="4"/>
    <x v="0"/>
    <m/>
    <m/>
    <m/>
    <m/>
    <m/>
    <n v="0"/>
    <s v=""/>
    <s v=""/>
    <s v=""/>
    <s v=""/>
    <s v=""/>
    <s v=""/>
    <n v="0"/>
    <n v="33.700000000000003"/>
    <n v="0"/>
    <n v="0"/>
    <n v="0"/>
    <n v="33.700000000000003"/>
    <s v=""/>
    <s v=""/>
    <n v="0"/>
    <n v="0"/>
  </r>
  <r>
    <s v="Utilidade Pública / Água e Saneamento / Água e Saneamento"/>
    <x v="157"/>
    <n v="4"/>
    <x v="0"/>
    <m/>
    <m/>
    <m/>
    <m/>
    <m/>
    <n v="0"/>
    <s v=""/>
    <s v=""/>
    <s v=""/>
    <s v=""/>
    <s v=""/>
    <s v=""/>
    <n v="34.78"/>
    <n v="0"/>
    <n v="0"/>
    <n v="0"/>
    <n v="0"/>
    <n v="34.78"/>
    <s v=""/>
    <s v=""/>
    <n v="0"/>
    <n v="0"/>
  </r>
  <r>
    <s v="Materiais Básicos / Siderurgia e Metalurgia / Siderurgia"/>
    <x v="158"/>
    <n v="4"/>
    <x v="0"/>
    <m/>
    <m/>
    <m/>
    <m/>
    <m/>
    <n v="0"/>
    <s v=""/>
    <s v=""/>
    <s v=""/>
    <s v=""/>
    <s v=""/>
    <s v=""/>
    <n v="0"/>
    <n v="0"/>
    <n v="9.73"/>
    <n v="0"/>
    <n v="0"/>
    <n v="9.73"/>
    <s v=""/>
    <s v=""/>
    <n v="0"/>
    <n v="0"/>
  </r>
  <r>
    <s v="Utilidade Pública / Energia Elétrica / Energia Elétrica"/>
    <x v="159"/>
    <n v="3"/>
    <x v="0"/>
    <m/>
    <m/>
    <m/>
    <m/>
    <m/>
    <n v="0"/>
    <s v=""/>
    <s v=""/>
    <s v=""/>
    <s v=""/>
    <s v=""/>
    <s v=""/>
    <n v="9.01"/>
    <n v="0"/>
    <n v="0"/>
    <n v="0"/>
    <n v="0"/>
    <n v="9.01"/>
    <s v=""/>
    <n v="0"/>
    <n v="0"/>
    <n v="0"/>
  </r>
  <r>
    <s v="Utilidade Pública / Energia Elétrica / Energia Elétrica"/>
    <x v="160"/>
    <n v="3"/>
    <x v="0"/>
    <m/>
    <m/>
    <m/>
    <m/>
    <m/>
    <n v="0"/>
    <s v=""/>
    <s v=""/>
    <s v=""/>
    <s v=""/>
    <s v=""/>
    <s v=""/>
    <n v="10.119999999999999"/>
    <n v="0"/>
    <n v="0"/>
    <n v="0"/>
    <n v="0"/>
    <n v="10.119999999999999"/>
    <s v=""/>
    <n v="0"/>
    <n v="0"/>
    <n v="0"/>
  </r>
  <r>
    <s v="Utilidade Pública / Energia Elétrica / Energia Elétrica"/>
    <x v="161"/>
    <n v="3"/>
    <x v="0"/>
    <m/>
    <m/>
    <m/>
    <m/>
    <m/>
    <n v="0"/>
    <s v=""/>
    <s v=""/>
    <s v=""/>
    <s v=""/>
    <s v=""/>
    <s v=""/>
    <n v="9.1300000000000008"/>
    <n v="0"/>
    <n v="0"/>
    <n v="0"/>
    <n v="0"/>
    <n v="9.1300000000000008"/>
    <s v=""/>
    <n v="0"/>
    <n v="0"/>
    <n v="0"/>
  </r>
  <r>
    <s v="Bens Industriais / Serviços / Serviços Diversos"/>
    <x v="162"/>
    <n v="4"/>
    <x v="0"/>
    <m/>
    <m/>
    <m/>
    <m/>
    <m/>
    <n v="0"/>
    <s v=""/>
    <s v=""/>
    <s v=""/>
    <s v=""/>
    <s v=""/>
    <s v=""/>
    <n v="0"/>
    <n v="0"/>
    <n v="0"/>
    <n v="0"/>
    <n v="18.61"/>
    <n v="18.61"/>
    <s v=""/>
    <s v=""/>
    <n v="0"/>
    <n v="0"/>
  </r>
  <r>
    <s v="Bens Industriais / Serviços / Serviços Diversos"/>
    <x v="163"/>
    <n v="4"/>
    <x v="0"/>
    <m/>
    <m/>
    <m/>
    <m/>
    <m/>
    <n v="0"/>
    <s v=""/>
    <s v=""/>
    <s v=""/>
    <s v=""/>
    <s v=""/>
    <s v=""/>
    <n v="0"/>
    <n v="0"/>
    <n v="0"/>
    <n v="0"/>
    <n v="5.7"/>
    <n v="5.7"/>
    <s v=""/>
    <s v=""/>
    <n v="0"/>
    <n v="0"/>
  </r>
  <r>
    <s v="Bens Industriais / Serviços / Serviços Diversos"/>
    <x v="164"/>
    <n v="4"/>
    <x v="0"/>
    <m/>
    <m/>
    <m/>
    <m/>
    <m/>
    <n v="0"/>
    <s v=""/>
    <s v=""/>
    <s v=""/>
    <s v=""/>
    <s v=""/>
    <s v=""/>
    <n v="0"/>
    <n v="0"/>
    <n v="0"/>
    <n v="0"/>
    <n v="3.34"/>
    <n v="3.34"/>
    <s v=""/>
    <s v=""/>
    <n v="0"/>
    <n v="0"/>
  </r>
  <r>
    <s v="Financeiro e Outros / Serviços Financeiros Diversos / Serviços Financeiros Diversos"/>
    <x v="165"/>
    <n v="3"/>
    <x v="0"/>
    <m/>
    <m/>
    <m/>
    <m/>
    <m/>
    <n v="0"/>
    <s v=""/>
    <s v=""/>
    <s v=""/>
    <s v=""/>
    <s v=""/>
    <s v=""/>
    <n v="0"/>
    <n v="25.23"/>
    <n v="0"/>
    <n v="0"/>
    <n v="0"/>
    <n v="25.23"/>
    <s v=""/>
    <n v="0"/>
    <n v="0"/>
    <n v="0"/>
  </r>
  <r>
    <s v="Consumo Cíclico / Tecidos. Vestuário e Calçados / Fios e Tecidos"/>
    <x v="166"/>
    <n v="3"/>
    <x v="0"/>
    <m/>
    <m/>
    <m/>
    <m/>
    <m/>
    <n v="0"/>
    <s v=""/>
    <s v=""/>
    <s v=""/>
    <s v=""/>
    <s v=""/>
    <s v=""/>
    <n v="0"/>
    <n v="0"/>
    <n v="0"/>
    <n v="1.64"/>
    <n v="0"/>
    <n v="1.64"/>
    <s v=""/>
    <n v="0"/>
    <n v="0"/>
    <n v="0"/>
  </r>
  <r>
    <s v="Consumo Cíclico / Tecidos. Vestuário e Calçados / Fios e Tecidos"/>
    <x v="167"/>
    <n v="3"/>
    <x v="0"/>
    <m/>
    <m/>
    <m/>
    <m/>
    <m/>
    <n v="0"/>
    <s v=""/>
    <s v=""/>
    <s v=""/>
    <s v=""/>
    <s v=""/>
    <s v=""/>
    <n v="0"/>
    <n v="0"/>
    <n v="0"/>
    <n v="0.63"/>
    <n v="0"/>
    <n v="0.63"/>
    <s v=""/>
    <n v="0"/>
    <n v="0"/>
    <n v="0"/>
  </r>
  <r>
    <s v="Consumo Cíclico / Tecidos. Vestuário e Calçados / Fios e Tecidos"/>
    <x v="168"/>
    <n v="3"/>
    <x v="0"/>
    <m/>
    <m/>
    <m/>
    <m/>
    <m/>
    <n v="0"/>
    <s v=""/>
    <s v=""/>
    <s v=""/>
    <s v=""/>
    <s v=""/>
    <s v=""/>
    <n v="0"/>
    <n v="0"/>
    <n v="0"/>
    <n v="2.02"/>
    <n v="0"/>
    <n v="2.02"/>
    <s v=""/>
    <n v="0"/>
    <n v="0"/>
    <n v="0"/>
  </r>
  <r>
    <s v="Consumo Cíclico / Tecidos. Vestuário e Calçados / Fios e Tecidos"/>
    <x v="169"/>
    <n v="3"/>
    <x v="0"/>
    <m/>
    <m/>
    <m/>
    <m/>
    <m/>
    <n v="0"/>
    <s v=""/>
    <s v=""/>
    <s v=""/>
    <s v=""/>
    <s v=""/>
    <s v=""/>
    <n v="0"/>
    <n v="0"/>
    <n v="0"/>
    <n v="2.2599999999999998"/>
    <n v="0"/>
    <n v="2.2599999999999998"/>
    <s v=""/>
    <n v="0"/>
    <n v="0"/>
    <n v="0"/>
  </r>
  <r>
    <s v="Consumo Cíclico / Tecidos. Vestuário e Calçados / Fios e Tecidos"/>
    <x v="170"/>
    <n v="3"/>
    <x v="0"/>
    <m/>
    <m/>
    <m/>
    <m/>
    <m/>
    <n v="0"/>
    <s v=""/>
    <s v=""/>
    <s v=""/>
    <s v=""/>
    <s v=""/>
    <s v=""/>
    <n v="0"/>
    <n v="0"/>
    <n v="0"/>
    <n v="4.96"/>
    <n v="0"/>
    <n v="4.96"/>
    <s v=""/>
    <n v="0"/>
    <n v="0"/>
    <n v="0"/>
  </r>
  <r>
    <s v="Consumo Cíclico / Tecidos. Vestuário e Calçados / Fios e Tecidos"/>
    <x v="171"/>
    <n v="3"/>
    <x v="0"/>
    <m/>
    <m/>
    <m/>
    <m/>
    <m/>
    <n v="0"/>
    <s v=""/>
    <s v=""/>
    <s v=""/>
    <s v=""/>
    <s v=""/>
    <s v=""/>
    <n v="0"/>
    <n v="0"/>
    <n v="0"/>
    <n v="5.87"/>
    <n v="0"/>
    <n v="5.87"/>
    <s v=""/>
    <n v="0"/>
    <n v="0"/>
    <n v="0"/>
  </r>
  <r>
    <s v="Consumo Cíclico / Tecidos. Vestuário e Calçados / Fios e Tecidos"/>
    <x v="17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Viagens e Lazer / Viagens e Turismo"/>
    <x v="173"/>
    <n v="4"/>
    <x v="0"/>
    <m/>
    <m/>
    <m/>
    <m/>
    <m/>
    <n v="0"/>
    <s v=""/>
    <s v=""/>
    <s v=""/>
    <s v=""/>
    <s v=""/>
    <s v=""/>
    <n v="0"/>
    <n v="0"/>
    <n v="0"/>
    <n v="14.1"/>
    <n v="0"/>
    <n v="14.1"/>
    <s v=""/>
    <s v=""/>
    <n v="0"/>
    <n v="0"/>
  </r>
  <r>
    <s v="Construção e Transporte / Construção e Engenharia / Construção Civil"/>
    <x v="174"/>
    <n v="3"/>
    <x v="0"/>
    <m/>
    <m/>
    <m/>
    <m/>
    <m/>
    <n v="0"/>
    <s v=""/>
    <s v=""/>
    <s v=""/>
    <s v=""/>
    <s v=""/>
    <s v=""/>
    <n v="0"/>
    <n v="0"/>
    <n v="0"/>
    <n v="12.45"/>
    <n v="0"/>
    <n v="12.45"/>
    <s v=""/>
    <n v="0"/>
    <n v="0"/>
    <n v="0"/>
  </r>
  <r>
    <s v="Consumo não Cíclico / Saúde / Serv.Méd.Hospit..Análises e Diagnósticos"/>
    <x v="175"/>
    <n v="3"/>
    <x v="0"/>
    <m/>
    <m/>
    <m/>
    <m/>
    <m/>
    <n v="0"/>
    <s v=""/>
    <s v=""/>
    <s v=""/>
    <s v=""/>
    <s v=""/>
    <s v=""/>
    <n v="0"/>
    <n v="0"/>
    <n v="13.64"/>
    <n v="0"/>
    <n v="0"/>
    <n v="13.64"/>
    <s v=""/>
    <n v="0"/>
    <n v="0"/>
    <n v="0"/>
  </r>
  <r>
    <s v="Financeiro e Outros / Intermediários Financeiros / Bancos"/>
    <x v="176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177"/>
    <n v="4"/>
    <x v="0"/>
    <m/>
    <m/>
    <m/>
    <m/>
    <m/>
    <n v="0"/>
    <s v=""/>
    <s v=""/>
    <s v=""/>
    <s v=""/>
    <s v=""/>
    <s v=""/>
    <n v="8.5399999999999991"/>
    <n v="0"/>
    <n v="0"/>
    <n v="0"/>
    <n v="0"/>
    <n v="8.5399999999999991"/>
    <s v=""/>
    <s v=""/>
    <n v="0"/>
    <n v="0"/>
  </r>
  <r>
    <s v="Bens Industriais / Material de Transporte / Material Rodoviário"/>
    <x v="178"/>
    <n v="3"/>
    <x v="0"/>
    <m/>
    <m/>
    <m/>
    <m/>
    <m/>
    <n v="0"/>
    <s v=""/>
    <s v=""/>
    <s v=""/>
    <s v=""/>
    <s v=""/>
    <s v=""/>
    <n v="0"/>
    <n v="0"/>
    <n v="0"/>
    <n v="0"/>
    <n v="50.36"/>
    <n v="50.36"/>
    <s v=""/>
    <n v="0"/>
    <n v="0"/>
    <n v="0"/>
  </r>
  <r>
    <s v="Bens Industriais / Material de Transporte / Material Rodoviário"/>
    <x v="179"/>
    <n v="3"/>
    <x v="0"/>
    <m/>
    <m/>
    <m/>
    <m/>
    <m/>
    <n v="0"/>
    <s v=""/>
    <s v=""/>
    <s v=""/>
    <s v=""/>
    <s v=""/>
    <s v=""/>
    <n v="0"/>
    <n v="0"/>
    <n v="0"/>
    <n v="0"/>
    <n v="8.15"/>
    <n v="8.15"/>
    <s v=""/>
    <n v="0"/>
    <n v="0"/>
    <n v="0"/>
  </r>
  <r>
    <s v="Construção e Transporte / Construção e Engenharia / Construção Civil"/>
    <x v="180"/>
    <n v="3"/>
    <x v="0"/>
    <m/>
    <m/>
    <m/>
    <m/>
    <m/>
    <n v="0"/>
    <s v=""/>
    <s v=""/>
    <s v=""/>
    <s v=""/>
    <s v=""/>
    <s v=""/>
    <n v="0"/>
    <n v="0"/>
    <n v="0"/>
    <n v="9.5500000000000007"/>
    <n v="0"/>
    <n v="9.5500000000000007"/>
    <s v=""/>
    <n v="0"/>
    <n v="0"/>
    <n v="0"/>
  </r>
  <r>
    <s v="Financeiro e Outros / Holdings Diversificadas / Holdings Diversificadas"/>
    <x v="181"/>
    <n v="3"/>
    <x v="0"/>
    <m/>
    <m/>
    <m/>
    <m/>
    <m/>
    <n v="0"/>
    <s v=""/>
    <s v=""/>
    <s v=""/>
    <s v=""/>
    <s v=""/>
    <s v=""/>
    <n v="0"/>
    <n v="0"/>
    <n v="11"/>
    <n v="0"/>
    <n v="0"/>
    <n v="11"/>
    <s v=""/>
    <n v="0"/>
    <n v="0"/>
    <n v="0"/>
  </r>
  <r>
    <s v="Financeiro e Outros / Holdings Diversificadas / Holdings Diversificadas"/>
    <x v="182"/>
    <n v="3"/>
    <x v="0"/>
    <m/>
    <m/>
    <m/>
    <m/>
    <m/>
    <n v="0"/>
    <s v=""/>
    <s v=""/>
    <s v=""/>
    <s v=""/>
    <s v=""/>
    <s v=""/>
    <n v="0"/>
    <n v="0"/>
    <n v="5.01"/>
    <n v="0"/>
    <n v="0"/>
    <n v="5.01"/>
    <s v=""/>
    <n v="0"/>
    <n v="0"/>
    <n v="0"/>
  </r>
  <r>
    <s v="Consumo Cíclico / Tecidos. Vestuário e Calçados / Fios e Tecidos"/>
    <x v="183"/>
    <n v="3"/>
    <x v="0"/>
    <m/>
    <m/>
    <m/>
    <m/>
    <m/>
    <n v="0"/>
    <s v=""/>
    <s v=""/>
    <s v=""/>
    <s v=""/>
    <s v=""/>
    <s v=""/>
    <n v="0"/>
    <n v="0"/>
    <n v="0"/>
    <n v="5.5"/>
    <n v="0"/>
    <n v="5.5"/>
    <s v=""/>
    <n v="0"/>
    <n v="0"/>
    <n v="0"/>
  </r>
  <r>
    <s v="Consumo Cíclico / Tecidos. Vestuário e Calçados / Fios e Tecidos"/>
    <x v="184"/>
    <n v="3"/>
    <x v="0"/>
    <m/>
    <m/>
    <m/>
    <m/>
    <m/>
    <n v="0"/>
    <s v=""/>
    <s v=""/>
    <s v=""/>
    <s v=""/>
    <s v=""/>
    <s v=""/>
    <n v="0"/>
    <n v="0"/>
    <n v="0"/>
    <n v="5.25"/>
    <n v="0"/>
    <n v="5.25"/>
    <s v=""/>
    <n v="0"/>
    <n v="0"/>
    <n v="0"/>
  </r>
  <r>
    <s v="Bens Industriais / Serviços / Serviços Diversos"/>
    <x v="185"/>
    <n v="3"/>
    <x v="0"/>
    <m/>
    <m/>
    <m/>
    <m/>
    <m/>
    <n v="0"/>
    <s v=""/>
    <s v=""/>
    <s v=""/>
    <s v=""/>
    <s v=""/>
    <s v=""/>
    <n v="0"/>
    <n v="0"/>
    <n v="0"/>
    <n v="0"/>
    <n v="0.31"/>
    <n v="0.31"/>
    <s v=""/>
    <n v="0"/>
    <n v="0"/>
    <n v="0"/>
  </r>
  <r>
    <s v="Bens Industriais / Serviços / Serviços Diversos"/>
    <x v="186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Madeira e Papel / Madeira"/>
    <x v="187"/>
    <n v="4"/>
    <x v="0"/>
    <m/>
    <m/>
    <m/>
    <m/>
    <m/>
    <n v="0"/>
    <s v=""/>
    <s v=""/>
    <s v=""/>
    <s v=""/>
    <s v=""/>
    <s v=""/>
    <n v="0"/>
    <n v="10.75"/>
    <n v="0"/>
    <n v="0"/>
    <n v="0"/>
    <n v="10.75"/>
    <s v=""/>
    <s v=""/>
    <n v="0"/>
    <n v="0"/>
  </r>
  <r>
    <s v="Materiais Básicos / Siderurgia e Metalurgia / Artefatos de Ferro e Aço"/>
    <x v="188"/>
    <n v="3"/>
    <x v="0"/>
    <m/>
    <m/>
    <m/>
    <m/>
    <m/>
    <n v="0"/>
    <s v=""/>
    <s v=""/>
    <s v=""/>
    <s v=""/>
    <s v=""/>
    <s v=""/>
    <n v="0"/>
    <n v="0"/>
    <n v="28"/>
    <n v="0"/>
    <n v="0"/>
    <n v="28"/>
    <s v=""/>
    <n v="0"/>
    <n v="0"/>
    <n v="0"/>
  </r>
  <r>
    <s v="Materiais Básicos / Siderurgia e Metalurgia / Artefatos de Ferro e Aço"/>
    <x v="189"/>
    <n v="3"/>
    <x v="0"/>
    <m/>
    <m/>
    <m/>
    <m/>
    <m/>
    <n v="0"/>
    <s v=""/>
    <s v=""/>
    <s v=""/>
    <s v=""/>
    <s v=""/>
    <s v=""/>
    <n v="0"/>
    <n v="0"/>
    <n v="4"/>
    <n v="0"/>
    <n v="0"/>
    <n v="4"/>
    <s v=""/>
    <n v="0"/>
    <n v="0"/>
    <n v="0"/>
  </r>
  <r>
    <s v="Bens Industriais / Máquinas e Equipamentos / Máq. e Equip. Construção e Agrícolas"/>
    <x v="190"/>
    <n v="3"/>
    <x v="0"/>
    <m/>
    <m/>
    <m/>
    <m/>
    <m/>
    <n v="0"/>
    <s v=""/>
    <s v=""/>
    <s v=""/>
    <s v=""/>
    <s v=""/>
    <s v=""/>
    <n v="0"/>
    <n v="0"/>
    <n v="0"/>
    <n v="0"/>
    <n v="28"/>
    <n v="28"/>
    <s v=""/>
    <n v="0"/>
    <n v="0"/>
    <n v="0"/>
  </r>
  <r>
    <s v="Bens Industriais / Máquinas e Equipamentos / Máq. e Equip. Construção e Agrícolas"/>
    <x v="191"/>
    <n v="3"/>
    <x v="0"/>
    <m/>
    <m/>
    <m/>
    <m/>
    <m/>
    <n v="0"/>
    <s v=""/>
    <s v=""/>
    <s v=""/>
    <s v=""/>
    <s v=""/>
    <s v=""/>
    <n v="0"/>
    <n v="0"/>
    <n v="0"/>
    <n v="0"/>
    <n v="24.87"/>
    <n v="24.87"/>
    <s v=""/>
    <n v="0"/>
    <n v="0"/>
    <n v="0"/>
  </r>
  <r>
    <s v="Telecomunicações / Telefonia Fixa / Telefonia Fixa"/>
    <x v="192"/>
    <n v="3"/>
    <x v="0"/>
    <m/>
    <m/>
    <m/>
    <m/>
    <m/>
    <n v="0"/>
    <s v=""/>
    <s v=""/>
    <s v=""/>
    <s v=""/>
    <s v=""/>
    <s v=""/>
    <n v="0"/>
    <n v="7.2"/>
    <n v="0"/>
    <n v="0"/>
    <n v="0"/>
    <n v="7.2"/>
    <s v=""/>
    <n v="0"/>
    <n v="0"/>
    <n v="0"/>
  </r>
  <r>
    <s v="Telecomunicações / Telefonia Fixa / Telefonia Fixa"/>
    <x v="193"/>
    <n v="3"/>
    <x v="0"/>
    <m/>
    <m/>
    <m/>
    <m/>
    <m/>
    <n v="0"/>
    <s v=""/>
    <s v=""/>
    <s v=""/>
    <s v=""/>
    <s v=""/>
    <s v=""/>
    <n v="0"/>
    <n v="7.38"/>
    <n v="0"/>
    <n v="0"/>
    <n v="0"/>
    <n v="7.38"/>
    <s v=""/>
    <n v="0"/>
    <n v="0"/>
    <n v="0"/>
  </r>
  <r>
    <s v="Construção e Transporte / Transporte / Exploração de Rodovias"/>
    <x v="194"/>
    <n v="3"/>
    <x v="0"/>
    <m/>
    <m/>
    <m/>
    <m/>
    <m/>
    <n v="0"/>
    <s v=""/>
    <s v=""/>
    <s v=""/>
    <s v=""/>
    <s v=""/>
    <s v=""/>
    <n v="0"/>
    <n v="0"/>
    <n v="0"/>
    <n v="0"/>
    <n v="12.7"/>
    <n v="12.7"/>
    <s v=""/>
    <n v="0"/>
    <n v="0"/>
    <n v="0"/>
  </r>
  <r>
    <s v="Consumo Cíclico / Tecidos. Vestuário e Calçados / Fios e Tecidos"/>
    <x v="195"/>
    <n v="3"/>
    <x v="0"/>
    <m/>
    <m/>
    <m/>
    <m/>
    <m/>
    <n v="0"/>
    <s v=""/>
    <s v=""/>
    <s v=""/>
    <s v=""/>
    <s v=""/>
    <s v=""/>
    <n v="0"/>
    <n v="0"/>
    <n v="0"/>
    <n v="31.86"/>
    <n v="0"/>
    <n v="31.86"/>
    <s v=""/>
    <n v="0"/>
    <n v="0"/>
    <n v="0"/>
  </r>
  <r>
    <s v="Consumo Cíclico / Tecidos. Vestuário e Calçados / Fios e Tecidos"/>
    <x v="196"/>
    <n v="3"/>
    <x v="0"/>
    <m/>
    <m/>
    <m/>
    <m/>
    <m/>
    <n v="0"/>
    <s v=""/>
    <s v=""/>
    <s v=""/>
    <s v=""/>
    <s v=""/>
    <s v=""/>
    <n v="0"/>
    <n v="0"/>
    <n v="0"/>
    <n v="49"/>
    <n v="0"/>
    <n v="49"/>
    <s v=""/>
    <n v="0"/>
    <n v="0"/>
    <n v="0"/>
  </r>
  <r>
    <s v="Utilidade Pública / Energia Elétrica / Energia Elétrica"/>
    <x v="197"/>
    <n v="3"/>
    <x v="0"/>
    <m/>
    <m/>
    <m/>
    <m/>
    <m/>
    <n v="0"/>
    <s v=""/>
    <s v=""/>
    <s v=""/>
    <s v=""/>
    <s v=""/>
    <s v=""/>
    <n v="1.31"/>
    <n v="0"/>
    <n v="0"/>
    <n v="0"/>
    <n v="0"/>
    <n v="1.31"/>
    <s v=""/>
    <n v="0"/>
    <n v="0"/>
    <n v="0"/>
  </r>
  <r>
    <s v="Utilidade Pública / Energia Elétrica / Energia Elétrica"/>
    <x v="198"/>
    <n v="3"/>
    <x v="0"/>
    <m/>
    <m/>
    <m/>
    <m/>
    <m/>
    <n v="0"/>
    <s v=""/>
    <s v=""/>
    <s v=""/>
    <s v=""/>
    <s v=""/>
    <s v=""/>
    <n v="1.57"/>
    <n v="0"/>
    <n v="0"/>
    <n v="0"/>
    <n v="0"/>
    <n v="1.57"/>
    <s v=""/>
    <n v="0"/>
    <n v="0"/>
    <n v="0"/>
  </r>
  <r>
    <s v="Utilidade Pública / Energia Elétrica / Energia Elétrica"/>
    <x v="199"/>
    <n v="4"/>
    <x v="0"/>
    <m/>
    <m/>
    <m/>
    <m/>
    <m/>
    <n v="0"/>
    <s v=""/>
    <s v=""/>
    <s v=""/>
    <s v=""/>
    <s v=""/>
    <s v=""/>
    <n v="0"/>
    <n v="21"/>
    <n v="0"/>
    <n v="0"/>
    <n v="0"/>
    <n v="21"/>
    <s v=""/>
    <s v=""/>
    <n v="0"/>
    <n v="0"/>
  </r>
  <r>
    <s v="Utilidade Pública / Energia Elétrica / Energia Elétrica"/>
    <x v="200"/>
    <n v="4"/>
    <x v="0"/>
    <m/>
    <m/>
    <m/>
    <m/>
    <m/>
    <n v="0"/>
    <s v=""/>
    <s v=""/>
    <s v=""/>
    <s v=""/>
    <s v=""/>
    <s v=""/>
    <n v="0"/>
    <n v="16.98"/>
    <n v="0"/>
    <n v="0"/>
    <n v="0"/>
    <n v="16.98"/>
    <s v=""/>
    <s v=""/>
    <n v="0"/>
    <n v="0"/>
  </r>
  <r>
    <s v="Materiais Básicos / Químicos / Petroquímicos"/>
    <x v="201"/>
    <n v="4"/>
    <x v="0"/>
    <m/>
    <m/>
    <m/>
    <m/>
    <m/>
    <n v="0"/>
    <s v=""/>
    <s v=""/>
    <s v=""/>
    <s v=""/>
    <s v=""/>
    <s v=""/>
    <n v="0"/>
    <n v="9.1"/>
    <n v="0"/>
    <n v="0"/>
    <n v="0"/>
    <n v="9.1"/>
    <s v=""/>
    <s v=""/>
    <n v="0"/>
    <n v="0"/>
  </r>
  <r>
    <s v="Materiais Básicos / Químicos / Petroquímicos"/>
    <x v="202"/>
    <n v="4"/>
    <x v="0"/>
    <m/>
    <m/>
    <m/>
    <m/>
    <m/>
    <n v="0"/>
    <s v=""/>
    <s v=""/>
    <s v=""/>
    <s v=""/>
    <s v=""/>
    <s v=""/>
    <n v="0"/>
    <n v="9.39"/>
    <n v="0"/>
    <n v="0"/>
    <n v="0"/>
    <n v="9.39"/>
    <s v=""/>
    <s v=""/>
    <n v="0"/>
    <n v="0"/>
  </r>
  <r>
    <s v="Utilidade Pública / Energia Elétrica / Energia Elétrica"/>
    <x v="203"/>
    <n v="4"/>
    <x v="2"/>
    <s v="div"/>
    <m/>
    <d v="2000-03-23T00:00:00"/>
    <d v="2000-04-12T00:00:00"/>
    <n v="0.65"/>
    <n v="0.65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2"/>
    <s v="div"/>
    <m/>
    <d v="2000-03-23T00:00:00"/>
    <d v="2000-04-12T00:00:00"/>
    <n v="0.71500000000000008"/>
    <n v="0.71500000000000008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5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Utilidade Pública / Energia Elétrica / Energia Elétrica"/>
    <x v="206"/>
    <n v="3"/>
    <x v="0"/>
    <m/>
    <m/>
    <m/>
    <m/>
    <m/>
    <n v="0"/>
    <s v=""/>
    <s v=""/>
    <s v=""/>
    <s v=""/>
    <s v=""/>
    <s v=""/>
    <n v="5.49"/>
    <n v="0"/>
    <n v="0"/>
    <n v="0"/>
    <n v="0"/>
    <n v="5.49"/>
    <s v=""/>
    <n v="0"/>
    <n v="0"/>
    <n v="0"/>
  </r>
  <r>
    <s v="Bens Industriais / Material de Transporte / Material Aeronáutico e de Defesa"/>
    <x v="207"/>
    <n v="4"/>
    <x v="0"/>
    <m/>
    <m/>
    <m/>
    <m/>
    <m/>
    <n v="0"/>
    <s v=""/>
    <s v=""/>
    <s v=""/>
    <s v=""/>
    <s v=""/>
    <s v=""/>
    <n v="0"/>
    <n v="0"/>
    <n v="0"/>
    <n v="0"/>
    <n v="19.86"/>
    <n v="19.86"/>
    <s v=""/>
    <s v=""/>
    <n v="0"/>
    <n v="0"/>
  </r>
  <r>
    <s v="Utilidade Pública / Energia Elétrica / Energia Elétrica"/>
    <x v="208"/>
    <n v="4"/>
    <x v="0"/>
    <m/>
    <m/>
    <m/>
    <m/>
    <m/>
    <n v="0"/>
    <s v=""/>
    <s v=""/>
    <s v=""/>
    <s v=""/>
    <s v=""/>
    <s v=""/>
    <n v="9.1199999999999992"/>
    <n v="0"/>
    <n v="0"/>
    <n v="0"/>
    <n v="0"/>
    <n v="9.1199999999999992"/>
    <s v=""/>
    <s v=""/>
    <n v="0"/>
    <n v="0"/>
  </r>
  <r>
    <s v="Utilidade Pública / Energia Elétrica / Energia Elétrica"/>
    <x v="209"/>
    <n v="3"/>
    <x v="0"/>
    <m/>
    <m/>
    <m/>
    <m/>
    <m/>
    <n v="0"/>
    <s v=""/>
    <s v=""/>
    <s v=""/>
    <s v=""/>
    <s v=""/>
    <s v=""/>
    <n v="0"/>
    <n v="1.67"/>
    <n v="0"/>
    <n v="0"/>
    <n v="0"/>
    <n v="1.67"/>
    <s v=""/>
    <n v="0"/>
    <n v="0"/>
    <n v="0"/>
  </r>
  <r>
    <s v="Utilidade Pública / Energia Elétrica / Energia Elétrica"/>
    <x v="210"/>
    <n v="4"/>
    <x v="1"/>
    <s v="div"/>
    <m/>
    <d v="2010-03-09T00:00:00"/>
    <d v="2010-03-22T00:00:00"/>
    <n v="0.16500000000000001"/>
    <n v="0.16500000000000001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1"/>
    <s v="div"/>
    <m/>
    <d v="2010-03-09T00:00:00"/>
    <d v="2010-03-22T00:00:00"/>
    <n v="3.3000000000000002E-2"/>
    <n v="3.3000000000000002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1"/>
    <s v="div"/>
    <m/>
    <d v="2010-03-09T00:00:00"/>
    <d v="2010-03-22T00:00:00"/>
    <n v="3.3000000000000002E-2"/>
    <n v="3.3000000000000002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3"/>
    <n v="4"/>
    <x v="0"/>
    <m/>
    <m/>
    <m/>
    <m/>
    <m/>
    <n v="0"/>
    <s v=""/>
    <s v=""/>
    <s v=""/>
    <s v=""/>
    <s v=""/>
    <s v=""/>
    <n v="15.24"/>
    <n v="0"/>
    <n v="0"/>
    <n v="0"/>
    <n v="0"/>
    <n v="15.24"/>
    <s v=""/>
    <s v=""/>
    <n v="0"/>
    <n v="0"/>
  </r>
  <r>
    <s v="Utilidade Pública / Energia Elétrica / Energia Elétrica"/>
    <x v="21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Utilidade Pública / Energia Elétrica / Energia Elétrica"/>
    <x v="21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Utilidade Pública / Energia Elétrica / Energia Elétrica"/>
    <x v="216"/>
    <n v="4"/>
    <x v="0"/>
    <m/>
    <m/>
    <m/>
    <m/>
    <m/>
    <n v="0"/>
    <s v=""/>
    <s v=""/>
    <s v=""/>
    <s v=""/>
    <s v=""/>
    <s v=""/>
    <n v="19.2"/>
    <n v="0"/>
    <n v="0"/>
    <n v="0"/>
    <n v="0"/>
    <n v="19.2"/>
    <s v=""/>
    <s v=""/>
    <n v="0"/>
    <n v="0"/>
  </r>
  <r>
    <s v="Consumo Cíclico / Viagens e Lazer / Brinquedos e Jogos"/>
    <x v="217"/>
    <n v="3"/>
    <x v="0"/>
    <m/>
    <m/>
    <m/>
    <m/>
    <m/>
    <n v="0"/>
    <s v=""/>
    <s v=""/>
    <s v=""/>
    <s v=""/>
    <s v=""/>
    <s v=""/>
    <n v="0"/>
    <n v="0"/>
    <n v="0"/>
    <n v="5"/>
    <n v="0"/>
    <n v="5"/>
    <s v=""/>
    <n v="0"/>
    <n v="0"/>
    <n v="0"/>
  </r>
  <r>
    <s v="Consumo Cíclico / Viagens e Lazer / Brinquedos e Jogos"/>
    <x v="218"/>
    <n v="3"/>
    <x v="0"/>
    <m/>
    <m/>
    <m/>
    <m/>
    <m/>
    <n v="0"/>
    <s v=""/>
    <s v=""/>
    <s v=""/>
    <s v=""/>
    <s v=""/>
    <s v=""/>
    <n v="0"/>
    <n v="0"/>
    <n v="0"/>
    <n v="0.21"/>
    <n v="0"/>
    <n v="0.21"/>
    <s v=""/>
    <n v="0"/>
    <n v="0"/>
    <n v="0"/>
  </r>
  <r>
    <s v="Construção e Transporte / Construção e Engenharia / Materiais de Construção"/>
    <x v="219"/>
    <n v="4"/>
    <x v="0"/>
    <m/>
    <m/>
    <m/>
    <m/>
    <m/>
    <n v="0"/>
    <s v=""/>
    <s v=""/>
    <s v=""/>
    <s v=""/>
    <s v=""/>
    <s v=""/>
    <n v="0"/>
    <n v="8.58"/>
    <n v="0"/>
    <n v="0"/>
    <n v="0"/>
    <n v="8.58"/>
    <s v=""/>
    <s v=""/>
    <n v="0"/>
    <n v="0"/>
  </r>
  <r>
    <s v="Materiais Básicos / Madeira e Papel / Madeira"/>
    <x v="220"/>
    <n v="4"/>
    <x v="0"/>
    <m/>
    <m/>
    <m/>
    <m/>
    <m/>
    <n v="0"/>
    <s v=""/>
    <s v=""/>
    <s v=""/>
    <s v=""/>
    <s v=""/>
    <s v=""/>
    <n v="0"/>
    <n v="0"/>
    <n v="7.11"/>
    <n v="0"/>
    <n v="0"/>
    <n v="7.11"/>
    <s v=""/>
    <s v=""/>
    <n v="0"/>
    <n v="0"/>
  </r>
  <r>
    <s v="Materiais Básicos / Madeira e Papel / Madeira"/>
    <x v="221"/>
    <n v="4"/>
    <x v="0"/>
    <m/>
    <m/>
    <m/>
    <m/>
    <m/>
    <n v="0"/>
    <s v=""/>
    <s v=""/>
    <s v=""/>
    <s v=""/>
    <s v=""/>
    <s v=""/>
    <n v="0"/>
    <n v="5.15"/>
    <n v="0"/>
    <n v="0"/>
    <n v="0"/>
    <n v="5.15"/>
    <s v=""/>
    <s v=""/>
    <n v="0"/>
    <n v="0"/>
  </r>
  <r>
    <s v="Construção e Transporte / Construção e Engenharia / Construção Civil"/>
    <x v="222"/>
    <n v="4"/>
    <x v="0"/>
    <m/>
    <m/>
    <m/>
    <m/>
    <m/>
    <n v="0"/>
    <s v=""/>
    <s v=""/>
    <s v=""/>
    <s v=""/>
    <s v=""/>
    <s v=""/>
    <n v="0"/>
    <n v="0"/>
    <n v="0"/>
    <n v="6.96"/>
    <n v="0"/>
    <n v="6.96"/>
    <s v=""/>
    <s v=""/>
    <n v="0"/>
    <n v="0"/>
  </r>
  <r>
    <s v="Construção e Transporte / Construção e Engenharia / Construção Civil"/>
    <x v="223"/>
    <n v="3"/>
    <x v="0"/>
    <m/>
    <m/>
    <m/>
    <m/>
    <m/>
    <n v="0"/>
    <s v=""/>
    <s v=""/>
    <s v=""/>
    <s v=""/>
    <s v=""/>
    <s v=""/>
    <n v="0"/>
    <n v="0"/>
    <n v="0"/>
    <n v="25.91"/>
    <n v="0"/>
    <n v="25.91"/>
    <s v=""/>
    <n v="0"/>
    <n v="0"/>
    <n v="0"/>
  </r>
  <r>
    <s v="Materiais Básicos / Siderurgia e Metalurgia / Artefatos de Ferro e Aço"/>
    <x v="224"/>
    <n v="4"/>
    <x v="0"/>
    <m/>
    <m/>
    <m/>
    <m/>
    <m/>
    <n v="0"/>
    <s v=""/>
    <s v=""/>
    <s v=""/>
    <s v=""/>
    <s v=""/>
    <s v=""/>
    <n v="0"/>
    <n v="0"/>
    <n v="80"/>
    <n v="0"/>
    <n v="0"/>
    <n v="80"/>
    <s v=""/>
    <s v=""/>
    <n v="0"/>
    <n v="0"/>
  </r>
  <r>
    <s v="Materiais Básicos / Siderurgia e Metalurgia / Artefatos de Ferro e Aço"/>
    <x v="225"/>
    <n v="4"/>
    <x v="0"/>
    <m/>
    <m/>
    <m/>
    <m/>
    <m/>
    <n v="0"/>
    <s v=""/>
    <s v=""/>
    <s v=""/>
    <s v=""/>
    <s v=""/>
    <s v=""/>
    <n v="0"/>
    <n v="0"/>
    <n v="25.49"/>
    <n v="0"/>
    <n v="0"/>
    <n v="25.49"/>
    <s v=""/>
    <s v=""/>
    <n v="0"/>
    <n v="0"/>
  </r>
  <r>
    <s v="Materiais Básicos / Siderurgia e Metalurgia / Siderurgia"/>
    <x v="226"/>
    <n v="3"/>
    <x v="0"/>
    <m/>
    <m/>
    <m/>
    <m/>
    <m/>
    <n v="0"/>
    <s v=""/>
    <s v=""/>
    <s v=""/>
    <s v=""/>
    <s v=""/>
    <s v=""/>
    <n v="19"/>
    <n v="0"/>
    <n v="0"/>
    <n v="0"/>
    <n v="0"/>
    <n v="19"/>
    <s v=""/>
    <n v="0"/>
    <n v="0"/>
    <n v="0"/>
  </r>
  <r>
    <s v="Materiais Básicos / Siderurgia e Metalurgia / Siderurgia"/>
    <x v="227"/>
    <n v="3"/>
    <x v="0"/>
    <m/>
    <m/>
    <m/>
    <m/>
    <m/>
    <n v="0"/>
    <s v=""/>
    <s v=""/>
    <s v=""/>
    <s v=""/>
    <s v=""/>
    <s v=""/>
    <n v="11.09"/>
    <n v="0"/>
    <n v="0"/>
    <n v="0"/>
    <n v="0"/>
    <n v="11.09"/>
    <s v=""/>
    <n v="0"/>
    <n v="0"/>
    <n v="0"/>
  </r>
  <r>
    <s v="Materiais Básicos / Químicos / Fertilizantes e Defensivos"/>
    <x v="228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Madeira e Papel / Papel e Celulose"/>
    <x v="229"/>
    <n v="4"/>
    <x v="0"/>
    <m/>
    <m/>
    <m/>
    <m/>
    <m/>
    <n v="0"/>
    <s v=""/>
    <s v=""/>
    <s v=""/>
    <s v=""/>
    <s v=""/>
    <s v=""/>
    <n v="0"/>
    <n v="0"/>
    <n v="24.85"/>
    <n v="0"/>
    <n v="0"/>
    <n v="24.85"/>
    <s v=""/>
    <s v=""/>
    <n v="0"/>
    <n v="0"/>
  </r>
  <r>
    <s v="Bens Industriais / Máquinas e Equipamentos / Armas e Munições"/>
    <x v="230"/>
    <n v="3"/>
    <x v="0"/>
    <m/>
    <m/>
    <m/>
    <m/>
    <m/>
    <n v="0"/>
    <s v=""/>
    <s v=""/>
    <s v=""/>
    <s v=""/>
    <s v=""/>
    <s v=""/>
    <n v="0"/>
    <n v="0"/>
    <n v="0"/>
    <n v="0"/>
    <n v="1.93"/>
    <n v="1.93"/>
    <s v=""/>
    <n v="0"/>
    <n v="0"/>
    <n v="0"/>
  </r>
  <r>
    <s v="Bens Industriais / Máquinas e Equipamentos / Armas e Munições"/>
    <x v="231"/>
    <n v="3"/>
    <x v="0"/>
    <m/>
    <m/>
    <m/>
    <m/>
    <m/>
    <n v="0"/>
    <s v=""/>
    <s v=""/>
    <s v=""/>
    <s v=""/>
    <s v=""/>
    <s v=""/>
    <n v="0"/>
    <n v="0"/>
    <n v="0"/>
    <n v="0"/>
    <n v="1.4"/>
    <n v="1.4"/>
    <s v=""/>
    <n v="0"/>
    <n v="0"/>
    <n v="0"/>
  </r>
  <r>
    <s v="Consumo não Cíclico / Saúde / Serv.Méd.Hospit..Análises e Diagnósticos"/>
    <x v="232"/>
    <n v="3"/>
    <x v="0"/>
    <m/>
    <m/>
    <m/>
    <m/>
    <m/>
    <n v="0"/>
    <s v=""/>
    <s v=""/>
    <s v=""/>
    <s v=""/>
    <s v=""/>
    <s v=""/>
    <n v="0"/>
    <n v="0"/>
    <n v="19.12"/>
    <n v="0"/>
    <n v="0"/>
    <n v="19.12"/>
    <s v=""/>
    <n v="0"/>
    <n v="0"/>
    <n v="0"/>
  </r>
  <r>
    <s v="Bens Industriais / Material de Transporte / Material Rodoviário"/>
    <x v="233"/>
    <n v="4"/>
    <x v="0"/>
    <m/>
    <m/>
    <m/>
    <m/>
    <m/>
    <n v="0"/>
    <s v=""/>
    <s v=""/>
    <s v=""/>
    <s v=""/>
    <s v=""/>
    <s v=""/>
    <n v="0"/>
    <n v="0"/>
    <n v="0"/>
    <n v="0"/>
    <n v="4.3"/>
    <n v="4.3"/>
    <s v=""/>
    <s v=""/>
    <n v="0"/>
    <n v="0"/>
  </r>
  <r>
    <s v="Bens Industriais / Equipamentos Elétricos / Equipamentos Elétricos"/>
    <x v="234"/>
    <n v="3"/>
    <x v="0"/>
    <m/>
    <m/>
    <m/>
    <m/>
    <m/>
    <n v="0"/>
    <s v=""/>
    <s v=""/>
    <s v=""/>
    <s v=""/>
    <s v=""/>
    <s v=""/>
    <n v="0"/>
    <n v="0"/>
    <n v="0"/>
    <n v="0"/>
    <n v="1.75"/>
    <n v="1.75"/>
    <s v=""/>
    <n v="0"/>
    <n v="0"/>
    <n v="0"/>
  </r>
  <r>
    <s v="Utilidade Pública / Energia Elétrica / Energia Elétrica"/>
    <x v="235"/>
    <n v="4"/>
    <x v="1"/>
    <s v="div"/>
    <m/>
    <d v="2010-04-30T00:00:00"/>
    <d v="2010-05-11T00:00:00"/>
    <n v="0.87722"/>
    <n v="0.87722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1"/>
    <s v="div"/>
    <m/>
    <d v="2010-04-30T00:00:00"/>
    <d v="2010-05-11T00:00:00"/>
    <n v="1.4826299999999999"/>
    <n v="1.4826299999999999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7"/>
    <n v="4"/>
    <x v="0"/>
    <m/>
    <m/>
    <m/>
    <m/>
    <m/>
    <n v="0"/>
    <s v=""/>
    <s v=""/>
    <s v=""/>
    <s v=""/>
    <s v=""/>
    <s v=""/>
    <n v="14.7"/>
    <n v="0"/>
    <n v="0"/>
    <n v="0"/>
    <n v="0"/>
    <n v="14.7"/>
    <s v=""/>
    <s v=""/>
    <n v="0"/>
    <n v="0"/>
  </r>
  <r>
    <s v="Utilidade Pública / Energia Elétrica / Energia Elétrica"/>
    <x v="238"/>
    <n v="4"/>
    <x v="0"/>
    <m/>
    <m/>
    <m/>
    <m/>
    <m/>
    <n v="0"/>
    <s v=""/>
    <s v=""/>
    <s v=""/>
    <s v=""/>
    <s v=""/>
    <s v=""/>
    <n v="16.989999999999998"/>
    <n v="0"/>
    <n v="0"/>
    <n v="0"/>
    <n v="0"/>
    <n v="16.989999999999998"/>
    <s v=""/>
    <s v=""/>
    <n v="0"/>
    <n v="0"/>
  </r>
  <r>
    <s v="Construção e Transporte / Construção e Engenharia / Construção Civil"/>
    <x v="239"/>
    <n v="4"/>
    <x v="0"/>
    <m/>
    <m/>
    <m/>
    <m/>
    <m/>
    <n v="0"/>
    <s v=""/>
    <s v=""/>
    <s v=""/>
    <s v=""/>
    <s v=""/>
    <s v=""/>
    <n v="0"/>
    <n v="0"/>
    <n v="0"/>
    <n v="3.1"/>
    <n v="0"/>
    <n v="3.1"/>
    <s v=""/>
    <s v=""/>
    <n v="0"/>
    <n v="0"/>
  </r>
  <r>
    <s v="Materiais Básicos / Siderurgia e Metalurgia / Siderurgia"/>
    <x v="240"/>
    <n v="4"/>
    <x v="0"/>
    <m/>
    <m/>
    <m/>
    <m/>
    <m/>
    <n v="0"/>
    <s v=""/>
    <s v=""/>
    <s v=""/>
    <s v=""/>
    <s v=""/>
    <s v=""/>
    <n v="0"/>
    <n v="0"/>
    <n v="11.38"/>
    <n v="0"/>
    <n v="0"/>
    <n v="11.38"/>
    <s v=""/>
    <s v=""/>
    <n v="0"/>
    <n v="0"/>
  </r>
  <r>
    <s v="Materiais Básicos / Siderurgia e Metalurgia / Siderurgia"/>
    <x v="241"/>
    <n v="4"/>
    <x v="0"/>
    <m/>
    <m/>
    <m/>
    <m/>
    <m/>
    <n v="0"/>
    <s v=""/>
    <s v=""/>
    <s v=""/>
    <s v=""/>
    <s v=""/>
    <s v=""/>
    <n v="0"/>
    <n v="0"/>
    <n v="14.33"/>
    <n v="0"/>
    <n v="0"/>
    <n v="14.33"/>
    <s v=""/>
    <s v=""/>
    <n v="0"/>
    <n v="0"/>
  </r>
  <r>
    <s v="Materiais Básicos / Siderurgia e Metalurgia / Siderurgia"/>
    <x v="242"/>
    <n v="4"/>
    <x v="0"/>
    <m/>
    <m/>
    <m/>
    <m/>
    <m/>
    <n v="0"/>
    <s v=""/>
    <s v=""/>
    <s v=""/>
    <s v=""/>
    <s v=""/>
    <s v=""/>
    <n v="0"/>
    <n v="0"/>
    <n v="13.82"/>
    <n v="0"/>
    <n v="0"/>
    <n v="13.82"/>
    <s v=""/>
    <s v=""/>
    <n v="0"/>
    <n v="0"/>
  </r>
  <r>
    <s v="Materiais Básicos / Siderurgia e Metalurgia / Siderurgia"/>
    <x v="243"/>
    <n v="4"/>
    <x v="0"/>
    <m/>
    <m/>
    <m/>
    <m/>
    <m/>
    <n v="0"/>
    <s v=""/>
    <s v=""/>
    <s v=""/>
    <s v=""/>
    <s v=""/>
    <s v=""/>
    <n v="0"/>
    <n v="0"/>
    <n v="17.3"/>
    <n v="0"/>
    <n v="0"/>
    <n v="17.3"/>
    <s v=""/>
    <s v=""/>
    <n v="0"/>
    <n v="0"/>
  </r>
  <r>
    <s v="Construção e Transporte / Transporte / Transporte Aéreo"/>
    <x v="24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trução e Transporte / Transporte / Transporte Aéreo"/>
    <x v="245"/>
    <n v="3"/>
    <x v="0"/>
    <m/>
    <m/>
    <m/>
    <m/>
    <m/>
    <n v="0"/>
    <s v=""/>
    <s v=""/>
    <s v=""/>
    <s v=""/>
    <s v=""/>
    <s v=""/>
    <n v="0"/>
    <n v="0"/>
    <n v="0"/>
    <n v="0"/>
    <n v="10.4"/>
    <n v="10.4"/>
    <s v=""/>
    <n v="0"/>
    <n v="0"/>
    <n v="0"/>
  </r>
  <r>
    <s v="Utilidade Pública / Energia Elétrica / Energia Elétrica"/>
    <x v="246"/>
    <n v="3"/>
    <x v="0"/>
    <m/>
    <m/>
    <m/>
    <m/>
    <m/>
    <n v="0"/>
    <s v=""/>
    <s v=""/>
    <s v=""/>
    <s v=""/>
    <s v=""/>
    <s v=""/>
    <n v="0"/>
    <n v="12"/>
    <n v="0"/>
    <n v="0"/>
    <n v="0"/>
    <n v="12"/>
    <s v=""/>
    <n v="0"/>
    <n v="0"/>
    <n v="0"/>
  </r>
  <r>
    <s v="Materiais Básicos / Químicos / Petroquímicos"/>
    <x v="247"/>
    <n v="3"/>
    <x v="0"/>
    <m/>
    <m/>
    <m/>
    <m/>
    <m/>
    <n v="0"/>
    <s v=""/>
    <s v=""/>
    <s v=""/>
    <s v=""/>
    <s v=""/>
    <s v=""/>
    <n v="0"/>
    <n v="0"/>
    <n v="0.53"/>
    <n v="0"/>
    <n v="0"/>
    <n v="0.53"/>
    <s v=""/>
    <n v="0"/>
    <n v="0"/>
    <n v="0"/>
  </r>
  <r>
    <s v="Consumo Cíclico / Tecidos. Vestuário e Calçados / Calçados"/>
    <x v="248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Exploração de Imóveis / Exploração de Imóveis"/>
    <x v="249"/>
    <n v="3"/>
    <x v="0"/>
    <m/>
    <m/>
    <m/>
    <m/>
    <m/>
    <n v="0"/>
    <s v=""/>
    <s v=""/>
    <s v=""/>
    <s v=""/>
    <s v=""/>
    <s v=""/>
    <n v="0"/>
    <n v="0"/>
    <n v="7.72"/>
    <n v="0"/>
    <n v="0"/>
    <n v="7.72"/>
    <s v=""/>
    <n v="0"/>
    <n v="0"/>
    <n v="0"/>
  </r>
  <r>
    <s v="Utilidade Pública / Energia Elétrica / Energia Elétrica"/>
    <x v="250"/>
    <n v="4"/>
    <x v="1"/>
    <s v="div"/>
    <m/>
    <d v="2010-04-30T00:00:00"/>
    <d v="2010-06-29T00:00:00"/>
    <n v="1.01E-2"/>
    <n v="1.01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1"/>
    <s v="jcp"/>
    <n v="1.3769999999999999E-2"/>
    <d v="2010-12-29T00:00:00"/>
    <m/>
    <n v="2.63E-3"/>
    <n v="2.2355000000000001E-3"/>
    <n v="1.2335499999999999E-2"/>
    <n v="0.89582425562817714"/>
    <n v="1.3769999999999999E-2"/>
    <n v="1.2335499999999999E-2"/>
    <n v="0.89582425562817714"/>
    <s v=""/>
    <n v="0.12"/>
    <n v="0"/>
    <n v="0"/>
    <n v="0"/>
    <n v="0"/>
    <n v="0.12"/>
    <s v=""/>
    <n v="0.10279583333333334"/>
    <n v="0"/>
    <n v="1"/>
  </r>
  <r>
    <s v="Consumo Cíclico / Comércio / Tecidos. Vestuário e Calçados"/>
    <x v="251"/>
    <n v="4"/>
    <x v="0"/>
    <m/>
    <m/>
    <m/>
    <m/>
    <m/>
    <n v="0"/>
    <s v=""/>
    <s v=""/>
    <s v=""/>
    <s v=""/>
    <s v=""/>
    <s v=""/>
    <n v="0"/>
    <n v="0"/>
    <n v="0"/>
    <n v="90.5"/>
    <n v="0"/>
    <n v="90.5"/>
    <s v=""/>
    <s v=""/>
    <n v="0"/>
    <n v="0"/>
  </r>
  <r>
    <s v="Consumo Cíclico / Comércio / Tecidos. Vestuário e Calçados"/>
    <x v="252"/>
    <n v="4"/>
    <x v="0"/>
    <m/>
    <m/>
    <m/>
    <m/>
    <m/>
    <n v="0"/>
    <s v=""/>
    <s v=""/>
    <s v=""/>
    <s v=""/>
    <s v=""/>
    <s v=""/>
    <n v="0"/>
    <n v="0"/>
    <n v="0"/>
    <n v="81.900000000000006"/>
    <n v="0"/>
    <n v="81.900000000000006"/>
    <s v=""/>
    <s v=""/>
    <n v="0"/>
    <n v="0"/>
  </r>
  <r>
    <s v="Construção e Transporte / Construção e Engenharia / Materiais de Construção"/>
    <x v="253"/>
    <n v="3"/>
    <x v="0"/>
    <m/>
    <m/>
    <m/>
    <m/>
    <m/>
    <n v="0"/>
    <s v=""/>
    <s v=""/>
    <s v=""/>
    <s v=""/>
    <s v=""/>
    <s v=""/>
    <n v="0"/>
    <n v="0"/>
    <n v="0"/>
    <n v="0"/>
    <n v="1.98"/>
    <n v="1.98"/>
    <s v=""/>
    <n v="0"/>
    <n v="0"/>
    <n v="0"/>
  </r>
  <r>
    <s v="Construção e Transporte / Construção e Engenharia / Materiais de Construção"/>
    <x v="254"/>
    <n v="3"/>
    <x v="0"/>
    <m/>
    <m/>
    <m/>
    <m/>
    <m/>
    <n v="0"/>
    <s v=""/>
    <s v=""/>
    <s v=""/>
    <s v=""/>
    <s v=""/>
    <s v=""/>
    <n v="0"/>
    <n v="0"/>
    <n v="0"/>
    <n v="0"/>
    <n v="1.31"/>
    <n v="1.31"/>
    <s v=""/>
    <n v="0"/>
    <n v="0"/>
    <n v="0"/>
  </r>
  <r>
    <s v="Construção e Transporte / Construção e Engenharia / Construção Civil"/>
    <x v="255"/>
    <n v="3"/>
    <x v="0"/>
    <m/>
    <m/>
    <m/>
    <m/>
    <m/>
    <n v="0"/>
    <s v=""/>
    <s v=""/>
    <s v=""/>
    <s v=""/>
    <s v=""/>
    <s v=""/>
    <n v="0"/>
    <n v="0"/>
    <n v="0"/>
    <n v="6.81"/>
    <n v="0"/>
    <n v="6.81"/>
    <s v=""/>
    <n v="0"/>
    <n v="0"/>
    <n v="0"/>
  </r>
  <r>
    <s v="Financeiro e Outros / Holdings Diversificadas / Holdings Diversificadas"/>
    <x v="256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Holdings Diversificadas / Holdings Diversificadas"/>
    <x v="257"/>
    <n v="3"/>
    <x v="0"/>
    <m/>
    <m/>
    <m/>
    <m/>
    <m/>
    <n v="0"/>
    <s v=""/>
    <s v=""/>
    <s v=""/>
    <s v=""/>
    <s v=""/>
    <s v=""/>
    <n v="0"/>
    <n v="14"/>
    <n v="0"/>
    <n v="0"/>
    <n v="0"/>
    <n v="14"/>
    <s v=""/>
    <n v="0"/>
    <n v="0"/>
    <n v="0"/>
  </r>
  <r>
    <s v="Financeiro e Outros / Holdings Diversificadas / Holdings Diversificadas"/>
    <x v="258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Utilidades Domésticas / Utensílios Domésticos"/>
    <x v="259"/>
    <n v="3"/>
    <x v="0"/>
    <m/>
    <m/>
    <m/>
    <m/>
    <m/>
    <n v="0"/>
    <s v=""/>
    <s v=""/>
    <s v=""/>
    <s v=""/>
    <s v=""/>
    <s v=""/>
    <n v="0"/>
    <n v="0"/>
    <n v="0"/>
    <n v="0.61"/>
    <n v="0"/>
    <n v="0.61"/>
    <s v=""/>
    <n v="0"/>
    <n v="0"/>
    <n v="0"/>
  </r>
  <r>
    <s v="Consumo Cíclico / Utilidades Domésticas / Utensílios Domésticos"/>
    <x v="260"/>
    <n v="3"/>
    <x v="0"/>
    <m/>
    <m/>
    <m/>
    <m/>
    <m/>
    <n v="0"/>
    <s v=""/>
    <s v=""/>
    <s v=""/>
    <s v=""/>
    <s v=""/>
    <s v=""/>
    <n v="0"/>
    <n v="0"/>
    <n v="0"/>
    <n v="0.28999999999999998"/>
    <n v="0"/>
    <n v="0.28999999999999998"/>
    <s v=""/>
    <n v="0"/>
    <n v="0"/>
    <n v="0"/>
  </r>
  <r>
    <s v="Consumo Cíclico / Tecidos. Vestuário e Calçados / Vestuário"/>
    <x v="261"/>
    <n v="4"/>
    <x v="0"/>
    <m/>
    <m/>
    <m/>
    <m/>
    <m/>
    <n v="0"/>
    <s v=""/>
    <s v=""/>
    <s v=""/>
    <s v=""/>
    <s v=""/>
    <s v=""/>
    <n v="0"/>
    <n v="0"/>
    <n v="0"/>
    <n v="27"/>
    <n v="0"/>
    <n v="27"/>
    <s v=""/>
    <s v=""/>
    <n v="0"/>
    <n v="0"/>
  </r>
  <r>
    <s v="Consumo Cíclico / Comércio / Produtos Diversos"/>
    <x v="262"/>
    <n v="4"/>
    <x v="0"/>
    <m/>
    <m/>
    <m/>
    <m/>
    <m/>
    <n v="0"/>
    <s v=""/>
    <s v=""/>
    <s v=""/>
    <s v=""/>
    <s v=""/>
    <s v=""/>
    <n v="0"/>
    <n v="0"/>
    <n v="16"/>
    <n v="0"/>
    <n v="0"/>
    <n v="16"/>
    <s v=""/>
    <s v=""/>
    <n v="0"/>
    <n v="0"/>
  </r>
  <r>
    <s v="Tecnologia da Informação / Programas e Serviços / Programas e Serviços"/>
    <x v="263"/>
    <n v="3"/>
    <x v="0"/>
    <m/>
    <m/>
    <m/>
    <m/>
    <m/>
    <n v="0"/>
    <s v=""/>
    <s v=""/>
    <s v=""/>
    <s v=""/>
    <s v=""/>
    <s v=""/>
    <n v="0"/>
    <n v="0"/>
    <n v="1.55"/>
    <n v="0"/>
    <n v="0"/>
    <n v="1.55"/>
    <s v=""/>
    <n v="0"/>
    <n v="0"/>
    <n v="0"/>
  </r>
  <r>
    <s v="Financeiro e Outros / Intermediários Financeiros / Bancos"/>
    <x v="264"/>
    <n v="4"/>
    <x v="0"/>
    <m/>
    <m/>
    <m/>
    <m/>
    <m/>
    <n v="0"/>
    <s v=""/>
    <s v=""/>
    <s v=""/>
    <s v=""/>
    <s v=""/>
    <s v=""/>
    <n v="0"/>
    <n v="0"/>
    <n v="6.25"/>
    <n v="0"/>
    <n v="0"/>
    <n v="6.25"/>
    <s v=""/>
    <s v=""/>
    <n v="0"/>
    <n v="0"/>
  </r>
  <r>
    <s v="Financeiro e Outros / Intermediários Financeiros / Bancos"/>
    <x v="265"/>
    <n v="4"/>
    <x v="0"/>
    <m/>
    <m/>
    <m/>
    <m/>
    <m/>
    <n v="0"/>
    <s v=""/>
    <s v=""/>
    <s v=""/>
    <s v=""/>
    <s v=""/>
    <s v=""/>
    <n v="0"/>
    <n v="0"/>
    <n v="4.3499999999999996"/>
    <n v="0"/>
    <n v="0"/>
    <n v="4.3499999999999996"/>
    <s v=""/>
    <s v=""/>
    <n v="0"/>
    <n v="0"/>
  </r>
  <r>
    <s v="Consumo Cíclico / Utilidades Domésticas / Eletrodomésticos"/>
    <x v="266"/>
    <n v="3"/>
    <x v="0"/>
    <m/>
    <m/>
    <m/>
    <m/>
    <m/>
    <n v="0"/>
    <s v=""/>
    <s v=""/>
    <s v=""/>
    <s v=""/>
    <s v=""/>
    <s v=""/>
    <n v="0"/>
    <n v="0"/>
    <n v="0"/>
    <n v="5.0999999999999996"/>
    <n v="0"/>
    <n v="5.0999999999999996"/>
    <s v=""/>
    <n v="0"/>
    <n v="0"/>
    <n v="0"/>
  </r>
  <r>
    <s v="Financeiro e Outros / Exploração de Imóveis / Exploração de Imóveis"/>
    <x v="267"/>
    <n v="4"/>
    <x v="0"/>
    <m/>
    <m/>
    <m/>
    <m/>
    <m/>
    <n v="0"/>
    <s v=""/>
    <s v=""/>
    <s v=""/>
    <s v=""/>
    <s v=""/>
    <s v=""/>
    <n v="0"/>
    <n v="20.61"/>
    <n v="0"/>
    <n v="0"/>
    <n v="0"/>
    <n v="20.61"/>
    <s v=""/>
    <s v=""/>
    <n v="0"/>
    <n v="0"/>
  </r>
  <r>
    <s v="Consumo não Cíclico / Alimentos Processados / Café"/>
    <x v="268"/>
    <n v="4"/>
    <x v="0"/>
    <m/>
    <m/>
    <m/>
    <m/>
    <m/>
    <n v="0"/>
    <s v=""/>
    <s v=""/>
    <s v=""/>
    <s v=""/>
    <s v=""/>
    <s v=""/>
    <n v="0"/>
    <n v="0"/>
    <n v="0"/>
    <n v="4"/>
    <n v="0"/>
    <n v="4"/>
    <s v=""/>
    <s v=""/>
    <n v="0"/>
    <n v="0"/>
  </r>
  <r>
    <s v="Consumo não Cíclico / Alimentos Processados / Café"/>
    <x v="269"/>
    <n v="4"/>
    <x v="0"/>
    <m/>
    <m/>
    <m/>
    <m/>
    <m/>
    <n v="0"/>
    <s v=""/>
    <s v=""/>
    <s v=""/>
    <s v=""/>
    <s v=""/>
    <s v=""/>
    <n v="0"/>
    <n v="0"/>
    <n v="0"/>
    <n v="2.54"/>
    <n v="0"/>
    <n v="2.54"/>
    <s v=""/>
    <s v=""/>
    <n v="0"/>
    <n v="0"/>
  </r>
  <r>
    <s v="Consumo não Cíclico / Alimentos Processados / Café"/>
    <x v="270"/>
    <n v="4"/>
    <x v="0"/>
    <m/>
    <m/>
    <m/>
    <m/>
    <m/>
    <n v="0"/>
    <s v=""/>
    <s v=""/>
    <s v=""/>
    <s v=""/>
    <s v=""/>
    <s v=""/>
    <n v="0"/>
    <n v="0"/>
    <n v="0"/>
    <n v="3.3"/>
    <n v="0"/>
    <n v="3.3"/>
    <s v=""/>
    <s v=""/>
    <n v="0"/>
    <n v="0"/>
  </r>
  <r>
    <s v="Construção e Transporte / Transporte / Serviços de Apoio e Armazenagem"/>
    <x v="271"/>
    <n v="3"/>
    <x v="0"/>
    <m/>
    <m/>
    <m/>
    <m/>
    <m/>
    <n v="0"/>
    <s v=""/>
    <s v=""/>
    <s v=""/>
    <s v=""/>
    <s v=""/>
    <s v=""/>
    <n v="0"/>
    <n v="0"/>
    <n v="0"/>
    <n v="0"/>
    <n v="1.07"/>
    <n v="1.07"/>
    <s v=""/>
    <n v="0"/>
    <n v="0"/>
    <n v="0"/>
  </r>
  <r>
    <s v="Construção e Transporte / Transporte / Serviços de Apoio e Armazenagem"/>
    <x v="272"/>
    <n v="3"/>
    <x v="0"/>
    <m/>
    <m/>
    <m/>
    <m/>
    <m/>
    <n v="0"/>
    <s v=""/>
    <s v=""/>
    <s v=""/>
    <s v=""/>
    <s v=""/>
    <s v=""/>
    <n v="0"/>
    <n v="0"/>
    <n v="0"/>
    <n v="0"/>
    <n v="0.68"/>
    <n v="0.68"/>
    <s v=""/>
    <n v="0"/>
    <n v="0"/>
    <n v="0"/>
  </r>
  <r>
    <s v="Consumo Cíclico / Hoteis e Restaurantes / Restaurante e Similares"/>
    <x v="273"/>
    <n v="4"/>
    <x v="0"/>
    <m/>
    <m/>
    <m/>
    <m/>
    <m/>
    <n v="0"/>
    <s v=""/>
    <s v=""/>
    <s v=""/>
    <s v=""/>
    <s v=""/>
    <s v=""/>
    <n v="0"/>
    <n v="0"/>
    <n v="0"/>
    <n v="16.350000000000001"/>
    <n v="0"/>
    <n v="16.350000000000001"/>
    <s v=""/>
    <s v=""/>
    <n v="0"/>
    <n v="0"/>
  </r>
  <r>
    <s v="Bens Industriais / Máquinas e Equipamentos / Máq. e Equip. Industriais"/>
    <x v="274"/>
    <n v="3"/>
    <x v="0"/>
    <m/>
    <m/>
    <m/>
    <m/>
    <m/>
    <n v="0"/>
    <s v=""/>
    <s v=""/>
    <s v=""/>
    <s v=""/>
    <s v=""/>
    <s v=""/>
    <n v="0"/>
    <n v="0"/>
    <n v="0"/>
    <n v="0"/>
    <n v="0.8"/>
    <n v="0.8"/>
    <s v=""/>
    <n v="0"/>
    <n v="0"/>
    <n v="0"/>
  </r>
  <r>
    <s v="Bens Industriais / Máquinas e Equipamentos / Máq. e Equip. Industriais"/>
    <x v="275"/>
    <n v="3"/>
    <x v="0"/>
    <m/>
    <m/>
    <m/>
    <m/>
    <m/>
    <n v="0"/>
    <s v=""/>
    <s v=""/>
    <s v=""/>
    <s v=""/>
    <s v=""/>
    <s v=""/>
    <n v="0"/>
    <n v="0"/>
    <n v="0"/>
    <n v="0"/>
    <n v="0.68"/>
    <n v="0.68"/>
    <s v=""/>
    <n v="0"/>
    <n v="0"/>
    <n v="0"/>
  </r>
  <r>
    <s v="Telecomunicações / Telefonia Móvel / Telefonia móvel"/>
    <x v="276"/>
    <n v="3"/>
    <x v="0"/>
    <m/>
    <m/>
    <m/>
    <m/>
    <m/>
    <n v="0"/>
    <s v=""/>
    <s v=""/>
    <s v=""/>
    <s v=""/>
    <s v=""/>
    <s v=""/>
    <n v="0"/>
    <n v="0.14000000000000001"/>
    <n v="0"/>
    <n v="0"/>
    <n v="0"/>
    <n v="0.14000000000000001"/>
    <s v=""/>
    <n v="0"/>
    <n v="0"/>
    <n v="0"/>
  </r>
  <r>
    <s v="Tecnologia da Informação / Computadores e Equipamentos / Computadores e Equipamentos"/>
    <x v="277"/>
    <n v="4"/>
    <x v="0"/>
    <m/>
    <m/>
    <m/>
    <m/>
    <m/>
    <n v="0"/>
    <s v=""/>
    <s v=""/>
    <s v=""/>
    <s v=""/>
    <s v=""/>
    <s v=""/>
    <n v="0"/>
    <n v="0"/>
    <n v="19"/>
    <n v="0"/>
    <n v="0"/>
    <n v="19"/>
    <s v=""/>
    <s v=""/>
    <n v="0"/>
    <n v="0"/>
  </r>
  <r>
    <s v="Financeiro e Outros / Intermediários Financeiros / Bancos"/>
    <x v="278"/>
    <n v="4"/>
    <x v="0"/>
    <m/>
    <m/>
    <m/>
    <m/>
    <m/>
    <n v="0"/>
    <s v=""/>
    <s v=""/>
    <s v=""/>
    <s v=""/>
    <s v=""/>
    <s v=""/>
    <n v="8.83"/>
    <n v="0"/>
    <n v="0"/>
    <n v="0"/>
    <n v="0"/>
    <n v="8.83"/>
    <s v=""/>
    <s v=""/>
    <n v="0"/>
    <n v="0"/>
  </r>
  <r>
    <s v="Financeiro e Outros / Intermediários Financeiros / Bancos"/>
    <x v="279"/>
    <n v="4"/>
    <x v="0"/>
    <m/>
    <m/>
    <m/>
    <m/>
    <m/>
    <n v="0"/>
    <s v=""/>
    <s v=""/>
    <s v=""/>
    <s v=""/>
    <s v=""/>
    <s v=""/>
    <n v="8.3000000000000007"/>
    <n v="0"/>
    <n v="0"/>
    <n v="0"/>
    <n v="0"/>
    <n v="8.3000000000000007"/>
    <s v=""/>
    <s v=""/>
    <n v="0"/>
    <n v="0"/>
  </r>
  <r>
    <s v="Financeiro e Outros / Intermediários Financeiros / Bancos"/>
    <x v="280"/>
    <n v="4"/>
    <x v="0"/>
    <m/>
    <m/>
    <m/>
    <m/>
    <m/>
    <n v="0"/>
    <s v=""/>
    <s v=""/>
    <s v=""/>
    <s v=""/>
    <s v=""/>
    <s v=""/>
    <n v="29.14"/>
    <n v="0"/>
    <n v="0"/>
    <n v="0"/>
    <n v="0"/>
    <n v="29.14"/>
    <s v=""/>
    <s v=""/>
    <n v="0"/>
    <n v="0"/>
  </r>
  <r>
    <s v="Financeiro e Outros / Intermediários Financeiros / Bancos"/>
    <x v="281"/>
    <n v="4"/>
    <x v="0"/>
    <m/>
    <m/>
    <m/>
    <m/>
    <m/>
    <n v="0"/>
    <s v=""/>
    <s v=""/>
    <s v=""/>
    <s v=""/>
    <s v=""/>
    <s v=""/>
    <n v="30.67"/>
    <n v="0"/>
    <n v="0"/>
    <n v="0"/>
    <n v="0"/>
    <n v="30.67"/>
    <s v=""/>
    <s v=""/>
    <n v="0"/>
    <n v="0"/>
  </r>
  <r>
    <s v="Financeiro e Outros / Holdings Diversificadas / Holdings Diversificadas"/>
    <x v="282"/>
    <n v="4"/>
    <x v="0"/>
    <m/>
    <m/>
    <m/>
    <m/>
    <m/>
    <n v="0"/>
    <s v=""/>
    <s v=""/>
    <s v=""/>
    <s v=""/>
    <s v=""/>
    <s v=""/>
    <n v="0"/>
    <n v="0"/>
    <n v="0.26"/>
    <n v="0"/>
    <n v="0"/>
    <n v="0.26"/>
    <s v=""/>
    <s v=""/>
    <n v="0"/>
    <n v="0"/>
  </r>
  <r>
    <s v="Financeiro e Outros / Holdings Diversificadas / Holdings Diversificadas"/>
    <x v="283"/>
    <n v="4"/>
    <x v="0"/>
    <m/>
    <m/>
    <m/>
    <m/>
    <m/>
    <n v="0"/>
    <s v=""/>
    <s v=""/>
    <s v=""/>
    <s v=""/>
    <s v=""/>
    <s v=""/>
    <n v="0"/>
    <n v="0"/>
    <n v="0.13"/>
    <n v="0"/>
    <n v="0"/>
    <n v="0.13"/>
    <s v=""/>
    <s v=""/>
    <n v="0"/>
    <n v="0"/>
  </r>
  <r>
    <s v="Consumo não Cíclico / Alimentos Processados / Carnes e Derivados"/>
    <x v="284"/>
    <n v="3"/>
    <x v="0"/>
    <m/>
    <m/>
    <m/>
    <m/>
    <m/>
    <n v="0"/>
    <s v=""/>
    <s v=""/>
    <s v=""/>
    <s v=""/>
    <s v=""/>
    <s v=""/>
    <n v="0"/>
    <n v="7.39"/>
    <n v="0"/>
    <n v="0"/>
    <n v="0"/>
    <n v="7.39"/>
    <s v=""/>
    <n v="0"/>
    <n v="0"/>
    <n v="0"/>
  </r>
  <r>
    <s v="Construção e Transporte / Construção e Engenharia / Construção Civil"/>
    <x v="285"/>
    <n v="3"/>
    <x v="0"/>
    <m/>
    <m/>
    <m/>
    <m/>
    <m/>
    <n v="0"/>
    <s v=""/>
    <s v=""/>
    <s v=""/>
    <s v=""/>
    <s v=""/>
    <s v=""/>
    <n v="0"/>
    <n v="0"/>
    <n v="0"/>
    <n v="5.29"/>
    <n v="0"/>
    <n v="5.29"/>
    <s v=""/>
    <n v="0"/>
    <n v="0"/>
    <n v="0"/>
  </r>
  <r>
    <s v="Construção e Transporte / Construção e Engenharia / Construção Civil"/>
    <x v="286"/>
    <n v="3"/>
    <x v="0"/>
    <m/>
    <m/>
    <m/>
    <m/>
    <m/>
    <n v="0"/>
    <s v=""/>
    <s v=""/>
    <s v=""/>
    <s v=""/>
    <s v=""/>
    <s v=""/>
    <n v="0"/>
    <n v="0"/>
    <n v="0"/>
    <n v="4.01"/>
    <n v="0"/>
    <n v="4.01"/>
    <s v=""/>
    <n v="0"/>
    <n v="0"/>
    <n v="0"/>
  </r>
  <r>
    <s v="Consumo não Cíclico / Alimentos Processados / Alimentos Diversos"/>
    <x v="287"/>
    <n v="3"/>
    <x v="0"/>
    <m/>
    <m/>
    <m/>
    <m/>
    <m/>
    <n v="0"/>
    <s v=""/>
    <s v=""/>
    <s v=""/>
    <s v=""/>
    <s v=""/>
    <s v=""/>
    <n v="0"/>
    <n v="17.05"/>
    <n v="0"/>
    <n v="17.05"/>
    <n v="0"/>
    <n v="17.05"/>
    <s v=""/>
    <n v="0"/>
    <n v="0"/>
    <n v="0"/>
  </r>
  <r>
    <s v="Consumo não Cíclico / Alimentos Processados / Alimentos Diversos"/>
    <x v="288"/>
    <n v="3"/>
    <x v="0"/>
    <m/>
    <m/>
    <m/>
    <m/>
    <m/>
    <n v="0"/>
    <s v=""/>
    <s v=""/>
    <s v=""/>
    <s v=""/>
    <s v=""/>
    <s v=""/>
    <n v="0"/>
    <n v="18.05"/>
    <n v="0"/>
    <n v="18.05"/>
    <n v="0"/>
    <n v="18.05"/>
    <s v=""/>
    <n v="0"/>
    <n v="0"/>
    <n v="0"/>
  </r>
  <r>
    <s v="Construção e Transporte / Transporte / Transporte Rodoviário"/>
    <x v="289"/>
    <n v="4"/>
    <x v="0"/>
    <m/>
    <m/>
    <m/>
    <m/>
    <m/>
    <n v="0"/>
    <s v=""/>
    <s v=""/>
    <s v=""/>
    <s v=""/>
    <s v=""/>
    <s v=""/>
    <n v="0"/>
    <n v="0"/>
    <n v="0"/>
    <n v="0"/>
    <n v="13.96"/>
    <n v="13.96"/>
    <s v=""/>
    <s v=""/>
    <n v="0"/>
    <n v="0"/>
  </r>
  <r>
    <s v="Bens Industriais / Máquinas e Equipamentos / Máq. e Equip. Industriais"/>
    <x v="290"/>
    <n v="3"/>
    <x v="0"/>
    <m/>
    <m/>
    <m/>
    <m/>
    <m/>
    <n v="0"/>
    <s v=""/>
    <s v=""/>
    <s v=""/>
    <s v=""/>
    <s v=""/>
    <s v=""/>
    <n v="0"/>
    <n v="0"/>
    <n v="0"/>
    <n v="0"/>
    <n v="35.94"/>
    <n v="35.94"/>
    <s v=""/>
    <n v="0"/>
    <n v="0"/>
    <n v="0"/>
  </r>
  <r>
    <s v="Materiais Básicos / Madeira e Papel / Papel e Celulose"/>
    <x v="291"/>
    <n v="4"/>
    <x v="0"/>
    <m/>
    <m/>
    <m/>
    <m/>
    <m/>
    <n v="0"/>
    <s v=""/>
    <s v=""/>
    <s v=""/>
    <s v=""/>
    <s v=""/>
    <s v=""/>
    <n v="0"/>
    <n v="0"/>
    <n v="56.11"/>
    <n v="0"/>
    <n v="0"/>
    <n v="56.11"/>
    <s v=""/>
    <s v=""/>
    <n v="0"/>
    <n v="0"/>
  </r>
  <r>
    <s v="Materiais Básicos / Madeira e Papel / Papel e Celulose"/>
    <x v="292"/>
    <n v="4"/>
    <x v="0"/>
    <m/>
    <m/>
    <m/>
    <m/>
    <m/>
    <n v="0"/>
    <s v=""/>
    <s v=""/>
    <s v=""/>
    <s v=""/>
    <s v=""/>
    <s v=""/>
    <n v="11.31"/>
    <n v="0"/>
    <n v="0"/>
    <n v="0"/>
    <n v="0"/>
    <n v="11.31"/>
    <s v=""/>
    <s v=""/>
    <n v="0"/>
    <n v="0"/>
  </r>
  <r>
    <s v="Materiais Básicos / Madeira e Papel / Papel e Celulose"/>
    <x v="293"/>
    <n v="4"/>
    <x v="0"/>
    <m/>
    <m/>
    <m/>
    <m/>
    <m/>
    <n v="0"/>
    <s v=""/>
    <s v=""/>
    <s v=""/>
    <s v=""/>
    <s v=""/>
    <s v=""/>
    <n v="11.24"/>
    <n v="0"/>
    <n v="0"/>
    <n v="0"/>
    <n v="0"/>
    <n v="11.24"/>
    <s v=""/>
    <s v=""/>
    <n v="0"/>
    <n v="0"/>
  </r>
  <r>
    <s v="Consumo Cíclico / Comércio / Produtos Diversos"/>
    <x v="294"/>
    <n v="4"/>
    <x v="0"/>
    <m/>
    <m/>
    <m/>
    <m/>
    <m/>
    <n v="0"/>
    <s v=""/>
    <s v=""/>
    <s v=""/>
    <s v=""/>
    <s v=""/>
    <s v=""/>
    <n v="0"/>
    <n v="0"/>
    <n v="13.27"/>
    <n v="0"/>
    <n v="0"/>
    <n v="13.27"/>
    <s v=""/>
    <s v=""/>
    <n v="0"/>
    <n v="0"/>
  </r>
  <r>
    <s v="Consumo Cíclico / Comércio / Produtos Diversos"/>
    <x v="295"/>
    <n v="4"/>
    <x v="0"/>
    <m/>
    <m/>
    <m/>
    <m/>
    <m/>
    <n v="0"/>
    <s v=""/>
    <s v=""/>
    <s v=""/>
    <s v=""/>
    <s v=""/>
    <s v=""/>
    <n v="0"/>
    <n v="0"/>
    <n v="15.35"/>
    <n v="0"/>
    <n v="0"/>
    <n v="15.35"/>
    <s v=""/>
    <s v=""/>
    <n v="0"/>
    <n v="0"/>
  </r>
  <r>
    <s v="Consumo Cíclico / Diversos / Aluguel de carros"/>
    <x v="296"/>
    <n v="3"/>
    <x v="0"/>
    <m/>
    <m/>
    <m/>
    <m/>
    <m/>
    <n v="0"/>
    <s v=""/>
    <s v=""/>
    <s v=""/>
    <s v=""/>
    <s v=""/>
    <s v=""/>
    <n v="0"/>
    <n v="3.79"/>
    <n v="0"/>
    <n v="0"/>
    <n v="0"/>
    <n v="3.79"/>
    <s v=""/>
    <n v="0"/>
    <n v="0"/>
    <n v="0"/>
  </r>
  <r>
    <s v="Bens Industriais / Material de Transporte / Material Rodoviário"/>
    <x v="297"/>
    <n v="4"/>
    <x v="0"/>
    <m/>
    <m/>
    <m/>
    <m/>
    <m/>
    <n v="0"/>
    <s v=""/>
    <s v=""/>
    <s v=""/>
    <s v=""/>
    <s v=""/>
    <s v=""/>
    <n v="0"/>
    <n v="0"/>
    <n v="0"/>
    <n v="0"/>
    <n v="22.86"/>
    <n v="22.86"/>
    <s v=""/>
    <s v=""/>
    <n v="0"/>
    <n v="0"/>
  </r>
  <r>
    <s v="Telecomunicações / Telefonia Fixa / Telefonia Fixa"/>
    <x v="298"/>
    <n v="3"/>
    <x v="0"/>
    <m/>
    <m/>
    <m/>
    <m/>
    <m/>
    <n v="0"/>
    <s v=""/>
    <s v=""/>
    <s v=""/>
    <s v=""/>
    <s v=""/>
    <s v=""/>
    <n v="0"/>
    <n v="1.99"/>
    <n v="0"/>
    <n v="0"/>
    <n v="0"/>
    <n v="1.99"/>
    <s v=""/>
    <n v="0"/>
    <n v="0"/>
    <n v="0"/>
  </r>
  <r>
    <s v="Telecomunicações / Telefonia Fixa / Telefonia Fixa"/>
    <x v="299"/>
    <n v="3"/>
    <x v="0"/>
    <m/>
    <m/>
    <m/>
    <m/>
    <m/>
    <n v="0"/>
    <s v=""/>
    <s v=""/>
    <s v=""/>
    <s v=""/>
    <s v=""/>
    <s v=""/>
    <n v="0"/>
    <n v="2"/>
    <n v="0"/>
    <n v="0"/>
    <n v="0"/>
    <n v="2"/>
    <s v=""/>
    <n v="0"/>
    <n v="0"/>
    <n v="0"/>
  </r>
  <r>
    <s v="Consumo Cíclico / Comércio / Tecidos. Vestuário e Calçados"/>
    <x v="30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Comércio / Tecidos. Vestuário e Calçados"/>
    <x v="301"/>
    <n v="3"/>
    <x v="0"/>
    <m/>
    <m/>
    <m/>
    <m/>
    <m/>
    <n v="0"/>
    <s v=""/>
    <s v=""/>
    <s v=""/>
    <s v=""/>
    <s v=""/>
    <s v=""/>
    <n v="0"/>
    <n v="0"/>
    <n v="0"/>
    <n v="68"/>
    <n v="0"/>
    <n v="68"/>
    <s v=""/>
    <n v="0"/>
    <n v="0"/>
    <n v="0"/>
  </r>
  <r>
    <s v="Utilidade Pública / Energia Elétrica / Energia Elétrica"/>
    <x v="302"/>
    <n v="4"/>
    <x v="0"/>
    <m/>
    <m/>
    <m/>
    <m/>
    <m/>
    <n v="0"/>
    <s v=""/>
    <s v=""/>
    <s v=""/>
    <s v=""/>
    <s v=""/>
    <s v=""/>
    <n v="16.91"/>
    <n v="0"/>
    <n v="0"/>
    <n v="0"/>
    <n v="0"/>
    <n v="16.91"/>
    <s v=""/>
    <s v=""/>
    <n v="0"/>
    <n v="0"/>
  </r>
  <r>
    <s v="Tecnologia da Informação / Programas e Serviços / Programas e Serviços"/>
    <x v="303"/>
    <n v="4"/>
    <x v="0"/>
    <m/>
    <m/>
    <m/>
    <m/>
    <m/>
    <n v="0"/>
    <s v=""/>
    <s v=""/>
    <s v=""/>
    <s v=""/>
    <s v=""/>
    <s v=""/>
    <n v="0"/>
    <n v="0"/>
    <n v="46.5"/>
    <n v="0"/>
    <n v="0"/>
    <n v="46.5"/>
    <s v=""/>
    <s v=""/>
    <n v="0"/>
    <n v="0"/>
  </r>
  <r>
    <s v="Utilidade Pública / Energia Elétrica / Energia Elétrica"/>
    <x v="304"/>
    <n v="5"/>
    <x v="1"/>
    <s v="div"/>
    <n v="2.1431900000000002"/>
    <d v="2010-04-30T00:00:00"/>
    <d v="2010-05-03T00:00:00"/>
    <n v="6.5060000000000007E-2"/>
    <n v="6.5060000000000007E-2"/>
    <n v="6.5060000000000007E-2"/>
    <n v="3.0356617938680192E-2"/>
    <n v="2.1431900000000002"/>
    <n v="6.5060000000000007E-2"/>
    <n v="3.0356617938680192E-2"/>
    <s v=""/>
    <n v="49.78"/>
    <n v="0"/>
    <n v="0"/>
    <n v="0"/>
    <n v="0"/>
    <n v="49.78"/>
    <s v=""/>
    <n v="1.3069505825632785E-3"/>
    <n v="1"/>
    <n v="0"/>
  </r>
  <r>
    <s v="Construção e Transporte / Construção e Engenharia / Construção Pesada"/>
    <x v="305"/>
    <n v="3"/>
    <x v="0"/>
    <m/>
    <m/>
    <m/>
    <m/>
    <m/>
    <n v="0"/>
    <s v=""/>
    <s v=""/>
    <s v=""/>
    <s v=""/>
    <s v=""/>
    <s v=""/>
    <n v="0"/>
    <n v="0"/>
    <n v="0"/>
    <n v="0"/>
    <n v="2.88"/>
    <n v="2.88"/>
    <s v=""/>
    <n v="0"/>
    <n v="0"/>
    <n v="0"/>
  </r>
  <r>
    <s v="Construção e Transporte / Construção e Engenharia / Construção Pesada"/>
    <x v="306"/>
    <n v="3"/>
    <x v="0"/>
    <m/>
    <m/>
    <m/>
    <m/>
    <m/>
    <n v="0"/>
    <s v=""/>
    <s v=""/>
    <s v=""/>
    <s v=""/>
    <s v=""/>
    <s v=""/>
    <n v="0"/>
    <n v="0"/>
    <n v="0"/>
    <n v="0"/>
    <n v="2.94"/>
    <n v="2.94"/>
    <s v=""/>
    <n v="0"/>
    <n v="0"/>
    <n v="0"/>
  </r>
  <r>
    <s v="Consumo Cíclico / Comércio / Tecidos. Vestuário e Calçados"/>
    <x v="307"/>
    <n v="4"/>
    <x v="0"/>
    <m/>
    <m/>
    <m/>
    <m/>
    <m/>
    <n v="0"/>
    <s v=""/>
    <s v=""/>
    <s v=""/>
    <s v=""/>
    <s v=""/>
    <s v=""/>
    <n v="0"/>
    <n v="0"/>
    <n v="0"/>
    <n v="6.08"/>
    <n v="0"/>
    <n v="6.08"/>
    <s v=""/>
    <s v=""/>
    <n v="0"/>
    <n v="0"/>
  </r>
  <r>
    <s v="Construção e Transporte / Transporte / Serviços de Apoio e Armazenagem"/>
    <x v="308"/>
    <n v="3"/>
    <x v="0"/>
    <m/>
    <m/>
    <m/>
    <m/>
    <m/>
    <n v="0"/>
    <s v=""/>
    <s v=""/>
    <s v=""/>
    <s v=""/>
    <s v=""/>
    <s v=""/>
    <n v="0"/>
    <n v="0"/>
    <n v="0"/>
    <n v="0"/>
    <n v="0.86"/>
    <n v="0.86"/>
    <s v=""/>
    <n v="0"/>
    <n v="0"/>
    <n v="0"/>
  </r>
  <r>
    <s v="Construção e Transporte / Transporte / Transporte Hidroviário"/>
    <x v="309"/>
    <n v="3"/>
    <x v="0"/>
    <m/>
    <m/>
    <m/>
    <m/>
    <m/>
    <n v="0"/>
    <s v=""/>
    <s v=""/>
    <s v=""/>
    <s v=""/>
    <s v=""/>
    <s v=""/>
    <n v="0"/>
    <n v="0"/>
    <n v="0"/>
    <n v="0"/>
    <n v="8.48"/>
    <n v="8.48"/>
    <s v=""/>
    <n v="0"/>
    <n v="0"/>
    <n v="0"/>
  </r>
  <r>
    <s v="Construção e Transporte / Construção e Engenharia / Intermediação Imobiliária"/>
    <x v="310"/>
    <n v="3"/>
    <x v="0"/>
    <m/>
    <m/>
    <m/>
    <m/>
    <m/>
    <n v="0"/>
    <s v=""/>
    <s v=""/>
    <s v=""/>
    <s v=""/>
    <s v=""/>
    <s v=""/>
    <n v="0"/>
    <n v="0"/>
    <n v="0"/>
    <n v="0"/>
    <n v="13.02"/>
    <n v="13.02"/>
    <s v=""/>
    <n v="0"/>
    <n v="0"/>
    <n v="0"/>
  </r>
  <r>
    <s v="Consumo Cíclico / Comércio / Tecidos. Vestuário e Calçados"/>
    <x v="311"/>
    <n v="4"/>
    <x v="0"/>
    <m/>
    <m/>
    <m/>
    <m/>
    <m/>
    <n v="0"/>
    <s v=""/>
    <s v=""/>
    <s v=""/>
    <s v=""/>
    <s v=""/>
    <s v=""/>
    <n v="0"/>
    <n v="0"/>
    <n v="0"/>
    <n v="59.2"/>
    <n v="0"/>
    <n v="59.2"/>
    <s v=""/>
    <s v=""/>
    <n v="0"/>
    <n v="0"/>
  </r>
  <r>
    <s v="Construção e Transporte / Transporte / Transporte Hidroviário"/>
    <x v="312"/>
    <n v="3"/>
    <x v="0"/>
    <m/>
    <m/>
    <m/>
    <m/>
    <m/>
    <n v="0"/>
    <s v=""/>
    <s v=""/>
    <s v=""/>
    <s v=""/>
    <s v=""/>
    <s v=""/>
    <n v="0"/>
    <n v="0"/>
    <n v="0"/>
    <n v="0"/>
    <n v="48"/>
    <n v="48"/>
    <s v=""/>
    <n v="0"/>
    <n v="0"/>
    <n v="0"/>
  </r>
  <r>
    <s v="Construção e Transporte / Transporte / Transporte Hidroviário"/>
    <x v="313"/>
    <n v="3"/>
    <x v="0"/>
    <m/>
    <m/>
    <m/>
    <m/>
    <m/>
    <n v="0"/>
    <s v=""/>
    <s v=""/>
    <s v=""/>
    <s v=""/>
    <s v=""/>
    <s v=""/>
    <n v="0"/>
    <n v="0"/>
    <n v="0"/>
    <n v="0"/>
    <n v="31.15"/>
    <n v="31.15"/>
    <s v=""/>
    <n v="0"/>
    <n v="0"/>
    <n v="0"/>
  </r>
  <r>
    <s v="Materiais Básicos / Materiais Diversos / Materiais Diversos"/>
    <x v="314"/>
    <n v="3"/>
    <x v="0"/>
    <m/>
    <m/>
    <m/>
    <m/>
    <m/>
    <n v="0"/>
    <s v=""/>
    <s v=""/>
    <s v=""/>
    <s v=""/>
    <s v=""/>
    <s v=""/>
    <n v="0"/>
    <n v="4.9800000000000004"/>
    <n v="0"/>
    <n v="0"/>
    <n v="0"/>
    <n v="4.9800000000000004"/>
    <s v=""/>
    <n v="0"/>
    <n v="0"/>
    <n v="0"/>
  </r>
  <r>
    <s v="Consumo não Cíclico / Alimentos Processados / Alimentos Diversos"/>
    <x v="315"/>
    <n v="4"/>
    <x v="0"/>
    <m/>
    <m/>
    <m/>
    <m/>
    <m/>
    <n v="0"/>
    <s v=""/>
    <s v=""/>
    <s v=""/>
    <s v=""/>
    <s v=""/>
    <s v=""/>
    <n v="0"/>
    <n v="0"/>
    <n v="0"/>
    <n v="0"/>
    <n v="83.57"/>
    <n v="83.57"/>
    <s v=""/>
    <s v=""/>
    <n v="0"/>
    <n v="0"/>
  </r>
  <r>
    <s v="Construção e Transporte / Construção e Engenharia / Construção Pesada"/>
    <x v="316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trução e Transporte / Construção e Engenharia / Construção Pesada"/>
    <x v="317"/>
    <n v="3"/>
    <x v="0"/>
    <m/>
    <m/>
    <m/>
    <m/>
    <m/>
    <n v="0"/>
    <s v=""/>
    <s v=""/>
    <s v=""/>
    <s v=""/>
    <s v=""/>
    <s v=""/>
    <n v="0"/>
    <n v="0"/>
    <n v="0"/>
    <n v="0"/>
    <n v="10.3"/>
    <n v="10.3"/>
    <s v=""/>
    <n v="0"/>
    <n v="0"/>
    <n v="0"/>
  </r>
  <r>
    <s v="Construção e Transporte / Construção e Engenharia / Construção Pesada"/>
    <x v="318"/>
    <n v="3"/>
    <x v="0"/>
    <m/>
    <m/>
    <m/>
    <m/>
    <m/>
    <n v="0"/>
    <s v=""/>
    <s v=""/>
    <s v=""/>
    <s v=""/>
    <s v=""/>
    <s v=""/>
    <n v="0"/>
    <n v="0"/>
    <n v="0"/>
    <n v="0"/>
    <n v="11.6"/>
    <n v="11.6"/>
    <s v=""/>
    <n v="0"/>
    <n v="0"/>
    <n v="0"/>
  </r>
  <r>
    <s v="Financeiro e Outros / Intermediários Financeiros / Soc. Crédito e Financiamento"/>
    <x v="319"/>
    <n v="4"/>
    <x v="0"/>
    <m/>
    <m/>
    <m/>
    <m/>
    <m/>
    <n v="0"/>
    <s v=""/>
    <s v=""/>
    <s v=""/>
    <s v=""/>
    <s v=""/>
    <s v=""/>
    <n v="0"/>
    <n v="83.91"/>
    <n v="0"/>
    <n v="0"/>
    <n v="0"/>
    <n v="83.91"/>
    <s v=""/>
    <s v=""/>
    <n v="0"/>
    <n v="0"/>
  </r>
  <r>
    <s v="Financeiro e Outros / Intermediários Financeiros / Soc. Crédito e Financiamento"/>
    <x v="320"/>
    <n v="4"/>
    <x v="0"/>
    <m/>
    <m/>
    <m/>
    <m/>
    <m/>
    <n v="0"/>
    <s v=""/>
    <s v=""/>
    <s v=""/>
    <s v=""/>
    <s v=""/>
    <s v=""/>
    <n v="0"/>
    <n v="8.5"/>
    <n v="0"/>
    <n v="0"/>
    <n v="0"/>
    <n v="8.5"/>
    <s v=""/>
    <s v=""/>
    <n v="0"/>
    <n v="0"/>
  </r>
  <r>
    <s v="Materiais Básicos / Siderurgia e Metalurgia / Artefatos de Ferro e Aço"/>
    <x v="321"/>
    <n v="3"/>
    <x v="0"/>
    <m/>
    <m/>
    <m/>
    <m/>
    <m/>
    <n v="0"/>
    <s v=""/>
    <s v=""/>
    <s v=""/>
    <s v=""/>
    <s v=""/>
    <s v=""/>
    <n v="0"/>
    <n v="0"/>
    <n v="25"/>
    <n v="0"/>
    <n v="0"/>
    <n v="25"/>
    <s v=""/>
    <n v="0"/>
    <n v="0"/>
    <n v="0"/>
  </r>
  <r>
    <s v="Materiais Básicos / Siderurgia e Metalurgia / Artefatos de Ferro e Aço"/>
    <x v="322"/>
    <n v="3"/>
    <x v="0"/>
    <m/>
    <m/>
    <m/>
    <m/>
    <m/>
    <n v="0"/>
    <s v=""/>
    <s v=""/>
    <s v=""/>
    <s v=""/>
    <s v=""/>
    <s v=""/>
    <n v="0"/>
    <n v="0"/>
    <n v="0.54"/>
    <n v="0"/>
    <n v="0"/>
    <n v="0.54"/>
    <s v=""/>
    <n v="0"/>
    <n v="0"/>
    <n v="0"/>
  </r>
  <r>
    <s v="Consumo Cíclico / Utilidades Domésticas / Eletrodomésticos"/>
    <x v="323"/>
    <n v="4"/>
    <x v="0"/>
    <m/>
    <m/>
    <m/>
    <m/>
    <m/>
    <n v="0"/>
    <s v=""/>
    <s v=""/>
    <s v=""/>
    <s v=""/>
    <s v=""/>
    <s v=""/>
    <n v="0"/>
    <n v="0"/>
    <n v="0"/>
    <n v="6.12"/>
    <n v="0"/>
    <n v="6.12"/>
    <s v=""/>
    <s v=""/>
    <n v="0"/>
    <n v="0"/>
  </r>
  <r>
    <s v="Bens Industriais / Serviços / Serviços Diversos"/>
    <x v="324"/>
    <n v="4"/>
    <x v="0"/>
    <m/>
    <m/>
    <m/>
    <m/>
    <m/>
    <n v="0"/>
    <s v=""/>
    <s v=""/>
    <s v=""/>
    <s v=""/>
    <s v=""/>
    <s v=""/>
    <n v="0"/>
    <n v="0"/>
    <n v="0"/>
    <n v="0"/>
    <n v="25.48"/>
    <n v="25.48"/>
    <s v=""/>
    <s v=""/>
    <n v="0"/>
    <n v="0"/>
  </r>
  <r>
    <s v="Telecomunicações / Telefonia Fixa / Telefonia Fixa"/>
    <x v="325"/>
    <n v="3"/>
    <x v="0"/>
    <m/>
    <m/>
    <m/>
    <m/>
    <m/>
    <n v="0"/>
    <s v=""/>
    <s v=""/>
    <s v=""/>
    <s v=""/>
    <s v=""/>
    <s v=""/>
    <n v="0"/>
    <n v="1.87"/>
    <n v="0"/>
    <n v="0"/>
    <n v="0"/>
    <n v="1.87"/>
    <s v=""/>
    <n v="0"/>
    <n v="0"/>
    <n v="0"/>
  </r>
  <r>
    <s v="Telecomunicações / Telefonia Fixa / Telefonia Fixa"/>
    <x v="326"/>
    <n v="3"/>
    <x v="0"/>
    <m/>
    <m/>
    <m/>
    <m/>
    <m/>
    <n v="0"/>
    <s v=""/>
    <s v=""/>
    <s v=""/>
    <s v=""/>
    <s v=""/>
    <s v=""/>
    <n v="0"/>
    <n v="1.54"/>
    <n v="0"/>
    <n v="0"/>
    <n v="0"/>
    <n v="1.54"/>
    <s v=""/>
    <n v="0"/>
    <n v="0"/>
    <n v="0"/>
  </r>
  <r>
    <s v="Materiais Básicos / Mineração / Minerais Metálicos"/>
    <x v="327"/>
    <n v="3"/>
    <x v="0"/>
    <m/>
    <m/>
    <m/>
    <m/>
    <m/>
    <n v="0"/>
    <s v=""/>
    <s v=""/>
    <s v=""/>
    <s v=""/>
    <s v=""/>
    <s v=""/>
    <n v="0"/>
    <n v="0"/>
    <n v="2.8"/>
    <n v="0"/>
    <n v="0"/>
    <n v="2.8"/>
    <s v=""/>
    <n v="0"/>
    <n v="0"/>
    <n v="0"/>
  </r>
  <r>
    <s v="Consumo Cíclico / Tecidos. Vestuário e Calçados / Acessórios"/>
    <x v="328"/>
    <n v="3"/>
    <x v="0"/>
    <m/>
    <m/>
    <m/>
    <m/>
    <m/>
    <n v="0"/>
    <s v=""/>
    <s v=""/>
    <s v=""/>
    <s v=""/>
    <s v=""/>
    <s v=""/>
    <n v="0"/>
    <n v="0"/>
    <n v="0"/>
    <n v="9.01"/>
    <n v="0"/>
    <n v="9.01"/>
    <s v=""/>
    <n v="0"/>
    <n v="0"/>
    <n v="0"/>
  </r>
  <r>
    <s v="Consumo não Cíclico / Alimentos Processados / Carnes e Derivados"/>
    <x v="329"/>
    <n v="4"/>
    <x v="0"/>
    <m/>
    <m/>
    <m/>
    <m/>
    <m/>
    <n v="0"/>
    <s v=""/>
    <s v=""/>
    <s v=""/>
    <s v=""/>
    <s v=""/>
    <s v=""/>
    <n v="0"/>
    <n v="0"/>
    <n v="7.0000000000000007E-2"/>
    <n v="0"/>
    <n v="0"/>
    <n v="7.0000000000000007E-2"/>
    <s v=""/>
    <s v=""/>
    <n v="0"/>
    <n v="0"/>
  </r>
  <r>
    <s v="Financeiro e Outros / Holdings Diversificadas / Holdings Diversificadas"/>
    <x v="330"/>
    <n v="3"/>
    <x v="0"/>
    <m/>
    <m/>
    <m/>
    <m/>
    <m/>
    <n v="0"/>
    <s v=""/>
    <s v=""/>
    <s v=""/>
    <s v=""/>
    <s v=""/>
    <s v=""/>
    <n v="0"/>
    <n v="156"/>
    <n v="0"/>
    <n v="0"/>
    <n v="0"/>
    <n v="156"/>
    <s v=""/>
    <n v="0"/>
    <n v="0"/>
    <n v="0"/>
  </r>
  <r>
    <s v="Consumo não Cíclico / Alimentos Processados / Carnes e Derivados"/>
    <x v="331"/>
    <n v="4"/>
    <x v="0"/>
    <m/>
    <m/>
    <m/>
    <m/>
    <m/>
    <n v="0"/>
    <s v=""/>
    <s v=""/>
    <s v=""/>
    <s v=""/>
    <s v=""/>
    <s v=""/>
    <n v="0"/>
    <n v="0"/>
    <n v="3.91"/>
    <n v="0"/>
    <n v="0"/>
    <n v="3.91"/>
    <s v=""/>
    <s v=""/>
    <n v="0"/>
    <n v="0"/>
  </r>
  <r>
    <s v="Construção e Transporte / Construção e Engenharia / Construção Civil"/>
    <x v="332"/>
    <n v="3"/>
    <x v="0"/>
    <m/>
    <m/>
    <m/>
    <m/>
    <m/>
    <n v="0"/>
    <s v=""/>
    <s v=""/>
    <s v=""/>
    <s v=""/>
    <s v=""/>
    <s v=""/>
    <n v="0"/>
    <n v="0"/>
    <n v="0"/>
    <n v="7.11"/>
    <n v="0"/>
    <n v="7.11"/>
    <s v=""/>
    <n v="0"/>
    <n v="0"/>
    <n v="0"/>
  </r>
  <r>
    <s v="Materiais Básicos / Madeira e Papel / Papel e Celulose"/>
    <x v="333"/>
    <n v="3"/>
    <x v="0"/>
    <m/>
    <m/>
    <m/>
    <m/>
    <m/>
    <n v="0"/>
    <s v=""/>
    <s v=""/>
    <s v=""/>
    <s v=""/>
    <s v=""/>
    <s v=""/>
    <n v="0"/>
    <n v="0"/>
    <n v="27.3"/>
    <n v="0"/>
    <n v="0"/>
    <n v="27.3"/>
    <s v=""/>
    <n v="0"/>
    <n v="0"/>
    <n v="0"/>
  </r>
  <r>
    <s v="Materiais Básicos / Madeira e Papel / Papel e Celulose"/>
    <x v="334"/>
    <n v="3"/>
    <x v="0"/>
    <m/>
    <m/>
    <m/>
    <m/>
    <m/>
    <n v="0"/>
    <s v=""/>
    <s v=""/>
    <s v=""/>
    <s v=""/>
    <s v=""/>
    <s v=""/>
    <n v="0"/>
    <n v="0"/>
    <n v="27"/>
    <n v="0"/>
    <n v="0"/>
    <n v="27"/>
    <s v=""/>
    <n v="0"/>
    <n v="0"/>
    <n v="0"/>
  </r>
  <r>
    <s v="Materiais Básicos / Embalagens / Embalagens"/>
    <x v="335"/>
    <n v="3"/>
    <x v="0"/>
    <m/>
    <m/>
    <m/>
    <m/>
    <m/>
    <n v="0"/>
    <s v=""/>
    <s v=""/>
    <s v=""/>
    <s v=""/>
    <s v=""/>
    <s v=""/>
    <n v="0"/>
    <n v="0"/>
    <n v="0.5"/>
    <n v="0"/>
    <n v="0"/>
    <n v="0.5"/>
    <s v=""/>
    <n v="0"/>
    <n v="0"/>
    <n v="0"/>
  </r>
  <r>
    <s v="Materiais Básicos / Embalagens / Embalagens"/>
    <x v="336"/>
    <n v="3"/>
    <x v="0"/>
    <m/>
    <m/>
    <m/>
    <m/>
    <m/>
    <n v="0"/>
    <s v=""/>
    <s v=""/>
    <s v=""/>
    <s v=""/>
    <s v=""/>
    <s v=""/>
    <n v="0"/>
    <n v="0"/>
    <n v="0.11"/>
    <n v="0"/>
    <n v="0"/>
    <n v="0.11"/>
    <s v=""/>
    <n v="0"/>
    <n v="0"/>
    <n v="0"/>
  </r>
  <r>
    <s v="Bens Industriais / Máquinas e Equipamentos / Máq. e Equip. Construção e Agrícolas"/>
    <x v="337"/>
    <n v="3"/>
    <x v="0"/>
    <m/>
    <m/>
    <m/>
    <m/>
    <m/>
    <n v="0"/>
    <s v=""/>
    <s v=""/>
    <s v=""/>
    <s v=""/>
    <s v=""/>
    <s v=""/>
    <n v="0"/>
    <n v="0"/>
    <n v="0"/>
    <n v="0"/>
    <n v="60"/>
    <n v="60"/>
    <s v=""/>
    <n v="0"/>
    <n v="0"/>
    <n v="0"/>
  </r>
  <r>
    <s v="Bens Industriais / Máquinas e Equipamentos / Máq. e Equip. Construção e Agrícolas"/>
    <x v="338"/>
    <n v="3"/>
    <x v="0"/>
    <m/>
    <m/>
    <m/>
    <m/>
    <m/>
    <n v="0"/>
    <s v=""/>
    <s v=""/>
    <s v=""/>
    <s v=""/>
    <s v=""/>
    <s v=""/>
    <n v="0"/>
    <n v="0"/>
    <n v="0"/>
    <n v="0"/>
    <n v="16.829999999999998"/>
    <n v="16.829999999999998"/>
    <s v=""/>
    <n v="0"/>
    <n v="0"/>
    <n v="0"/>
  </r>
  <r>
    <s v="Financeiro e Outros / Exploração de Imóveis / Exploração de Imóveis"/>
    <x v="339"/>
    <n v="4"/>
    <x v="0"/>
    <m/>
    <m/>
    <m/>
    <m/>
    <m/>
    <n v="0"/>
    <s v=""/>
    <s v=""/>
    <s v=""/>
    <s v=""/>
    <s v=""/>
    <s v=""/>
    <n v="0"/>
    <n v="46.34"/>
    <n v="0"/>
    <n v="0"/>
    <n v="0"/>
    <n v="46.34"/>
    <s v=""/>
    <s v=""/>
    <n v="0"/>
    <n v="0"/>
  </r>
  <r>
    <s v="Financeiro e Outros / Exploração de Imóveis / Exploração de Imóveis"/>
    <x v="340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aterial de Transporte / Material Rodoviário"/>
    <x v="341"/>
    <n v="3"/>
    <x v="0"/>
    <m/>
    <m/>
    <m/>
    <m/>
    <m/>
    <n v="0"/>
    <s v=""/>
    <s v=""/>
    <s v=""/>
    <s v=""/>
    <s v=""/>
    <s v=""/>
    <n v="0"/>
    <n v="0"/>
    <n v="0"/>
    <n v="0"/>
    <n v="4"/>
    <n v="4"/>
    <s v=""/>
    <n v="0"/>
    <n v="0"/>
    <n v="0"/>
  </r>
  <r>
    <s v="Bens Industriais / Material de Transporte / Material Rodoviário"/>
    <x v="342"/>
    <n v="3"/>
    <x v="0"/>
    <m/>
    <m/>
    <m/>
    <m/>
    <m/>
    <n v="0"/>
    <s v=""/>
    <s v=""/>
    <s v=""/>
    <s v=""/>
    <s v=""/>
    <s v=""/>
    <n v="0"/>
    <n v="0"/>
    <n v="0"/>
    <n v="0"/>
    <n v="1.46"/>
    <n v="1.46"/>
    <s v=""/>
    <n v="0"/>
    <n v="0"/>
    <n v="0"/>
  </r>
  <r>
    <s v="Bens Industriais / Material de Transporte / Material Rodoviário"/>
    <x v="343"/>
    <n v="4"/>
    <x v="0"/>
    <m/>
    <m/>
    <m/>
    <m/>
    <m/>
    <n v="0"/>
    <s v=""/>
    <s v=""/>
    <s v=""/>
    <s v=""/>
    <s v=""/>
    <s v=""/>
    <n v="0"/>
    <n v="0"/>
    <n v="0"/>
    <n v="0"/>
    <n v="23.76"/>
    <n v="23.76"/>
    <s v=""/>
    <s v=""/>
    <n v="0"/>
    <n v="0"/>
  </r>
  <r>
    <s v="Consumo Cíclico / Utilidades Domésticas / Utensílios Domésticos"/>
    <x v="34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Utilidades Domésticas / Utensílios Domésticos"/>
    <x v="345"/>
    <n v="3"/>
    <x v="0"/>
    <m/>
    <m/>
    <m/>
    <m/>
    <m/>
    <n v="0"/>
    <s v=""/>
    <s v=""/>
    <s v=""/>
    <s v=""/>
    <s v=""/>
    <s v=""/>
    <n v="0"/>
    <n v="0"/>
    <n v="0"/>
    <n v="15"/>
    <n v="0"/>
    <n v="15"/>
    <s v=""/>
    <n v="0"/>
    <n v="0"/>
    <n v="0"/>
  </r>
  <r>
    <s v="Consumo não Cíclico / Produtos de Uso Pessoal e de Limpeza / Produtos de Uso Pessoal"/>
    <x v="346"/>
    <n v="4"/>
    <x v="0"/>
    <m/>
    <m/>
    <m/>
    <m/>
    <m/>
    <n v="0"/>
    <s v=""/>
    <s v=""/>
    <s v=""/>
    <s v=""/>
    <s v=""/>
    <s v=""/>
    <n v="0"/>
    <n v="0"/>
    <n v="35.799999999999997"/>
    <n v="0"/>
    <n v="0"/>
    <n v="35.799999999999997"/>
    <s v=""/>
    <s v=""/>
    <n v="0"/>
    <n v="0"/>
  </r>
  <r>
    <s v="Consumo Cíclico / Mídia / Produção e Difusão de Filmes e Programas"/>
    <x v="347"/>
    <n v="3"/>
    <x v="0"/>
    <m/>
    <m/>
    <m/>
    <m/>
    <m/>
    <n v="0"/>
    <s v=""/>
    <s v=""/>
    <s v=""/>
    <s v=""/>
    <s v=""/>
    <s v=""/>
    <n v="0"/>
    <n v="0"/>
    <n v="0"/>
    <n v="29.73"/>
    <n v="0"/>
    <n v="29.73"/>
    <s v=""/>
    <n v="0"/>
    <n v="0"/>
    <n v="0"/>
  </r>
  <r>
    <s v="Consumo Cíclico / Mídia / Produção e Difusão de Filmes e Programas"/>
    <x v="348"/>
    <n v="3"/>
    <x v="0"/>
    <m/>
    <m/>
    <m/>
    <m/>
    <m/>
    <n v="0"/>
    <s v=""/>
    <s v=""/>
    <s v=""/>
    <s v=""/>
    <s v=""/>
    <s v=""/>
    <n v="0"/>
    <n v="0"/>
    <n v="0"/>
    <n v="27.8"/>
    <n v="0"/>
    <n v="27.8"/>
    <s v=""/>
    <n v="0"/>
    <n v="0"/>
    <n v="0"/>
  </r>
  <r>
    <s v="Materiais Básicos / Químicos / Fertilizantes e Defensivos"/>
    <x v="349"/>
    <n v="3"/>
    <x v="0"/>
    <m/>
    <m/>
    <m/>
    <m/>
    <m/>
    <n v="0"/>
    <s v=""/>
    <s v=""/>
    <s v=""/>
    <s v=""/>
    <s v=""/>
    <s v=""/>
    <n v="0"/>
    <n v="1.51"/>
    <n v="1.51"/>
    <n v="0"/>
    <n v="0"/>
    <n v="1.51"/>
    <s v=""/>
    <n v="0"/>
    <n v="0"/>
    <n v="0"/>
  </r>
  <r>
    <s v="Consumo não Cíclico / Saúde / Serv.Méd.Hospit..Análises e Diagnósticos"/>
    <x v="350"/>
    <n v="4"/>
    <x v="0"/>
    <m/>
    <m/>
    <m/>
    <m/>
    <m/>
    <n v="0"/>
    <s v=""/>
    <s v=""/>
    <s v=""/>
    <s v=""/>
    <s v=""/>
    <s v=""/>
    <n v="0"/>
    <n v="0"/>
    <n v="8.76"/>
    <n v="0"/>
    <n v="0"/>
    <n v="8.76"/>
    <s v=""/>
    <s v=""/>
    <n v="0"/>
    <n v="0"/>
  </r>
  <r>
    <s v="Petróleo. Gás e Biocombustíveis / Petróleo. Gás e Biocombustíveis / Exploração e/ou Refino"/>
    <x v="351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Telecomunicações / Telefonia Fixa / Telefonia Fixa"/>
    <x v="352"/>
    <n v="4"/>
    <x v="0"/>
    <m/>
    <m/>
    <m/>
    <m/>
    <m/>
    <n v="0"/>
    <s v=""/>
    <s v=""/>
    <s v=""/>
    <s v=""/>
    <s v=""/>
    <s v=""/>
    <n v="0"/>
    <n v="3.79"/>
    <n v="0"/>
    <n v="0"/>
    <n v="0"/>
    <n v="3.79"/>
    <s v=""/>
    <s v=""/>
    <n v="0"/>
    <n v="0"/>
  </r>
  <r>
    <s v="Telecomunicações / Telefonia Fixa / Telefonia Fixa"/>
    <x v="353"/>
    <n v="4"/>
    <x v="0"/>
    <m/>
    <m/>
    <m/>
    <m/>
    <m/>
    <n v="0"/>
    <s v=""/>
    <s v=""/>
    <s v=""/>
    <s v=""/>
    <s v=""/>
    <s v=""/>
    <n v="0"/>
    <n v="3.49"/>
    <n v="0"/>
    <n v="0"/>
    <n v="0"/>
    <n v="3.49"/>
    <s v=""/>
    <s v=""/>
    <n v="0"/>
    <n v="0"/>
  </r>
  <r>
    <s v="Petróleo. Gás e Biocombustíveis / Petróleo. Gás e Biocombustíveis / Equipamentos e Serviços"/>
    <x v="35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Siderurgia e Metalurgia / Artefatos de Ferro e Aço"/>
    <x v="355"/>
    <n v="3"/>
    <x v="0"/>
    <m/>
    <m/>
    <m/>
    <m/>
    <m/>
    <n v="0"/>
    <s v=""/>
    <s v=""/>
    <s v=""/>
    <s v=""/>
    <s v=""/>
    <s v=""/>
    <n v="18.489999999999998"/>
    <n v="0"/>
    <n v="0"/>
    <n v="0"/>
    <n v="0"/>
    <n v="18.489999999999998"/>
    <s v=""/>
    <n v="0"/>
    <n v="0"/>
    <n v="0"/>
  </r>
  <r>
    <s v="Materiais Básicos / Siderurgia e Metalurgia / Artefatos de Ferro e Aço"/>
    <x v="356"/>
    <n v="3"/>
    <x v="0"/>
    <m/>
    <m/>
    <m/>
    <m/>
    <m/>
    <n v="0"/>
    <s v=""/>
    <s v=""/>
    <s v=""/>
    <s v=""/>
    <s v=""/>
    <s v=""/>
    <n v="0"/>
    <n v="19.25"/>
    <n v="0"/>
    <n v="0"/>
    <n v="0"/>
    <n v="19.25"/>
    <s v=""/>
    <n v="0"/>
    <n v="0"/>
    <n v="0"/>
  </r>
  <r>
    <s v="Consumo não Cíclico / Comércio e Distribuição / Alimentos"/>
    <x v="357"/>
    <n v="4"/>
    <x v="0"/>
    <m/>
    <m/>
    <m/>
    <m/>
    <m/>
    <n v="0"/>
    <s v=""/>
    <s v=""/>
    <s v=""/>
    <s v=""/>
    <s v=""/>
    <s v=""/>
    <n v="0"/>
    <n v="0"/>
    <n v="74.989999999999995"/>
    <n v="0"/>
    <n v="0"/>
    <n v="74.989999999999995"/>
    <s v=""/>
    <s v=""/>
    <n v="0"/>
    <n v="0"/>
  </r>
  <r>
    <s v="Consumo não Cíclico / Comércio e Distribuição / Alimentos"/>
    <x v="358"/>
    <n v="4"/>
    <x v="0"/>
    <m/>
    <m/>
    <m/>
    <m/>
    <m/>
    <n v="0"/>
    <s v=""/>
    <s v=""/>
    <s v=""/>
    <s v=""/>
    <s v=""/>
    <s v=""/>
    <n v="0"/>
    <n v="0"/>
    <n v="97.04"/>
    <n v="0"/>
    <n v="0"/>
    <n v="97.04"/>
    <s v=""/>
    <s v=""/>
    <n v="0"/>
    <n v="0"/>
  </r>
  <r>
    <s v="Construção e Transporte / Construção e Engenharia / Construção Civil"/>
    <x v="359"/>
    <n v="4"/>
    <x v="0"/>
    <m/>
    <m/>
    <m/>
    <m/>
    <m/>
    <n v="0"/>
    <s v=""/>
    <s v=""/>
    <s v=""/>
    <s v=""/>
    <s v=""/>
    <s v=""/>
    <n v="0"/>
    <n v="0"/>
    <n v="0"/>
    <n v="1.29"/>
    <n v="0"/>
    <n v="1.29"/>
    <s v=""/>
    <s v=""/>
    <n v="0"/>
    <n v="0"/>
  </r>
  <r>
    <s v="Financeiro e Outros / Previdência e Seguros / Seguradoras"/>
    <x v="360"/>
    <n v="3"/>
    <x v="0"/>
    <m/>
    <m/>
    <m/>
    <m/>
    <m/>
    <n v="0"/>
    <s v=""/>
    <s v=""/>
    <s v=""/>
    <s v=""/>
    <s v=""/>
    <s v=""/>
    <n v="0"/>
    <n v="0"/>
    <n v="30"/>
    <n v="0"/>
    <n v="0"/>
    <n v="30"/>
    <s v=""/>
    <n v="0"/>
    <n v="0"/>
    <n v="0"/>
  </r>
  <r>
    <s v="Financeiro e Outros / Previdência e Seguros / Seguradoras"/>
    <x v="361"/>
    <n v="3"/>
    <x v="0"/>
    <m/>
    <m/>
    <m/>
    <m/>
    <m/>
    <n v="0"/>
    <s v=""/>
    <s v=""/>
    <s v=""/>
    <s v=""/>
    <s v=""/>
    <s v=""/>
    <n v="0"/>
    <n v="0"/>
    <n v="30.01"/>
    <n v="0"/>
    <n v="0"/>
    <n v="30.01"/>
    <s v=""/>
    <n v="0"/>
    <n v="0"/>
    <n v="0"/>
  </r>
  <r>
    <s v="Petróleo. Gás e Biocombustíveis / Petróleo. Gás e Biocombustíveis / Exploração e/ou Refino"/>
    <x v="362"/>
    <n v="4"/>
    <x v="1"/>
    <s v="jcp"/>
    <m/>
    <d v="2010-05-14T00:00:00"/>
    <d v="2010-05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05-14T00:00:00"/>
    <d v="2010-05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Consumo não Cíclico / Comércio e Distribuição / Medicamentos"/>
    <x v="364"/>
    <n v="3"/>
    <x v="0"/>
    <m/>
    <m/>
    <m/>
    <m/>
    <m/>
    <n v="0"/>
    <s v=""/>
    <s v=""/>
    <s v=""/>
    <s v=""/>
    <s v=""/>
    <s v=""/>
    <n v="0"/>
    <n v="0"/>
    <n v="17.8"/>
    <n v="0"/>
    <n v="0"/>
    <n v="17.8"/>
    <s v=""/>
    <n v="0"/>
    <n v="0"/>
    <n v="0"/>
  </r>
  <r>
    <s v="Financeiro e Outros / Intermediários Financeiros / Bancos"/>
    <x v="36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366"/>
    <n v="4"/>
    <x v="0"/>
    <m/>
    <m/>
    <m/>
    <m/>
    <m/>
    <n v="0"/>
    <s v=""/>
    <s v=""/>
    <s v=""/>
    <s v=""/>
    <s v=""/>
    <s v=""/>
    <n v="7.59"/>
    <n v="0"/>
    <n v="0"/>
    <n v="0"/>
    <n v="0"/>
    <n v="7.59"/>
    <s v=""/>
    <s v=""/>
    <n v="0"/>
    <n v="0"/>
  </r>
  <r>
    <s v="Bens Industriais / Material de Transporte / Material Rodoviário"/>
    <x v="367"/>
    <n v="3"/>
    <x v="0"/>
    <m/>
    <m/>
    <m/>
    <m/>
    <m/>
    <n v="0"/>
    <s v=""/>
    <s v=""/>
    <s v=""/>
    <s v=""/>
    <s v=""/>
    <s v=""/>
    <n v="0"/>
    <n v="0"/>
    <n v="0"/>
    <n v="0"/>
    <n v="0.41"/>
    <n v="0.41"/>
    <s v=""/>
    <n v="0"/>
    <n v="0"/>
    <n v="0"/>
  </r>
  <r>
    <s v="Materiais Básicos / Siderurgia e Metalurgia / Artefatos de Cobre"/>
    <x v="368"/>
    <n v="4"/>
    <x v="0"/>
    <m/>
    <m/>
    <m/>
    <m/>
    <m/>
    <n v="0"/>
    <s v=""/>
    <s v=""/>
    <s v=""/>
    <s v=""/>
    <s v=""/>
    <s v=""/>
    <n v="0"/>
    <n v="0"/>
    <n v="3.02"/>
    <n v="0"/>
    <n v="0"/>
    <n v="3.02"/>
    <s v=""/>
    <s v=""/>
    <n v="0"/>
    <n v="0"/>
  </r>
  <r>
    <s v="Consumo não Cíclico / Comércio e Distribuição / Medicamentos"/>
    <x v="369"/>
    <n v="3"/>
    <x v="0"/>
    <m/>
    <m/>
    <m/>
    <m/>
    <m/>
    <n v="0"/>
    <s v=""/>
    <s v=""/>
    <s v=""/>
    <s v=""/>
    <s v=""/>
    <s v=""/>
    <n v="0"/>
    <n v="0"/>
    <n v="166"/>
    <n v="0"/>
    <n v="0"/>
    <n v="166"/>
    <s v=""/>
    <n v="0"/>
    <n v="0"/>
    <n v="0"/>
  </r>
  <r>
    <s v="Consumo não Cíclico / Comércio e Distribuição / Medicamentos"/>
    <x v="370"/>
    <n v="3"/>
    <x v="0"/>
    <m/>
    <m/>
    <m/>
    <m/>
    <m/>
    <n v="0"/>
    <s v=""/>
    <s v=""/>
    <s v=""/>
    <s v=""/>
    <s v=""/>
    <s v=""/>
    <n v="0"/>
    <n v="0"/>
    <n v="160"/>
    <n v="0"/>
    <n v="0"/>
    <n v="160"/>
    <s v=""/>
    <n v="0"/>
    <n v="0"/>
    <n v="0"/>
  </r>
  <r>
    <s v="Bens Industriais / Material de Transporte / Material Rodoviário"/>
    <x v="371"/>
    <n v="4"/>
    <x v="0"/>
    <m/>
    <m/>
    <m/>
    <m/>
    <m/>
    <n v="0"/>
    <s v=""/>
    <s v=""/>
    <s v=""/>
    <s v=""/>
    <s v=""/>
    <s v=""/>
    <n v="0"/>
    <n v="0"/>
    <n v="0"/>
    <n v="0"/>
    <n v="4.2699999999999996"/>
    <n v="4.2699999999999996"/>
    <s v=""/>
    <s v=""/>
    <n v="0"/>
    <n v="0"/>
  </r>
  <r>
    <s v="Bens Industriais / Material de Transporte / Material Rodoviário"/>
    <x v="372"/>
    <n v="4"/>
    <x v="0"/>
    <m/>
    <m/>
    <m/>
    <m/>
    <m/>
    <n v="0"/>
    <s v=""/>
    <s v=""/>
    <s v=""/>
    <s v=""/>
    <s v=""/>
    <s v=""/>
    <n v="0"/>
    <n v="0"/>
    <n v="0"/>
    <n v="0"/>
    <n v="4.43"/>
    <n v="4.43"/>
    <s v=""/>
    <s v=""/>
    <n v="0"/>
    <n v="0"/>
  </r>
  <r>
    <s v="Tecnologia da Informação / Computadores e Equipamentos / Computadores e Equipamentos"/>
    <x v="373"/>
    <n v="4"/>
    <x v="0"/>
    <m/>
    <m/>
    <m/>
    <m/>
    <m/>
    <n v="0"/>
    <s v=""/>
    <s v=""/>
    <s v=""/>
    <s v=""/>
    <s v=""/>
    <s v=""/>
    <n v="0"/>
    <n v="0"/>
    <n v="2.36"/>
    <n v="0"/>
    <n v="0"/>
    <n v="2.36"/>
    <s v=""/>
    <s v=""/>
    <n v="0"/>
    <n v="0"/>
  </r>
  <r>
    <s v="Financeiro e Outros / Intermediários Financeiros / Bancos"/>
    <x v="37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Intermediários Financeiros / Bancos"/>
    <x v="375"/>
    <n v="4"/>
    <x v="0"/>
    <m/>
    <m/>
    <m/>
    <m/>
    <m/>
    <n v="0"/>
    <s v=""/>
    <s v=""/>
    <s v=""/>
    <s v=""/>
    <s v=""/>
    <s v=""/>
    <n v="10.27"/>
    <n v="0"/>
    <n v="0"/>
    <n v="0"/>
    <n v="0"/>
    <n v="10.27"/>
    <s v=""/>
    <s v=""/>
    <n v="0"/>
    <n v="0"/>
  </r>
  <r>
    <s v="Materiais Básicos / Materiais Diversos / Materiais Diversos"/>
    <x v="376"/>
    <n v="4"/>
    <x v="0"/>
    <m/>
    <m/>
    <m/>
    <m/>
    <m/>
    <n v="0"/>
    <s v=""/>
    <s v=""/>
    <s v=""/>
    <s v=""/>
    <s v=""/>
    <s v=""/>
    <n v="0"/>
    <n v="7.88"/>
    <n v="0"/>
    <n v="0"/>
    <n v="0"/>
    <n v="7.88"/>
    <s v=""/>
    <s v=""/>
    <n v="0"/>
    <n v="0"/>
  </r>
  <r>
    <s v="Financeiro e Outros / Previdência e Seguros / Seguradoras"/>
    <x v="377"/>
    <n v="4"/>
    <x v="0"/>
    <m/>
    <m/>
    <m/>
    <m/>
    <m/>
    <n v="0"/>
    <s v=""/>
    <s v=""/>
    <s v=""/>
    <s v=""/>
    <s v=""/>
    <s v=""/>
    <n v="32.770000000000003"/>
    <n v="0"/>
    <n v="0"/>
    <n v="0"/>
    <n v="0"/>
    <n v="32.770000000000003"/>
    <s v=""/>
    <s v=""/>
    <n v="0"/>
    <n v="0"/>
  </r>
  <r>
    <s v="Construção e Transporte / Construção e Engenharia / Materiais de Construção"/>
    <x v="378"/>
    <n v="3"/>
    <x v="0"/>
    <m/>
    <m/>
    <m/>
    <m/>
    <m/>
    <n v="0"/>
    <s v=""/>
    <s v=""/>
    <s v=""/>
    <s v=""/>
    <s v=""/>
    <s v=""/>
    <n v="0"/>
    <n v="0"/>
    <n v="0"/>
    <n v="0"/>
    <n v="4.26"/>
    <n v="4.26"/>
    <s v=""/>
    <n v="0"/>
    <n v="0"/>
    <n v="0"/>
  </r>
  <r>
    <s v="Consumo Cíclico / Tecidos. Vestuário e Calçados / Fios e Tecidos"/>
    <x v="379"/>
    <n v="4"/>
    <x v="0"/>
    <m/>
    <m/>
    <m/>
    <m/>
    <m/>
    <n v="0"/>
    <s v=""/>
    <s v=""/>
    <s v=""/>
    <s v=""/>
    <s v=""/>
    <s v=""/>
    <n v="0"/>
    <n v="0"/>
    <n v="0"/>
    <n v="2.25"/>
    <n v="0"/>
    <n v="2.25"/>
    <s v=""/>
    <s v=""/>
    <n v="0"/>
    <n v="0"/>
  </r>
  <r>
    <s v="Consumo Cíclico / Tecidos. Vestuário e Calçados / Fios e Tecidos"/>
    <x v="380"/>
    <n v="4"/>
    <x v="0"/>
    <m/>
    <m/>
    <m/>
    <m/>
    <m/>
    <n v="0"/>
    <s v=""/>
    <s v=""/>
    <s v=""/>
    <s v=""/>
    <s v=""/>
    <s v=""/>
    <n v="0"/>
    <n v="0"/>
    <n v="0"/>
    <n v="1.3"/>
    <n v="0"/>
    <n v="1.3"/>
    <s v=""/>
    <s v=""/>
    <n v="0"/>
    <n v="0"/>
  </r>
  <r>
    <s v="Materiais Básicos / Embalagens / Embalagens"/>
    <x v="381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Materiais Básicos / Embalagens / Embalagens"/>
    <x v="382"/>
    <n v="4"/>
    <x v="0"/>
    <m/>
    <m/>
    <m/>
    <m/>
    <m/>
    <n v="0"/>
    <s v=""/>
    <s v=""/>
    <s v=""/>
    <s v=""/>
    <s v=""/>
    <s v=""/>
    <n v="0"/>
    <n v="60"/>
    <n v="0"/>
    <n v="0"/>
    <n v="0"/>
    <n v="60"/>
    <s v=""/>
    <s v=""/>
    <n v="0"/>
    <n v="0"/>
  </r>
  <r>
    <s v="Petróleo. Gás e Biocombustíveis / Petróleo. Gás e Biocombustíveis / Exploração e/ou Refino"/>
    <x v="383"/>
    <n v="3"/>
    <x v="0"/>
    <m/>
    <m/>
    <m/>
    <m/>
    <m/>
    <n v="0"/>
    <s v=""/>
    <s v=""/>
    <s v=""/>
    <s v=""/>
    <s v=""/>
    <s v=""/>
    <n v="0"/>
    <n v="8.43"/>
    <n v="0"/>
    <n v="0"/>
    <n v="0"/>
    <n v="8.43"/>
    <s v=""/>
    <n v="0"/>
    <n v="0"/>
    <n v="0"/>
  </r>
  <r>
    <s v="Consumo não Cíclico / Saúde / Serv.Méd.Hospit..Análises e Diagnósticos"/>
    <x v="384"/>
    <n v="3"/>
    <x v="0"/>
    <m/>
    <m/>
    <m/>
    <m/>
    <m/>
    <n v="0"/>
    <s v=""/>
    <s v=""/>
    <s v=""/>
    <s v=""/>
    <s v=""/>
    <s v=""/>
    <n v="0"/>
    <n v="0"/>
    <n v="20.98"/>
    <n v="0"/>
    <n v="0"/>
    <n v="20.98"/>
    <s v=""/>
    <n v="0"/>
    <n v="0"/>
    <n v="0"/>
  </r>
  <r>
    <s v="Consumo não Cíclico / Comércio e Distribuição / Medicamentos"/>
    <x v="385"/>
    <n v="3"/>
    <x v="0"/>
    <m/>
    <m/>
    <m/>
    <m/>
    <m/>
    <n v="0"/>
    <s v=""/>
    <s v=""/>
    <s v=""/>
    <s v=""/>
    <s v=""/>
    <s v=""/>
    <n v="0"/>
    <n v="0"/>
    <n v="17.64"/>
    <n v="0"/>
    <n v="0"/>
    <n v="17.64"/>
    <s v=""/>
    <n v="0"/>
    <n v="0"/>
    <n v="0"/>
  </r>
  <r>
    <s v="Materiais Básicos / Madeira e Papel / Papel e Celulose"/>
    <x v="386"/>
    <n v="4"/>
    <x v="0"/>
    <m/>
    <m/>
    <m/>
    <m/>
    <m/>
    <n v="0"/>
    <s v=""/>
    <s v=""/>
    <s v=""/>
    <s v=""/>
    <s v=""/>
    <s v=""/>
    <n v="3.28"/>
    <n v="0"/>
    <n v="0"/>
    <n v="0"/>
    <n v="0"/>
    <n v="3.28"/>
    <s v=""/>
    <s v=""/>
    <n v="0"/>
    <n v="0"/>
  </r>
  <r>
    <s v="Materiais Básicos / Madeira e Papel / Papel e Celulose"/>
    <x v="387"/>
    <n v="4"/>
    <x v="0"/>
    <m/>
    <m/>
    <m/>
    <m/>
    <m/>
    <n v="0"/>
    <s v=""/>
    <s v=""/>
    <s v=""/>
    <s v=""/>
    <s v=""/>
    <s v=""/>
    <n v="3.61"/>
    <n v="0"/>
    <n v="0"/>
    <n v="0"/>
    <n v="0"/>
    <n v="3.61"/>
    <s v=""/>
    <s v=""/>
    <n v="0"/>
    <n v="0"/>
  </r>
  <r>
    <s v="Bens Industriais / Material de Transporte / Material Rodoviário"/>
    <x v="388"/>
    <n v="4"/>
    <x v="0"/>
    <m/>
    <m/>
    <m/>
    <m/>
    <m/>
    <n v="0"/>
    <s v=""/>
    <s v=""/>
    <s v=""/>
    <s v=""/>
    <s v=""/>
    <s v=""/>
    <n v="0"/>
    <n v="0"/>
    <n v="0"/>
    <n v="0"/>
    <n v="7.2"/>
    <n v="7.2"/>
    <s v=""/>
    <s v=""/>
    <n v="0"/>
    <n v="0"/>
  </r>
  <r>
    <s v="Bens Industriais / Material de Transporte / Material Rodoviário"/>
    <x v="389"/>
    <n v="4"/>
    <x v="0"/>
    <m/>
    <m/>
    <m/>
    <m/>
    <m/>
    <n v="0"/>
    <s v=""/>
    <s v=""/>
    <s v=""/>
    <s v=""/>
    <s v=""/>
    <s v=""/>
    <n v="0"/>
    <n v="0"/>
    <n v="0"/>
    <n v="0"/>
    <n v="8.07"/>
    <n v="8.07"/>
    <s v=""/>
    <s v=""/>
    <n v="0"/>
    <n v="0"/>
  </r>
  <r>
    <s v="Bens Industriais / Material de Transporte / Material Rodoviário"/>
    <x v="390"/>
    <n v="3"/>
    <x v="0"/>
    <m/>
    <m/>
    <m/>
    <m/>
    <m/>
    <n v="0"/>
    <s v=""/>
    <s v=""/>
    <s v=""/>
    <s v=""/>
    <s v=""/>
    <s v=""/>
    <n v="0"/>
    <n v="0"/>
    <n v="0"/>
    <n v="0"/>
    <n v="7.0000000000000007E-2"/>
    <n v="7.0000000000000007E-2"/>
    <s v=""/>
    <n v="0"/>
    <n v="0"/>
    <n v="0"/>
  </r>
  <r>
    <s v="Bens Industriais / Material de Transporte / Material Rodoviário"/>
    <x v="391"/>
    <n v="3"/>
    <x v="0"/>
    <m/>
    <m/>
    <m/>
    <m/>
    <m/>
    <n v="0"/>
    <s v=""/>
    <s v=""/>
    <s v=""/>
    <s v=""/>
    <s v=""/>
    <s v=""/>
    <n v="0"/>
    <n v="0"/>
    <n v="0"/>
    <n v="0"/>
    <n v="0.06"/>
    <n v="0.06"/>
    <s v=""/>
    <n v="0"/>
    <n v="0"/>
    <n v="0"/>
  </r>
  <r>
    <s v="Construção e Transporte / Construção e Engenharia / Construção Civil"/>
    <x v="392"/>
    <n v="3"/>
    <x v="0"/>
    <m/>
    <m/>
    <m/>
    <m/>
    <m/>
    <n v="0"/>
    <s v=""/>
    <s v=""/>
    <s v=""/>
    <s v=""/>
    <s v=""/>
    <s v=""/>
    <n v="0"/>
    <n v="0"/>
    <n v="0"/>
    <n v="9.9600000000000009"/>
    <n v="0"/>
    <n v="9.9600000000000009"/>
    <s v=""/>
    <n v="0"/>
    <n v="0"/>
    <n v="0"/>
  </r>
  <r>
    <s v="Utilidade Pública / Energia Elétrica / Energia Elétrica"/>
    <x v="393"/>
    <n v="3"/>
    <x v="0"/>
    <m/>
    <m/>
    <m/>
    <m/>
    <m/>
    <n v="0"/>
    <s v=""/>
    <s v=""/>
    <s v=""/>
    <s v=""/>
    <s v=""/>
    <s v=""/>
    <n v="5.13"/>
    <n v="0"/>
    <n v="0"/>
    <n v="0"/>
    <n v="0"/>
    <n v="5.13"/>
    <s v=""/>
    <n v="0"/>
    <n v="0"/>
    <n v="0"/>
  </r>
  <r>
    <s v="Utilidade Pública / Energia Elétrica / Energia Elétrica"/>
    <x v="394"/>
    <n v="3"/>
    <x v="0"/>
    <m/>
    <m/>
    <m/>
    <m/>
    <m/>
    <n v="0"/>
    <s v=""/>
    <s v=""/>
    <s v=""/>
    <s v=""/>
    <s v=""/>
    <s v=""/>
    <n v="0"/>
    <n v="0.8"/>
    <n v="0"/>
    <n v="0"/>
    <n v="0"/>
    <n v="0.8"/>
    <s v=""/>
    <n v="0"/>
    <n v="0"/>
    <n v="0"/>
  </r>
  <r>
    <s v="Utilidade Pública / Energia Elétrica / Energia Elétrica"/>
    <x v="395"/>
    <n v="3"/>
    <x v="0"/>
    <m/>
    <m/>
    <m/>
    <m/>
    <m/>
    <n v="0"/>
    <s v=""/>
    <s v=""/>
    <s v=""/>
    <s v=""/>
    <s v=""/>
    <s v=""/>
    <n v="0"/>
    <n v="0.81"/>
    <n v="0"/>
    <n v="0"/>
    <n v="0"/>
    <n v="0.81"/>
    <s v=""/>
    <n v="0"/>
    <n v="0"/>
    <n v="0"/>
  </r>
  <r>
    <s v="Consumo Cíclico / Diversos / Aluguel de carros"/>
    <x v="396"/>
    <n v="3"/>
    <x v="0"/>
    <m/>
    <m/>
    <m/>
    <m/>
    <m/>
    <n v="0"/>
    <s v=""/>
    <s v=""/>
    <s v=""/>
    <s v=""/>
    <s v=""/>
    <s v=""/>
    <n v="0"/>
    <n v="0"/>
    <n v="0"/>
    <n v="31.62"/>
    <n v="0"/>
    <n v="31.62"/>
    <s v=""/>
    <n v="0"/>
    <n v="0"/>
    <n v="0"/>
  </r>
  <r>
    <s v="Materiais Básicos / Químicos / Petroquímicos"/>
    <x v="397"/>
    <n v="3"/>
    <x v="0"/>
    <m/>
    <m/>
    <m/>
    <m/>
    <m/>
    <n v="0"/>
    <s v=""/>
    <s v=""/>
    <s v=""/>
    <s v=""/>
    <s v=""/>
    <s v=""/>
    <n v="0"/>
    <n v="0"/>
    <n v="0.08"/>
    <n v="0"/>
    <n v="0"/>
    <n v="0.08"/>
    <s v=""/>
    <n v="0"/>
    <n v="0"/>
    <n v="0"/>
  </r>
  <r>
    <s v="Consumo não Cíclico / Agropecuária / Agricultura"/>
    <x v="398"/>
    <n v="3"/>
    <x v="0"/>
    <m/>
    <m/>
    <m/>
    <m/>
    <m/>
    <n v="0"/>
    <s v=""/>
    <s v=""/>
    <s v=""/>
    <s v=""/>
    <s v=""/>
    <s v=""/>
    <n v="0"/>
    <n v="0"/>
    <n v="0"/>
    <n v="0.16"/>
    <n v="0"/>
    <n v="0.16"/>
    <s v=""/>
    <n v="0"/>
    <n v="0"/>
    <n v="0"/>
  </r>
  <r>
    <s v="Utilidade Pública / Energia Elétrica / Energia Elétrica"/>
    <x v="399"/>
    <n v="4"/>
    <x v="0"/>
    <m/>
    <m/>
    <m/>
    <m/>
    <m/>
    <n v="0"/>
    <s v=""/>
    <s v=""/>
    <s v=""/>
    <s v=""/>
    <s v=""/>
    <s v=""/>
    <n v="0"/>
    <n v="40.380000000000003"/>
    <n v="0"/>
    <n v="0"/>
    <n v="0"/>
    <n v="40.380000000000003"/>
    <s v=""/>
    <s v=""/>
    <n v="0"/>
    <n v="0"/>
  </r>
  <r>
    <s v="Utilidade Pública / Energia Elétrica / Energia Elétrica"/>
    <x v="400"/>
    <n v="4"/>
    <x v="0"/>
    <m/>
    <m/>
    <m/>
    <m/>
    <m/>
    <n v="0"/>
    <s v=""/>
    <s v=""/>
    <s v=""/>
    <s v=""/>
    <s v=""/>
    <s v=""/>
    <n v="0"/>
    <n v="202.04"/>
    <n v="0"/>
    <n v="0"/>
    <n v="0"/>
    <n v="202.04"/>
    <s v=""/>
    <s v=""/>
    <n v="0"/>
    <n v="0"/>
  </r>
  <r>
    <s v="Utilidade Pública / Energia Elétrica / Energia Elétrica"/>
    <x v="401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áquinas e Equipamentos / Máq. e Equip. Industriais"/>
    <x v="402"/>
    <n v="4"/>
    <x v="0"/>
    <m/>
    <m/>
    <m/>
    <m/>
    <m/>
    <n v="0"/>
    <s v=""/>
    <s v=""/>
    <s v=""/>
    <s v=""/>
    <s v=""/>
    <s v=""/>
    <n v="0"/>
    <n v="0"/>
    <n v="0"/>
    <n v="0"/>
    <n v="5.15"/>
    <n v="5.15"/>
    <s v=""/>
    <s v=""/>
    <n v="0"/>
    <n v="0"/>
  </r>
  <r>
    <s v="Financeiro e Outros / Intermediários Financeiros / Bancos"/>
    <x v="403"/>
    <n v="3"/>
    <x v="0"/>
    <m/>
    <m/>
    <m/>
    <m/>
    <m/>
    <n v="0"/>
    <s v=""/>
    <s v=""/>
    <s v=""/>
    <s v=""/>
    <s v=""/>
    <s v=""/>
    <n v="3.03"/>
    <n v="0"/>
    <n v="0"/>
    <n v="0"/>
    <n v="0"/>
    <n v="3.03"/>
    <s v=""/>
    <n v="0"/>
    <n v="0"/>
    <n v="0"/>
  </r>
  <r>
    <s v="Financeiro e Outros / Intermediários Financeiros / Bancos"/>
    <x v="404"/>
    <n v="3"/>
    <x v="0"/>
    <m/>
    <m/>
    <m/>
    <m/>
    <m/>
    <n v="0"/>
    <s v=""/>
    <s v=""/>
    <s v=""/>
    <s v=""/>
    <s v=""/>
    <s v=""/>
    <n v="5.25"/>
    <n v="0"/>
    <n v="0"/>
    <n v="0"/>
    <n v="0"/>
    <n v="5.25"/>
    <s v=""/>
    <n v="0"/>
    <n v="0"/>
    <n v="0"/>
  </r>
  <r>
    <s v="Financeiro e Outros / Intermediários Financeiros / Bancos"/>
    <x v="405"/>
    <n v="3"/>
    <x v="0"/>
    <m/>
    <m/>
    <m/>
    <m/>
    <m/>
    <n v="0"/>
    <s v=""/>
    <s v=""/>
    <s v=""/>
    <s v=""/>
    <s v=""/>
    <s v=""/>
    <n v="2.29"/>
    <n v="0"/>
    <n v="0"/>
    <n v="0"/>
    <n v="0"/>
    <n v="2.29"/>
    <s v=""/>
    <n v="0"/>
    <n v="0"/>
    <n v="0"/>
  </r>
  <r>
    <s v="Petróleo. Gás e Biocombustíveis / Petróleo. Gás e Biocombustíveis / Exploração e/ou Refino"/>
    <x v="406"/>
    <n v="2"/>
    <x v="0"/>
    <m/>
    <m/>
    <m/>
    <m/>
    <m/>
    <n v="0"/>
    <s v=""/>
    <s v=""/>
    <s v=""/>
    <s v=""/>
    <s v=""/>
    <s v=""/>
    <n v="0"/>
    <n v="0"/>
    <n v="0.27"/>
    <n v="0"/>
    <n v="0"/>
    <n v="0.27"/>
    <s v=""/>
    <n v="0"/>
    <n v="0"/>
    <n v="0"/>
  </r>
  <r>
    <s v="Petróleo. Gás e Biocombustíveis / Petróleo. Gás e Biocombustíveis / Exploração e/ou Refino"/>
    <x v="407"/>
    <n v="2"/>
    <x v="0"/>
    <m/>
    <m/>
    <m/>
    <m/>
    <m/>
    <n v="0"/>
    <s v=""/>
    <s v=""/>
    <s v=""/>
    <s v=""/>
    <s v=""/>
    <s v=""/>
    <n v="0"/>
    <n v="0"/>
    <n v="0.27"/>
    <n v="0"/>
    <n v="0"/>
    <n v="0.27"/>
    <s v=""/>
    <n v="0"/>
    <n v="0"/>
    <n v="0"/>
  </r>
  <r>
    <s v="Construção e Transporte / Construção e Engenharia / Construção Civil"/>
    <x v="408"/>
    <n v="3"/>
    <x v="0"/>
    <m/>
    <m/>
    <m/>
    <m/>
    <m/>
    <n v="0"/>
    <s v=""/>
    <s v=""/>
    <s v=""/>
    <s v=""/>
    <s v=""/>
    <s v=""/>
    <n v="0"/>
    <n v="0"/>
    <n v="0"/>
    <n v="1.49"/>
    <n v="0"/>
    <n v="1.49"/>
    <s v=""/>
    <n v="0"/>
    <n v="0"/>
    <n v="0"/>
  </r>
  <r>
    <s v="Bens Industriais / Material de Transporte / Material Rodoviário"/>
    <x v="409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Bens Industriais / Material de Transporte / Material Rodoviário"/>
    <x v="410"/>
    <n v="3"/>
    <x v="0"/>
    <m/>
    <m/>
    <m/>
    <m/>
    <m/>
    <n v="0"/>
    <s v=""/>
    <s v=""/>
    <s v=""/>
    <s v=""/>
    <s v=""/>
    <s v=""/>
    <n v="0"/>
    <n v="0"/>
    <n v="0"/>
    <n v="0"/>
    <n v="29.95"/>
    <n v="29.95"/>
    <s v=""/>
    <n v="0"/>
    <n v="0"/>
    <n v="0"/>
  </r>
  <r>
    <s v="Financeiro e Outros / Intermediários Financeiros / Bancos"/>
    <x v="411"/>
    <n v="4"/>
    <x v="0"/>
    <m/>
    <m/>
    <m/>
    <m/>
    <m/>
    <n v="0"/>
    <s v=""/>
    <s v=""/>
    <s v=""/>
    <s v=""/>
    <s v=""/>
    <s v=""/>
    <n v="0"/>
    <n v="0"/>
    <n v="11.76"/>
    <n v="0"/>
    <n v="0"/>
    <n v="11.76"/>
    <s v=""/>
    <s v=""/>
    <n v="0"/>
    <n v="0"/>
  </r>
  <r>
    <s v="Financeiro e Outros / Intermediários Financeiros / Bancos"/>
    <x v="412"/>
    <n v="4"/>
    <x v="0"/>
    <m/>
    <m/>
    <m/>
    <m/>
    <m/>
    <n v="0"/>
    <s v=""/>
    <s v=""/>
    <s v=""/>
    <s v=""/>
    <s v=""/>
    <s v=""/>
    <n v="0"/>
    <n v="0"/>
    <n v="0.11"/>
    <n v="0"/>
    <n v="0"/>
    <n v="0.11"/>
    <s v=""/>
    <s v=""/>
    <n v="0"/>
    <n v="0"/>
  </r>
  <r>
    <s v="Financeiro e Outros / Intermediários Financeiros / Bancos"/>
    <x v="413"/>
    <n v="4"/>
    <x v="0"/>
    <m/>
    <m/>
    <m/>
    <m/>
    <m/>
    <n v="0"/>
    <s v=""/>
    <s v=""/>
    <s v=""/>
    <s v=""/>
    <s v=""/>
    <s v=""/>
    <n v="0"/>
    <n v="0"/>
    <n v="0.12"/>
    <n v="0"/>
    <n v="0"/>
    <n v="0.12"/>
    <s v=""/>
    <s v=""/>
    <n v="0"/>
    <n v="0"/>
  </r>
  <r>
    <s v="Utilidade Pública / Água e Saneamento / Água e Saneamento"/>
    <x v="414"/>
    <n v="4"/>
    <x v="0"/>
    <m/>
    <m/>
    <m/>
    <m/>
    <m/>
    <n v="0"/>
    <s v=""/>
    <s v=""/>
    <s v=""/>
    <s v=""/>
    <s v=""/>
    <s v=""/>
    <n v="8.19"/>
    <n v="0"/>
    <n v="0"/>
    <n v="0"/>
    <n v="0"/>
    <n v="8.19"/>
    <s v=""/>
    <s v=""/>
    <n v="0"/>
    <n v="0"/>
  </r>
  <r>
    <s v="Utilidade Pública / Água e Saneamento / Água e Saneamento"/>
    <x v="415"/>
    <n v="4"/>
    <x v="0"/>
    <m/>
    <m/>
    <m/>
    <m/>
    <m/>
    <n v="0"/>
    <s v=""/>
    <s v=""/>
    <s v=""/>
    <s v=""/>
    <s v=""/>
    <s v=""/>
    <n v="5.39"/>
    <n v="0"/>
    <n v="0"/>
    <n v="0"/>
    <n v="0"/>
    <n v="5.39"/>
    <s v=""/>
    <s v=""/>
    <n v="0"/>
    <n v="0"/>
  </r>
  <r>
    <s v="Utilidade Pública / Água e Saneamento / Água e Saneamento"/>
    <x v="416"/>
    <n v="3"/>
    <x v="0"/>
    <m/>
    <m/>
    <m/>
    <m/>
    <m/>
    <n v="0"/>
    <s v=""/>
    <s v=""/>
    <s v=""/>
    <s v=""/>
    <s v=""/>
    <s v=""/>
    <n v="21.05"/>
    <n v="0"/>
    <n v="0"/>
    <n v="0"/>
    <n v="0"/>
    <n v="21.05"/>
    <s v=""/>
    <n v="0"/>
    <n v="0"/>
    <n v="0"/>
  </r>
  <r>
    <s v="Financeiro e Outros / Exploração de Imóveis / Exploração de Imóveis"/>
    <x v="417"/>
    <n v="4"/>
    <x v="0"/>
    <m/>
    <m/>
    <m/>
    <m/>
    <m/>
    <n v="0"/>
    <s v=""/>
    <s v=""/>
    <s v=""/>
    <s v=""/>
    <s v=""/>
    <s v=""/>
    <n v="0"/>
    <n v="35.81"/>
    <n v="0"/>
    <n v="0"/>
    <n v="0"/>
    <n v="35.81"/>
    <s v=""/>
    <s v=""/>
    <n v="0"/>
    <n v="0"/>
  </r>
  <r>
    <s v="Financeiro e Outros / Intermediários Financeiros / Bancos"/>
    <x v="418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Financeiro e Outros / Intermediários Financeiros / Bancos"/>
    <x v="419"/>
    <n v="3"/>
    <x v="0"/>
    <m/>
    <m/>
    <m/>
    <m/>
    <m/>
    <n v="0"/>
    <s v=""/>
    <s v=""/>
    <s v=""/>
    <s v=""/>
    <s v=""/>
    <s v=""/>
    <n v="2.95"/>
    <n v="0"/>
    <n v="0"/>
    <n v="0"/>
    <n v="0"/>
    <n v="2.95"/>
    <s v=""/>
    <n v="0"/>
    <n v="0"/>
    <n v="0"/>
  </r>
  <r>
    <s v="Bens Industriais / Comércio / Material de Transporte"/>
    <x v="420"/>
    <n v="3"/>
    <x v="0"/>
    <m/>
    <m/>
    <m/>
    <m/>
    <m/>
    <n v="0"/>
    <s v=""/>
    <s v=""/>
    <s v=""/>
    <s v=""/>
    <s v=""/>
    <s v=""/>
    <n v="0"/>
    <n v="0"/>
    <n v="0"/>
    <n v="0"/>
    <n v="74"/>
    <n v="74"/>
    <s v=""/>
    <n v="0"/>
    <n v="0"/>
    <n v="0"/>
  </r>
  <r>
    <s v="Bens Industriais / Comércio / Material de Transporte"/>
    <x v="421"/>
    <n v="3"/>
    <x v="0"/>
    <m/>
    <m/>
    <m/>
    <m/>
    <m/>
    <n v="0"/>
    <s v=""/>
    <s v=""/>
    <s v=""/>
    <s v=""/>
    <s v=""/>
    <s v=""/>
    <n v="0"/>
    <n v="0"/>
    <n v="0"/>
    <n v="0"/>
    <n v="83.97"/>
    <n v="83.97"/>
    <s v=""/>
    <n v="0"/>
    <n v="0"/>
    <n v="0"/>
  </r>
  <r>
    <s v="Construção e Transporte / Construção e Engenharia / Construção Civil"/>
    <x v="422"/>
    <n v="3"/>
    <x v="0"/>
    <m/>
    <m/>
    <m/>
    <m/>
    <m/>
    <n v="0"/>
    <s v=""/>
    <s v=""/>
    <s v=""/>
    <s v=""/>
    <s v=""/>
    <s v=""/>
    <n v="0"/>
    <n v="0"/>
    <n v="0"/>
    <n v="5"/>
    <n v="0"/>
    <n v="5"/>
    <s v=""/>
    <n v="0"/>
    <n v="0"/>
    <n v="0"/>
  </r>
  <r>
    <s v="Construção e Transporte / Construção e Engenharia / Construção Civil"/>
    <x v="423"/>
    <n v="3"/>
    <x v="0"/>
    <m/>
    <m/>
    <m/>
    <m/>
    <m/>
    <n v="0"/>
    <s v=""/>
    <s v=""/>
    <s v=""/>
    <s v=""/>
    <s v=""/>
    <s v=""/>
    <n v="0"/>
    <n v="0"/>
    <n v="0"/>
    <n v="0.6"/>
    <n v="0"/>
    <n v="0.6"/>
    <s v=""/>
    <n v="0"/>
    <n v="0"/>
    <n v="0"/>
  </r>
  <r>
    <s v="Consumo Cíclico / Tecidos. Vestuário e Calçados / Fios e Tecidos"/>
    <x v="424"/>
    <n v="3"/>
    <x v="0"/>
    <m/>
    <m/>
    <m/>
    <m/>
    <m/>
    <n v="0"/>
    <s v=""/>
    <s v=""/>
    <s v=""/>
    <s v=""/>
    <s v=""/>
    <s v=""/>
    <n v="0"/>
    <n v="0"/>
    <n v="0"/>
    <n v="1.4"/>
    <n v="0"/>
    <n v="1.4"/>
    <s v=""/>
    <n v="0"/>
    <n v="0"/>
    <n v="0"/>
  </r>
  <r>
    <s v="Consumo Cíclico / Viagens e Lazer / Produção de Eventos e Shows"/>
    <x v="425"/>
    <n v="4"/>
    <x v="0"/>
    <m/>
    <m/>
    <m/>
    <m/>
    <m/>
    <n v="0"/>
    <s v=""/>
    <s v=""/>
    <s v=""/>
    <s v=""/>
    <s v=""/>
    <s v=""/>
    <n v="0"/>
    <n v="0"/>
    <n v="0"/>
    <n v="4.4000000000000004"/>
    <n v="0"/>
    <n v="4.4000000000000004"/>
    <s v=""/>
    <s v=""/>
    <n v="0"/>
    <n v="0"/>
  </r>
  <r>
    <s v="Bens Industriais / Máquinas e Equipamentos / Motores . Compressores e Outros"/>
    <x v="426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áquinas e Equipamentos / Motores . Compressores e Outros"/>
    <x v="427"/>
    <n v="4"/>
    <x v="0"/>
    <m/>
    <m/>
    <m/>
    <m/>
    <m/>
    <n v="0"/>
    <s v=""/>
    <s v=""/>
    <s v=""/>
    <s v=""/>
    <s v=""/>
    <s v=""/>
    <n v="0"/>
    <n v="0"/>
    <n v="0"/>
    <n v="0"/>
    <n v="10.050000000000001"/>
    <n v="10.050000000000001"/>
    <s v=""/>
    <s v=""/>
    <n v="0"/>
    <n v="0"/>
  </r>
  <r>
    <s v="Consumo não Cíclico / Agropecuária / Agricultura"/>
    <x v="428"/>
    <n v="4"/>
    <x v="0"/>
    <m/>
    <m/>
    <m/>
    <m/>
    <m/>
    <n v="0"/>
    <s v=""/>
    <s v=""/>
    <s v=""/>
    <s v=""/>
    <s v=""/>
    <s v=""/>
    <n v="0"/>
    <n v="0"/>
    <n v="0"/>
    <n v="17.09"/>
    <n v="0"/>
    <n v="17.09"/>
    <s v=""/>
    <s v=""/>
    <n v="0"/>
    <n v="0"/>
  </r>
  <r>
    <s v="Consumo Cíclico / Mídia / Jornais. Livros e Revistas"/>
    <x v="429"/>
    <n v="3"/>
    <x v="0"/>
    <m/>
    <m/>
    <m/>
    <m/>
    <m/>
    <n v="0"/>
    <s v=""/>
    <s v=""/>
    <s v=""/>
    <s v=""/>
    <s v=""/>
    <s v=""/>
    <n v="0"/>
    <n v="0"/>
    <n v="0"/>
    <n v="24"/>
    <n v="0"/>
    <n v="24"/>
    <s v=""/>
    <n v="0"/>
    <n v="0"/>
    <n v="0"/>
  </r>
  <r>
    <s v="Consumo Cíclico / Mídia / Jornais. Livros e Revistas"/>
    <x v="430"/>
    <n v="3"/>
    <x v="0"/>
    <m/>
    <m/>
    <m/>
    <m/>
    <m/>
    <n v="0"/>
    <s v=""/>
    <s v=""/>
    <s v=""/>
    <s v=""/>
    <s v=""/>
    <s v=""/>
    <n v="0"/>
    <n v="0"/>
    <n v="0"/>
    <n v="19.5"/>
    <n v="0"/>
    <n v="19.5"/>
    <s v=""/>
    <n v="0"/>
    <n v="0"/>
    <n v="0"/>
  </r>
  <r>
    <s v="Consumo não Cíclico / Alimentos Processados / Açucar e Alcool"/>
    <x v="431"/>
    <n v="3"/>
    <x v="0"/>
    <m/>
    <m/>
    <m/>
    <m/>
    <m/>
    <n v="0"/>
    <s v=""/>
    <s v=""/>
    <s v=""/>
    <s v=""/>
    <s v=""/>
    <s v=""/>
    <n v="0"/>
    <n v="29.76"/>
    <n v="0"/>
    <n v="29.76"/>
    <n v="0"/>
    <n v="29.76"/>
    <s v=""/>
    <n v="0"/>
    <n v="0"/>
    <n v="0"/>
  </r>
  <r>
    <s v="Tecnologia da Informação / Programas e Serviços / Programas e Serviços"/>
    <x v="432"/>
    <n v="3"/>
    <x v="0"/>
    <m/>
    <m/>
    <m/>
    <m/>
    <m/>
    <n v="0"/>
    <s v=""/>
    <s v=""/>
    <s v=""/>
    <s v=""/>
    <s v=""/>
    <s v=""/>
    <n v="0"/>
    <n v="0"/>
    <n v="10.4"/>
    <n v="0"/>
    <n v="0"/>
    <n v="10.4"/>
    <s v=""/>
    <n v="0"/>
    <n v="0"/>
    <n v="0"/>
  </r>
  <r>
    <s v="Materiais Básicos / Materiais Diversos / Materiais Diversos"/>
    <x v="433"/>
    <n v="3"/>
    <x v="0"/>
    <m/>
    <m/>
    <m/>
    <m/>
    <m/>
    <n v="0"/>
    <s v=""/>
    <s v=""/>
    <s v=""/>
    <s v=""/>
    <s v=""/>
    <s v=""/>
    <n v="0"/>
    <n v="0"/>
    <n v="2"/>
    <n v="0"/>
    <n v="0"/>
    <n v="2"/>
    <s v=""/>
    <n v="0"/>
    <n v="0"/>
    <n v="0"/>
  </r>
  <r>
    <s v="Materiais Básicos / Materiais Diversos / Materiais Diversos"/>
    <x v="434"/>
    <n v="3"/>
    <x v="0"/>
    <m/>
    <m/>
    <m/>
    <m/>
    <m/>
    <n v="0"/>
    <s v=""/>
    <s v=""/>
    <s v=""/>
    <s v=""/>
    <s v=""/>
    <s v=""/>
    <n v="0"/>
    <n v="0"/>
    <n v="0.81"/>
    <n v="0"/>
    <n v="0"/>
    <n v="0.81"/>
    <s v=""/>
    <n v="0"/>
    <n v="0"/>
    <n v="0"/>
  </r>
  <r>
    <s v="Materiais Básicos / Materiais Diversos / Materiais Diversos"/>
    <x v="435"/>
    <n v="3"/>
    <x v="0"/>
    <m/>
    <m/>
    <m/>
    <m/>
    <m/>
    <n v="0"/>
    <s v=""/>
    <s v=""/>
    <s v=""/>
    <s v=""/>
    <s v=""/>
    <s v=""/>
    <n v="0"/>
    <n v="0"/>
    <n v="3"/>
    <n v="0"/>
    <n v="0"/>
    <n v="3"/>
    <s v=""/>
    <n v="0"/>
    <n v="0"/>
    <n v="0"/>
  </r>
  <r>
    <s v="Construção e Transporte / Construção e Engenharia / Engenharia Consultiva"/>
    <x v="436"/>
    <n v="3"/>
    <x v="0"/>
    <m/>
    <m/>
    <m/>
    <m/>
    <m/>
    <n v="0"/>
    <s v=""/>
    <s v=""/>
    <s v=""/>
    <s v=""/>
    <s v=""/>
    <s v=""/>
    <n v="0"/>
    <n v="0"/>
    <n v="0"/>
    <n v="0"/>
    <n v="42"/>
    <n v="42"/>
    <s v=""/>
    <n v="0"/>
    <n v="0"/>
    <n v="0"/>
  </r>
  <r>
    <s v="Construção e Transporte / Construção e Engenharia / Engenharia Consultiva"/>
    <x v="437"/>
    <n v="3"/>
    <x v="0"/>
    <m/>
    <m/>
    <m/>
    <m/>
    <m/>
    <n v="0"/>
    <s v=""/>
    <s v=""/>
    <s v=""/>
    <s v=""/>
    <s v=""/>
    <s v=""/>
    <n v="0"/>
    <n v="0"/>
    <n v="0"/>
    <n v="0"/>
    <n v="41"/>
    <n v="41"/>
    <s v=""/>
    <n v="0"/>
    <n v="0"/>
    <n v="0"/>
  </r>
  <r>
    <s v="Construção e Transporte / Construção e Engenharia / Engenharia Consultiva"/>
    <x v="438"/>
    <n v="3"/>
    <x v="0"/>
    <m/>
    <m/>
    <m/>
    <m/>
    <m/>
    <n v="0"/>
    <s v=""/>
    <s v=""/>
    <s v=""/>
    <s v=""/>
    <s v=""/>
    <s v=""/>
    <n v="0"/>
    <n v="0"/>
    <n v="0"/>
    <n v="0"/>
    <n v="44"/>
    <n v="44"/>
    <s v=""/>
    <n v="0"/>
    <n v="0"/>
    <n v="0"/>
  </r>
  <r>
    <s v="Consumo Cíclico / Utilidades Domésticas / Eletrodomésticos"/>
    <x v="439"/>
    <n v="3"/>
    <x v="0"/>
    <m/>
    <m/>
    <m/>
    <m/>
    <m/>
    <n v="0"/>
    <s v=""/>
    <s v=""/>
    <s v=""/>
    <s v=""/>
    <s v=""/>
    <s v=""/>
    <n v="0"/>
    <n v="0"/>
    <n v="0"/>
    <n v="0.36"/>
    <n v="0"/>
    <n v="0.36"/>
    <s v=""/>
    <n v="0"/>
    <n v="0"/>
    <n v="0"/>
  </r>
  <r>
    <s v="Consumo Cíclico / Utilidades Domésticas / Eletrodomésticos"/>
    <x v="440"/>
    <n v="3"/>
    <x v="0"/>
    <m/>
    <m/>
    <m/>
    <m/>
    <m/>
    <n v="0"/>
    <s v=""/>
    <s v=""/>
    <s v=""/>
    <s v=""/>
    <s v=""/>
    <s v=""/>
    <n v="0"/>
    <n v="0"/>
    <n v="0"/>
    <n v="0.42"/>
    <n v="0"/>
    <n v="0.42"/>
    <s v=""/>
    <n v="0"/>
    <n v="0"/>
    <n v="0"/>
  </r>
  <r>
    <s v="Consumo Cíclico / Utilidades Domésticas / Eletrodomésticos"/>
    <x v="441"/>
    <n v="3"/>
    <x v="0"/>
    <m/>
    <m/>
    <m/>
    <m/>
    <m/>
    <n v="0"/>
    <s v=""/>
    <s v=""/>
    <s v=""/>
    <s v=""/>
    <s v=""/>
    <s v=""/>
    <n v="0"/>
    <n v="0"/>
    <n v="0"/>
    <n v="0.34"/>
    <n v="0"/>
    <n v="0.34"/>
    <s v=""/>
    <n v="0"/>
    <n v="0"/>
    <n v="0"/>
  </r>
  <r>
    <s v="Financeiro e Outros / Exploração de Imóveis / Exploração de Imóveis"/>
    <x v="442"/>
    <n v="4"/>
    <x v="0"/>
    <m/>
    <m/>
    <m/>
    <m/>
    <m/>
    <n v="0"/>
    <s v=""/>
    <s v=""/>
    <s v=""/>
    <s v=""/>
    <s v=""/>
    <s v=""/>
    <n v="0"/>
    <n v="17.93"/>
    <n v="0"/>
    <n v="0"/>
    <n v="0"/>
    <n v="17.93"/>
    <s v=""/>
    <s v=""/>
    <n v="0"/>
    <n v="0"/>
  </r>
  <r>
    <s v="Construção e Transporte / Transporte / Serviços de Apoio e Armazenagem"/>
    <x v="443"/>
    <n v="4"/>
    <x v="0"/>
    <m/>
    <m/>
    <m/>
    <m/>
    <m/>
    <n v="0"/>
    <s v=""/>
    <s v=""/>
    <s v=""/>
    <s v=""/>
    <s v=""/>
    <s v=""/>
    <n v="0"/>
    <n v="0"/>
    <n v="0"/>
    <n v="0"/>
    <n v="16.54"/>
    <n v="16.54"/>
    <s v=""/>
    <s v=""/>
    <n v="0"/>
    <n v="0"/>
  </r>
  <r>
    <s v="Construção e Transporte / Transporte / Serviços de Apoio e Armazenagem"/>
    <x v="44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trução e Transporte / Transporte / Serviços de Apoio e Armazenagem"/>
    <x v="445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Previdência e Seguros / Seguradoras"/>
    <x v="446"/>
    <n v="4"/>
    <x v="0"/>
    <m/>
    <m/>
    <m/>
    <m/>
    <m/>
    <n v="0"/>
    <s v=""/>
    <s v=""/>
    <s v=""/>
    <s v=""/>
    <s v=""/>
    <s v=""/>
    <n v="0"/>
    <n v="14.69"/>
    <n v="0"/>
    <n v="0"/>
    <n v="0"/>
    <n v="14.69"/>
    <s v=""/>
    <s v=""/>
    <n v="0"/>
    <n v="0"/>
  </r>
  <r>
    <s v="Financeiro e Outros / Previdência e Seguros / Seguradoras"/>
    <x v="447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Financeiro e Outros / Previdência e Seguros / Seguradoras"/>
    <x v="448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Construção e Transporte / Construção e Engenharia / Construção Pesada"/>
    <x v="449"/>
    <n v="3"/>
    <x v="0"/>
    <m/>
    <m/>
    <m/>
    <m/>
    <m/>
    <n v="0"/>
    <s v=""/>
    <s v=""/>
    <s v=""/>
    <s v=""/>
    <s v=""/>
    <s v=""/>
    <n v="0"/>
    <n v="0"/>
    <n v="0"/>
    <n v="0"/>
    <n v="1.1499999999999999"/>
    <n v="1.1499999999999999"/>
    <s v=""/>
    <n v="0"/>
    <n v="0"/>
    <n v="0"/>
  </r>
  <r>
    <s v="Construção e Transporte / Construção e Engenharia / Construção Pesada"/>
    <x v="450"/>
    <n v="3"/>
    <x v="0"/>
    <m/>
    <m/>
    <m/>
    <m/>
    <m/>
    <n v="0"/>
    <s v=""/>
    <s v=""/>
    <s v=""/>
    <s v=""/>
    <s v=""/>
    <s v=""/>
    <n v="0"/>
    <n v="0"/>
    <n v="0"/>
    <n v="0"/>
    <n v="1"/>
    <n v="1"/>
    <s v=""/>
    <n v="0"/>
    <n v="0"/>
    <n v="0"/>
  </r>
  <r>
    <s v="Materiais Básicos / Madeira e Papel / Papel e Celulose"/>
    <x v="451"/>
    <n v="4"/>
    <x v="0"/>
    <m/>
    <m/>
    <m/>
    <m/>
    <m/>
    <n v="0"/>
    <s v=""/>
    <s v=""/>
    <s v=""/>
    <s v=""/>
    <s v=""/>
    <s v=""/>
    <n v="0"/>
    <n v="0"/>
    <n v="4"/>
    <n v="0"/>
    <n v="0"/>
    <n v="4"/>
    <s v=""/>
    <s v=""/>
    <n v="0"/>
    <n v="0"/>
  </r>
  <r>
    <s v="Materiais Básicos / Madeira e Papel / Papel e Celulose"/>
    <x v="452"/>
    <n v="3"/>
    <x v="0"/>
    <m/>
    <m/>
    <m/>
    <m/>
    <m/>
    <n v="0"/>
    <s v=""/>
    <s v=""/>
    <s v=""/>
    <s v=""/>
    <s v=""/>
    <s v=""/>
    <n v="8.92"/>
    <n v="0"/>
    <n v="0"/>
    <n v="0"/>
    <n v="0"/>
    <n v="8.92"/>
    <s v=""/>
    <n v="0"/>
    <n v="0"/>
    <n v="0"/>
  </r>
  <r>
    <s v="Materiais Básicos / Madeira e Papel / Papel e Celulose"/>
    <x v="453"/>
    <n v="3"/>
    <x v="0"/>
    <m/>
    <m/>
    <m/>
    <m/>
    <m/>
    <n v="0"/>
    <s v=""/>
    <s v=""/>
    <s v=""/>
    <s v=""/>
    <s v=""/>
    <s v=""/>
    <n v="7.8"/>
    <n v="0"/>
    <n v="0"/>
    <n v="0"/>
    <n v="0"/>
    <n v="7.8"/>
    <s v=""/>
    <n v="0"/>
    <n v="0"/>
    <n v="0"/>
  </r>
  <r>
    <s v="Utilidade Pública / Energia Elétrica / Energia Elétrica"/>
    <x v="7"/>
    <n v="4"/>
    <x v="3"/>
    <s v="div"/>
    <m/>
    <d v="2011-04-29T00:00:00"/>
    <d v="2011-05-18T00:00:00"/>
    <n v="2.4469400000000001"/>
    <n v="2.4469400000000001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4"/>
    <x v="3"/>
    <s v="div"/>
    <m/>
    <d v="2011-08-10T00:00:00"/>
    <d v="2011-09-23T00:00:00"/>
    <n v="1.3465"/>
    <n v="1.3465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5"/>
    <x v="3"/>
    <s v="jcp"/>
    <n v="4.5958399999999999"/>
    <d v="2011-12-06T00:00:00"/>
    <d v="2012-05-16T00:00:00"/>
    <n v="0.22078"/>
    <n v="0.187663"/>
    <n v="5.6366630000000004"/>
    <n v="1.2264706778303858"/>
    <n v="-0.30466150340599873"/>
    <n v="1.3273988636363638"/>
    <n v="-4.3569628876525384"/>
    <s v=""/>
    <n v="7.13"/>
    <n v="0"/>
    <n v="0"/>
    <n v="0"/>
    <n v="0"/>
    <n v="7.13"/>
    <s v=""/>
    <n v="0.79055582047685846"/>
    <n v="0"/>
    <n v="1"/>
  </r>
  <r>
    <s v="Utilidade Pública / Energia Elétrica / Energia Elétrica"/>
    <x v="454"/>
    <n v="4"/>
    <x v="1"/>
    <s v="div"/>
    <m/>
    <d v="2010-08-12T00:00:00"/>
    <d v="2010-10-15T00:00:00"/>
    <n v="0.43830000000000002"/>
    <n v="0.43830000000000002"/>
    <s v=""/>
    <s v=""/>
    <s v=""/>
    <s v=""/>
    <s v=""/>
    <s v=""/>
    <n v="32.65"/>
    <n v="0"/>
    <n v="0"/>
    <n v="0"/>
    <n v="0"/>
    <n v="32.65"/>
    <s v=""/>
    <s v=""/>
    <n v="1"/>
    <n v="0"/>
  </r>
  <r>
    <s v="Construção e Transporte / Construção e Engenharia / Engenharia Consultiva"/>
    <x v="455"/>
    <n v="3"/>
    <x v="0"/>
    <m/>
    <m/>
    <m/>
    <m/>
    <m/>
    <n v="0"/>
    <s v=""/>
    <s v=""/>
    <s v=""/>
    <s v=""/>
    <s v=""/>
    <s v=""/>
    <n v="0"/>
    <n v="0"/>
    <n v="0"/>
    <n v="0"/>
    <n v="0.08"/>
    <n v="0.08"/>
    <s v=""/>
    <n v="0"/>
    <n v="0"/>
    <n v="0"/>
  </r>
  <r>
    <s v="Construção e Transporte / Construção e Engenharia / Engenharia Consultiva"/>
    <x v="456"/>
    <n v="3"/>
    <x v="0"/>
    <m/>
    <m/>
    <m/>
    <m/>
    <m/>
    <n v="0"/>
    <s v=""/>
    <s v=""/>
    <s v=""/>
    <s v=""/>
    <s v=""/>
    <s v=""/>
    <n v="0"/>
    <n v="0"/>
    <n v="0"/>
    <n v="0"/>
    <n v="0.06"/>
    <n v="0.06"/>
    <s v=""/>
    <n v="0"/>
    <n v="0"/>
    <n v="0"/>
  </r>
  <r>
    <s v="Construção e Transporte / Construção e Engenharia / Construção Civil"/>
    <x v="457"/>
    <n v="4"/>
    <x v="0"/>
    <m/>
    <m/>
    <m/>
    <m/>
    <m/>
    <n v="0"/>
    <s v=""/>
    <s v=""/>
    <s v=""/>
    <s v=""/>
    <s v=""/>
    <s v=""/>
    <n v="0"/>
    <n v="0"/>
    <n v="0"/>
    <n v="7.15"/>
    <n v="0"/>
    <n v="7.15"/>
    <s v=""/>
    <s v=""/>
    <n v="0"/>
    <n v="0"/>
  </r>
  <r>
    <s v="Consumo Cíclico / Tecidos. Vestuário e Calçados / Acessórios"/>
    <x v="458"/>
    <n v="3"/>
    <x v="0"/>
    <m/>
    <m/>
    <m/>
    <m/>
    <m/>
    <n v="0"/>
    <s v=""/>
    <s v=""/>
    <s v=""/>
    <s v=""/>
    <s v=""/>
    <s v=""/>
    <n v="0"/>
    <n v="0"/>
    <n v="0"/>
    <n v="14.98"/>
    <n v="0"/>
    <n v="14.98"/>
    <s v=""/>
    <n v="0"/>
    <n v="0"/>
    <n v="0"/>
  </r>
  <r>
    <s v="Tecnologia da Informação / Programas e Serviços / Programas e Serviços"/>
    <x v="459"/>
    <n v="3"/>
    <x v="0"/>
    <m/>
    <m/>
    <m/>
    <m/>
    <m/>
    <n v="0"/>
    <s v=""/>
    <s v=""/>
    <s v=""/>
    <s v=""/>
    <s v=""/>
    <s v=""/>
    <n v="0"/>
    <n v="0"/>
    <n v="4.4000000000000004"/>
    <n v="0"/>
    <n v="0"/>
    <n v="4.4000000000000004"/>
    <s v=""/>
    <n v="0"/>
    <n v="0"/>
    <n v="0"/>
  </r>
  <r>
    <s v="Tecnologia da Informação / Programas e Serviços / Programas e Serviços"/>
    <x v="460"/>
    <n v="3"/>
    <x v="0"/>
    <m/>
    <m/>
    <m/>
    <m/>
    <m/>
    <n v="0"/>
    <s v=""/>
    <s v=""/>
    <s v=""/>
    <s v=""/>
    <s v=""/>
    <s v=""/>
    <n v="0"/>
    <n v="0"/>
    <n v="2.3199999999999998"/>
    <n v="0"/>
    <n v="0"/>
    <n v="2.3199999999999998"/>
    <s v=""/>
    <n v="0"/>
    <n v="0"/>
    <n v="0"/>
  </r>
  <r>
    <s v="Consumo não Cíclico / Saúde / Serv.Méd.Hospit..Análises e Diagnósticos"/>
    <x v="461"/>
    <n v="3"/>
    <x v="0"/>
    <m/>
    <m/>
    <m/>
    <m/>
    <m/>
    <n v="0"/>
    <s v=""/>
    <s v=""/>
    <s v=""/>
    <s v=""/>
    <s v=""/>
    <s v=""/>
    <n v="0"/>
    <n v="0"/>
    <n v="3.7"/>
    <n v="0"/>
    <n v="0"/>
    <n v="3.7"/>
    <s v=""/>
    <n v="0"/>
    <n v="0"/>
    <n v="0"/>
  </r>
  <r>
    <s v="Consumo Cíclico / Tecidos. Vestuário e Calçados / Fios e Tecidos"/>
    <x v="46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Fios e Tecidos"/>
    <x v="463"/>
    <n v="3"/>
    <x v="0"/>
    <m/>
    <m/>
    <m/>
    <m/>
    <m/>
    <n v="0"/>
    <s v=""/>
    <s v=""/>
    <s v=""/>
    <s v=""/>
    <s v=""/>
    <s v=""/>
    <n v="0"/>
    <n v="0"/>
    <n v="0"/>
    <n v="0.54"/>
    <n v="0"/>
    <n v="0.54"/>
    <s v=""/>
    <n v="0"/>
    <n v="0"/>
    <n v="0"/>
  </r>
  <r>
    <s v="Consumo Cíclico / Tecidos. Vestuário e Calçados / Fios e Tecidos"/>
    <x v="464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Fios e Tecidos"/>
    <x v="465"/>
    <n v="3"/>
    <x v="0"/>
    <m/>
    <m/>
    <m/>
    <m/>
    <m/>
    <n v="0"/>
    <s v=""/>
    <s v=""/>
    <s v=""/>
    <s v=""/>
    <s v=""/>
    <s v=""/>
    <n v="0"/>
    <n v="0"/>
    <n v="0"/>
    <n v="0.78"/>
    <n v="0"/>
    <n v="0.78"/>
    <s v=""/>
    <n v="0"/>
    <n v="0"/>
    <n v="0"/>
  </r>
  <r>
    <s v="Consumo não Cíclico / Alimentos Processados / Alimentos Diversos"/>
    <x v="466"/>
    <n v="4"/>
    <x v="0"/>
    <m/>
    <m/>
    <m/>
    <m/>
    <m/>
    <n v="0"/>
    <s v=""/>
    <s v=""/>
    <s v=""/>
    <s v=""/>
    <s v=""/>
    <s v=""/>
    <n v="0"/>
    <n v="1.76"/>
    <n v="0"/>
    <n v="0"/>
    <n v="0"/>
    <n v="1.76"/>
    <s v=""/>
    <s v=""/>
    <n v="0"/>
    <n v="0"/>
  </r>
  <r>
    <s v="Construção e Transporte / Transporte / Transporte Rodoviário"/>
    <x v="467"/>
    <n v="3"/>
    <x v="0"/>
    <m/>
    <m/>
    <m/>
    <m/>
    <m/>
    <n v="0"/>
    <s v=""/>
    <s v=""/>
    <s v=""/>
    <s v=""/>
    <s v=""/>
    <s v=""/>
    <n v="0"/>
    <n v="0"/>
    <n v="0"/>
    <n v="0"/>
    <n v="17.66"/>
    <n v="17.66"/>
    <s v=""/>
    <n v="0"/>
    <n v="0"/>
    <n v="0"/>
  </r>
  <r>
    <s v="Materiais Básicos / Químicos / Químicos Diversos"/>
    <x v="468"/>
    <n v="3"/>
    <x v="0"/>
    <m/>
    <m/>
    <m/>
    <m/>
    <m/>
    <n v="0"/>
    <s v=""/>
    <s v=""/>
    <s v=""/>
    <s v=""/>
    <s v=""/>
    <s v=""/>
    <n v="0"/>
    <n v="0"/>
    <n v="0.18"/>
    <n v="0"/>
    <n v="0"/>
    <n v="0.18"/>
    <s v=""/>
    <n v="0"/>
    <n v="0"/>
    <n v="0"/>
  </r>
  <r>
    <s v="Materiais Básicos / Químicos / Químicos Diversos"/>
    <x v="469"/>
    <n v="3"/>
    <x v="0"/>
    <m/>
    <m/>
    <m/>
    <m/>
    <m/>
    <n v="0"/>
    <s v=""/>
    <s v=""/>
    <s v=""/>
    <s v=""/>
    <s v=""/>
    <s v=""/>
    <n v="0"/>
    <n v="0"/>
    <n v="0.24"/>
    <n v="0"/>
    <n v="0"/>
    <n v="0.24"/>
    <s v=""/>
    <n v="0"/>
    <n v="0"/>
    <n v="0"/>
  </r>
  <r>
    <s v="Materiais Básicos / Químicos / Químicos Diversos"/>
    <x v="470"/>
    <n v="3"/>
    <x v="0"/>
    <m/>
    <m/>
    <m/>
    <m/>
    <m/>
    <n v="0"/>
    <s v=""/>
    <s v=""/>
    <s v=""/>
    <s v=""/>
    <s v=""/>
    <s v=""/>
    <n v="0"/>
    <n v="0"/>
    <n v="0.24"/>
    <n v="0"/>
    <n v="0"/>
    <n v="0.24"/>
    <s v=""/>
    <n v="0"/>
    <n v="0"/>
    <n v="0"/>
  </r>
  <r>
    <s v="Telecomunicações / Telefonia Móvel / Telefonia móvel"/>
    <x v="471"/>
    <n v="4"/>
    <x v="0"/>
    <m/>
    <m/>
    <m/>
    <m/>
    <m/>
    <n v="0"/>
    <s v=""/>
    <s v=""/>
    <s v=""/>
    <s v=""/>
    <s v=""/>
    <s v=""/>
    <n v="0"/>
    <n v="11.4"/>
    <n v="0"/>
    <n v="0"/>
    <n v="0"/>
    <n v="11.4"/>
    <s v=""/>
    <s v=""/>
    <n v="0"/>
    <n v="0"/>
  </r>
  <r>
    <s v="Materiais Básicos / Siderurgia e Metalurgia / Artefatos de Ferro e Aço"/>
    <x v="472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Materiais Básicos / Siderurgia e Metalurgia / Artefatos de Ferro e Aço"/>
    <x v="473"/>
    <n v="3"/>
    <x v="0"/>
    <m/>
    <m/>
    <m/>
    <m/>
    <m/>
    <n v="0"/>
    <s v=""/>
    <s v=""/>
    <s v=""/>
    <s v=""/>
    <s v=""/>
    <s v=""/>
    <n v="0"/>
    <n v="92"/>
    <n v="0"/>
    <n v="0"/>
    <n v="0"/>
    <n v="92"/>
    <s v=""/>
    <n v="0"/>
    <n v="0"/>
    <n v="0"/>
  </r>
  <r>
    <s v="Tecnologia da Informação / Programas e Serviços / Programas e Serviços"/>
    <x v="474"/>
    <n v="4"/>
    <x v="0"/>
    <m/>
    <m/>
    <m/>
    <m/>
    <m/>
    <n v="0"/>
    <s v=""/>
    <s v=""/>
    <s v=""/>
    <s v=""/>
    <s v=""/>
    <s v=""/>
    <n v="0"/>
    <n v="0"/>
    <n v="34.04"/>
    <n v="0"/>
    <n v="0"/>
    <n v="34.04"/>
    <s v=""/>
    <s v=""/>
    <n v="0"/>
    <n v="0"/>
  </r>
  <r>
    <s v="Consumo Cíclico / Viagens e Lazer / Brinquedos e Jogos"/>
    <x v="475"/>
    <n v="3"/>
    <x v="0"/>
    <m/>
    <m/>
    <m/>
    <m/>
    <m/>
    <n v="0"/>
    <s v=""/>
    <s v=""/>
    <s v=""/>
    <s v=""/>
    <s v=""/>
    <s v=""/>
    <n v="0"/>
    <n v="0"/>
    <n v="0"/>
    <n v="0.01"/>
    <n v="0"/>
    <n v="0.01"/>
    <s v=""/>
    <n v="0"/>
    <n v="0"/>
    <n v="0"/>
  </r>
  <r>
    <s v="Consumo Cíclico / Viagens e Lazer / Brinquedos e Jogos"/>
    <x v="476"/>
    <n v="3"/>
    <x v="0"/>
    <m/>
    <m/>
    <m/>
    <m/>
    <m/>
    <n v="0"/>
    <s v=""/>
    <s v=""/>
    <s v=""/>
    <s v=""/>
    <s v=""/>
    <s v=""/>
    <n v="0"/>
    <n v="0"/>
    <n v="0"/>
    <n v="0.02"/>
    <n v="0"/>
    <n v="0.02"/>
    <s v=""/>
    <n v="0"/>
    <n v="0"/>
    <n v="0"/>
  </r>
  <r>
    <s v="Construção e Transporte / Transporte / Exploração de Rodovias"/>
    <x v="477"/>
    <n v="3"/>
    <x v="0"/>
    <m/>
    <m/>
    <m/>
    <m/>
    <m/>
    <n v="0"/>
    <s v=""/>
    <s v=""/>
    <s v=""/>
    <s v=""/>
    <s v=""/>
    <s v=""/>
    <n v="0"/>
    <n v="0"/>
    <n v="0"/>
    <n v="0"/>
    <n v="8.16"/>
    <n v="8.16"/>
    <s v=""/>
    <n v="0"/>
    <n v="0"/>
    <n v="0"/>
  </r>
  <r>
    <s v="Construção e Transporte / Construção e Engenharia / Construção Civil"/>
    <x v="478"/>
    <n v="4"/>
    <x v="0"/>
    <m/>
    <m/>
    <m/>
    <m/>
    <m/>
    <n v="0"/>
    <s v=""/>
    <s v=""/>
    <s v=""/>
    <s v=""/>
    <s v=""/>
    <s v=""/>
    <n v="0"/>
    <n v="0"/>
    <n v="0"/>
    <n v="3.81"/>
    <n v="0"/>
    <n v="3.81"/>
    <s v=""/>
    <s v=""/>
    <n v="0"/>
    <n v="0"/>
  </r>
  <r>
    <s v="Utilidade Pública / Energia Elétrica / Energia Elétrica"/>
    <x v="479"/>
    <n v="4"/>
    <x v="1"/>
    <s v="div"/>
    <m/>
    <d v="2010-03-30T00:00:00"/>
    <d v="2010-04-20T00:00:00"/>
    <n v="0.86275000000000002"/>
    <n v="0.86275000000000002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03-30T00:00:00"/>
    <d v="2010-04-20T00:00:00"/>
    <n v="0.86275000000000002"/>
    <n v="0.86275000000000002"/>
    <s v=""/>
    <s v=""/>
    <s v=""/>
    <s v=""/>
    <s v=""/>
    <s v=""/>
    <n v="23.59"/>
    <n v="0"/>
    <n v="0"/>
    <n v="0"/>
    <n v="0"/>
    <n v="23.59"/>
    <s v=""/>
    <s v=""/>
    <n v="1"/>
    <n v="0"/>
  </r>
  <r>
    <s v="Financeiro e Outros / Serviços Financeiros Diversos / Gestão de Recursos e Investimentos"/>
    <x v="481"/>
    <n v="4"/>
    <x v="0"/>
    <m/>
    <m/>
    <m/>
    <m/>
    <m/>
    <n v="0"/>
    <s v=""/>
    <s v=""/>
    <s v=""/>
    <s v=""/>
    <s v=""/>
    <s v=""/>
    <n v="0"/>
    <n v="12.69"/>
    <n v="0"/>
    <n v="0"/>
    <n v="0"/>
    <n v="12.69"/>
    <s v=""/>
    <s v=""/>
    <n v="0"/>
    <n v="0"/>
  </r>
  <r>
    <s v="Bens Industriais / Material de Transporte / Material Rodoviário"/>
    <x v="482"/>
    <n v="4"/>
    <x v="0"/>
    <m/>
    <m/>
    <m/>
    <m/>
    <m/>
    <n v="0"/>
    <s v=""/>
    <s v=""/>
    <s v=""/>
    <s v=""/>
    <s v=""/>
    <s v=""/>
    <n v="0"/>
    <n v="0"/>
    <n v="0"/>
    <n v="0"/>
    <n v="16.760000000000002"/>
    <n v="16.760000000000002"/>
    <s v=""/>
    <s v=""/>
    <n v="0"/>
    <n v="0"/>
  </r>
  <r>
    <s v="Consumo Cíclico / Utilidades Domésticas / Móveis"/>
    <x v="483"/>
    <n v="3"/>
    <x v="0"/>
    <m/>
    <m/>
    <m/>
    <m/>
    <m/>
    <n v="0"/>
    <s v=""/>
    <s v=""/>
    <s v=""/>
    <s v=""/>
    <s v=""/>
    <s v=""/>
    <n v="0"/>
    <n v="0"/>
    <n v="0"/>
    <n v="4"/>
    <n v="0"/>
    <n v="4"/>
    <s v=""/>
    <n v="0"/>
    <n v="0"/>
    <n v="0"/>
  </r>
  <r>
    <s v="Financeiro e Outros / Holdings Diversificadas / Holdings Diversificadas"/>
    <x v="484"/>
    <n v="4"/>
    <x v="0"/>
    <m/>
    <m/>
    <m/>
    <m/>
    <m/>
    <n v="0"/>
    <s v=""/>
    <s v=""/>
    <s v=""/>
    <s v=""/>
    <s v=""/>
    <s v=""/>
    <n v="0"/>
    <n v="52.57"/>
    <n v="0"/>
    <n v="0"/>
    <n v="0"/>
    <n v="52.57"/>
    <s v=""/>
    <s v=""/>
    <n v="0"/>
    <n v="0"/>
  </r>
  <r>
    <s v="Materiais Básicos / Químicos / Petroquímicos"/>
    <x v="485"/>
    <n v="5"/>
    <x v="1"/>
    <m/>
    <n v="3.6260000000000001E-2"/>
    <m/>
    <m/>
    <m/>
    <n v="0"/>
    <n v="0"/>
    <n v="0"/>
    <n v="0.12147818181818183"/>
    <n v="7.2178181818181822E-2"/>
    <n v="0.59416580605570768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1"/>
    <m/>
    <n v="3.6260000000000001E-2"/>
    <m/>
    <m/>
    <m/>
    <n v="0"/>
    <n v="0"/>
    <n v="0"/>
    <n v="0.12147818181818183"/>
    <n v="9.5034545454545455E-2"/>
    <n v="0.782317812401778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1"/>
    <m/>
    <n v="3.6260000000000001E-2"/>
    <m/>
    <m/>
    <m/>
    <n v="0"/>
    <n v="0"/>
    <n v="0"/>
    <n v="0.12147818181818183"/>
    <n v="6.6949636363636364E-2"/>
    <n v="0.55112478110547347"/>
    <s v=""/>
    <n v="0.41"/>
    <n v="0"/>
    <n v="0"/>
    <n v="0"/>
    <n v="0"/>
    <n v="0.41"/>
    <s v=""/>
    <n v="0"/>
    <n v="0"/>
    <n v="0"/>
  </r>
  <r>
    <s v="Materiais Básicos / Siderurgia e Metalurgia / Siderurgia"/>
    <x v="488"/>
    <n v="4"/>
    <x v="0"/>
    <m/>
    <m/>
    <m/>
    <m/>
    <m/>
    <n v="0"/>
    <s v=""/>
    <s v=""/>
    <s v=""/>
    <s v=""/>
    <s v=""/>
    <s v=""/>
    <n v="0"/>
    <n v="0"/>
    <n v="8.51"/>
    <n v="0"/>
    <n v="0"/>
    <n v="8.51"/>
    <s v=""/>
    <s v=""/>
    <n v="0"/>
    <n v="0"/>
  </r>
  <r>
    <s v="Materiais Básicos / Siderurgia e Metalurgia / Siderurgia"/>
    <x v="489"/>
    <n v="4"/>
    <x v="0"/>
    <m/>
    <m/>
    <m/>
    <m/>
    <m/>
    <n v="0"/>
    <s v=""/>
    <s v=""/>
    <s v=""/>
    <s v=""/>
    <s v=""/>
    <s v=""/>
    <n v="0"/>
    <n v="0"/>
    <n v="9.52"/>
    <n v="0"/>
    <n v="0"/>
    <n v="9.52"/>
    <s v=""/>
    <s v=""/>
    <n v="0"/>
    <n v="0"/>
  </r>
  <r>
    <s v="Materiais Básicos / Siderurgia e Metalurgia / Siderurgia"/>
    <x v="490"/>
    <n v="4"/>
    <x v="0"/>
    <m/>
    <m/>
    <m/>
    <m/>
    <m/>
    <n v="0"/>
    <s v=""/>
    <s v=""/>
    <s v=""/>
    <s v=""/>
    <s v=""/>
    <s v=""/>
    <n v="0"/>
    <n v="0"/>
    <n v="11.13"/>
    <n v="0"/>
    <n v="0"/>
    <n v="11.13"/>
    <s v=""/>
    <s v=""/>
    <n v="0"/>
    <n v="0"/>
  </r>
  <r>
    <s v="Consumo não Cíclico / Agropecuária / Agricultura"/>
    <x v="491"/>
    <n v="3"/>
    <x v="0"/>
    <m/>
    <m/>
    <m/>
    <m/>
    <m/>
    <n v="0"/>
    <s v=""/>
    <s v=""/>
    <s v=""/>
    <s v=""/>
    <s v=""/>
    <s v=""/>
    <n v="0"/>
    <n v="0"/>
    <n v="0"/>
    <n v="2.97"/>
    <n v="0"/>
    <n v="2.97"/>
    <s v=""/>
    <n v="0"/>
    <n v="0"/>
    <n v="0"/>
  </r>
  <r>
    <s v="Materiais Básicos / Mineração / Minerais Metálicos"/>
    <x v="492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Materiais Básicos / Mineração / Minerais Metálicos"/>
    <x v="493"/>
    <n v="4"/>
    <x v="0"/>
    <m/>
    <m/>
    <m/>
    <m/>
    <m/>
    <n v="0"/>
    <s v=""/>
    <s v=""/>
    <s v=""/>
    <s v=""/>
    <s v=""/>
    <s v=""/>
    <n v="0"/>
    <n v="26.64"/>
    <n v="0"/>
    <n v="0"/>
    <n v="0"/>
    <n v="26.64"/>
    <s v=""/>
    <s v=""/>
    <n v="0"/>
    <n v="0"/>
  </r>
  <r>
    <s v="Consumo não Cíclico / Alimentos Processados / Laticínios"/>
    <x v="494"/>
    <n v="3"/>
    <x v="0"/>
    <m/>
    <m/>
    <m/>
    <m/>
    <m/>
    <n v="0"/>
    <s v=""/>
    <s v=""/>
    <s v=""/>
    <s v=""/>
    <s v=""/>
    <s v=""/>
    <n v="0"/>
    <n v="7"/>
    <n v="7"/>
    <n v="0"/>
    <n v="0"/>
    <n v="7"/>
    <s v=""/>
    <n v="0"/>
    <n v="0"/>
    <n v="0"/>
  </r>
  <r>
    <s v="Construção e Transporte / Construção e Engenharia / Construção Civil"/>
    <x v="495"/>
    <n v="3"/>
    <x v="0"/>
    <m/>
    <m/>
    <m/>
    <m/>
    <m/>
    <n v="0"/>
    <s v=""/>
    <s v=""/>
    <s v=""/>
    <s v=""/>
    <s v=""/>
    <s v=""/>
    <n v="0"/>
    <n v="0"/>
    <n v="0"/>
    <n v="0.19"/>
    <n v="0"/>
    <n v="0.19"/>
    <s v=""/>
    <n v="0"/>
    <n v="0"/>
    <n v="0"/>
  </r>
  <r>
    <s v="Telecomunicações / Telefonia Fixa / Telefonia Fixa"/>
    <x v="496"/>
    <n v="3"/>
    <x v="0"/>
    <m/>
    <m/>
    <m/>
    <m/>
    <m/>
    <n v="0"/>
    <s v=""/>
    <s v=""/>
    <s v=""/>
    <s v=""/>
    <s v=""/>
    <s v=""/>
    <n v="0"/>
    <n v="38.35"/>
    <n v="0"/>
    <n v="0"/>
    <n v="0"/>
    <n v="38.35"/>
    <s v=""/>
    <n v="0"/>
    <n v="0"/>
    <n v="0"/>
  </r>
  <r>
    <s v="Telecomunicações / Telefonia Fixa / Telefonia Fixa"/>
    <x v="497"/>
    <n v="3"/>
    <x v="0"/>
    <m/>
    <m/>
    <m/>
    <m/>
    <m/>
    <n v="0"/>
    <s v=""/>
    <s v=""/>
    <s v=""/>
    <s v=""/>
    <s v=""/>
    <s v=""/>
    <n v="0"/>
    <n v="44.82"/>
    <n v="0"/>
    <n v="0"/>
    <n v="0"/>
    <n v="44.82"/>
    <s v=""/>
    <n v="0"/>
    <n v="0"/>
    <n v="0"/>
  </r>
  <r>
    <s v="Bens Industriais / Serviços / Serviços Diversos"/>
    <x v="498"/>
    <n v="3"/>
    <x v="0"/>
    <m/>
    <m/>
    <m/>
    <m/>
    <m/>
    <n v="0"/>
    <s v=""/>
    <s v=""/>
    <s v=""/>
    <s v=""/>
    <s v=""/>
    <s v=""/>
    <n v="0"/>
    <n v="0"/>
    <n v="0"/>
    <n v="0"/>
    <n v="31.78"/>
    <n v="31.78"/>
    <s v=""/>
    <n v="0"/>
    <n v="0"/>
    <n v="0"/>
  </r>
  <r>
    <s v="Construção e Transporte / Transporte / Transporte Ferroviário"/>
    <x v="499"/>
    <n v="3"/>
    <x v="0"/>
    <m/>
    <m/>
    <m/>
    <m/>
    <m/>
    <n v="0"/>
    <s v=""/>
    <s v=""/>
    <s v=""/>
    <s v=""/>
    <s v=""/>
    <s v=""/>
    <n v="0"/>
    <n v="0"/>
    <n v="0"/>
    <n v="0"/>
    <n v="3"/>
    <n v="3"/>
    <s v=""/>
    <n v="0"/>
    <n v="0"/>
    <n v="0"/>
  </r>
  <r>
    <s v="Construção e Transporte / Transporte / Transporte Ferroviário"/>
    <x v="500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Tecidos. Vestuário e Calçados / Calçados"/>
    <x v="501"/>
    <n v="3"/>
    <x v="0"/>
    <m/>
    <m/>
    <m/>
    <m/>
    <m/>
    <n v="0"/>
    <s v=""/>
    <s v=""/>
    <s v=""/>
    <s v=""/>
    <s v=""/>
    <s v=""/>
    <n v="0"/>
    <n v="0"/>
    <n v="0"/>
    <n v="0"/>
    <n v="0"/>
    <s v=""/>
    <s v=""/>
    <n v="0"/>
    <n v="0"/>
    <n v="0"/>
  </r>
  <r>
    <s v="Consumo Cíclico / Utilidades Domésticas / Eletrodomésticos"/>
    <x v="502"/>
    <n v="4"/>
    <x v="0"/>
    <m/>
    <m/>
    <m/>
    <m/>
    <m/>
    <n v="0"/>
    <s v=""/>
    <s v=""/>
    <s v=""/>
    <s v=""/>
    <s v=""/>
    <s v=""/>
    <n v="0"/>
    <n v="0"/>
    <n v="0"/>
    <n v="22.57"/>
    <n v="0"/>
    <n v="22.57"/>
    <s v=""/>
    <s v=""/>
    <n v="0"/>
    <n v="0"/>
  </r>
  <r>
    <s v="Consumo Cíclico / Utilidades Domésticas / Eletrodomésticos"/>
    <x v="503"/>
    <n v="4"/>
    <x v="0"/>
    <m/>
    <m/>
    <m/>
    <m/>
    <m/>
    <n v="0"/>
    <s v=""/>
    <s v=""/>
    <s v=""/>
    <s v=""/>
    <s v=""/>
    <s v=""/>
    <n v="0"/>
    <n v="0"/>
    <n v="0"/>
    <n v="6.45"/>
    <n v="0"/>
    <n v="6.45"/>
    <s v=""/>
    <s v=""/>
    <n v="0"/>
    <n v="0"/>
  </r>
  <r>
    <s v="Consumo Cíclico / Utilidades Domésticas / Eletrodomésticos"/>
    <x v="504"/>
    <n v="4"/>
    <x v="0"/>
    <m/>
    <m/>
    <m/>
    <m/>
    <m/>
    <n v="0"/>
    <s v=""/>
    <s v=""/>
    <s v=""/>
    <s v=""/>
    <s v=""/>
    <s v=""/>
    <n v="0"/>
    <n v="0"/>
    <n v="0"/>
    <n v="0"/>
    <n v="0"/>
    <s v=""/>
    <s v=""/>
    <s v=""/>
    <n v="0"/>
    <n v="0"/>
  </r>
  <r>
    <s v="Bens Industriais / Máquinas e Equipamentos / Motores . Compressores e Outros"/>
    <x v="505"/>
    <n v="4"/>
    <x v="0"/>
    <m/>
    <m/>
    <m/>
    <m/>
    <m/>
    <n v="0"/>
    <s v=""/>
    <s v=""/>
    <s v=""/>
    <s v=""/>
    <s v=""/>
    <s v=""/>
    <n v="0"/>
    <n v="0"/>
    <n v="0"/>
    <n v="0"/>
    <n v="31.57"/>
    <n v="31.57"/>
    <s v=""/>
    <s v=""/>
    <n v="0"/>
    <n v="0"/>
  </r>
  <r>
    <s v="Consumo Cíclico / Utilidades Domésticas / Eletrodomésticos"/>
    <x v="506"/>
    <n v="4"/>
    <x v="0"/>
    <m/>
    <m/>
    <m/>
    <m/>
    <m/>
    <n v="0"/>
    <s v=""/>
    <s v=""/>
    <s v=""/>
    <s v=""/>
    <s v=""/>
    <s v=""/>
    <n v="0"/>
    <n v="0"/>
    <n v="0"/>
    <n v="3.87"/>
    <n v="0"/>
    <n v="3.87"/>
    <s v=""/>
    <s v=""/>
    <n v="0"/>
    <n v="0"/>
  </r>
  <r>
    <s v="Consumo Cíclico / Utilidades Domésticas / Eletrodomésticos"/>
    <x v="507"/>
    <n v="4"/>
    <x v="0"/>
    <m/>
    <m/>
    <m/>
    <m/>
    <m/>
    <n v="0"/>
    <s v=""/>
    <s v=""/>
    <s v=""/>
    <s v=""/>
    <s v=""/>
    <s v=""/>
    <n v="0"/>
    <n v="0"/>
    <n v="0"/>
    <n v="3.98"/>
    <n v="0"/>
    <n v="3.98"/>
    <s v=""/>
    <s v=""/>
    <n v="0"/>
    <n v="0"/>
  </r>
  <r>
    <s v="Consumo Cíclico / Tecidos. Vestuário e Calçados / Fios e Tecidos"/>
    <x v="508"/>
    <n v="3"/>
    <x v="0"/>
    <m/>
    <m/>
    <m/>
    <m/>
    <m/>
    <n v="0"/>
    <s v=""/>
    <s v=""/>
    <s v=""/>
    <s v=""/>
    <s v=""/>
    <s v=""/>
    <n v="0"/>
    <n v="0"/>
    <n v="0"/>
    <n v="25.39"/>
    <n v="0"/>
    <n v="25.39"/>
    <s v=""/>
    <n v="0"/>
    <n v="0"/>
    <n v="0"/>
  </r>
  <r>
    <s v="Utilidade Pública / Energia Elétrica / Energia Elétrica"/>
    <x v="7"/>
    <n v="4"/>
    <x v="3"/>
    <s v="div"/>
    <m/>
    <d v="2012-03-13T00:00:00"/>
    <d v="2012-05-16T00:00:00"/>
    <n v="1.6555599999999999"/>
    <n v="1.6555599999999999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5"/>
    <x v="4"/>
    <s v="div"/>
    <n v="-0.32268999999999998"/>
    <d v="2012-04-16T00:00:00"/>
    <d v="2012-05-16T00:00:00"/>
    <n v="1.6555599999999999"/>
    <n v="1.6555599999999999"/>
    <n v="1.6555599999999999"/>
    <n v="0"/>
    <n v="-0.30616387812216561"/>
    <n v="1.3547456250000003"/>
    <n v="-4.4249035297999111"/>
    <s v=""/>
    <n v="7.13"/>
    <n v="0"/>
    <n v="0"/>
    <n v="0"/>
    <n v="0"/>
    <n v="7.13"/>
    <s v=""/>
    <n v="0.23219635343618514"/>
    <n v="1"/>
    <n v="0"/>
  </r>
  <r>
    <s v="Utilidade Pública / Energia Elétrica / Energia Elétrica"/>
    <x v="7"/>
    <n v="4"/>
    <x v="5"/>
    <s v="div"/>
    <m/>
    <d v="2013-11-07T00:00:00"/>
    <d v="2013-11-25T00:00:00"/>
    <n v="5.2589999999999998E-2"/>
    <n v="5.2589999999999998E-2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4"/>
    <x v="5"/>
    <s v="div"/>
    <m/>
    <d v="2014-02-25T00:00:00"/>
    <m/>
    <n v="8.2479999999999998E-2"/>
    <n v="8.2479999999999998E-2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5"/>
    <x v="5"/>
    <s v="div"/>
    <n v="0.14480999999999999"/>
    <d v="2014-02-25T00:00:00"/>
    <m/>
    <n v="2.2700000000000001E-2"/>
    <n v="2.2700000000000001E-2"/>
    <n v="0.15776999999999999"/>
    <n v="1.0894965817277813"/>
    <n v="-0.27147357980507597"/>
    <n v="1.262670576923077"/>
    <n v="-4.6511729717112891"/>
    <s v=""/>
    <n v="7.13"/>
    <n v="0"/>
    <n v="0"/>
    <n v="0"/>
    <n v="0"/>
    <n v="7.13"/>
    <s v=""/>
    <n v="2.2127629733520338E-2"/>
    <n v="1"/>
    <n v="0"/>
  </r>
  <r>
    <s v="Financeiro e Outros / Intermediários Financeiros / Bancos"/>
    <x v="509"/>
    <n v="4"/>
    <x v="1"/>
    <s v="div"/>
    <m/>
    <d v="2010-11-09T00:00:00"/>
    <d v="2010-11-30T00:00:00"/>
    <n v="0.13142000000000001"/>
    <n v="0.13142000000000001"/>
    <s v=""/>
    <s v=""/>
    <s v=""/>
    <s v=""/>
    <s v=""/>
    <s v=""/>
    <n v="19.77"/>
    <n v="0"/>
    <n v="0"/>
    <n v="0"/>
    <n v="0"/>
    <n v="19.77"/>
    <s v=""/>
    <s v=""/>
    <n v="1"/>
    <n v="0"/>
  </r>
  <r>
    <s v="Utilidade Pública / Energia Elétrica / Energia Elétrica"/>
    <x v="510"/>
    <n v="5"/>
    <x v="1"/>
    <s v="div"/>
    <n v="4.8810000000000002"/>
    <d v="2010-11-08T00:00:00"/>
    <d v="2010-11-16T00:00:00"/>
    <n v="1.2105900000000001"/>
    <n v="1.2105900000000001"/>
    <n v="1.2105900000000001"/>
    <n v="0.24802089735709895"/>
    <n v="4.8810000000000002"/>
    <n v="1.2105900000000001"/>
    <n v="0.24802089735709895"/>
    <s v=""/>
    <n v="18.64"/>
    <n v="0"/>
    <n v="0"/>
    <n v="0"/>
    <n v="0"/>
    <n v="18.64"/>
    <s v=""/>
    <n v="6.4945815450643776E-2"/>
    <n v="1"/>
    <n v="0"/>
  </r>
  <r>
    <s v="Utilidade Pública / Energia Elétrica / Energia Elétrica"/>
    <x v="511"/>
    <n v="5"/>
    <x v="1"/>
    <s v="div"/>
    <n v="1.627"/>
    <d v="2010-11-08T00:00:00"/>
    <d v="2010-11-16T00:00:00"/>
    <n v="0.40353"/>
    <n v="0.40353"/>
    <n v="0.40353"/>
    <n v="0.24802089735709895"/>
    <n v="1.627"/>
    <n v="0.40353"/>
    <n v="0.24802089735709895"/>
    <s v=""/>
    <n v="0"/>
    <n v="0"/>
    <n v="0"/>
    <n v="0"/>
    <n v="0"/>
    <s v=""/>
    <s v=""/>
    <s v=""/>
    <n v="1"/>
    <n v="0"/>
  </r>
  <r>
    <s v="Utilidade Pública / Energia Elétrica / Energia Elétrica"/>
    <x v="512"/>
    <n v="5"/>
    <x v="1"/>
    <s v="div"/>
    <n v="1.627"/>
    <d v="2010-11-08T00:00:00"/>
    <d v="2010-11-16T00:00:00"/>
    <n v="0.40353"/>
    <n v="0.40353"/>
    <n v="0.40353"/>
    <n v="0.24802089735709895"/>
    <n v="1.627"/>
    <n v="0.40353"/>
    <n v="0.24802089735709895"/>
    <s v=""/>
    <n v="0"/>
    <n v="0"/>
    <n v="0"/>
    <n v="0"/>
    <n v="0"/>
    <s v=""/>
    <s v=""/>
    <s v=""/>
    <n v="1"/>
    <n v="0"/>
  </r>
  <r>
    <s v="Utilidade Pública / Energia Elétrica / Energia Elétrica"/>
    <x v="510"/>
    <n v="4"/>
    <x v="3"/>
    <s v="div"/>
    <m/>
    <d v="2011-04-27T00:00:00"/>
    <d v="2011-05-31T00:00:00"/>
    <n v="4.6160500000000004"/>
    <n v="4.6160500000000004"/>
    <s v=""/>
    <s v=""/>
    <s v=""/>
    <s v=""/>
    <s v=""/>
    <s v=""/>
    <n v="18.64"/>
    <n v="0"/>
    <n v="0"/>
    <n v="0"/>
    <n v="0"/>
    <n v="18.64"/>
    <s v=""/>
    <s v=""/>
    <n v="1"/>
    <n v="0"/>
  </r>
  <r>
    <s v="Utilidade Pública / Energia Elétrica / Energia Elétrica"/>
    <x v="510"/>
    <n v="5"/>
    <x v="3"/>
    <s v="div"/>
    <n v="5.6402999999999999"/>
    <d v="2011-04-27T00:00:00"/>
    <d v="2011-10-31T00:00:00"/>
    <n v="3.7959900000000002"/>
    <n v="3.7959900000000002"/>
    <n v="8.4120400000000011"/>
    <n v="1.4914171232026667"/>
    <n v="5.26065"/>
    <n v="4.8113150000000005"/>
    <n v="0.91458565006225478"/>
    <s v=""/>
    <n v="18.64"/>
    <n v="0"/>
    <n v="0"/>
    <n v="0"/>
    <n v="0"/>
    <n v="18.64"/>
    <s v=""/>
    <n v="0.45128969957081549"/>
    <n v="1"/>
    <n v="0"/>
  </r>
  <r>
    <s v="Utilidade Pública / Energia Elétrica / Energia Elétrica"/>
    <x v="511"/>
    <n v="4"/>
    <x v="3"/>
    <s v="div"/>
    <m/>
    <d v="2011-04-27T00:00:00"/>
    <d v="2011-05-31T00:00:00"/>
    <n v="1.54535"/>
    <n v="1.54535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1"/>
    <n v="5"/>
    <x v="3"/>
    <s v="div"/>
    <n v="1.8801000000000001"/>
    <d v="2011-04-27T00:00:00"/>
    <d v="2011-10-31T00:00:00"/>
    <n v="1.2653300000000001"/>
    <n v="1.2653300000000001"/>
    <n v="2.8106800000000001"/>
    <n v="1.4949630338811766"/>
    <n v="1.7535500000000002"/>
    <n v="1.607105"/>
    <n v="0.91648655584385952"/>
    <s v=""/>
    <n v="0"/>
    <n v="0"/>
    <n v="0"/>
    <n v="0"/>
    <n v="0"/>
    <s v=""/>
    <s v=""/>
    <s v=""/>
    <n v="1"/>
    <n v="0"/>
  </r>
  <r>
    <s v="Utilidade Pública / Energia Elétrica / Energia Elétrica"/>
    <x v="512"/>
    <n v="4"/>
    <x v="3"/>
    <s v="div"/>
    <m/>
    <d v="2011-04-27T00:00:00"/>
    <d v="2011-05-31T00:00:00"/>
    <n v="1.53535"/>
    <n v="1.53535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2"/>
    <n v="5"/>
    <x v="3"/>
    <s v="div"/>
    <n v="1.8801000000000001"/>
    <d v="2011-04-27T00:00:00"/>
    <d v="2011-10-31T00:00:00"/>
    <n v="1.2653300000000001"/>
    <n v="1.2653300000000001"/>
    <n v="2.8006799999999998"/>
    <n v="1.4896441678634114"/>
    <n v="1.7535500000000002"/>
    <n v="1.6021049999999999"/>
    <n v="0.91363519717145203"/>
    <s v=""/>
    <n v="0"/>
    <n v="0"/>
    <n v="0"/>
    <n v="0"/>
    <n v="0"/>
    <s v=""/>
    <s v=""/>
    <s v=""/>
    <n v="1"/>
    <n v="0"/>
  </r>
  <r>
    <s v="Utilidade Pública / Energia Elétrica / Energia Elétrica"/>
    <x v="510"/>
    <n v="4"/>
    <x v="4"/>
    <s v="div"/>
    <m/>
    <d v="2012-04-27T00:00:00"/>
    <d v="2012-05-31T00:00:00"/>
    <n v="0.81315000000000004"/>
    <n v="0.81315000000000004"/>
    <s v=""/>
    <s v=""/>
    <s v=""/>
    <s v=""/>
    <s v=""/>
    <s v=""/>
    <n v="18.64"/>
    <n v="0"/>
    <n v="0"/>
    <n v="0"/>
    <n v="0"/>
    <n v="18.64"/>
    <s v=""/>
    <s v=""/>
    <n v="1"/>
    <n v="0"/>
  </r>
  <r>
    <s v="Utilidade Pública / Energia Elétrica / Energia Elétrica"/>
    <x v="510"/>
    <n v="4"/>
    <x v="4"/>
    <s v="div"/>
    <m/>
    <d v="2012-04-27T00:00:00"/>
    <d v="2012-10-31T00:00:00"/>
    <n v="0.62195999999999996"/>
    <n v="0.62195999999999996"/>
    <s v=""/>
    <s v=""/>
    <s v=""/>
    <s v=""/>
    <s v=""/>
    <s v=""/>
    <n v="18.64"/>
    <n v="0"/>
    <n v="0"/>
    <n v="0"/>
    <n v="0"/>
    <n v="18.64"/>
    <s v=""/>
    <s v=""/>
    <n v="1"/>
    <n v="0"/>
  </r>
  <r>
    <s v="Utilidade Pública / Energia Elétrica / Energia Elétrica"/>
    <x v="511"/>
    <n v="4"/>
    <x v="4"/>
    <s v="div"/>
    <m/>
    <d v="2012-04-27T00:00:00"/>
    <d v="2012-05-31T00:00:00"/>
    <n v="0.27105000000000001"/>
    <n v="0.27105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1"/>
    <n v="4"/>
    <x v="4"/>
    <s v="div"/>
    <m/>
    <d v="2012-04-27T00:00:00"/>
    <d v="2012-10-31T00:00:00"/>
    <n v="0.20732"/>
    <n v="0.20732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2"/>
    <n v="4"/>
    <x v="4"/>
    <s v="div"/>
    <m/>
    <d v="2012-04-27T00:00:00"/>
    <d v="2012-05-31T00:00:00"/>
    <n v="0.27105000000000001"/>
    <n v="0.27105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2"/>
    <n v="4"/>
    <x v="4"/>
    <s v="div"/>
    <m/>
    <d v="2012-04-27T00:00:00"/>
    <d v="2012-10-31T00:00:00"/>
    <n v="0.20732"/>
    <n v="0.20732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510"/>
    <n v="5"/>
    <x v="4"/>
    <s v="div"/>
    <n v="1.9688399999999999"/>
    <d v="2012-12-18T00:00:00"/>
    <d v="2012-12-27T00:00:00"/>
    <n v="0.46443000000000001"/>
    <n v="0.46443000000000001"/>
    <n v="1.89954"/>
    <n v="0.96480160906929968"/>
    <n v="4.1633800000000001"/>
    <n v="3.8407233333333335"/>
    <n v="0.92250126900098794"/>
    <s v=""/>
    <n v="18.64"/>
    <n v="0"/>
    <n v="0"/>
    <n v="0"/>
    <n v="0"/>
    <n v="18.64"/>
    <s v=""/>
    <n v="0.10190665236051502"/>
    <n v="1"/>
    <n v="0"/>
  </r>
  <r>
    <s v="Utilidade Pública / Energia Elétrica / Energia Elétrica"/>
    <x v="511"/>
    <n v="5"/>
    <x v="4"/>
    <s v="div"/>
    <n v="0.65627999999999997"/>
    <d v="2012-12-18T00:00:00"/>
    <d v="2012-12-27T00:00:00"/>
    <n v="0.15481"/>
    <n v="0.15481"/>
    <n v="0.63318000000000008"/>
    <n v="0.96480160906929979"/>
    <n v="1.3877933333333334"/>
    <n v="1.2824633333333333"/>
    <n v="0.92410253207730253"/>
    <s v=""/>
    <n v="0"/>
    <n v="0"/>
    <n v="0"/>
    <n v="0"/>
    <n v="0"/>
    <s v=""/>
    <s v=""/>
    <s v=""/>
    <n v="1"/>
    <n v="0"/>
  </r>
  <r>
    <s v="Utilidade Pública / Energia Elétrica / Energia Elétrica"/>
    <x v="512"/>
    <n v="5"/>
    <x v="4"/>
    <s v="div"/>
    <n v="0.65627999999999997"/>
    <d v="2012-12-18T00:00:00"/>
    <d v="2012-12-27T00:00:00"/>
    <n v="0.15481"/>
    <n v="0.15481"/>
    <n v="0.63318000000000008"/>
    <n v="0.96480160906929979"/>
    <n v="1.3877933333333334"/>
    <n v="1.2791300000000001"/>
    <n v="0.92170063746283071"/>
    <s v=""/>
    <n v="0"/>
    <n v="0"/>
    <n v="0"/>
    <n v="0"/>
    <n v="0"/>
    <s v=""/>
    <s v=""/>
    <s v=""/>
    <n v="1"/>
    <n v="0"/>
  </r>
  <r>
    <s v="Utilidade Pública / Energia Elétrica / Energia Elétrica"/>
    <x v="510"/>
    <n v="5"/>
    <x v="5"/>
    <m/>
    <n v="2.1814200000000001"/>
    <m/>
    <m/>
    <m/>
    <n v="0"/>
    <n v="0"/>
    <n v="0"/>
    <n v="3.6678899999999999"/>
    <n v="2.8805425000000002"/>
    <n v="0.78534048185741678"/>
    <s v=""/>
    <n v="18.64"/>
    <n v="0"/>
    <n v="0"/>
    <n v="0"/>
    <n v="0"/>
    <n v="18.64"/>
    <s v=""/>
    <n v="0"/>
    <n v="0"/>
    <n v="0"/>
  </r>
  <r>
    <s v="Utilidade Pública / Energia Elétrica / Energia Elétrica"/>
    <x v="511"/>
    <n v="5"/>
    <x v="5"/>
    <m/>
    <n v="0.72714000000000001"/>
    <m/>
    <m/>
    <m/>
    <n v="0"/>
    <n v="0"/>
    <n v="0"/>
    <n v="1.2226300000000001"/>
    <n v="0.96184749999999997"/>
    <n v="0.78670366341411535"/>
    <s v=""/>
    <n v="0"/>
    <n v="0"/>
    <n v="0"/>
    <n v="0"/>
    <n v="0"/>
    <s v=""/>
    <s v=""/>
    <s v=""/>
    <n v="0"/>
    <n v="0"/>
  </r>
  <r>
    <s v="Utilidade Pública / Energia Elétrica / Energia Elétrica"/>
    <x v="512"/>
    <n v="5"/>
    <x v="5"/>
    <m/>
    <n v="0.72714000000000001"/>
    <m/>
    <m/>
    <m/>
    <n v="0"/>
    <n v="0"/>
    <n v="0"/>
    <n v="1.2226300000000001"/>
    <n v="0.95934750000000002"/>
    <n v="0.78465889107906717"/>
    <s v=""/>
    <n v="0"/>
    <n v="0"/>
    <n v="0"/>
    <n v="0"/>
    <n v="0"/>
    <s v=""/>
    <s v=""/>
    <s v=""/>
    <n v="0"/>
    <n v="0"/>
  </r>
  <r>
    <s v="Financeiro e Outros / Intermediários Financeiros / Bancos"/>
    <x v="509"/>
    <n v="4"/>
    <x v="1"/>
    <s v="jcp"/>
    <m/>
    <d v="2010-09-15T00:00:00"/>
    <d v="2010-11-30T00:00:00"/>
    <n v="0.23558000000000001"/>
    <n v="0.200243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1"/>
    <s v="jcp"/>
    <m/>
    <d v="2010-09-15T00:00:00"/>
    <d v="2010-11-30T00:00:00"/>
    <n v="4.8999999999999998E-4"/>
    <n v="4.1649999999999999E-4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1"/>
    <s v="jcp"/>
    <m/>
    <d v="2010-09-15T00:00:00"/>
    <d v="2010-11-30T00:00:00"/>
    <n v="9.2200000000000008E-3"/>
    <n v="7.8370000000000002E-3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1"/>
    <s v="jcp"/>
    <m/>
    <d v="2010-12-07T00:00:00"/>
    <d v="2010-12-30T00:00:00"/>
    <n v="0.23971999999999999"/>
    <n v="0.203762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5"/>
    <x v="1"/>
    <s v="div"/>
    <n v="4.3356199999999996"/>
    <d v="2011-02-15T00:00:00"/>
    <d v="2011-02-28T00:00:00"/>
    <n v="0.32522000000000001"/>
    <n v="0.32522000000000001"/>
    <n v="0.86889850000000002"/>
    <n v="0.2004092840239689"/>
    <n v="4.3356199999999996"/>
    <n v="0.86889850000000002"/>
    <n v="0.2004092840239689"/>
    <s v=""/>
    <n v="19.77"/>
    <n v="0"/>
    <n v="0"/>
    <n v="0"/>
    <n v="0"/>
    <n v="19.77"/>
    <s v=""/>
    <n v="4.3950354071826001E-2"/>
    <n v="1"/>
    <n v="0"/>
  </r>
  <r>
    <s v="Financeiro e Outros / Intermediários Financeiros / Bancos"/>
    <x v="509"/>
    <n v="4"/>
    <x v="3"/>
    <s v="jcp"/>
    <m/>
    <d v="2011-12-13T00:00:00"/>
    <d v="2012-02-07T00:00:00"/>
    <n v="0.27740999999999999"/>
    <n v="0.2357984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3"/>
    <s v="div"/>
    <m/>
    <d v="2011-05-03T00:00:00"/>
    <d v="2011-05-27T00:00:00"/>
    <n v="0.15695999999999999"/>
    <n v="0.15695999999999999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jcp"/>
    <m/>
    <d v="2011-03-15T00:00:00"/>
    <d v="2011-05-27T00:00:00"/>
    <n v="0.25305"/>
    <n v="0.2150924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3"/>
    <s v="div"/>
    <m/>
    <d v="2011-02-15T00:00:00"/>
    <d v="2011-02-28T00:00:00"/>
    <n v="0.32068999999999998"/>
    <n v="0.32068999999999998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div"/>
    <m/>
    <d v="2011-08-03T00:00:00"/>
    <d v="2011-08-26T00:00:00"/>
    <n v="0.20810000000000001"/>
    <n v="0.20810000000000001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jcp"/>
    <m/>
    <d v="2011-06-07T00:00:00"/>
    <d v="2011-08-26T00:00:00"/>
    <n v="0.25751000000000002"/>
    <n v="0.21888350000000001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3"/>
    <s v="div"/>
    <m/>
    <d v="2011-11-01T00:00:00"/>
    <d v="2011-11-25T00:00:00"/>
    <n v="0.12587999999999999"/>
    <n v="0.12587999999999999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3"/>
    <s v="jcp"/>
    <m/>
    <d v="2011-09-13T00:00:00"/>
    <d v="2011-11-25T00:00:00"/>
    <n v="0.27817999999999998"/>
    <n v="0.23645299999999997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5"/>
    <x v="3"/>
    <s v="div"/>
    <n v="4.2801799999999997"/>
    <d v="2012-07-07T00:00:00"/>
    <d v="2012-02-29T00:00:00"/>
    <n v="0.15445"/>
    <n v="0.15445"/>
    <n v="1.8723075"/>
    <n v="0.43743662649701653"/>
    <n v="4.3079000000000001"/>
    <n v="1.370603"/>
    <n v="0.31816035655423758"/>
    <s v=""/>
    <n v="19.77"/>
    <n v="0"/>
    <n v="0"/>
    <n v="0"/>
    <n v="0"/>
    <n v="19.77"/>
    <s v=""/>
    <n v="9.4704476479514424E-2"/>
    <n v="1"/>
    <n v="0"/>
  </r>
  <r>
    <s v="Financeiro e Outros / Intermediários Financeiros / Bancos"/>
    <x v="509"/>
    <n v="4"/>
    <x v="4"/>
    <s v="jcp"/>
    <m/>
    <d v="2012-11-27T00:00:00"/>
    <d v="2012-12-28T00:00:00"/>
    <n v="0.29718"/>
    <n v="0.25260299999999997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jcp"/>
    <m/>
    <d v="2012-03-13T00:00:00"/>
    <d v="2012-05-22T00:00:00"/>
    <n v="0.29327999999999999"/>
    <n v="0.24928799999999998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div"/>
    <m/>
    <d v="2012-05-02T00:00:00"/>
    <d v="2012-05-22T00:00:00"/>
    <n v="6.3310000000000005E-2"/>
    <n v="6.3310000000000005E-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4"/>
    <s v="jcp"/>
    <m/>
    <d v="2012-06-16T00:00:00"/>
    <d v="2012-07-23T00:00:00"/>
    <n v="0.29675000000000001"/>
    <n v="0.2522375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div"/>
    <m/>
    <d v="2012-08-07T00:00:00"/>
    <d v="2012-08-31T00:00:00"/>
    <n v="0.12237000000000001"/>
    <n v="0.12237000000000001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4"/>
    <s v="jcp"/>
    <m/>
    <d v="2012-08-28T00:00:00"/>
    <d v="2012-09-20T00:00:00"/>
    <n v="0.28582000000000002"/>
    <n v="0.242947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4"/>
    <s v="div"/>
    <m/>
    <d v="2012-11-06T00:00:00"/>
    <d v="2012-11-26T00:00:00"/>
    <n v="0.10693"/>
    <n v="0.10693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4"/>
    <s v="div"/>
    <m/>
    <d v="2012-02-07T00:00:00"/>
    <d v="2012-02-29T00:00:00"/>
    <n v="0.15445"/>
    <n v="0.15445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4"/>
    <s v="jcp"/>
    <m/>
    <d v="2011-12-13T00:00:00"/>
    <d v="2012-03-02T00:00:00"/>
    <n v="0.27742"/>
    <n v="0.2358069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5"/>
    <x v="4"/>
    <s v="div"/>
    <n v="4.3022600000000004"/>
    <d v="2013-02-19T00:00:00"/>
    <d v="2013-03-14T00:00:00"/>
    <n v="0.25806000000000001"/>
    <n v="0.25806000000000001"/>
    <n v="1.9380024999999996"/>
    <n v="0.45046150162937604"/>
    <n v="4.3060200000000002"/>
    <n v="1.5597361666666665"/>
    <n v="0.3622222299633226"/>
    <s v=""/>
    <n v="19.77"/>
    <n v="0"/>
    <n v="0"/>
    <n v="0"/>
    <n v="0"/>
    <n v="19.77"/>
    <s v=""/>
    <n v="9.8027440566514912E-2"/>
    <n v="1"/>
    <n v="0"/>
  </r>
  <r>
    <s v="Financeiro e Outros / Intermediários Financeiros / Bancos"/>
    <x v="509"/>
    <n v="4"/>
    <x v="5"/>
    <s v="jcp"/>
    <m/>
    <d v="2013-02-26T00:00:00"/>
    <d v="2013-03-28T00:00:00"/>
    <n v="0.26493"/>
    <n v="0.22519049999999999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5"/>
    <s v="div"/>
    <m/>
    <d v="2013-05-14T00:00:00"/>
    <d v="2013-05-31T00:00:00"/>
    <n v="9.8210000000000006E-2"/>
    <n v="9.8210000000000006E-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5"/>
    <s v="jcp"/>
    <m/>
    <d v="2013-05-28T00:00:00"/>
    <d v="2013-06-28T00:00:00"/>
    <n v="0.28198000000000001"/>
    <n v="0.23968300000000001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5"/>
    <s v="div"/>
    <m/>
    <d v="2013-08-06T00:00:00"/>
    <d v="2013-08-30T00:00:00"/>
    <n v="0.76712000000000002"/>
    <n v="0.7671200000000000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5"/>
    <s v="jcp"/>
    <m/>
    <d v="2013-08-27T00:00:00"/>
    <d v="2013-09-30T00:00:00"/>
    <n v="0.31326999999999999"/>
    <n v="0.2662795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5"/>
    <s v="div"/>
    <m/>
    <d v="2013-11-05T00:00:00"/>
    <d v="2013-11-29T00:00:00"/>
    <n v="6.6530000000000006E-2"/>
    <n v="6.6530000000000006E-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4"/>
    <x v="5"/>
    <s v="jcp"/>
    <m/>
    <d v="2013-11-26T00:00:00"/>
    <d v="2013-12-30T00:00:00"/>
    <n v="0.30928"/>
    <n v="0.26288800000000001"/>
    <s v=""/>
    <s v=""/>
    <s v=""/>
    <s v=""/>
    <s v=""/>
    <s v=""/>
    <n v="19.77"/>
    <n v="0"/>
    <n v="0"/>
    <n v="0"/>
    <n v="0"/>
    <n v="19.77"/>
    <s v=""/>
    <s v=""/>
    <n v="0"/>
    <n v="1"/>
  </r>
  <r>
    <s v="Financeiro e Outros / Intermediários Financeiros / Bancos"/>
    <x v="509"/>
    <n v="4"/>
    <x v="5"/>
    <s v="div"/>
    <m/>
    <d v="2014-02-11T00:00:00"/>
    <d v="2014-02-24T00:00:00"/>
    <n v="0.13002"/>
    <n v="0.13002"/>
    <s v=""/>
    <s v=""/>
    <s v=""/>
    <s v=""/>
    <s v=""/>
    <s v=""/>
    <n v="19.77"/>
    <n v="0"/>
    <n v="0"/>
    <n v="0"/>
    <n v="0"/>
    <n v="19.77"/>
    <s v=""/>
    <s v=""/>
    <n v="1"/>
    <n v="0"/>
  </r>
  <r>
    <s v="Financeiro e Outros / Intermediários Financeiros / Bancos"/>
    <x v="509"/>
    <n v="5"/>
    <x v="5"/>
    <s v="div"/>
    <n v="5.5786600000000002"/>
    <d v="2013-02-19T00:00:00"/>
    <d v="2013-03-08T00:00:00"/>
    <n v="0.25806000000000001"/>
    <n v="0.25806000000000001"/>
    <n v="2.3139810000000001"/>
    <n v="0.41479154492297432"/>
    <n v="4.62418"/>
    <n v="1.7482973749999999"/>
    <n v="0.37807727532232743"/>
    <s v=""/>
    <n v="19.77"/>
    <n v="0"/>
    <n v="0"/>
    <n v="0"/>
    <n v="0"/>
    <n v="19.77"/>
    <s v=""/>
    <n v="0.11704506828528073"/>
    <n v="1"/>
    <n v="0"/>
  </r>
  <r>
    <s v="Utilidade Pública / Energia Elétrica / Energia Elétrica"/>
    <x v="513"/>
    <n v="5"/>
    <x v="1"/>
    <s v="div"/>
    <n v="3.3088000000000002"/>
    <d v="2010-12-16T00:00:00"/>
    <d v="2010-12-27T00:00:00"/>
    <n v="1.3188500000000001"/>
    <n v="1.3188500000000001"/>
    <n v="1.3188500000000001"/>
    <n v="0.39858861218568664"/>
    <n v="3.3088000000000002"/>
    <n v="1.3188500000000001"/>
    <n v="0.39858861218568664"/>
    <s v=""/>
    <n v="13.72"/>
    <n v="0"/>
    <n v="0"/>
    <n v="0"/>
    <n v="0"/>
    <n v="13.72"/>
    <s v=""/>
    <n v="9.6126093294460646E-2"/>
    <n v="1"/>
    <n v="0"/>
  </r>
  <r>
    <s v="Utilidade Pública / Energia Elétrica / Energia Elétrica"/>
    <x v="513"/>
    <n v="5"/>
    <x v="3"/>
    <s v="div"/>
    <n v="3.5380500000000001"/>
    <d v="2011-12-06T00:00:00"/>
    <d v="2011-12-06T00:00:00"/>
    <n v="1.24505"/>
    <n v="1.24505"/>
    <n v="1.24505"/>
    <n v="0.35190288435720241"/>
    <n v="3.4234249999999999"/>
    <n v="1.2819500000000001"/>
    <n v="0.37446416965465879"/>
    <s v=""/>
    <n v="13.72"/>
    <n v="0"/>
    <n v="0"/>
    <n v="0"/>
    <n v="0"/>
    <n v="13.72"/>
    <s v=""/>
    <n v="9.0747084548104956E-2"/>
    <n v="1"/>
    <n v="0"/>
  </r>
  <r>
    <s v="Utilidade Pública / Energia Elétrica / Energia Elétrica"/>
    <x v="513"/>
    <n v="4"/>
    <x v="4"/>
    <s v="div"/>
    <m/>
    <d v="2012-12-20T00:00:00"/>
    <d v="2013-01-15T00:00:00"/>
    <n v="1.87649"/>
    <n v="1.87649"/>
    <s v=""/>
    <s v=""/>
    <s v=""/>
    <s v=""/>
    <s v=""/>
    <s v=""/>
    <n v="13.72"/>
    <n v="0"/>
    <n v="0"/>
    <n v="0"/>
    <n v="0"/>
    <n v="13.72"/>
    <s v=""/>
    <s v=""/>
    <n v="1"/>
    <n v="0"/>
  </r>
  <r>
    <s v="Utilidade Pública / Energia Elétrica / Energia Elétrica"/>
    <x v="513"/>
    <n v="5"/>
    <x v="4"/>
    <s v="jcp"/>
    <n v="5.37"/>
    <d v="2012-12-20T00:00:00"/>
    <d v="2013-01-15T00:00:00"/>
    <n v="1.99377"/>
    <n v="1.6947045000000001"/>
    <n v="3.5711944999999998"/>
    <n v="0.66502690875232773"/>
    <n v="4.0722833333333339"/>
    <n v="2.0450314999999999"/>
    <n v="0.50218300953191686"/>
    <s v=""/>
    <n v="13.72"/>
    <n v="0"/>
    <n v="0"/>
    <n v="0"/>
    <n v="0"/>
    <n v="13.72"/>
    <s v=""/>
    <n v="0.26029114431486877"/>
    <n v="0"/>
    <n v="1"/>
  </r>
  <r>
    <s v="Utilidade Pública / Energia Elétrica / Energia Elétrica"/>
    <x v="513"/>
    <n v="5"/>
    <x v="5"/>
    <m/>
    <n v="2.36"/>
    <m/>
    <m/>
    <m/>
    <n v="0"/>
    <n v="0"/>
    <n v="0"/>
    <n v="3.6442125000000001"/>
    <n v="1.533773625"/>
    <n v="0.42087930519968308"/>
    <s v=""/>
    <n v="13.72"/>
    <n v="0"/>
    <n v="0"/>
    <n v="0"/>
    <n v="0"/>
    <n v="13.72"/>
    <s v=""/>
    <n v="0"/>
    <n v="0"/>
    <n v="0"/>
  </r>
  <r>
    <s v="Utilidade Pública / Energia Elétrica / Energia Elétrica"/>
    <x v="514"/>
    <n v="5"/>
    <x v="1"/>
    <s v="div"/>
    <n v="3.3088000000000002"/>
    <d v="2010-12-16T00:00:00"/>
    <d v="2010-12-27T00:00:00"/>
    <n v="1.3188500000000001"/>
    <n v="1.3188500000000001"/>
    <n v="1.3188500000000001"/>
    <n v="0.39858861218568664"/>
    <n v="3.3088000000000002"/>
    <n v="1.3188500000000001"/>
    <n v="0.39858861218568664"/>
    <s v=""/>
    <n v="13.5"/>
    <n v="0"/>
    <n v="0"/>
    <n v="0"/>
    <n v="0"/>
    <n v="13.5"/>
    <s v=""/>
    <n v="9.7692592592592595E-2"/>
    <n v="1"/>
    <n v="0"/>
  </r>
  <r>
    <s v="Utilidade Pública / Energia Elétrica / Energia Elétrica"/>
    <x v="514"/>
    <n v="5"/>
    <x v="3"/>
    <s v="div"/>
    <n v="3.5380500000000001"/>
    <d v="2011-12-06T00:00:00"/>
    <d v="2011-12-06T00:00:00"/>
    <n v="1.24505"/>
    <n v="1.24505"/>
    <n v="1.24505"/>
    <n v="0.35190288435720241"/>
    <n v="3.4234249999999999"/>
    <n v="1.2819500000000001"/>
    <n v="0.37446416965465879"/>
    <s v=""/>
    <n v="13.5"/>
    <n v="0"/>
    <n v="0"/>
    <n v="0"/>
    <n v="0"/>
    <n v="13.5"/>
    <s v=""/>
    <n v="9.222592592592592E-2"/>
    <n v="1"/>
    <n v="0"/>
  </r>
  <r>
    <s v="Utilidade Pública / Energia Elétrica / Energia Elétrica"/>
    <x v="514"/>
    <n v="4"/>
    <x v="4"/>
    <s v="div"/>
    <m/>
    <d v="2012-12-20T00:00:00"/>
    <d v="2013-01-15T00:00:00"/>
    <n v="1.87649"/>
    <n v="1.87649"/>
    <s v=""/>
    <s v=""/>
    <s v=""/>
    <s v=""/>
    <s v=""/>
    <s v=""/>
    <n v="13.5"/>
    <n v="0"/>
    <n v="0"/>
    <n v="0"/>
    <n v="0"/>
    <n v="13.5"/>
    <s v=""/>
    <s v=""/>
    <n v="1"/>
    <n v="0"/>
  </r>
  <r>
    <s v="Utilidade Pública / Energia Elétrica / Energia Elétrica"/>
    <x v="514"/>
    <n v="5"/>
    <x v="4"/>
    <s v="jcp"/>
    <n v="5.37"/>
    <d v="2012-12-20T00:00:00"/>
    <d v="2013-01-15T00:00:00"/>
    <n v="1.99377"/>
    <n v="1.6947045000000001"/>
    <n v="3.5711944999999998"/>
    <n v="0.66502690875232773"/>
    <n v="4.0722833333333339"/>
    <n v="2.0450314999999999"/>
    <n v="0.50218300953191686"/>
    <s v=""/>
    <n v="13.5"/>
    <n v="0"/>
    <n v="0"/>
    <n v="0"/>
    <n v="0"/>
    <n v="13.5"/>
    <s v=""/>
    <n v="0.26453292592592592"/>
    <n v="0"/>
    <n v="1"/>
  </r>
  <r>
    <s v="Utilidade Pública / Energia Elétrica / Energia Elétrica"/>
    <x v="514"/>
    <n v="5"/>
    <x v="5"/>
    <m/>
    <n v="2.36"/>
    <m/>
    <m/>
    <m/>
    <n v="0"/>
    <n v="0"/>
    <n v="0"/>
    <n v="3.6442125000000001"/>
    <n v="1.533773625"/>
    <n v="0.42087930519968308"/>
    <s v=""/>
    <n v="13.5"/>
    <n v="0"/>
    <n v="0"/>
    <n v="0"/>
    <n v="0"/>
    <n v="13.5"/>
    <s v=""/>
    <n v="0"/>
    <n v="0"/>
    <n v="0"/>
  </r>
  <r>
    <s v="Utilidade Pública / Energia Elétrica / Energia Elétrica"/>
    <x v="8"/>
    <n v="4"/>
    <x v="3"/>
    <s v="div"/>
    <m/>
    <d v="2010-04-30T00:00:00"/>
    <d v="2010-06-16T00:00:00"/>
    <n v="0.57686999999999999"/>
    <n v="0.57686999999999999"/>
    <s v=""/>
    <s v=""/>
    <s v=""/>
    <s v=""/>
    <s v=""/>
    <s v=""/>
    <n v="0"/>
    <n v="2.5299999999999998"/>
    <n v="0"/>
    <n v="0"/>
    <n v="0"/>
    <n v="2.5299999999999998"/>
    <s v=""/>
    <s v=""/>
    <n v="1"/>
    <n v="0"/>
  </r>
  <r>
    <s v="Utilidade Pública / Energia Elétrica / Energia Elétrica"/>
    <x v="8"/>
    <n v="5"/>
    <x v="3"/>
    <s v="div"/>
    <n v="0.34"/>
    <d v="2011-04-29T00:00:00"/>
    <d v="2011-05-18T00:00:00"/>
    <n v="0.24956"/>
    <n v="0.24956"/>
    <n v="0.82643"/>
    <n v="2.4306764705882351"/>
    <n v="0.32079999999999997"/>
    <n v="0.70165"/>
    <n v="2.1871882793017456"/>
    <s v=""/>
    <n v="0"/>
    <n v="2.5299999999999998"/>
    <n v="0"/>
    <n v="0"/>
    <n v="0"/>
    <n v="2.5299999999999998"/>
    <s v=""/>
    <n v="0.32665217391304352"/>
    <n v="1"/>
    <n v="0"/>
  </r>
  <r>
    <s v="Utilidade Pública / Energia Elétrica / Energia Elétrica"/>
    <x v="8"/>
    <n v="5"/>
    <x v="4"/>
    <m/>
    <n v="0.28000000000000003"/>
    <m/>
    <m/>
    <m/>
    <n v="0"/>
    <n v="0"/>
    <n v="0"/>
    <n v="0.30719999999999997"/>
    <n v="0.46776666666666666"/>
    <n v="1.5226779513888891"/>
    <s v=""/>
    <n v="0"/>
    <n v="2.5299999999999998"/>
    <n v="0"/>
    <n v="0"/>
    <n v="0"/>
    <n v="2.5299999999999998"/>
    <s v=""/>
    <n v="0"/>
    <n v="0"/>
    <n v="0"/>
  </r>
  <r>
    <s v="Utilidade Pública / Energia Elétrica / Energia Elétrica"/>
    <x v="8"/>
    <n v="5"/>
    <x v="5"/>
    <m/>
    <n v="0.23"/>
    <m/>
    <m/>
    <m/>
    <n v="0"/>
    <n v="0"/>
    <n v="0"/>
    <n v="0.28789999999999999"/>
    <n v="0.350825"/>
    <n v="1.2185654741229595"/>
    <s v=""/>
    <n v="0"/>
    <n v="2.5299999999999998"/>
    <n v="0"/>
    <n v="0"/>
    <n v="0"/>
    <n v="2.5299999999999998"/>
    <s v=""/>
    <n v="0"/>
    <n v="0"/>
    <n v="0"/>
  </r>
  <r>
    <s v="Utilidade Pública / Energia Elétrica / Energia Elétrica"/>
    <x v="210"/>
    <n v="4"/>
    <x v="1"/>
    <s v="div"/>
    <m/>
    <d v="2010-09-15T00:00:00"/>
    <d v="2010-09-28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1"/>
    <s v="div"/>
    <m/>
    <d v="2010-09-15T00:00:00"/>
    <d v="2010-09-28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1"/>
    <s v="div"/>
    <m/>
    <d v="2010-09-15T00:00:00"/>
    <d v="2010-09-28T00:00:00"/>
    <n v="5.6000000000000001E-2"/>
    <n v="5.6000000000000001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1"/>
    <s v="div"/>
    <n v="0.88490000000000002"/>
    <d v="2011-02-24T00:00:00"/>
    <d v="2011-03-15T00:00:00"/>
    <n v="0.16500000000000001"/>
    <n v="0.16500000000000001"/>
    <n v="0.6100000000000001"/>
    <n v="0.68934342863600417"/>
    <n v="0.88490000000000002"/>
    <n v="0.6100000000000001"/>
    <n v="0.68934342863600417"/>
    <s v=""/>
    <n v="10.71"/>
    <n v="0"/>
    <n v="0"/>
    <n v="0"/>
    <n v="0"/>
    <n v="10.71"/>
    <s v=""/>
    <n v="5.6956115779645197E-2"/>
    <n v="1"/>
    <n v="0"/>
  </r>
  <r>
    <s v="Utilidade Pública / Energia Elétrica / Energia Elétrica"/>
    <x v="211"/>
    <n v="5"/>
    <x v="1"/>
    <s v="div"/>
    <n v="0.17698"/>
    <d v="2011-02-24T00:00:00"/>
    <d v="2011-03-15T00:00:00"/>
    <n v="3.3000000000000002E-2"/>
    <n v="3.3000000000000002E-2"/>
    <n v="0.122"/>
    <n v="0.68934342863600406"/>
    <n v="0.17698"/>
    <n v="0.122"/>
    <n v="0.68934342863600406"/>
    <s v=""/>
    <n v="2.4700000000000002"/>
    <n v="0"/>
    <n v="0"/>
    <n v="0"/>
    <n v="0"/>
    <n v="2.4700000000000002"/>
    <s v=""/>
    <n v="4.939271255060728E-2"/>
    <n v="1"/>
    <n v="0"/>
  </r>
  <r>
    <s v="Utilidade Pública / Energia Elétrica / Energia Elétrica"/>
    <x v="212"/>
    <n v="5"/>
    <x v="1"/>
    <s v="div"/>
    <n v="0.17698"/>
    <d v="2011-02-24T00:00:00"/>
    <d v="2011-03-15T00:00:00"/>
    <n v="3.3000000000000002E-2"/>
    <n v="3.3000000000000002E-2"/>
    <n v="0.122"/>
    <n v="0.68934342863600406"/>
    <n v="0.17698"/>
    <n v="0.122"/>
    <n v="0.68934342863600406"/>
    <s v=""/>
    <n v="1.94"/>
    <n v="0"/>
    <n v="0"/>
    <n v="0"/>
    <n v="0"/>
    <n v="1.94"/>
    <s v=""/>
    <n v="6.2886597938144329E-2"/>
    <n v="1"/>
    <n v="0"/>
  </r>
  <r>
    <s v="Utilidade Pública / Energia Elétrica / Energia Elétrica"/>
    <x v="210"/>
    <n v="4"/>
    <x v="3"/>
    <s v="div"/>
    <m/>
    <d v="2011-08-10T00:00:00"/>
    <d v="2011-09-02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3"/>
    <s v="div"/>
    <m/>
    <d v="2011-08-10T00:00:00"/>
    <d v="2011-09-02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3"/>
    <s v="div"/>
    <m/>
    <d v="2011-08-10T00:00:00"/>
    <d v="2011-09-02T00:00:00"/>
    <n v="5.6000000000000001E-2"/>
    <n v="5.6000000000000001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3"/>
    <s v="div"/>
    <n v="0.96399999999999997"/>
    <d v="2012-03-08T00:00:00"/>
    <d v="2012-04-04T00:00:00"/>
    <n v="0.2"/>
    <n v="0.2"/>
    <n v="0.48000000000000004"/>
    <n v="0.49792531120331956"/>
    <n v="0.92444999999999999"/>
    <n v="0.54500000000000004"/>
    <n v="0.58953972632376017"/>
    <s v=""/>
    <n v="10.71"/>
    <n v="0"/>
    <n v="0"/>
    <n v="0"/>
    <n v="0"/>
    <n v="10.71"/>
    <s v=""/>
    <n v="4.4817927170868348E-2"/>
    <n v="1"/>
    <n v="0"/>
  </r>
  <r>
    <s v="Utilidade Pública / Energia Elétrica / Energia Elétrica"/>
    <x v="211"/>
    <n v="5"/>
    <x v="3"/>
    <s v="div"/>
    <n v="0.1928"/>
    <d v="2012-03-08T00:00:00"/>
    <d v="2012-04-04T00:00:00"/>
    <n v="0.04"/>
    <n v="0.04"/>
    <n v="9.6000000000000002E-2"/>
    <n v="0.49792531120331951"/>
    <n v="0.18489"/>
    <n v="0.109"/>
    <n v="0.58953972632376006"/>
    <s v=""/>
    <n v="2.4700000000000002"/>
    <n v="0"/>
    <n v="0"/>
    <n v="0"/>
    <n v="0"/>
    <n v="2.4700000000000002"/>
    <s v=""/>
    <n v="3.8866396761133598E-2"/>
    <n v="1"/>
    <n v="0"/>
  </r>
  <r>
    <s v="Utilidade Pública / Energia Elétrica / Energia Elétrica"/>
    <x v="212"/>
    <n v="5"/>
    <x v="3"/>
    <s v="div"/>
    <n v="0.1928"/>
    <d v="2012-03-08T00:00:00"/>
    <d v="2012-04-04T00:00:00"/>
    <n v="0.04"/>
    <n v="0.04"/>
    <n v="9.6000000000000002E-2"/>
    <n v="0.49792531120331951"/>
    <n v="0.18489"/>
    <n v="0.109"/>
    <n v="0.58953972632376006"/>
    <s v=""/>
    <n v="1.94"/>
    <n v="0"/>
    <n v="0"/>
    <n v="0"/>
    <n v="0"/>
    <n v="1.94"/>
    <s v=""/>
    <n v="4.9484536082474231E-2"/>
    <n v="1"/>
    <n v="0"/>
  </r>
  <r>
    <s v="Utilidade Pública / Energia Elétrica / Energia Elétrica"/>
    <x v="210"/>
    <n v="4"/>
    <x v="4"/>
    <s v="div"/>
    <m/>
    <d v="2012-08-09T00:00:00"/>
    <d v="2012-08-20T00:00:00"/>
    <n v="0.28000000000000003"/>
    <n v="0.28000000000000003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4"/>
    <s v="div"/>
    <m/>
    <d v="2012-08-09T00:00:00"/>
    <d v="2012-08-20T00:00:00"/>
    <n v="5.6000000000000001E-2"/>
    <n v="5.6000000000000001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4"/>
    <s v="div"/>
    <m/>
    <d v="2012-08-09T00:00:00"/>
    <d v="2012-08-20T00:00:00"/>
    <n v="5.6000000000000001E-2"/>
    <n v="5.6000000000000001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4"/>
    <s v="div"/>
    <n v="1.347"/>
    <d v="2013-01-29T00:00:00"/>
    <d v="2013-02-07T00:00:00"/>
    <n v="0.51500000000000001"/>
    <n v="0.51500000000000001"/>
    <n v="0.79500000000000004"/>
    <n v="0.5902004454342985"/>
    <n v="1.0652999999999999"/>
    <n v="0.62833333333333341"/>
    <n v="0.58981820457461132"/>
    <s v=""/>
    <n v="10.71"/>
    <n v="0"/>
    <n v="0"/>
    <n v="0"/>
    <n v="0"/>
    <n v="10.71"/>
    <s v=""/>
    <n v="7.42296918767507E-2"/>
    <n v="1"/>
    <n v="0"/>
  </r>
  <r>
    <s v="Utilidade Pública / Energia Elétrica / Energia Elétrica"/>
    <x v="211"/>
    <n v="5"/>
    <x v="4"/>
    <s v="div"/>
    <n v="0.26939999999999997"/>
    <d v="2013-01-29T00:00:00"/>
    <d v="2013-02-07T00:00:00"/>
    <n v="0.10299999999999999"/>
    <n v="0.10299999999999999"/>
    <n v="0.159"/>
    <n v="0.5902004454342985"/>
    <n v="0.21306"/>
    <n v="0.12566666666666668"/>
    <n v="0.58981820457461132"/>
    <s v=""/>
    <n v="2.4700000000000002"/>
    <n v="0"/>
    <n v="0"/>
    <n v="0"/>
    <n v="0"/>
    <n v="2.4700000000000002"/>
    <s v=""/>
    <n v="6.4372469635627524E-2"/>
    <n v="1"/>
    <n v="0"/>
  </r>
  <r>
    <s v="Utilidade Pública / Energia Elétrica / Energia Elétrica"/>
    <x v="212"/>
    <n v="5"/>
    <x v="4"/>
    <s v="div"/>
    <n v="0.26939999999999997"/>
    <d v="2013-01-29T00:00:00"/>
    <d v="2013-02-07T00:00:00"/>
    <n v="0.10299999999999999"/>
    <n v="0.10299999999999999"/>
    <n v="0.159"/>
    <n v="0.5902004454342985"/>
    <n v="0.21306"/>
    <n v="0.12566666666666668"/>
    <n v="0.58981820457461132"/>
    <s v=""/>
    <n v="1.94"/>
    <n v="0"/>
    <n v="0"/>
    <n v="0"/>
    <n v="0"/>
    <n v="1.94"/>
    <s v=""/>
    <n v="8.1958762886597938E-2"/>
    <n v="1"/>
    <n v="0"/>
  </r>
  <r>
    <s v="Utilidade Pública / Energia Elétrica / Energia Elétrica"/>
    <x v="210"/>
    <n v="4"/>
    <x v="5"/>
    <s v="div"/>
    <m/>
    <d v="2013-05-24T00:00:00"/>
    <d v="2013-06-03T00:00:00"/>
    <n v="0.16350000000000001"/>
    <n v="0.16350000000000001"/>
    <s v=""/>
    <s v=""/>
    <s v=""/>
    <s v=""/>
    <s v=""/>
    <s v=""/>
    <n v="10.71"/>
    <n v="0"/>
    <n v="0"/>
    <n v="0"/>
    <n v="0"/>
    <n v="10.71"/>
    <s v=""/>
    <s v=""/>
    <n v="1"/>
    <n v="0"/>
  </r>
  <r>
    <s v="Utilidade Pública / Energia Elétrica / Energia Elétrica"/>
    <x v="211"/>
    <n v="4"/>
    <x v="5"/>
    <s v="div"/>
    <m/>
    <d v="2013-05-24T00:00:00"/>
    <d v="2013-06-03T00:00:00"/>
    <n v="3.27E-2"/>
    <n v="3.27E-2"/>
    <s v=""/>
    <s v=""/>
    <s v=""/>
    <s v=""/>
    <s v=""/>
    <s v=""/>
    <n v="2.4700000000000002"/>
    <n v="0"/>
    <n v="0"/>
    <n v="0"/>
    <n v="0"/>
    <n v="2.4700000000000002"/>
    <s v=""/>
    <s v=""/>
    <n v="1"/>
    <n v="0"/>
  </r>
  <r>
    <s v="Utilidade Pública / Energia Elétrica / Energia Elétrica"/>
    <x v="212"/>
    <n v="4"/>
    <x v="5"/>
    <s v="div"/>
    <m/>
    <d v="2013-05-24T00:00:00"/>
    <d v="2013-06-03T00:00:00"/>
    <n v="3.27E-2"/>
    <n v="3.27E-2"/>
    <s v=""/>
    <s v=""/>
    <s v=""/>
    <s v=""/>
    <s v=""/>
    <s v=""/>
    <n v="1.94"/>
    <n v="0"/>
    <n v="0"/>
    <n v="0"/>
    <n v="0"/>
    <n v="1.94"/>
    <s v=""/>
    <s v=""/>
    <n v="1"/>
    <n v="0"/>
  </r>
  <r>
    <s v="Utilidade Pública / Energia Elétrica / Energia Elétrica"/>
    <x v="210"/>
    <n v="5"/>
    <x v="5"/>
    <s v="div"/>
    <n v="0.81499999999999995"/>
    <d v="2013-08-08T00:00:00"/>
    <d v="2013-08-21T00:00:00"/>
    <n v="0.11650000000000001"/>
    <n v="0.11650000000000001"/>
    <n v="0.28000000000000003"/>
    <n v="0.34355828220858903"/>
    <n v="1.0027249999999999"/>
    <n v="0.54125000000000001"/>
    <n v="0.53977910194719403"/>
    <s v=""/>
    <n v="10.71"/>
    <n v="0"/>
    <n v="0"/>
    <n v="0"/>
    <n v="0"/>
    <n v="10.71"/>
    <s v=""/>
    <n v="2.6143790849673203E-2"/>
    <n v="1"/>
    <n v="0"/>
  </r>
  <r>
    <s v="Utilidade Pública / Energia Elétrica / Energia Elétrica"/>
    <x v="211"/>
    <n v="5"/>
    <x v="5"/>
    <s v="div"/>
    <n v="0.16300000000000001"/>
    <d v="2013-08-08T00:00:00"/>
    <d v="2013-08-21T00:00:00"/>
    <n v="2.3300000000000001E-2"/>
    <n v="2.3300000000000001E-2"/>
    <n v="5.6000000000000001E-2"/>
    <n v="0.34355828220858897"/>
    <n v="0.200545"/>
    <n v="0.10825"/>
    <n v="0.53977910194719392"/>
    <s v=""/>
    <n v="2.4700000000000002"/>
    <n v="0"/>
    <n v="0"/>
    <n v="0"/>
    <n v="0"/>
    <n v="2.4700000000000002"/>
    <s v=""/>
    <n v="2.2672064777327933E-2"/>
    <n v="1"/>
    <n v="0"/>
  </r>
  <r>
    <s v="Utilidade Pública / Energia Elétrica / Energia Elétrica"/>
    <x v="212"/>
    <n v="5"/>
    <x v="5"/>
    <s v="div"/>
    <n v="0.16300000000000001"/>
    <d v="2013-08-08T00:00:00"/>
    <d v="2013-08-21T00:00:00"/>
    <n v="2.3300000000000001E-2"/>
    <n v="2.3300000000000001E-2"/>
    <n v="5.6000000000000001E-2"/>
    <n v="0.34355828220858897"/>
    <n v="0.200545"/>
    <n v="0.10825"/>
    <n v="0.53977910194719392"/>
    <s v=""/>
    <n v="1.94"/>
    <n v="0"/>
    <n v="0"/>
    <n v="0"/>
    <n v="0"/>
    <n v="1.94"/>
    <s v=""/>
    <n v="2.88659793814433E-2"/>
    <n v="1"/>
    <n v="0"/>
  </r>
  <r>
    <s v="Utilidade Pública / Energia Elétrica / Energia Elétrica"/>
    <x v="100"/>
    <n v="4"/>
    <x v="1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1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5"/>
    <x v="1"/>
    <s v="div"/>
    <n v="0.06"/>
    <d v="2010-04-30T00:00:00"/>
    <d v="2010-06-21T00:00:00"/>
    <n v="0.03"/>
    <n v="0.03"/>
    <n v="0.11"/>
    <n v="1.8333333333333335"/>
    <n v="0.06"/>
    <n v="0.11"/>
    <n v="1.8333333333333335"/>
    <s v=""/>
    <n v="0"/>
    <n v="1.07"/>
    <n v="0"/>
    <n v="0"/>
    <n v="0"/>
    <n v="1.07"/>
    <s v=""/>
    <n v="0.10280373831775701"/>
    <n v="1"/>
    <n v="0"/>
  </r>
  <r>
    <s v="Utilidade Pública / Energia Elétrica / Energia Elétrica"/>
    <x v="100"/>
    <n v="4"/>
    <x v="3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3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3"/>
    <s v="div"/>
    <m/>
    <d v="2010-04-30T00:00:00"/>
    <d v="2010-06-21T00:00:00"/>
    <n v="0.03"/>
    <n v="0.03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5"/>
    <x v="3"/>
    <s v="div"/>
    <n v="0.05"/>
    <d v="2011-04-29T00:00:00"/>
    <d v="2011-12-31T00:00:00"/>
    <n v="0.01"/>
    <n v="0.01"/>
    <n v="0.11"/>
    <n v="2.1999999999999997"/>
    <n v="5.5E-2"/>
    <n v="0.11"/>
    <n v="2"/>
    <s v=""/>
    <n v="0"/>
    <n v="1.07"/>
    <n v="0"/>
    <n v="0"/>
    <n v="0"/>
    <n v="1.07"/>
    <s v=""/>
    <n v="0.10280373831775701"/>
    <n v="1"/>
    <n v="0"/>
  </r>
  <r>
    <s v="Utilidade Pública / Energia Elétrica / Energia Elétrica"/>
    <x v="100"/>
    <n v="4"/>
    <x v="4"/>
    <s v="div"/>
    <m/>
    <d v="2009-04-29T00:00:00"/>
    <d v="2009-10-30T00:00:00"/>
    <n v="0.02"/>
    <n v="0.02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4"/>
    <s v="div"/>
    <m/>
    <d v="2009-11-17T00:00:00"/>
    <d v="2009-11-30T00:00:00"/>
    <n v="0.05"/>
    <n v="0.05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4"/>
    <s v="div"/>
    <m/>
    <d v="2010-04-30T00:00:00"/>
    <d v="2010-06-21T00:00:00"/>
    <n v="0.03"/>
    <n v="0.03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4"/>
    <x v="4"/>
    <s v="div"/>
    <m/>
    <d v="2011-04-29T00:00:00"/>
    <d v="2011-12-31T00:00:00"/>
    <n v="0.01"/>
    <n v="0.01"/>
    <s v=""/>
    <s v=""/>
    <s v=""/>
    <s v=""/>
    <s v=""/>
    <s v=""/>
    <n v="0"/>
    <n v="1.07"/>
    <n v="0"/>
    <n v="0"/>
    <n v="0"/>
    <n v="1.07"/>
    <s v=""/>
    <s v=""/>
    <n v="1"/>
    <n v="0"/>
  </r>
  <r>
    <s v="Utilidade Pública / Energia Elétrica / Energia Elétrica"/>
    <x v="100"/>
    <n v="5"/>
    <x v="4"/>
    <s v="div"/>
    <n v="0.14000000000000001"/>
    <d v="2012-04-27T00:00:00"/>
    <d v="2012-12-10T00:00:00"/>
    <n v="0.01"/>
    <n v="0.01"/>
    <n v="0.12"/>
    <n v="0.85714285714285698"/>
    <n v="8.3333333333333329E-2"/>
    <n v="0.11333333333333333"/>
    <n v="1.36"/>
    <s v=""/>
    <n v="0"/>
    <n v="1.07"/>
    <n v="0"/>
    <n v="0"/>
    <n v="0"/>
    <n v="1.07"/>
    <s v=""/>
    <n v="0.11214953271028036"/>
    <n v="1"/>
    <n v="0"/>
  </r>
  <r>
    <s v="Utilidade Pública / Energia Elétrica / Energia Elétrica"/>
    <x v="100"/>
    <n v="5"/>
    <x v="5"/>
    <s v="div"/>
    <n v="0.13131000000000001"/>
    <d v="2013-04-30T00:00:00"/>
    <m/>
    <n v="2.9870000000000001E-2"/>
    <n v="2.9870000000000001E-2"/>
    <n v="2.9870000000000001E-2"/>
    <n v="0.22747696291219252"/>
    <n v="9.5327500000000009E-2"/>
    <n v="9.2467499999999994E-2"/>
    <n v="0.96999816422333518"/>
    <s v=""/>
    <n v="0"/>
    <n v="1.07"/>
    <n v="0"/>
    <n v="0"/>
    <n v="0"/>
    <n v="1.07"/>
    <s v=""/>
    <n v="2.7915887850467287E-2"/>
    <n v="1"/>
    <n v="0"/>
  </r>
  <r>
    <s v="Utilidade Pública / Energia Elétrica / Energia Elétrica"/>
    <x v="515"/>
    <n v="4"/>
    <x v="1"/>
    <s v="div"/>
    <m/>
    <d v="2010-04-30T00:00:00"/>
    <d v="2010-06-29T00:00:00"/>
    <n v="1.111E-2"/>
    <n v="1.111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515"/>
    <n v="5"/>
    <x v="1"/>
    <s v="jcp"/>
    <n v="1.515E-2"/>
    <d v="2010-12-29T00:00:00"/>
    <m/>
    <n v="2.8900000000000002E-3"/>
    <n v="2.4564999999999999E-3"/>
    <n v="1.35665E-2"/>
    <n v="0.89547854785478553"/>
    <n v="1.515E-2"/>
    <n v="1.35665E-2"/>
    <n v="0.89547854785478553"/>
    <s v=""/>
    <n v="0.12"/>
    <n v="0"/>
    <n v="0"/>
    <n v="0"/>
    <n v="0"/>
    <n v="0.12"/>
    <s v=""/>
    <n v="0.11305416666666668"/>
    <n v="0"/>
    <n v="1"/>
  </r>
  <r>
    <s v="Utilidade Pública / Energia Elétrica / Energia Elétrica"/>
    <x v="515"/>
    <n v="4"/>
    <x v="3"/>
    <s v="div"/>
    <m/>
    <d v="2011-05-19T00:00:00"/>
    <d v="2011-07-18T00:00:00"/>
    <n v="1.1E-4"/>
    <n v="1.1E-4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4"/>
    <x v="3"/>
    <s v="div"/>
    <m/>
    <d v="2011-05-19T00:00:00"/>
    <d v="2011-07-18T00:00:00"/>
    <n v="1E-4"/>
    <n v="1E-4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3"/>
    <s v="jcp"/>
    <n v="1.528E-2"/>
    <d v="2011-12-30T00:00:00"/>
    <m/>
    <n v="6.2500000000000003E-3"/>
    <n v="5.3125000000000004E-3"/>
    <n v="5.4125000000000006E-3"/>
    <n v="0.35422120418848169"/>
    <n v="1.4525E-2"/>
    <n v="8.8739999999999999E-3"/>
    <n v="0.61094664371772811"/>
    <s v=""/>
    <n v="0.12"/>
    <n v="0"/>
    <n v="0"/>
    <n v="0"/>
    <n v="0"/>
    <n v="0.12"/>
    <s v=""/>
    <n v="4.5104166666666674E-2"/>
    <n v="0"/>
    <n v="1"/>
  </r>
  <r>
    <s v="Utilidade Pública / Energia Elétrica / Energia Elétrica"/>
    <x v="515"/>
    <n v="5"/>
    <x v="3"/>
    <s v="jcp"/>
    <n v="1.6809999999999999E-2"/>
    <d v="2011-12-30T00:00:00"/>
    <m/>
    <n v="6.8700000000000002E-3"/>
    <n v="5.8395000000000001E-3"/>
    <n v="5.9494999999999999E-3"/>
    <n v="0.3539262343842951"/>
    <n v="1.5980000000000001E-2"/>
    <n v="9.7579999999999993E-3"/>
    <n v="0.61063829787234036"/>
    <s v=""/>
    <n v="0.12"/>
    <n v="0"/>
    <n v="0"/>
    <n v="0"/>
    <n v="0"/>
    <n v="0.12"/>
    <s v=""/>
    <n v="4.9579166666666667E-2"/>
    <n v="0"/>
    <n v="1"/>
  </r>
  <r>
    <s v="Utilidade Pública / Energia Elétrica / Energia Elétrica"/>
    <x v="250"/>
    <n v="4"/>
    <x v="4"/>
    <s v="div"/>
    <m/>
    <d v="2012-04-27T00:00:00"/>
    <d v="2012-06-25T00:00:00"/>
    <n v="8.2699999999999996E-3"/>
    <n v="8.2699999999999996E-3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515"/>
    <n v="4"/>
    <x v="4"/>
    <s v="div"/>
    <m/>
    <d v="2012-04-27T00:00:00"/>
    <d v="2012-06-25T00:00:00"/>
    <n v="9.1000000000000004E-3"/>
    <n v="9.1000000000000004E-3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4"/>
    <s v="jcp"/>
    <n v="1.754E-2"/>
    <d v="2012-08-28T00:00:00"/>
    <m/>
    <n v="5.9100000000000003E-3"/>
    <n v="5.0235000000000002E-3"/>
    <n v="1.32935E-2"/>
    <n v="0.75789623717217791"/>
    <n v="1.553E-2"/>
    <n v="1.0347166666666666E-2"/>
    <n v="0.66626958574801454"/>
    <s v=""/>
    <n v="0.12"/>
    <n v="0"/>
    <n v="0"/>
    <n v="0"/>
    <n v="0"/>
    <n v="0.12"/>
    <s v=""/>
    <n v="0.11077916666666666"/>
    <n v="0"/>
    <n v="1"/>
  </r>
  <r>
    <s v="Utilidade Pública / Energia Elétrica / Energia Elétrica"/>
    <x v="515"/>
    <n v="5"/>
    <x v="4"/>
    <s v="jcp"/>
    <n v="1.9300000000000001E-2"/>
    <d v="2012-08-28T00:00:00"/>
    <m/>
    <n v="6.5100000000000002E-3"/>
    <n v="5.5335000000000002E-3"/>
    <n v="1.4633500000000001E-2"/>
    <n v="0.75821243523316062"/>
    <n v="1.7086666666666667E-2"/>
    <n v="1.1383166666666666E-2"/>
    <n v="0.66620171673819739"/>
    <s v=""/>
    <n v="0.12"/>
    <n v="0"/>
    <n v="0"/>
    <n v="0"/>
    <n v="0"/>
    <n v="0.12"/>
    <s v=""/>
    <n v="0.12194583333333334"/>
    <n v="0"/>
    <n v="1"/>
  </r>
  <r>
    <s v="Utilidade Pública / Energia Elétrica / Energia Elétrica"/>
    <x v="250"/>
    <n v="4"/>
    <x v="5"/>
    <s v="div"/>
    <m/>
    <d v="2013-04-29T00:00:00"/>
    <d v="2013-08-08T00:00:00"/>
    <n v="1.0749999999999999E-2"/>
    <n v="1.0749999999999999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515"/>
    <n v="4"/>
    <x v="5"/>
    <s v="div"/>
    <m/>
    <d v="2013-04-29T00:00:00"/>
    <d v="2013-08-08T00:00:00"/>
    <n v="1.1820000000000001E-2"/>
    <n v="1.1820000000000001E-2"/>
    <s v=""/>
    <s v=""/>
    <s v=""/>
    <s v=""/>
    <s v=""/>
    <s v=""/>
    <n v="0.12"/>
    <n v="0"/>
    <n v="0"/>
    <n v="0"/>
    <n v="0"/>
    <n v="0.12"/>
    <s v=""/>
    <s v=""/>
    <n v="1"/>
    <n v="0"/>
  </r>
  <r>
    <s v="Utilidade Pública / Energia Elétrica / Energia Elétrica"/>
    <x v="250"/>
    <n v="5"/>
    <x v="5"/>
    <s v="jcp"/>
    <n v="2.2249999999999999E-2"/>
    <d v="2013-12-27T00:00:00"/>
    <m/>
    <n v="7.2000000000000005E-4"/>
    <n v="6.1200000000000002E-4"/>
    <n v="1.1361999999999999E-2"/>
    <n v="0.51065168539325845"/>
    <n v="1.721E-2"/>
    <n v="1.0600874999999999E-2"/>
    <n v="0.61597181871005224"/>
    <s v=""/>
    <n v="0.12"/>
    <n v="0"/>
    <n v="0"/>
    <n v="0"/>
    <n v="0"/>
    <n v="0.12"/>
    <s v=""/>
    <n v="9.4683333333333328E-2"/>
    <n v="0"/>
    <n v="1"/>
  </r>
  <r>
    <s v="Utilidade Pública / Energia Elétrica / Energia Elétrica"/>
    <x v="515"/>
    <n v="5"/>
    <x v="5"/>
    <s v="jcp"/>
    <n v="2.4479999999999998E-2"/>
    <d v="2013-12-27T00:00:00"/>
    <m/>
    <n v="7.9000000000000001E-4"/>
    <n v="6.715E-4"/>
    <n v="1.2491500000000001E-2"/>
    <n v="0.51027369281045754"/>
    <n v="1.8935E-2"/>
    <n v="1.166025E-2"/>
    <n v="0.61580406654343811"/>
    <s v=""/>
    <n v="0.12"/>
    <n v="0"/>
    <n v="0"/>
    <n v="0"/>
    <n v="0"/>
    <n v="0.12"/>
    <s v=""/>
    <n v="0.10409583333333335"/>
    <n v="0"/>
    <n v="1"/>
  </r>
  <r>
    <s v="Utilidade Pública / Energia Elétrica / Energia Elétrica"/>
    <x v="203"/>
    <n v="4"/>
    <x v="2"/>
    <s v="div"/>
    <m/>
    <d v="2000-03-23T00:00:00"/>
    <d v="2000-06-29T00:00:00"/>
    <n v="0.255"/>
    <n v="0.255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2"/>
    <s v="div"/>
    <m/>
    <d v="2000-03-23T00:00:00"/>
    <d v="2000-06-29T00:00:00"/>
    <n v="0.27999999999999997"/>
    <n v="0.27999999999999997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2"/>
    <s v="div"/>
    <m/>
    <d v="2000-12-05T00:00:00"/>
    <d v="2000-12-15T00:00:00"/>
    <n v="1.3049999999999999"/>
    <n v="1.3049999999999999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2"/>
    <s v="div"/>
    <m/>
    <d v="2000-12-05T00:00:00"/>
    <d v="2000-12-15T00:00:00"/>
    <n v="1.4350000000000001"/>
    <n v="1.4350000000000001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5"/>
    <x v="2"/>
    <s v="jcp"/>
    <n v="1.4275"/>
    <d v="2000-12-05T00:00:00"/>
    <d v="2000-12-15T00:00:00"/>
    <n v="0.88500000000000001"/>
    <n v="0.75224999999999997"/>
    <n v="2.96225"/>
    <n v="2.0751313485113836"/>
    <n v="0.30374999999999996"/>
    <n v="0.95662500000000006"/>
    <n v="3.1493827160493835"/>
    <s v=""/>
    <n v="15"/>
    <n v="0"/>
    <n v="0"/>
    <n v="0"/>
    <n v="0"/>
    <n v="15"/>
    <s v=""/>
    <n v="0.19748333333333334"/>
    <n v="0"/>
    <n v="1"/>
  </r>
  <r>
    <s v="Utilidade Pública / Energia Elétrica / Energia Elétrica"/>
    <x v="204"/>
    <n v="5"/>
    <x v="2"/>
    <s v="jcp"/>
    <n v="1.4275"/>
    <d v="2000-12-05T00:00:00"/>
    <d v="2000-12-15T00:00:00"/>
    <n v="0.97249999999999992"/>
    <n v="0.82662499999999994"/>
    <n v="3.2566250000000001"/>
    <n v="2.2813485113835377"/>
    <n v="0.30374999999999996"/>
    <n v="1.0518437500000002"/>
    <n v="3.4628600823045277"/>
    <s v=""/>
    <n v="7.94"/>
    <n v="0"/>
    <n v="0"/>
    <n v="0"/>
    <n v="0"/>
    <n v="7.94"/>
    <s v=""/>
    <n v="0.41015428211586902"/>
    <n v="0"/>
    <n v="1"/>
  </r>
  <r>
    <s v="Utilidade Pública / Energia Elétrica / Energia Elétrica"/>
    <x v="203"/>
    <n v="5"/>
    <x v="6"/>
    <s v="jcp"/>
    <n v="3.3899999999999997"/>
    <d v="2001-03-27T00:00:00"/>
    <m/>
    <n v="0.71"/>
    <n v="0.60349999999999993"/>
    <n v="0.60349999999999993"/>
    <n v="0.178023598820059"/>
    <n v="0.92099999999999993"/>
    <n v="0.8859999999999999"/>
    <n v="0.96199782844733983"/>
    <s v=""/>
    <n v="15"/>
    <n v="0"/>
    <n v="0"/>
    <n v="0"/>
    <n v="0"/>
    <n v="15"/>
    <s v=""/>
    <n v="4.0233333333333329E-2"/>
    <n v="0"/>
    <n v="1"/>
  </r>
  <r>
    <s v="Utilidade Pública / Energia Elétrica / Energia Elétrica"/>
    <x v="204"/>
    <n v="5"/>
    <x v="6"/>
    <s v="jcp"/>
    <n v="3.3899999999999997"/>
    <d v="2001-03-27T00:00:00"/>
    <m/>
    <n v="0.78"/>
    <n v="0.66300000000000003"/>
    <n v="0.66300000000000003"/>
    <n v="0.19557522123893809"/>
    <n v="0.92099999999999993"/>
    <n v="0.97407500000000002"/>
    <n v="1.0576275787187841"/>
    <s v=""/>
    <n v="7.94"/>
    <n v="0"/>
    <n v="0"/>
    <n v="0"/>
    <n v="0"/>
    <n v="7.94"/>
    <s v=""/>
    <n v="8.3501259445843828E-2"/>
    <n v="0"/>
    <n v="1"/>
  </r>
  <r>
    <s v="Utilidade Pública / Energia Elétrica / Energia Elétrica"/>
    <x v="203"/>
    <n v="5"/>
    <x v="7"/>
    <m/>
    <n v="-5.2050000000000001"/>
    <m/>
    <m/>
    <m/>
    <n v="0"/>
    <n v="0"/>
    <n v="0"/>
    <n v="-0.10000000000000003"/>
    <n v="0.73833333333333329"/>
    <n v="-7.3833333333333302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7"/>
    <m/>
    <n v="-5.2050000000000001"/>
    <m/>
    <m/>
    <m/>
    <n v="0"/>
    <n v="0"/>
    <n v="0"/>
    <n v="-0.10000000000000003"/>
    <n v="0.81172916666666672"/>
    <n v="-8.1172916666666648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8"/>
    <m/>
    <n v="0.51500000000000001"/>
    <m/>
    <m/>
    <m/>
    <n v="0"/>
    <n v="0"/>
    <n v="0"/>
    <n v="-1.2142857142857153E-2"/>
    <n v="0.63285714285714278"/>
    <n v="-52.117647058823479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8"/>
    <m/>
    <n v="0.51500000000000001"/>
    <m/>
    <m/>
    <m/>
    <n v="0"/>
    <n v="0"/>
    <n v="0"/>
    <n v="-1.2142857142857153E-2"/>
    <n v="0.69576785714285716"/>
    <n v="-57.298529411764662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9"/>
    <m/>
    <n v="3.2499999999999994E-2"/>
    <m/>
    <m/>
    <m/>
    <n v="0"/>
    <n v="0"/>
    <n v="0"/>
    <n v="-6.5625000000000405E-3"/>
    <n v="0.55374999999999996"/>
    <n v="-84.380952380951854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9"/>
    <m/>
    <n v="3.2499999999999994E-2"/>
    <m/>
    <m/>
    <m/>
    <n v="0"/>
    <n v="0"/>
    <n v="0"/>
    <n v="-6.5625000000000405E-3"/>
    <n v="0.60879687500000002"/>
    <n v="-92.769047619047043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10"/>
    <m/>
    <n v="-1.1025"/>
    <m/>
    <m/>
    <m/>
    <n v="0"/>
    <n v="0"/>
    <n v="0"/>
    <n v="-0.12833333333333335"/>
    <n v="0.49222222222222217"/>
    <n v="-3.8354978354978346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10"/>
    <m/>
    <n v="-1.1025"/>
    <m/>
    <m/>
    <m/>
    <n v="0"/>
    <n v="0"/>
    <n v="0"/>
    <n v="-0.12833333333333335"/>
    <n v="0.54115277777777782"/>
    <n v="-4.2167748917748913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11"/>
    <m/>
    <n v="2.2300000000000004"/>
    <m/>
    <m/>
    <m/>
    <n v="0"/>
    <n v="0"/>
    <n v="0"/>
    <n v="0.10750000000000001"/>
    <n v="0.44299999999999995"/>
    <n v="4.1209302325581385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11"/>
    <m/>
    <n v="2.2300000000000004"/>
    <m/>
    <m/>
    <m/>
    <n v="0"/>
    <n v="0"/>
    <n v="0"/>
    <n v="0.10750000000000001"/>
    <n v="0.48703750000000001"/>
    <n v="4.530581395348837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4"/>
    <x v="12"/>
    <s v="div"/>
    <m/>
    <d v="2007-08-10T00:00:00"/>
    <d v="2007-09-03T00:00:00"/>
    <n v="2.5249999999999999"/>
    <n v="2.5249999999999999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2"/>
    <s v="div"/>
    <m/>
    <d v="2007-08-10T00:00:00"/>
    <d v="2007-09-03T00:00:00"/>
    <n v="3.0225"/>
    <n v="3.0225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12"/>
    <s v="jcp"/>
    <m/>
    <d v="2008-03-18T00:00:00"/>
    <d v="2008-05-08T00:00:00"/>
    <n v="0.38249999999999995"/>
    <n v="0.32512499999999994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12"/>
    <s v="jcp"/>
    <m/>
    <d v="2008-03-18T00:00:00"/>
    <d v="2008-05-08T00:00:00"/>
    <n v="0.42000000000000004"/>
    <n v="0.35700000000000004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516"/>
    <n v="4"/>
    <x v="1"/>
    <s v="div"/>
    <m/>
    <d v="2010-01-22T00:00:00"/>
    <d v="2010-02-26T00:00:00"/>
    <n v="2.8579400000000001"/>
    <n v="2.8579400000000001"/>
    <s v=""/>
    <s v=""/>
    <s v=""/>
    <s v=""/>
    <s v=""/>
    <s v=""/>
    <n v="5.35"/>
    <n v="0"/>
    <n v="0"/>
    <n v="0"/>
    <n v="0"/>
    <n v="5.35"/>
    <s v=""/>
    <s v=""/>
    <n v="1"/>
    <n v="0"/>
  </r>
  <r>
    <s v="Utilidade Pública / Energia Elétrica / Energia Elétrica"/>
    <x v="517"/>
    <n v="4"/>
    <x v="1"/>
    <s v="div"/>
    <m/>
    <d v="2010-01-22T00:00:00"/>
    <d v="2010-02-26T00:00:00"/>
    <n v="3.6338300000000001"/>
    <n v="3.6338300000000001"/>
    <s v=""/>
    <s v=""/>
    <s v=""/>
    <s v=""/>
    <s v=""/>
    <s v=""/>
    <n v="0"/>
    <n v="23.01"/>
    <n v="0"/>
    <n v="0"/>
    <n v="0"/>
    <n v="23.01"/>
    <s v=""/>
    <s v=""/>
    <n v="1"/>
    <n v="0"/>
  </r>
  <r>
    <s v="Utilidade Pública / Energia Elétrica / Energia Elétrica"/>
    <x v="518"/>
    <n v="4"/>
    <x v="1"/>
    <s v="div"/>
    <m/>
    <d v="2010-01-22T00:00:00"/>
    <d v="2010-02-26T00:00:00"/>
    <n v="4.5879999999999997E-2"/>
    <n v="4.5879999999999997E-2"/>
    <s v=""/>
    <s v=""/>
    <s v=""/>
    <s v=""/>
    <s v=""/>
    <s v=""/>
    <n v="9.67"/>
    <n v="0"/>
    <n v="0"/>
    <n v="0"/>
    <n v="0"/>
    <n v="9.67"/>
    <s v=""/>
    <s v=""/>
    <n v="1"/>
    <n v="0"/>
  </r>
  <r>
    <s v="Utilidade Pública / Energia Elétrica / Energia Elétrica"/>
    <x v="516"/>
    <n v="5"/>
    <x v="1"/>
    <s v="jcp"/>
    <n v="1.98516"/>
    <d v="2010-04-30T00:00:00"/>
    <d v="2010-05-18T00:00:00"/>
    <n v="0.42254999999999998"/>
    <n v="0.35916749999999997"/>
    <n v="3.2171075"/>
    <n v="1.6205784420399363"/>
    <n v="2.2313399999999999"/>
    <n v="0.804276875"/>
    <n v="0.36044568510401825"/>
    <s v=""/>
    <n v="5.35"/>
    <n v="0"/>
    <n v="0"/>
    <n v="0"/>
    <n v="0"/>
    <n v="5.35"/>
    <s v=""/>
    <n v="0.60132850467289722"/>
    <n v="0"/>
    <n v="1"/>
  </r>
  <r>
    <s v="Utilidade Pública / Energia Elétrica / Energia Elétrica"/>
    <x v="517"/>
    <n v="5"/>
    <x v="1"/>
    <s v="jcp"/>
    <n v="1.98516"/>
    <d v="2010-04-30T00:00:00"/>
    <d v="2010-05-18T00:00:00"/>
    <n v="2.2424300000000001"/>
    <n v="1.9060655"/>
    <n v="5.5398955000000001"/>
    <n v="2.7906544056902214"/>
    <n v="2.2313399999999999"/>
    <n v="1.384973875"/>
    <n v="0.62069154633538592"/>
    <s v=""/>
    <n v="0"/>
    <n v="23.01"/>
    <n v="0"/>
    <n v="0"/>
    <n v="0"/>
    <n v="23.01"/>
    <s v=""/>
    <n v="0.24076034332898738"/>
    <n v="0"/>
    <n v="1"/>
  </r>
  <r>
    <s v="Utilidade Pública / Energia Elétrica / Energia Elétrica"/>
    <x v="518"/>
    <n v="5"/>
    <x v="1"/>
    <s v="jcp"/>
    <n v="1.98516"/>
    <d v="2010-04-30T00:00:00"/>
    <d v="2010-05-18T00:00:00"/>
    <n v="1.6818200000000001"/>
    <n v="1.4295470000000001"/>
    <n v="1.475427"/>
    <n v="0.74322825364202383"/>
    <n v="2.2313399999999999"/>
    <n v="0.36885675000000001"/>
    <n v="0.16530728172309017"/>
    <s v=""/>
    <n v="9.67"/>
    <n v="0"/>
    <n v="0"/>
    <n v="0"/>
    <n v="0"/>
    <n v="9.67"/>
    <s v=""/>
    <n v="0.15257776628748707"/>
    <n v="0"/>
    <n v="1"/>
  </r>
  <r>
    <s v="Utilidade Pública / Energia Elétrica / Energia Elétrica"/>
    <x v="516"/>
    <n v="5"/>
    <x v="3"/>
    <s v="jcp"/>
    <n v="2.7594799999999999"/>
    <d v="2011-06-16T00:00:00"/>
    <d v="2011-06-29T00:00:00"/>
    <n v="0.87736000000000003"/>
    <n v="0.74575599999999997"/>
    <n v="0.74575599999999997"/>
    <n v="0.2702523663878702"/>
    <n v="2.3369680000000002"/>
    <n v="0.79257270000000002"/>
    <n v="0.33914572214938327"/>
    <s v=""/>
    <n v="5.35"/>
    <n v="0"/>
    <n v="0"/>
    <n v="0"/>
    <n v="0"/>
    <n v="5.35"/>
    <s v=""/>
    <n v="0.13939364485981309"/>
    <n v="0"/>
    <n v="1"/>
  </r>
  <r>
    <s v="Utilidade Pública / Energia Elétrica / Energia Elétrica"/>
    <x v="517"/>
    <n v="5"/>
    <x v="3"/>
    <s v="jcp"/>
    <n v="2.7594799999999999"/>
    <d v="2011-06-16T00:00:00"/>
    <d v="2011-06-29T00:00:00"/>
    <n v="2.29189"/>
    <n v="1.9481065"/>
    <n v="1.9481065"/>
    <n v="0.70596869700088427"/>
    <n v="2.3369680000000002"/>
    <n v="1.4976004000000001"/>
    <n v="0.64083051201385721"/>
    <s v=""/>
    <n v="0"/>
    <n v="23.01"/>
    <n v="0"/>
    <n v="0"/>
    <n v="0"/>
    <n v="23.01"/>
    <s v=""/>
    <n v="8.4663472403302908E-2"/>
    <n v="0"/>
    <n v="1"/>
  </r>
  <r>
    <s v="Utilidade Pública / Energia Elétrica / Energia Elétrica"/>
    <x v="518"/>
    <n v="5"/>
    <x v="3"/>
    <s v="jcp"/>
    <n v="2.7594799999999999"/>
    <d v="2011-06-16T00:00:00"/>
    <d v="2011-06-29T00:00:00"/>
    <n v="1.71892"/>
    <n v="1.461082"/>
    <n v="1.461082"/>
    <n v="0.52947729282328559"/>
    <n v="2.3369680000000002"/>
    <n v="0.58730179999999998"/>
    <n v="0.25130930333663104"/>
    <s v=""/>
    <n v="9.67"/>
    <n v="0"/>
    <n v="0"/>
    <n v="0"/>
    <n v="0"/>
    <n v="9.67"/>
    <s v=""/>
    <n v="0.15109431230610135"/>
    <n v="0"/>
    <n v="1"/>
  </r>
  <r>
    <s v="Utilidade Pública / Energia Elétrica / Energia Elétrica"/>
    <x v="516"/>
    <n v="4"/>
    <x v="4"/>
    <s v="jcp"/>
    <m/>
    <d v="2012-05-18T00:00:00"/>
    <d v="2012-05-29T00:00:00"/>
    <n v="1.2800400000000001"/>
    <n v="1.0880339999999999"/>
    <s v=""/>
    <s v=""/>
    <s v=""/>
    <s v=""/>
    <s v=""/>
    <s v=""/>
    <n v="5.35"/>
    <n v="0"/>
    <n v="0"/>
    <n v="0"/>
    <n v="0"/>
    <n v="5.35"/>
    <s v=""/>
    <s v=""/>
    <n v="0"/>
    <n v="1"/>
  </r>
  <r>
    <s v="Utilidade Pública / Energia Elétrica / Energia Elétrica"/>
    <x v="517"/>
    <n v="4"/>
    <x v="4"/>
    <s v="jcp"/>
    <m/>
    <d v="2012-05-18T00:00:00"/>
    <d v="2012-05-29T00:00:00"/>
    <n v="2.2636099999999999"/>
    <n v="1.9240685"/>
    <s v=""/>
    <s v=""/>
    <s v=""/>
    <s v=""/>
    <s v=""/>
    <s v=""/>
    <n v="0"/>
    <n v="23.01"/>
    <n v="0"/>
    <n v="0"/>
    <n v="0"/>
    <n v="23.01"/>
    <s v=""/>
    <s v=""/>
    <n v="0"/>
    <n v="1"/>
  </r>
  <r>
    <s v="Utilidade Pública / Energia Elétrica / Energia Elétrica"/>
    <x v="518"/>
    <n v="4"/>
    <x v="4"/>
    <s v="jcp"/>
    <m/>
    <d v="2012-05-18T00:00:00"/>
    <d v="2012-05-29T00:00:00"/>
    <n v="1.6977"/>
    <n v="1.4430449999999999"/>
    <s v=""/>
    <s v=""/>
    <s v=""/>
    <s v=""/>
    <s v=""/>
    <s v=""/>
    <n v="9.67"/>
    <n v="0"/>
    <n v="0"/>
    <n v="0"/>
    <n v="0"/>
    <n v="9.67"/>
    <s v=""/>
    <s v=""/>
    <n v="0"/>
    <n v="1"/>
  </r>
  <r>
    <s v="Utilidade Pública / Energia Elétrica / Energia Elétrica"/>
    <x v="516"/>
    <n v="5"/>
    <x v="4"/>
    <s v="div"/>
    <n v="-5.0855699999999997"/>
    <d v="2010-01-22T00:00:00"/>
    <d v="2012-06-28T00:00:00"/>
    <n v="3.6166999999999998"/>
    <n v="3.6166999999999998"/>
    <n v="4.7047340000000002"/>
    <n v="0"/>
    <n v="1.0998783333333335"/>
    <n v="1.4445995833333332"/>
    <n v="1.3134176204337749"/>
    <s v=""/>
    <n v="5.35"/>
    <n v="0"/>
    <n v="0"/>
    <n v="0"/>
    <n v="0"/>
    <n v="5.35"/>
    <s v=""/>
    <n v="0.87938953271028042"/>
    <n v="1"/>
    <n v="0"/>
  </r>
  <r>
    <s v="Utilidade Pública / Energia Elétrica / Energia Elétrica"/>
    <x v="517"/>
    <n v="5"/>
    <x v="4"/>
    <s v="div"/>
    <n v="-5.0855699999999997"/>
    <d v="2010-01-22T00:00:00"/>
    <d v="2012-06-28T00:00:00"/>
    <n v="4.5985899999999997"/>
    <n v="4.5985899999999997"/>
    <n v="6.5226584999999995"/>
    <n v="0"/>
    <n v="1.0998783333333335"/>
    <n v="2.3351100833333334"/>
    <n v="2.123062172028118"/>
    <s v=""/>
    <n v="0"/>
    <n v="23.01"/>
    <n v="0"/>
    <n v="0"/>
    <n v="0"/>
    <n v="23.01"/>
    <s v=""/>
    <n v="0.28347059973924377"/>
    <n v="1"/>
    <n v="0"/>
  </r>
  <r>
    <s v="Utilidade Pública / Energia Elétrica / Energia Elétrica"/>
    <x v="518"/>
    <n v="5"/>
    <x v="4"/>
    <s v="div"/>
    <n v="-5.0855699999999997"/>
    <d v="2010-01-22T00:00:00"/>
    <d v="2012-06-28T00:00:00"/>
    <n v="5.806E-2"/>
    <n v="5.806E-2"/>
    <n v="1.5011049999999999"/>
    <n v="0"/>
    <n v="1.0998783333333335"/>
    <n v="0.73960233333333336"/>
    <n v="0.6724401335299206"/>
    <s v=""/>
    <n v="9.67"/>
    <n v="0"/>
    <n v="0"/>
    <n v="0"/>
    <n v="0"/>
    <n v="9.67"/>
    <s v=""/>
    <n v="0.15523319544984487"/>
    <n v="1"/>
    <n v="0"/>
  </r>
  <r>
    <s v="Utilidade Pública / Energia Elétrica / Energia Elétrica"/>
    <x v="516"/>
    <n v="5"/>
    <x v="5"/>
    <s v="jcp"/>
    <n v="-0.58187999999999995"/>
    <d v="2013-04-30T00:00:00"/>
    <d v="2013-09-20T00:00:00"/>
    <n v="0.4214"/>
    <n v="0.35819000000000001"/>
    <n v="0.35819000000000001"/>
    <n v="0"/>
    <n v="0.85962714285714292"/>
    <n v="1.2893982142857143"/>
    <n v="1.4999505599603815"/>
    <s v=""/>
    <n v="5.35"/>
    <n v="0"/>
    <n v="0"/>
    <n v="0"/>
    <n v="0"/>
    <n v="5.35"/>
    <s v=""/>
    <n v="6.6951401869158891E-2"/>
    <n v="0"/>
    <n v="1"/>
  </r>
  <r>
    <s v="Utilidade Pública / Energia Elétrica / Energia Elétrica"/>
    <x v="517"/>
    <n v="5"/>
    <x v="5"/>
    <s v="jcp"/>
    <n v="-0.58187999999999995"/>
    <d v="2013-04-30T00:00:00"/>
    <d v="2013-09-20T00:00:00"/>
    <n v="2.2993399999999999"/>
    <n v="1.9544389999999998"/>
    <n v="1.9544389999999998"/>
    <n v="0"/>
    <n v="0.85962714285714292"/>
    <n v="2.2807284999999999"/>
    <n v="2.6531601740954134"/>
    <s v=""/>
    <n v="0"/>
    <n v="23.01"/>
    <n v="0"/>
    <n v="0"/>
    <n v="0"/>
    <n v="23.01"/>
    <s v=""/>
    <n v="8.4938678835288994E-2"/>
    <n v="0"/>
    <n v="1"/>
  </r>
  <r>
    <s v="Utilidade Pública / Energia Elétrica / Energia Elétrica"/>
    <x v="518"/>
    <n v="5"/>
    <x v="5"/>
    <s v="jcp"/>
    <n v="-0.58187999999999995"/>
    <d v="2013-04-30T00:00:00"/>
    <d v="2013-09-20T00:00:00"/>
    <n v="1.7244999999999999"/>
    <n v="1.4658249999999999"/>
    <n v="1.4658249999999999"/>
    <n v="0"/>
    <n v="0.85962714285714292"/>
    <n v="0.84334842857142855"/>
    <n v="0.98106305225355173"/>
    <s v=""/>
    <n v="9.67"/>
    <n v="0"/>
    <n v="0"/>
    <n v="0"/>
    <n v="0"/>
    <n v="9.67"/>
    <s v=""/>
    <n v="0.15158479834539812"/>
    <n v="0"/>
    <n v="1"/>
  </r>
  <r>
    <s v="Materiais Básicos / Químicos / Petroquímicos"/>
    <x v="485"/>
    <n v="5"/>
    <x v="3"/>
    <m/>
    <n v="5.3200000000000001E-3"/>
    <m/>
    <m/>
    <m/>
    <n v="0"/>
    <n v="0"/>
    <n v="0"/>
    <n v="0.11179833333333329"/>
    <n v="6.6163333333333338E-2"/>
    <n v="0.59180965726978663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3"/>
    <m/>
    <n v="5.3200000000000001E-3"/>
    <m/>
    <m/>
    <m/>
    <n v="0"/>
    <n v="0"/>
    <n v="0"/>
    <n v="0.11179833333333329"/>
    <n v="8.7114999999999998E-2"/>
    <n v="0.77921555181204283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3"/>
    <m/>
    <n v="5.3200000000000001E-3"/>
    <m/>
    <m/>
    <m/>
    <n v="0"/>
    <n v="0"/>
    <n v="0"/>
    <n v="0.11179833333333329"/>
    <n v="6.1370500000000001E-2"/>
    <n v="0.54893931036539023"/>
    <s v=""/>
    <n v="0.41"/>
    <n v="0"/>
    <n v="0"/>
    <n v="0"/>
    <n v="0"/>
    <n v="0.41"/>
    <s v=""/>
    <n v="0"/>
    <n v="0"/>
    <n v="0"/>
  </r>
  <r>
    <s v="Materiais Básicos / Químicos / Petroquímicos"/>
    <x v="485"/>
    <n v="5"/>
    <x v="4"/>
    <m/>
    <n v="4.41E-2"/>
    <m/>
    <m/>
    <m/>
    <n v="0"/>
    <n v="0"/>
    <n v="0"/>
    <n v="0.10659076923076921"/>
    <n v="6.1073846153846159E-2"/>
    <n v="0.5729750014433348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4"/>
    <m/>
    <n v="4.8509999999999998E-2"/>
    <m/>
    <m/>
    <m/>
    <n v="0"/>
    <n v="0"/>
    <n v="0"/>
    <n v="0.10692999999999998"/>
    <n v="8.0413846153846155E-2"/>
    <n v="0.75202325029314665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4"/>
    <m/>
    <n v="4.8509999999999998E-2"/>
    <m/>
    <m/>
    <m/>
    <n v="0"/>
    <n v="0"/>
    <n v="0"/>
    <n v="0.10692999999999998"/>
    <n v="5.6649692307692311E-2"/>
    <n v="0.52978296369299838"/>
    <s v=""/>
    <n v="0.41"/>
    <n v="0"/>
    <n v="0"/>
    <n v="0"/>
    <n v="0"/>
    <n v="0.41"/>
    <s v=""/>
    <n v="0"/>
    <n v="0"/>
    <n v="0"/>
  </r>
  <r>
    <s v="Materiais Básicos / Químicos / Petroquímicos"/>
    <x v="485"/>
    <n v="5"/>
    <x v="5"/>
    <m/>
    <n v="0.39985999999999999"/>
    <m/>
    <m/>
    <m/>
    <n v="0"/>
    <n v="0"/>
    <n v="0"/>
    <n v="0.12753857142857145"/>
    <n v="5.6711428571428579E-2"/>
    <n v="0.44466099891349398"/>
    <s v=""/>
    <n v="0"/>
    <n v="0.57999999999999996"/>
    <n v="0"/>
    <n v="0"/>
    <n v="0"/>
    <n v="0.57999999999999996"/>
    <s v=""/>
    <n v="0"/>
    <n v="0"/>
    <n v="0"/>
  </r>
  <r>
    <s v="Materiais Básicos / Químicos / Petroquímicos"/>
    <x v="486"/>
    <n v="5"/>
    <x v="5"/>
    <m/>
    <n v="0.43830000000000002"/>
    <m/>
    <m/>
    <m/>
    <n v="0"/>
    <n v="0"/>
    <n v="0"/>
    <n v="0.13059928571428572"/>
    <n v="7.467E-2"/>
    <n v="0.57174891571273079"/>
    <s v=""/>
    <n v="0.64"/>
    <n v="0"/>
    <n v="0"/>
    <n v="0"/>
    <n v="0"/>
    <n v="0.64"/>
    <s v=""/>
    <n v="0"/>
    <n v="0"/>
    <n v="0"/>
  </r>
  <r>
    <s v="Materiais Básicos / Químicos / Petroquímicos"/>
    <x v="487"/>
    <n v="5"/>
    <x v="5"/>
    <m/>
    <n v="0.43830000000000002"/>
    <m/>
    <m/>
    <m/>
    <n v="0"/>
    <n v="0"/>
    <n v="0"/>
    <n v="0.13059928571428572"/>
    <n v="5.260328571428572E-2"/>
    <n v="0.40278386996209781"/>
    <s v=""/>
    <n v="0.41"/>
    <n v="0"/>
    <n v="0"/>
    <n v="0"/>
    <n v="0"/>
    <n v="0.41"/>
    <s v=""/>
    <n v="0"/>
    <n v="0"/>
    <n v="0"/>
  </r>
  <r>
    <s v="Utilidade Pública / Energia Elétrica / Energia Elétrica"/>
    <x v="235"/>
    <n v="4"/>
    <x v="1"/>
    <s v="div"/>
    <m/>
    <d v="2010-10-29T00:00:00"/>
    <d v="2010-11-12T00:00:00"/>
    <n v="1.69167"/>
    <n v="1.69167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5"/>
    <n v="5"/>
    <x v="1"/>
    <s v="jcp"/>
    <n v="1.93533"/>
    <d v="2010-12-30T00:00:00"/>
    <d v="2011-01-14T00:00:00"/>
    <n v="0.2"/>
    <n v="0.17"/>
    <n v="2.73889"/>
    <n v="1.4152056755178704"/>
    <n v="1.93533"/>
    <n v="2.73889"/>
    <n v="1.4152056755178704"/>
    <s v=""/>
    <n v="53"/>
    <n v="0"/>
    <n v="0"/>
    <n v="0"/>
    <n v="0"/>
    <n v="53"/>
    <s v=""/>
    <n v="5.1677169811320756E-2"/>
    <n v="0"/>
    <n v="1"/>
  </r>
  <r>
    <s v="Utilidade Pública / Energia Elétrica / Energia Elétrica"/>
    <x v="236"/>
    <n v="5"/>
    <x v="1"/>
    <s v="jcp"/>
    <n v="1.8654500000000001"/>
    <d v="2010-12-30T00:00:00"/>
    <d v="2011-01-14T00:00:00"/>
    <n v="0.2"/>
    <n v="0.17"/>
    <n v="1.6526299999999998"/>
    <n v="0.88591492669329108"/>
    <n v="1.8654500000000001"/>
    <n v="1.6526299999999998"/>
    <n v="0.88591492669329108"/>
    <s v=""/>
    <n v="62.04"/>
    <n v="0"/>
    <n v="0"/>
    <n v="0"/>
    <n v="0"/>
    <n v="62.04"/>
    <s v=""/>
    <n v="2.6638136686009024E-2"/>
    <n v="0"/>
    <n v="1"/>
  </r>
  <r>
    <s v="Utilidade Pública / Energia Elétrica / Energia Elétrica"/>
    <x v="236"/>
    <n v="4"/>
    <x v="3"/>
    <s v="outros"/>
    <m/>
    <d v="2011-04-29T00:00:00"/>
    <d v="2011-05-30T00:00:00"/>
    <n v="5.9319999999999998E-2"/>
    <n v="5.9319999999999998E-2"/>
    <s v=""/>
    <s v=""/>
    <s v=""/>
    <s v=""/>
    <s v=""/>
    <s v=""/>
    <n v="62.04"/>
    <n v="0"/>
    <n v="0"/>
    <n v="0"/>
    <n v="0"/>
    <n v="62.04"/>
    <s v=""/>
    <s v=""/>
    <n v="0"/>
    <n v="0"/>
  </r>
  <r>
    <s v="Utilidade Pública / Energia Elétrica / Energia Elétrica"/>
    <x v="235"/>
    <n v="4"/>
    <x v="3"/>
    <s v="outros"/>
    <m/>
    <d v="2011-04-29T00:00:00"/>
    <d v="2011-05-30T00:00:00"/>
    <n v="5.9319999999999998E-2"/>
    <n v="5.9319999999999998E-2"/>
    <s v=""/>
    <s v=""/>
    <s v=""/>
    <s v=""/>
    <s v=""/>
    <s v=""/>
    <n v="53"/>
    <n v="0"/>
    <n v="0"/>
    <n v="0"/>
    <n v="0"/>
    <n v="53"/>
    <s v=""/>
    <s v=""/>
    <n v="0"/>
    <n v="0"/>
  </r>
  <r>
    <s v="Utilidade Pública / Energia Elétrica / Energia Elétrica"/>
    <x v="235"/>
    <n v="4"/>
    <x v="3"/>
    <s v="div"/>
    <m/>
    <d v="2011-04-29T00:00:00"/>
    <d v="2011-05-30T00:00:00"/>
    <n v="0.70591000000000004"/>
    <n v="0.70591000000000004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3"/>
    <s v="div"/>
    <m/>
    <d v="2011-04-29T00:00:00"/>
    <d v="2011-05-30T00:00:00"/>
    <n v="2.39758"/>
    <n v="2.39758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6"/>
    <n v="4"/>
    <x v="3"/>
    <s v="div"/>
    <m/>
    <d v="2011-10-19T00:00:00"/>
    <d v="2011-12-19T00:00:00"/>
    <n v="1.1122099999999999"/>
    <n v="1.1122099999999999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3"/>
    <s v="div"/>
    <m/>
    <d v="2011-10-19T00:00:00"/>
    <d v="2011-12-19T00:00:00"/>
    <n v="1.73576"/>
    <n v="1.73576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5"/>
    <x v="3"/>
    <s v="jcp"/>
    <n v="2.9784899999999999"/>
    <d v="2011-12-27T00:00:00"/>
    <d v="2012-01-30T00:00:00"/>
    <n v="1.04"/>
    <n v="0.88400000000000001"/>
    <n v="4.4531100000000006"/>
    <n v="1.4950897938217018"/>
    <n v="2.42197"/>
    <n v="3.0528700000000004"/>
    <n v="1.2604904272142101"/>
    <s v=""/>
    <n v="62.04"/>
    <n v="0"/>
    <n v="0"/>
    <n v="0"/>
    <n v="0"/>
    <n v="62.04"/>
    <s v=""/>
    <n v="7.1778046421663452E-2"/>
    <n v="0"/>
    <n v="1"/>
  </r>
  <r>
    <s v="Utilidade Pública / Energia Elétrica / Energia Elétrica"/>
    <x v="235"/>
    <n v="5"/>
    <x v="3"/>
    <s v="jcp"/>
    <n v="2.97383"/>
    <d v="2011-12-27T00:00:00"/>
    <d v="2012-01-30T00:00:00"/>
    <n v="1.04"/>
    <n v="0.88400000000000001"/>
    <n v="3.3849899999999997"/>
    <n v="1.1382594163082622"/>
    <n v="2.45458"/>
    <n v="3.0619399999999999"/>
    <n v="1.2474394804813858"/>
    <s v=""/>
    <n v="53"/>
    <n v="0"/>
    <n v="0"/>
    <n v="0"/>
    <n v="0"/>
    <n v="53"/>
    <s v=""/>
    <n v="6.3867735849056598E-2"/>
    <n v="0"/>
    <n v="1"/>
  </r>
  <r>
    <s v="Utilidade Pública / Energia Elétrica / Energia Elétrica"/>
    <x v="235"/>
    <n v="4"/>
    <x v="4"/>
    <s v="div"/>
    <m/>
    <d v="2011-04-29T00:00:00"/>
    <d v="2011-05-30T00:00:00"/>
    <n v="0.70591000000000004"/>
    <n v="0.70591000000000004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4"/>
    <s v="div"/>
    <m/>
    <d v="2011-04-29T00:00:00"/>
    <d v="2011-05-30T00:00:00"/>
    <n v="2.39758"/>
    <n v="2.39758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4"/>
    <s v="outros"/>
    <m/>
    <d v="2011-04-29T00:00:00"/>
    <d v="2011-05-30T00:00:00"/>
    <n v="5.9319999999999998E-2"/>
    <n v="5.9319999999999998E-2"/>
    <s v=""/>
    <s v=""/>
    <s v=""/>
    <s v=""/>
    <s v=""/>
    <s v=""/>
    <n v="53"/>
    <n v="0"/>
    <n v="0"/>
    <n v="0"/>
    <n v="0"/>
    <n v="53"/>
    <s v=""/>
    <s v=""/>
    <n v="0"/>
    <n v="0"/>
  </r>
  <r>
    <s v="Utilidade Pública / Energia Elétrica / Energia Elétrica"/>
    <x v="236"/>
    <n v="4"/>
    <x v="4"/>
    <s v="outros"/>
    <m/>
    <d v="2011-04-29T00:00:00"/>
    <d v="2011-05-30T00:00:00"/>
    <n v="5.9319999999999998E-2"/>
    <n v="5.9319999999999998E-2"/>
    <s v=""/>
    <s v=""/>
    <s v=""/>
    <s v=""/>
    <s v=""/>
    <s v=""/>
    <n v="62.04"/>
    <n v="0"/>
    <n v="0"/>
    <n v="0"/>
    <n v="0"/>
    <n v="62.04"/>
    <s v=""/>
    <s v=""/>
    <n v="0"/>
    <n v="0"/>
  </r>
  <r>
    <s v="Utilidade Pública / Energia Elétrica / Energia Elétrica"/>
    <x v="235"/>
    <n v="4"/>
    <x v="4"/>
    <s v="div"/>
    <m/>
    <d v="2011-10-19T00:00:00"/>
    <d v="2011-12-19T00:00:00"/>
    <n v="1.73576"/>
    <n v="1.73576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4"/>
    <s v="div"/>
    <m/>
    <d v="2011-10-19T00:00:00"/>
    <d v="2011-12-19T00:00:00"/>
    <n v="1.1122099999999999"/>
    <n v="1.1122099999999999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4"/>
    <s v="jcp"/>
    <m/>
    <d v="2011-12-27T00:00:00"/>
    <d v="2012-01-30T00:00:00"/>
    <n v="1.04"/>
    <n v="0.88400000000000001"/>
    <s v=""/>
    <s v=""/>
    <s v=""/>
    <s v=""/>
    <s v=""/>
    <s v=""/>
    <n v="53"/>
    <n v="0"/>
    <n v="0"/>
    <n v="0"/>
    <n v="0"/>
    <n v="53"/>
    <s v=""/>
    <s v=""/>
    <n v="0"/>
    <n v="1"/>
  </r>
  <r>
    <s v="Utilidade Pública / Energia Elétrica / Energia Elétrica"/>
    <x v="236"/>
    <n v="4"/>
    <x v="4"/>
    <s v="jcp"/>
    <m/>
    <d v="2011-12-27T00:00:00"/>
    <d v="2012-01-30T00:00:00"/>
    <n v="1.04"/>
    <n v="0.88400000000000001"/>
    <s v=""/>
    <s v=""/>
    <s v=""/>
    <s v=""/>
    <s v=""/>
    <s v=""/>
    <n v="62.04"/>
    <n v="0"/>
    <n v="0"/>
    <n v="0"/>
    <n v="0"/>
    <n v="62.04"/>
    <s v=""/>
    <s v=""/>
    <n v="0"/>
    <n v="1"/>
  </r>
  <r>
    <s v="Utilidade Pública / Energia Elétrica / Energia Elétrica"/>
    <x v="235"/>
    <n v="4"/>
    <x v="4"/>
    <s v="div"/>
    <m/>
    <d v="2012-04-27T00:00:00"/>
    <d v="2012-05-29T00:00:00"/>
    <n v="0.83699000000000001"/>
    <n v="0.83699000000000001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4"/>
    <s v="div"/>
    <m/>
    <d v="2012-04-27T00:00:00"/>
    <d v="2012-05-29T00:00:00"/>
    <n v="1.46055"/>
    <n v="1.46055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4"/>
    <x v="4"/>
    <s v="restituição"/>
    <m/>
    <d v="2012-05-21T00:00:00"/>
    <d v="2012-08-10T00:00:00"/>
    <n v="3.17685"/>
    <n v="3.17685"/>
    <s v=""/>
    <s v=""/>
    <s v=""/>
    <s v=""/>
    <s v=""/>
    <s v=""/>
    <n v="53"/>
    <n v="0"/>
    <n v="0"/>
    <n v="0"/>
    <n v="0"/>
    <n v="53"/>
    <s v=""/>
    <s v=""/>
    <n v="0"/>
    <n v="0"/>
  </r>
  <r>
    <s v="Utilidade Pública / Energia Elétrica / Energia Elétrica"/>
    <x v="236"/>
    <n v="4"/>
    <x v="4"/>
    <s v="restituição"/>
    <m/>
    <d v="2012-05-21T00:00:00"/>
    <d v="2012-08-10T00:00:00"/>
    <n v="3.17685"/>
    <n v="3.17685"/>
    <s v=""/>
    <s v=""/>
    <s v=""/>
    <s v=""/>
    <s v=""/>
    <s v=""/>
    <n v="62.04"/>
    <n v="0"/>
    <n v="0"/>
    <n v="0"/>
    <n v="0"/>
    <n v="62.04"/>
    <s v=""/>
    <s v=""/>
    <n v="0"/>
    <n v="0"/>
  </r>
  <r>
    <s v="Utilidade Pública / Energia Elétrica / Energia Elétrica"/>
    <x v="235"/>
    <n v="4"/>
    <x v="4"/>
    <s v="div"/>
    <m/>
    <d v="2012-10-31T00:00:00"/>
    <d v="2012-11-21T00:00:00"/>
    <n v="2.1900499999999998"/>
    <n v="2.1900499999999998"/>
    <s v=""/>
    <s v=""/>
    <s v=""/>
    <s v=""/>
    <s v=""/>
    <s v=""/>
    <n v="53"/>
    <n v="0"/>
    <n v="0"/>
    <n v="0"/>
    <n v="0"/>
    <n v="53"/>
    <s v=""/>
    <s v=""/>
    <n v="1"/>
    <n v="0"/>
  </r>
  <r>
    <s v="Utilidade Pública / Energia Elétrica / Energia Elétrica"/>
    <x v="236"/>
    <n v="4"/>
    <x v="4"/>
    <s v="div"/>
    <m/>
    <d v="2012-10-31T00:00:00"/>
    <d v="2012-11-21T00:00:00"/>
    <n v="2.1900499999999998"/>
    <n v="2.1900499999999998"/>
    <s v=""/>
    <s v=""/>
    <s v=""/>
    <s v=""/>
    <s v=""/>
    <s v=""/>
    <n v="62.04"/>
    <n v="0"/>
    <n v="0"/>
    <n v="0"/>
    <n v="0"/>
    <n v="62.04"/>
    <s v=""/>
    <s v=""/>
    <n v="1"/>
    <n v="0"/>
  </r>
  <r>
    <s v="Utilidade Pública / Energia Elétrica / Energia Elétrica"/>
    <x v="235"/>
    <n v="5"/>
    <x v="4"/>
    <s v="jcp"/>
    <n v="3.4378600000000001"/>
    <d v="2012-12-21T00:00:00"/>
    <d v="2013-01-29T00:00:00"/>
    <n v="0.91800000000000004"/>
    <n v="0.78029999999999999"/>
    <n v="10.36918"/>
    <n v="3.016172851715893"/>
    <n v="2.78234"/>
    <n v="5.4976866666666666"/>
    <n v="1.9759219457962243"/>
    <s v=""/>
    <n v="53"/>
    <n v="0"/>
    <n v="0"/>
    <n v="0"/>
    <n v="0"/>
    <n v="53"/>
    <s v=""/>
    <n v="0.19564490566037737"/>
    <n v="0"/>
    <n v="1"/>
  </r>
  <r>
    <s v="Utilidade Pública / Energia Elétrica / Energia Elétrica"/>
    <x v="236"/>
    <n v="5"/>
    <x v="4"/>
    <s v="jcp"/>
    <n v="3.4378600000000001"/>
    <d v="2012-12-21T00:00:00"/>
    <d v="2013-01-29T00:00:00"/>
    <n v="0.91800000000000004"/>
    <n v="0.78029999999999999"/>
    <n v="12.06086"/>
    <n v="3.5082464091033372"/>
    <n v="2.7606000000000002"/>
    <n v="6.0555333333333339"/>
    <n v="2.1935569562172477"/>
    <s v=""/>
    <n v="62.04"/>
    <n v="0"/>
    <n v="0"/>
    <n v="0"/>
    <n v="0"/>
    <n v="62.04"/>
    <s v=""/>
    <n v="0.19440457769181174"/>
    <n v="0"/>
    <n v="1"/>
  </r>
  <r>
    <s v="Utilidade Pública / Energia Elétrica / Energia Elétrica"/>
    <x v="236"/>
    <n v="5"/>
    <x v="5"/>
    <s v="div"/>
    <n v="2.9304399999999999"/>
    <d v="2013-04-26T00:00:00"/>
    <d v="2013-05-28T00:00:00"/>
    <n v="0.88919000000000004"/>
    <n v="0.88919000000000004"/>
    <n v="0.88919000000000004"/>
    <n v="0.30343224908204913"/>
    <n v="2.8030600000000003"/>
    <n v="4.7639475000000004"/>
    <n v="1.6995524533902235"/>
    <s v=""/>
    <n v="62.04"/>
    <n v="0"/>
    <n v="0"/>
    <n v="0"/>
    <n v="0"/>
    <n v="62.04"/>
    <s v=""/>
    <n v="1.4332527401676339E-2"/>
    <n v="1"/>
    <n v="0"/>
  </r>
  <r>
    <s v="Utilidade Pública / Energia Elétrica / Energia Elétrica"/>
    <x v="235"/>
    <n v="5"/>
    <x v="5"/>
    <s v="div"/>
    <n v="2.9304399999999999"/>
    <d v="2013-04-26T00:00:00"/>
    <d v="2013-05-28T00:00:00"/>
    <n v="0.88919000000000004"/>
    <n v="0.88919000000000004"/>
    <n v="0.88919000000000004"/>
    <n v="0.30343224908204913"/>
    <n v="2.8193650000000003"/>
    <n v="4.3455624999999998"/>
    <n v="1.5413266817173368"/>
    <s v=""/>
    <n v="53"/>
    <n v="0"/>
    <n v="0"/>
    <n v="0"/>
    <n v="0"/>
    <n v="53"/>
    <s v=""/>
    <n v="1.6777169811320755E-2"/>
    <n v="1"/>
    <n v="0"/>
  </r>
  <r>
    <s v="Utilidade Pública / Energia Elétrica / Energia Elétrica"/>
    <x v="304"/>
    <n v="5"/>
    <x v="3"/>
    <m/>
    <n v="2.0108000000000001"/>
    <m/>
    <m/>
    <m/>
    <n v="0"/>
    <n v="0"/>
    <n v="0"/>
    <n v="2.0769950000000001"/>
    <n v="3.2530000000000003E-2"/>
    <n v="1.5662050221594177E-2"/>
    <s v=""/>
    <n v="49.78"/>
    <n v="0"/>
    <n v="0"/>
    <n v="0"/>
    <n v="0"/>
    <n v="49.78"/>
    <s v=""/>
    <n v="0"/>
    <n v="0"/>
    <n v="0"/>
  </r>
  <r>
    <s v="Utilidade Pública / Energia Elétrica / Energia Elétrica"/>
    <x v="304"/>
    <n v="5"/>
    <x v="4"/>
    <m/>
    <n v="1.2893600000000001"/>
    <m/>
    <m/>
    <m/>
    <n v="0"/>
    <n v="0"/>
    <n v="0"/>
    <n v="1.8144500000000001"/>
    <n v="2.168666666666667E-2"/>
    <n v="1.1952198554199161E-2"/>
    <s v=""/>
    <n v="49.78"/>
    <n v="0"/>
    <n v="0"/>
    <n v="0"/>
    <n v="0"/>
    <n v="49.78"/>
    <s v=""/>
    <n v="0"/>
    <n v="0"/>
    <n v="0"/>
  </r>
  <r>
    <s v="Utilidade Pública / Energia Elétrica / Energia Elétrica"/>
    <x v="304"/>
    <n v="5"/>
    <x v="5"/>
    <m/>
    <n v="0.224"/>
    <m/>
    <m/>
    <m/>
    <n v="0"/>
    <n v="0"/>
    <n v="0"/>
    <n v="1.4168375000000002"/>
    <n v="1.6265000000000002E-2"/>
    <n v="1.1479792142712202E-2"/>
    <s v=""/>
    <n v="49.78"/>
    <n v="0"/>
    <n v="0"/>
    <n v="0"/>
    <n v="0"/>
    <n v="49.78"/>
    <s v=""/>
    <n v="0"/>
    <n v="0"/>
    <n v="0"/>
  </r>
  <r>
    <s v="Utilidade Pública / Energia Elétrica / Energia Elétrica"/>
    <x v="140"/>
    <n v="5"/>
    <x v="3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48.9"/>
    <n v="0"/>
    <n v="0"/>
    <n v="0"/>
    <n v="0"/>
    <n v="48.9"/>
    <s v=""/>
    <n v="8.7374028629856854E-2"/>
    <n v="1"/>
    <n v="0"/>
  </r>
  <r>
    <s v="Utilidade Pública / Energia Elétrica / Energia Elétrica"/>
    <x v="141"/>
    <n v="5"/>
    <x v="3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36.28"/>
    <n v="0"/>
    <n v="0"/>
    <n v="0"/>
    <n v="0"/>
    <n v="36.28"/>
    <s v=""/>
    <n v="0.11776708930540243"/>
    <n v="1"/>
    <n v="0"/>
  </r>
  <r>
    <s v="Utilidade Pública / Energia Elétrica / Energia Elétrica"/>
    <x v="142"/>
    <n v="5"/>
    <x v="3"/>
    <s v="div"/>
    <n v="6.0520199999999997"/>
    <d v="2011-04-29T00:00:00"/>
    <d v="2011-12-31T00:00:00"/>
    <n v="4.2725900000000001"/>
    <n v="4.2725900000000001"/>
    <n v="4.2725900000000001"/>
    <n v="0.70597750833605977"/>
    <n v="6.0566549999999992"/>
    <n v="3.5042150000000003"/>
    <n v="0.57857266098201077"/>
    <s v=""/>
    <n v="0"/>
    <n v="35"/>
    <n v="0"/>
    <n v="0"/>
    <n v="0"/>
    <n v="35"/>
    <s v=""/>
    <n v="0.122074"/>
    <n v="1"/>
    <n v="0"/>
  </r>
  <r>
    <s v="Utilidade Pública / Energia Elétrica / Energia Elétrica"/>
    <x v="140"/>
    <n v="5"/>
    <x v="4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48.9"/>
    <n v="0"/>
    <n v="0"/>
    <n v="0"/>
    <n v="0"/>
    <n v="48.9"/>
    <s v=""/>
    <n v="7.2499386503067489E-2"/>
    <n v="1"/>
    <n v="0"/>
  </r>
  <r>
    <s v="Utilidade Pública / Energia Elétrica / Energia Elétrica"/>
    <x v="141"/>
    <n v="5"/>
    <x v="4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36.28"/>
    <n v="0"/>
    <n v="0"/>
    <n v="0"/>
    <n v="0"/>
    <n v="36.28"/>
    <s v=""/>
    <n v="9.7718302094818077E-2"/>
    <n v="1"/>
    <n v="0"/>
  </r>
  <r>
    <s v="Utilidade Pública / Energia Elétrica / Energia Elétrica"/>
    <x v="142"/>
    <n v="5"/>
    <x v="4"/>
    <s v="div"/>
    <n v="5.39"/>
    <d v="2012-04-25T00:00:00"/>
    <d v="2012-12-31T00:00:00"/>
    <n v="3.54522"/>
    <n v="3.54522"/>
    <n v="3.54522"/>
    <n v="0.65774025974025974"/>
    <n v="5.834436666666666"/>
    <n v="3.5178833333333337"/>
    <n v="0.60295167028407781"/>
    <s v=""/>
    <n v="0"/>
    <n v="35"/>
    <n v="0"/>
    <n v="0"/>
    <n v="0"/>
    <n v="35"/>
    <s v=""/>
    <n v="0.10129200000000001"/>
    <n v="1"/>
    <n v="0"/>
  </r>
  <r>
    <s v="Utilidade Pública / Energia Elétrica / Energia Elétrica"/>
    <x v="140"/>
    <n v="5"/>
    <x v="5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48.9"/>
    <n v="0"/>
    <n v="0"/>
    <n v="0"/>
    <n v="0"/>
    <n v="48.9"/>
    <s v=""/>
    <n v="5.620899795501022E-2"/>
    <n v="1"/>
    <n v="0"/>
  </r>
  <r>
    <s v="Utilidade Pública / Energia Elétrica / Energia Elétrica"/>
    <x v="141"/>
    <n v="5"/>
    <x v="5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36.28"/>
    <n v="0"/>
    <n v="0"/>
    <n v="0"/>
    <n v="0"/>
    <n v="36.28"/>
    <s v=""/>
    <n v="7.5761300992282246E-2"/>
    <n v="1"/>
    <n v="0"/>
  </r>
  <r>
    <s v="Utilidade Pública / Energia Elétrica / Energia Elétrica"/>
    <x v="142"/>
    <n v="5"/>
    <x v="5"/>
    <s v="div"/>
    <n v="2.0108600000000001"/>
    <d v="2013-04-29T00:00:00"/>
    <m/>
    <n v="2.7486199999999998"/>
    <n v="2.7486199999999998"/>
    <n v="2.7486199999999998"/>
    <n v="1.3668877992500719"/>
    <n v="4.8785425"/>
    <n v="3.3255675"/>
    <n v="0.68167234373790941"/>
    <s v=""/>
    <n v="0"/>
    <n v="35"/>
    <n v="0"/>
    <n v="0"/>
    <n v="0"/>
    <n v="35"/>
    <s v=""/>
    <n v="7.8531999999999991E-2"/>
    <n v="1"/>
    <n v="0"/>
  </r>
  <r>
    <s v="Utilidade Pública / Energia Elétrica / Energia Elétrica"/>
    <x v="479"/>
    <n v="4"/>
    <x v="1"/>
    <s v="jcp"/>
    <m/>
    <d v="2010-03-30T00:00:00"/>
    <d v="2010-04-20T00:00:00"/>
    <n v="0.41099999999999998"/>
    <n v="0.34934999999999999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1"/>
    <s v="jcp"/>
    <m/>
    <d v="2010-03-30T00:00:00"/>
    <d v="2010-04-20T00:00:00"/>
    <n v="0.41099999999999998"/>
    <n v="0.34934999999999999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1"/>
    <s v="div"/>
    <m/>
    <d v="2010-06-28T00:00:00"/>
    <d v="2010-07-23T00:00:00"/>
    <n v="0.41936000000000001"/>
    <n v="0.41936000000000001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06-28T00:00:00"/>
    <d v="2010-07-23T00:00:00"/>
    <n v="0.41936000000000001"/>
    <n v="0.41936000000000001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1"/>
    <s v="jcp"/>
    <m/>
    <d v="2010-06-28T00:00:00"/>
    <d v="2010-07-23T00:00:00"/>
    <n v="0.41444999999999999"/>
    <n v="0.3522825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1"/>
    <s v="jcp"/>
    <m/>
    <d v="2010-06-28T00:00:00"/>
    <d v="2010-07-23T00:00:00"/>
    <n v="0.41444999999999999"/>
    <n v="0.3522825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1"/>
    <s v="div"/>
    <m/>
    <d v="2010-09-30T00:00:00"/>
    <d v="2010-10-25T00:00:00"/>
    <n v="0.96345000000000003"/>
    <n v="0.96345000000000003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09-30T00:00:00"/>
    <d v="2010-10-25T00:00:00"/>
    <n v="0.96345000000000003"/>
    <n v="0.96345000000000003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1"/>
    <s v="jcp"/>
    <m/>
    <d v="2010-09-30T00:00:00"/>
    <d v="2010-10-25T00:00:00"/>
    <n v="0.41968"/>
    <n v="0.35672799999999999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1"/>
    <s v="jcp"/>
    <m/>
    <d v="2010-09-30T00:00:00"/>
    <d v="2010-10-25T00:00:00"/>
    <n v="0.41968"/>
    <n v="0.35672799999999999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1"/>
    <s v="div"/>
    <m/>
    <d v="2010-12-17T00:00:00"/>
    <d v="2011-01-28T00:00:00"/>
    <n v="0.73814999999999997"/>
    <n v="0.73814999999999997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1"/>
    <s v="div"/>
    <m/>
    <d v="2010-12-17T00:00:00"/>
    <d v="2011-01-28T00:00:00"/>
    <n v="0.73814999999999997"/>
    <n v="0.73814999999999997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5"/>
    <x v="1"/>
    <s v="jcp"/>
    <n v="5.2372100000000001"/>
    <d v="2010-12-17T00:00:00"/>
    <d v="2011-01-28T00:00:00"/>
    <n v="0.41510999999999998"/>
    <n v="0.35284349999999998"/>
    <n v="4.3949139999999991"/>
    <n v="0.83917085623834042"/>
    <n v="5.2372100000000001"/>
    <n v="4.3949139999999991"/>
    <n v="0.83917085623834042"/>
    <s v=""/>
    <n v="45.7"/>
    <n v="0"/>
    <n v="0"/>
    <n v="0"/>
    <n v="0"/>
    <n v="45.7"/>
    <s v=""/>
    <n v="9.6168796498905876E-2"/>
    <n v="0"/>
    <n v="1"/>
  </r>
  <r>
    <s v="Utilidade Pública / Energia Elétrica / Energia Elétrica"/>
    <x v="480"/>
    <n v="5"/>
    <x v="1"/>
    <s v="jcp"/>
    <n v="5.2372100000000001"/>
    <d v="2010-12-17T00:00:00"/>
    <d v="2011-01-28T00:00:00"/>
    <n v="0.41510999999999998"/>
    <n v="0.35284349999999998"/>
    <n v="4.3949139999999991"/>
    <n v="0.83917085623834042"/>
    <n v="5.2372100000000001"/>
    <n v="4.3949139999999991"/>
    <n v="0.83917085623834042"/>
    <s v=""/>
    <n v="23.59"/>
    <n v="0"/>
    <n v="0"/>
    <n v="0"/>
    <n v="0"/>
    <n v="23.59"/>
    <s v=""/>
    <n v="0.186304111911827"/>
    <n v="0"/>
    <n v="1"/>
  </r>
  <r>
    <s v="Utilidade Pública / Energia Elétrica / Energia Elétrica"/>
    <x v="479"/>
    <n v="4"/>
    <x v="3"/>
    <s v="jcp"/>
    <m/>
    <d v="2011-03-31T00:00:00"/>
    <d v="2011-04-29T00:00:00"/>
    <n v="0.43267"/>
    <n v="0.36776949999999997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3"/>
    <s v="jcp"/>
    <m/>
    <d v="2011-03-31T00:00:00"/>
    <d v="2011-04-29T00:00:00"/>
    <n v="0.43267"/>
    <n v="0.36776949999999997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3"/>
    <s v="div"/>
    <m/>
    <d v="2011-06-30T00:00:00"/>
    <d v="2011-07-28T00:00:00"/>
    <n v="1.0572699999999999"/>
    <n v="1.0572699999999999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3"/>
    <s v="div"/>
    <m/>
    <d v="2011-06-30T00:00:00"/>
    <d v="2011-07-28T00:00:00"/>
    <n v="1.0572699999999999"/>
    <n v="1.0572699999999999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3"/>
    <s v="jcp"/>
    <m/>
    <d v="2011-06-30T00:00:00"/>
    <d v="2011-07-28T00:00:00"/>
    <n v="0.41797000000000001"/>
    <n v="0.35527449999999999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3"/>
    <s v="jcp"/>
    <m/>
    <d v="2011-06-30T00:00:00"/>
    <d v="2011-07-28T00:00:00"/>
    <n v="0.41797000000000001"/>
    <n v="0.35527449999999999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3"/>
    <s v="div"/>
    <m/>
    <d v="2011-09-30T00:00:00"/>
    <d v="2011-10-31T00:00:00"/>
    <n v="1.1379300000000001"/>
    <n v="1.1379300000000001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3"/>
    <s v="div"/>
    <m/>
    <d v="2011-09-30T00:00:00"/>
    <d v="2011-10-31T00:00:00"/>
    <n v="1.1379300000000001"/>
    <n v="1.1379300000000001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3"/>
    <s v="jcp"/>
    <m/>
    <d v="2011-09-30T00:00:00"/>
    <d v="2011-10-31T00:00:00"/>
    <n v="0.40327000000000002"/>
    <n v="0.34277950000000001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3"/>
    <s v="jcp"/>
    <m/>
    <d v="2011-09-30T00:00:00"/>
    <d v="2011-10-31T00:00:00"/>
    <n v="0.40327000000000002"/>
    <n v="0.34277950000000001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3"/>
    <s v="div"/>
    <m/>
    <d v="2011-12-21T00:00:00"/>
    <d v="2012-01-30T00:00:00"/>
    <n v="1.11253"/>
    <n v="1.11253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3"/>
    <s v="div"/>
    <m/>
    <d v="2011-12-21T00:00:00"/>
    <d v="2012-01-30T00:00:00"/>
    <n v="1.11253"/>
    <n v="1.11253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5"/>
    <x v="3"/>
    <s v="jcp"/>
    <n v="5.9074299999999997"/>
    <d v="2011-12-21T00:00:00"/>
    <d v="2012-01-30T00:00:00"/>
    <n v="0.42026000000000002"/>
    <n v="0.35722100000000001"/>
    <n v="4.7307744999999999"/>
    <n v="0.80081769906710698"/>
    <n v="5.5723199999999995"/>
    <n v="4.5628442499999995"/>
    <n v="0.81884103030694577"/>
    <s v=""/>
    <n v="45.7"/>
    <n v="0"/>
    <n v="0"/>
    <n v="0"/>
    <n v="0"/>
    <n v="45.7"/>
    <s v=""/>
    <n v="0.10351804157549233"/>
    <n v="0"/>
    <n v="1"/>
  </r>
  <r>
    <s v="Utilidade Pública / Energia Elétrica / Energia Elétrica"/>
    <x v="480"/>
    <n v="5"/>
    <x v="3"/>
    <s v="jcp"/>
    <n v="5.9074299999999997"/>
    <d v="2011-12-21T00:00:00"/>
    <d v="2012-01-30T00:00:00"/>
    <n v="0.42026000000000002"/>
    <n v="0.35722100000000001"/>
    <n v="4.7307744999999999"/>
    <n v="0.80081769906710698"/>
    <n v="5.5723199999999995"/>
    <n v="4.5628442499999995"/>
    <n v="0.81884103030694577"/>
    <s v=""/>
    <n v="23.59"/>
    <n v="0"/>
    <n v="0"/>
    <n v="0"/>
    <n v="0"/>
    <n v="23.59"/>
    <s v=""/>
    <n v="0.20054152183128443"/>
    <n v="0"/>
    <n v="1"/>
  </r>
  <r>
    <s v="Utilidade Pública / Energia Elétrica / Energia Elétrica"/>
    <x v="479"/>
    <n v="4"/>
    <x v="4"/>
    <s v="jcp"/>
    <m/>
    <d v="2012-03-29T00:00:00"/>
    <d v="2012-04-30T00:00:00"/>
    <n v="0.41889999999999999"/>
    <n v="0.35606499999999996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4"/>
    <s v="jcp"/>
    <m/>
    <d v="2012-03-29T00:00:00"/>
    <d v="2012-04-30T00:00:00"/>
    <n v="0.41889999999999999"/>
    <n v="0.35606499999999996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4"/>
    <x v="4"/>
    <s v="div"/>
    <m/>
    <d v="2012-03-29T00:00:00"/>
    <d v="2012-04-30T00:00:00"/>
    <n v="0.32968999999999998"/>
    <n v="0.32968999999999998"/>
    <s v=""/>
    <s v=""/>
    <s v=""/>
    <s v=""/>
    <s v=""/>
    <s v=""/>
    <n v="45.7"/>
    <n v="0"/>
    <n v="0"/>
    <n v="0"/>
    <n v="0"/>
    <n v="45.7"/>
    <s v=""/>
    <s v=""/>
    <n v="1"/>
    <n v="0"/>
  </r>
  <r>
    <s v="Utilidade Pública / Energia Elétrica / Energia Elétrica"/>
    <x v="480"/>
    <n v="4"/>
    <x v="4"/>
    <s v="div"/>
    <m/>
    <d v="2012-03-29T00:00:00"/>
    <d v="2012-04-30T00:00:00"/>
    <n v="0.32968999999999998"/>
    <n v="0.32968999999999998"/>
    <s v=""/>
    <s v=""/>
    <s v=""/>
    <s v=""/>
    <s v=""/>
    <s v=""/>
    <n v="23.59"/>
    <n v="0"/>
    <n v="0"/>
    <n v="0"/>
    <n v="0"/>
    <n v="23.59"/>
    <s v=""/>
    <s v=""/>
    <n v="1"/>
    <n v="0"/>
  </r>
  <r>
    <s v="Utilidade Pública / Energia Elétrica / Energia Elétrica"/>
    <x v="479"/>
    <n v="4"/>
    <x v="4"/>
    <s v="jcp"/>
    <m/>
    <d v="2012-06-29T00:00:00"/>
    <d v="2012-07-27T00:00:00"/>
    <n v="0.41889999999999999"/>
    <n v="0.35606499999999996"/>
    <s v=""/>
    <s v=""/>
    <s v=""/>
    <s v=""/>
    <s v=""/>
    <s v=""/>
    <n v="45.7"/>
    <n v="0"/>
    <n v="0"/>
    <n v="0"/>
    <n v="0"/>
    <n v="45.7"/>
    <s v=""/>
    <s v=""/>
    <n v="0"/>
    <n v="1"/>
  </r>
  <r>
    <s v="Utilidade Pública / Energia Elétrica / Energia Elétrica"/>
    <x v="480"/>
    <n v="4"/>
    <x v="4"/>
    <s v="jcp"/>
    <m/>
    <d v="2012-06-29T00:00:00"/>
    <d v="2012-07-27T00:00:00"/>
    <n v="0.41889999999999999"/>
    <n v="0.35606499999999996"/>
    <s v=""/>
    <s v=""/>
    <s v=""/>
    <s v=""/>
    <s v=""/>
    <s v=""/>
    <n v="23.59"/>
    <n v="0"/>
    <n v="0"/>
    <n v="0"/>
    <n v="0"/>
    <n v="23.59"/>
    <s v=""/>
    <s v=""/>
    <n v="0"/>
    <n v="1"/>
  </r>
  <r>
    <s v="Utilidade Pública / Energia Elétrica / Energia Elétrica"/>
    <x v="479"/>
    <n v="5"/>
    <x v="4"/>
    <s v="div"/>
    <n v="5.4234999999999998"/>
    <d v="2012-06-29T00:00:00"/>
    <d v="2012-07-27T00:00:00"/>
    <n v="0.63571999999999995"/>
    <n v="0.63571999999999995"/>
    <n v="1.67754"/>
    <n v="0.30930948649396151"/>
    <n v="5.5227133333333329"/>
    <n v="3.6010761666666666"/>
    <n v="0.65204835907953462"/>
    <s v=""/>
    <n v="45.7"/>
    <n v="0"/>
    <n v="0"/>
    <n v="0"/>
    <n v="0"/>
    <n v="45.7"/>
    <s v=""/>
    <n v="3.6707658643326035E-2"/>
    <n v="1"/>
    <n v="0"/>
  </r>
  <r>
    <s v="Utilidade Pública / Energia Elétrica / Energia Elétrica"/>
    <x v="480"/>
    <n v="5"/>
    <x v="4"/>
    <s v="div"/>
    <n v="5.4234999999999998"/>
    <d v="2012-06-29T00:00:00"/>
    <d v="2012-07-27T00:00:00"/>
    <n v="0.63571999999999995"/>
    <n v="0.63571999999999995"/>
    <n v="1.67754"/>
    <n v="0.30930948649396151"/>
    <n v="5.5227133333333329"/>
    <n v="3.6010761666666666"/>
    <n v="0.65204835907953462"/>
    <s v=""/>
    <n v="23.59"/>
    <n v="0"/>
    <n v="0"/>
    <n v="0"/>
    <n v="0"/>
    <n v="23.59"/>
    <s v=""/>
    <n v="7.1112335735481133E-2"/>
    <n v="1"/>
    <n v="0"/>
  </r>
  <r>
    <s v="Utilidade Pública / Energia Elétrica / Energia Elétrica"/>
    <x v="479"/>
    <n v="5"/>
    <x v="5"/>
    <s v="jcp"/>
    <n v="0.20494999999999999"/>
    <d v="2013-12-20T00:00:00"/>
    <d v="2014-01-30T00:00:00"/>
    <n v="1.3100799999999999"/>
    <n v="1.1135679999999999"/>
    <n v="1.1135679999999999"/>
    <n v="5.4333642351793117"/>
    <n v="4.1932725"/>
    <n v="2.9791991250000001"/>
    <n v="0.710471147534533"/>
    <s v=""/>
    <n v="45.7"/>
    <n v="0"/>
    <n v="0"/>
    <n v="0"/>
    <n v="0"/>
    <n v="45.7"/>
    <s v=""/>
    <n v="2.4366914660831508E-2"/>
    <n v="0"/>
    <n v="1"/>
  </r>
  <r>
    <s v="Utilidade Pública / Energia Elétrica / Energia Elétrica"/>
    <x v="480"/>
    <n v="5"/>
    <x v="5"/>
    <s v="jcp"/>
    <n v="0.20494999999999999"/>
    <d v="2013-12-20T00:00:00"/>
    <d v="2014-01-30T00:00:00"/>
    <n v="1.3100799999999999"/>
    <n v="1.1135679999999999"/>
    <n v="1.1135679999999999"/>
    <n v="5.4333642351793117"/>
    <n v="4.1932725"/>
    <n v="2.9791991250000001"/>
    <n v="0.710471147534533"/>
    <s v=""/>
    <n v="23.59"/>
    <n v="0"/>
    <n v="0"/>
    <n v="0"/>
    <n v="0"/>
    <n v="23.59"/>
    <s v=""/>
    <n v="4.7205086901229328E-2"/>
    <n v="0"/>
    <n v="1"/>
  </r>
  <r>
    <s v="Utilidade Pública / Energia Elétrica / Energia Elétrica"/>
    <x v="138"/>
    <n v="5"/>
    <x v="1"/>
    <s v="jcp"/>
    <n v="6.69"/>
    <d v="2010-12-16T00:00:00"/>
    <m/>
    <n v="1.90669"/>
    <n v="1.6206864999999999"/>
    <n v="2.5081365"/>
    <n v="0.37490829596412556"/>
    <n v="6.69"/>
    <n v="2.5081365"/>
    <n v="0.37490829596412556"/>
    <s v=""/>
    <n v="0"/>
    <n v="40"/>
    <n v="0"/>
    <n v="0"/>
    <n v="0"/>
    <n v="40"/>
    <s v=""/>
    <n v="6.27034125E-2"/>
    <n v="0"/>
    <n v="1"/>
  </r>
  <r>
    <s v="Utilidade Pública / Energia Elétrica / Energia Elétrica"/>
    <x v="139"/>
    <n v="5"/>
    <x v="1"/>
    <s v="jcp"/>
    <n v="7.36"/>
    <d v="2010-12-16T00:00:00"/>
    <m/>
    <n v="2.0973600000000001"/>
    <n v="1.782756"/>
    <n v="2.758956"/>
    <n v="0.374858152173913"/>
    <n v="7.36"/>
    <n v="2.758956"/>
    <n v="0.374858152173913"/>
    <s v=""/>
    <n v="15.47"/>
    <n v="0"/>
    <n v="0"/>
    <n v="0"/>
    <n v="0"/>
    <n v="15.47"/>
    <s v=""/>
    <n v="0.17834234001292823"/>
    <n v="0"/>
    <n v="1"/>
  </r>
  <r>
    <s v="Utilidade Pública / Energia Elétrica / Energia Elétrica"/>
    <x v="138"/>
    <n v="5"/>
    <x v="3"/>
    <m/>
    <n v="7.92"/>
    <m/>
    <m/>
    <m/>
    <n v="0"/>
    <n v="0"/>
    <n v="0"/>
    <n v="7.3049999999999997"/>
    <n v="1.25406825"/>
    <n v="0.17167258726899384"/>
    <s v=""/>
    <n v="0"/>
    <n v="40"/>
    <n v="0"/>
    <n v="0"/>
    <n v="0"/>
    <n v="40"/>
    <s v=""/>
    <n v="0"/>
    <n v="0"/>
    <n v="0"/>
  </r>
  <r>
    <s v="Utilidade Pública / Energia Elétrica / Energia Elétrica"/>
    <x v="139"/>
    <n v="5"/>
    <x v="3"/>
    <m/>
    <n v="8.7200000000000006"/>
    <m/>
    <m/>
    <m/>
    <n v="0"/>
    <n v="0"/>
    <n v="0"/>
    <n v="8.0400000000000009"/>
    <n v="1.379478"/>
    <n v="0.17157686567164177"/>
    <s v=""/>
    <n v="15.47"/>
    <n v="0"/>
    <n v="0"/>
    <n v="0"/>
    <n v="0"/>
    <n v="15.47"/>
    <s v=""/>
    <n v="0"/>
    <n v="0"/>
    <n v="0"/>
  </r>
  <r>
    <s v="Utilidade Pública / Energia Elétrica / Energia Elétrica"/>
    <x v="138"/>
    <n v="5"/>
    <x v="4"/>
    <m/>
    <n v="-3.3586999999999998"/>
    <m/>
    <m/>
    <m/>
    <n v="0"/>
    <n v="0"/>
    <n v="0"/>
    <n v="3.7504333333333335"/>
    <n v="0.8360455"/>
    <n v="0.2229197070560735"/>
    <s v=""/>
    <n v="0"/>
    <n v="40"/>
    <n v="0"/>
    <n v="0"/>
    <n v="0"/>
    <n v="40"/>
    <s v=""/>
    <n v="0"/>
    <n v="0"/>
    <n v="0"/>
  </r>
  <r>
    <s v="Utilidade Pública / Energia Elétrica / Energia Elétrica"/>
    <x v="139"/>
    <n v="5"/>
    <x v="4"/>
    <m/>
    <n v="-3.6945999999999999"/>
    <m/>
    <m/>
    <m/>
    <n v="0"/>
    <n v="0"/>
    <n v="0"/>
    <n v="4.1284666666666672"/>
    <n v="0.91965200000000003"/>
    <n v="0.22275873205548466"/>
    <s v=""/>
    <n v="15.47"/>
    <n v="0"/>
    <n v="0"/>
    <n v="0"/>
    <n v="0"/>
    <n v="15.47"/>
    <s v=""/>
    <n v="0"/>
    <n v="0"/>
    <n v="0"/>
  </r>
  <r>
    <s v="Utilidade Pública / Energia Elétrica / Energia Elétrica"/>
    <x v="138"/>
    <n v="5"/>
    <x v="5"/>
    <m/>
    <n v="5.1962999999999999"/>
    <m/>
    <m/>
    <m/>
    <n v="0"/>
    <n v="0"/>
    <n v="0"/>
    <n v="4.1119000000000003"/>
    <n v="0.627034125"/>
    <n v="0.15249255210486634"/>
    <s v=""/>
    <n v="0"/>
    <n v="40"/>
    <n v="0"/>
    <n v="0"/>
    <n v="0"/>
    <n v="40"/>
    <s v=""/>
    <n v="0"/>
    <n v="0"/>
    <n v="0"/>
  </r>
  <r>
    <s v="Utilidade Pública / Energia Elétrica / Energia Elétrica"/>
    <x v="139"/>
    <n v="5"/>
    <x v="5"/>
    <m/>
    <n v="5.7160000000000002"/>
    <m/>
    <m/>
    <m/>
    <n v="0"/>
    <n v="0"/>
    <n v="0"/>
    <n v="4.5253500000000004"/>
    <n v="0.68973899999999999"/>
    <n v="0.15241671914879509"/>
    <s v=""/>
    <n v="15.47"/>
    <n v="0"/>
    <n v="0"/>
    <n v="0"/>
    <n v="0"/>
    <n v="15.47"/>
    <s v=""/>
    <n v="0"/>
    <n v="0"/>
    <n v="0"/>
  </r>
  <r>
    <s v="Utilidade Pública / Energia Elétrica / Energia Elétrica"/>
    <x v="113"/>
    <n v="4"/>
    <x v="1"/>
    <s v="jcp"/>
    <m/>
    <d v="2010-03-31T00:00:00"/>
    <d v="2010-05-19T00:00:00"/>
    <n v="0.13764000000000001"/>
    <n v="0.116994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1"/>
    <s v="jcp"/>
    <m/>
    <d v="2010-03-31T00:00:00"/>
    <d v="2010-05-19T00:00:00"/>
    <n v="0.13764000000000001"/>
    <n v="0.116994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1"/>
    <s v="jcp"/>
    <m/>
    <d v="2010-03-31T00:00:00"/>
    <d v="2010-05-19T00:00:00"/>
    <n v="0.15140000000000001"/>
    <n v="0.1286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1"/>
    <s v="jcp"/>
    <m/>
    <d v="2010-06-30T00:00:00"/>
    <d v="2010-09-15T00:00:00"/>
    <n v="0.13764000000000001"/>
    <n v="0.116994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1"/>
    <s v="jcp"/>
    <m/>
    <d v="2010-06-30T00:00:00"/>
    <d v="2010-09-15T00:00:00"/>
    <n v="0.13764000000000001"/>
    <n v="0.116994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1"/>
    <s v="jcp"/>
    <m/>
    <d v="2010-06-30T00:00:00"/>
    <d v="2010-09-15T00:00:00"/>
    <n v="0.15140999999999999"/>
    <n v="0.1286984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1"/>
    <s v="div"/>
    <m/>
    <d v="2010-09-30T00:00:00"/>
    <d v="2010-12-15T00:00:00"/>
    <n v="1.4510000000000001"/>
    <n v="1.4510000000000001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1"/>
    <s v="div"/>
    <m/>
    <d v="2010-09-30T00:00:00"/>
    <d v="2010-12-15T00:00:00"/>
    <n v="1.4510000000000001"/>
    <n v="1.4510000000000001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1"/>
    <s v="div"/>
    <m/>
    <d v="2010-09-30T00:00:00"/>
    <d v="2010-12-15T00:00:00"/>
    <n v="1.5961000000000001"/>
    <n v="1.5961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1"/>
    <s v="jcp"/>
    <m/>
    <d v="2010-09-30T00:00:00"/>
    <d v="2010-12-15T00:00:00"/>
    <n v="0.13764000000000001"/>
    <n v="0.116994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1"/>
    <s v="jcp"/>
    <m/>
    <d v="2010-09-30T00:00:00"/>
    <d v="2010-12-15T00:00:00"/>
    <n v="0.13764000000000001"/>
    <n v="0.116994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1"/>
    <s v="jcp"/>
    <m/>
    <d v="2010-09-30T00:00:00"/>
    <d v="2010-12-15T00:00:00"/>
    <n v="0.15140000000000001"/>
    <n v="0.1286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5"/>
    <x v="1"/>
    <s v="jcp"/>
    <n v="4.79"/>
    <d v="2010-12-30T00:00:00"/>
    <d v="2011-02-23T00:00:00"/>
    <n v="0.13764000000000001"/>
    <n v="0.116994"/>
    <n v="3.5892460000000002"/>
    <n v="0.7493206680584551"/>
    <n v="4.79"/>
    <n v="3.5892460000000002"/>
    <n v="0.7493206680584551"/>
    <s v=""/>
    <n v="27.3"/>
    <n v="0"/>
    <n v="0"/>
    <n v="0"/>
    <n v="0"/>
    <n v="27.3"/>
    <s v=""/>
    <n v="0.13147421245421245"/>
    <n v="0"/>
    <n v="1"/>
  </r>
  <r>
    <s v="Utilidade Pública / Energia Elétrica / Energia Elétrica"/>
    <x v="114"/>
    <n v="5"/>
    <x v="1"/>
    <s v="jcp"/>
    <n v="4.79"/>
    <d v="2010-12-30T00:00:00"/>
    <d v="2011-02-23T00:00:00"/>
    <n v="0.13764000000000001"/>
    <n v="0.116994"/>
    <n v="3.5892460000000002"/>
    <n v="0.7493206680584551"/>
    <n v="4.79"/>
    <n v="3.5892460000000002"/>
    <n v="0.7493206680584551"/>
    <s v=""/>
    <n v="32.01"/>
    <n v="0"/>
    <n v="0"/>
    <n v="0"/>
    <n v="0"/>
    <n v="32.01"/>
    <s v=""/>
    <n v="0.11212889721961888"/>
    <n v="0"/>
    <n v="1"/>
  </r>
  <r>
    <s v="Utilidade Pública / Energia Elétrica / Energia Elétrica"/>
    <x v="115"/>
    <n v="5"/>
    <x v="1"/>
    <s v="jcp"/>
    <n v="5.26"/>
    <d v="2010-12-30T00:00:00"/>
    <d v="2011-02-23T00:00:00"/>
    <n v="0.15140000000000001"/>
    <n v="0.12869"/>
    <n v="3.9481685000000004"/>
    <n v="0.75060237642585559"/>
    <n v="5.26"/>
    <n v="3.9481685000000004"/>
    <n v="0.75060237642585559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3"/>
    <s v="jcp"/>
    <m/>
    <d v="2011-03-31T00:00:00"/>
    <d v="2011-12-30T00:00:00"/>
    <n v="0.14599999999999999"/>
    <n v="0.12409999999999999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3"/>
    <s v="jcp"/>
    <m/>
    <d v="2011-03-31T00:00:00"/>
    <d v="2011-12-30T00:00:00"/>
    <n v="0.14599999999999999"/>
    <n v="0.12409999999999999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3"/>
    <s v="jcp"/>
    <m/>
    <d v="2011-03-31T00:00:00"/>
    <d v="2011-12-30T00:00:00"/>
    <n v="0.16059999999999999"/>
    <n v="0.1365099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3"/>
    <s v="div"/>
    <m/>
    <d v="2011-04-27T00:00:00"/>
    <d v="2011-05-18T00:00:00"/>
    <n v="2.4166699999999999"/>
    <n v="2.41666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3"/>
    <s v="div"/>
    <m/>
    <d v="2011-04-27T00:00:00"/>
    <d v="2011-05-18T00:00:00"/>
    <n v="2.4166699999999999"/>
    <n v="2.41666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3"/>
    <s v="div"/>
    <m/>
    <d v="2011-04-27T00:00:00"/>
    <d v="2011-05-18T00:00:00"/>
    <n v="2.6583399999999999"/>
    <n v="2.6583399999999999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3"/>
    <s v="jcp"/>
    <m/>
    <d v="2011-06-30T00:00:00"/>
    <d v="2011-07-01T00:00:00"/>
    <n v="0.14601"/>
    <n v="0.1241085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3"/>
    <s v="jcp"/>
    <m/>
    <d v="2011-06-30T00:00:00"/>
    <d v="2011-07-01T00:00:00"/>
    <n v="0.14601"/>
    <n v="0.1241085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3"/>
    <s v="jcp"/>
    <m/>
    <d v="2011-06-30T00:00:00"/>
    <d v="2011-07-01T00:00:00"/>
    <n v="0.16061"/>
    <n v="0.1365184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3"/>
    <s v="div"/>
    <m/>
    <d v="2011-08-29T00:00:00"/>
    <d v="2011-09-14T00:00:00"/>
    <n v="1.4169499999999999"/>
    <n v="1.41694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3"/>
    <s v="div"/>
    <m/>
    <d v="2011-08-29T00:00:00"/>
    <d v="2011-09-14T00:00:00"/>
    <n v="1.4169499999999999"/>
    <n v="1.41694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3"/>
    <s v="div"/>
    <m/>
    <d v="2011-08-29T00:00:00"/>
    <d v="2011-09-14T00:00:00"/>
    <n v="1.55864"/>
    <n v="1.55864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3"/>
    <s v="jcp"/>
    <m/>
    <d v="2011-09-30T00:00:00"/>
    <d v="2011-10-01T00:00:00"/>
    <n v="0.14601"/>
    <n v="0.1241085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3"/>
    <s v="jcp"/>
    <m/>
    <d v="2011-09-30T00:00:00"/>
    <d v="2011-10-01T00:00:00"/>
    <n v="0.14601"/>
    <n v="0.1241085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3"/>
    <s v="jcp"/>
    <m/>
    <d v="2011-09-30T00:00:00"/>
    <d v="2011-10-01T00:00:00"/>
    <n v="0.16061"/>
    <n v="0.13651849999999999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5"/>
    <x v="3"/>
    <s v="jcp"/>
    <n v="3.87"/>
    <d v="2011-12-29T00:00:00"/>
    <d v="2011-12-30T00:00:00"/>
    <n v="0.14599999999999999"/>
    <n v="0.12409999999999999"/>
    <n v="4.3300370000000008"/>
    <n v="1.1188726098191217"/>
    <n v="4.33"/>
    <n v="3.9596415000000005"/>
    <n v="0.914466859122402"/>
    <s v=""/>
    <n v="27.3"/>
    <n v="0"/>
    <n v="0"/>
    <n v="0"/>
    <n v="0"/>
    <n v="27.3"/>
    <s v=""/>
    <n v="0.15860941391941394"/>
    <n v="0"/>
    <n v="1"/>
  </r>
  <r>
    <s v="Utilidade Pública / Energia Elétrica / Energia Elétrica"/>
    <x v="114"/>
    <n v="5"/>
    <x v="3"/>
    <s v="jcp"/>
    <n v="3.87"/>
    <d v="2011-12-29T00:00:00"/>
    <d v="2011-12-30T00:00:00"/>
    <n v="0.14599999999999999"/>
    <n v="0.12409999999999999"/>
    <n v="4.3300370000000008"/>
    <n v="1.1188726098191217"/>
    <n v="4.33"/>
    <n v="3.9596415000000005"/>
    <n v="0.914466859122402"/>
    <s v=""/>
    <n v="32.01"/>
    <n v="0"/>
    <n v="0"/>
    <n v="0"/>
    <n v="0"/>
    <n v="32.01"/>
    <s v=""/>
    <n v="0.135271383942518"/>
    <n v="0"/>
    <n v="1"/>
  </r>
  <r>
    <s v="Utilidade Pública / Energia Elétrica / Energia Elétrica"/>
    <x v="115"/>
    <n v="5"/>
    <x v="3"/>
    <s v="jcp"/>
    <n v="4.25"/>
    <d v="2011-12-29T00:00:00"/>
    <d v="2011-12-30T00:00:00"/>
    <n v="0.16059999999999999"/>
    <n v="0.13650999999999999"/>
    <n v="4.7630370000000006"/>
    <n v="1.1207145882352942"/>
    <n v="4.7549999999999999"/>
    <n v="4.355602750000001"/>
    <n v="0.91600478443743449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4"/>
    <s v="div"/>
    <m/>
    <d v="2012-04-18T00:00:00"/>
    <d v="2012-05-09T00:00:00"/>
    <n v="1.1283399999999999"/>
    <n v="1.1283399999999999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4"/>
    <s v="div"/>
    <m/>
    <d v="2012-04-18T00:00:00"/>
    <d v="2012-05-09T00:00:00"/>
    <n v="1.1283399999999999"/>
    <n v="1.1283399999999999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4"/>
    <s v="div"/>
    <m/>
    <d v="2012-04-18T00:00:00"/>
    <d v="2012-05-09T00:00:00"/>
    <n v="1.2411799999999999"/>
    <n v="1.2411799999999999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4"/>
    <s v="div"/>
    <m/>
    <d v="2012-04-18T00:00:00"/>
    <d v="2012-12-19T00:00:00"/>
    <n v="0.33522000000000002"/>
    <n v="0.33522000000000002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4"/>
    <s v="div"/>
    <m/>
    <d v="2012-04-18T00:00:00"/>
    <d v="2012-12-19T00:00:00"/>
    <n v="0.33522000000000002"/>
    <n v="0.33522000000000002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4"/>
    <s v="div"/>
    <m/>
    <d v="2012-04-18T00:00:00"/>
    <d v="2012-12-19T00:00:00"/>
    <n v="0.36874000000000001"/>
    <n v="0.36874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4"/>
    <x v="4"/>
    <s v="jcp"/>
    <m/>
    <d v="2012-12-28T00:00:00"/>
    <m/>
    <n v="0.58301000000000003"/>
    <n v="0.49555850000000001"/>
    <s v=""/>
    <s v=""/>
    <s v=""/>
    <s v=""/>
    <s v=""/>
    <s v=""/>
    <n v="27.3"/>
    <n v="0"/>
    <n v="0"/>
    <n v="0"/>
    <n v="0"/>
    <n v="27.3"/>
    <s v=""/>
    <s v=""/>
    <n v="0"/>
    <n v="1"/>
  </r>
  <r>
    <s v="Utilidade Pública / Energia Elétrica / Energia Elétrica"/>
    <x v="114"/>
    <n v="4"/>
    <x v="4"/>
    <s v="jcp"/>
    <m/>
    <d v="2012-12-28T00:00:00"/>
    <m/>
    <n v="0.58301000000000003"/>
    <n v="0.49555850000000001"/>
    <s v=""/>
    <s v=""/>
    <s v=""/>
    <s v=""/>
    <s v=""/>
    <s v=""/>
    <n v="32.01"/>
    <n v="0"/>
    <n v="0"/>
    <n v="0"/>
    <n v="0"/>
    <n v="32.01"/>
    <s v=""/>
    <s v=""/>
    <n v="0"/>
    <n v="1"/>
  </r>
  <r>
    <s v="Utilidade Pública / Energia Elétrica / Energia Elétrica"/>
    <x v="115"/>
    <n v="4"/>
    <x v="4"/>
    <s v="jcp"/>
    <m/>
    <d v="2012-12-28T00:00:00"/>
    <m/>
    <n v="0.64131000000000005"/>
    <n v="0.54511350000000003"/>
    <s v=""/>
    <s v=""/>
    <s v=""/>
    <s v=""/>
    <s v=""/>
    <s v=""/>
    <n v="0"/>
    <n v="0"/>
    <n v="0"/>
    <n v="0"/>
    <n v="0"/>
    <s v=""/>
    <s v=""/>
    <s v=""/>
    <n v="0"/>
    <n v="1"/>
  </r>
  <r>
    <s v="Utilidade Pública / Energia Elétrica / Energia Elétrica"/>
    <x v="113"/>
    <n v="4"/>
    <x v="4"/>
    <s v="div"/>
    <m/>
    <m/>
    <m/>
    <n v="0.2727"/>
    <n v="0.2727"/>
    <s v=""/>
    <s v=""/>
    <s v=""/>
    <s v=""/>
    <s v=""/>
    <s v=""/>
    <n v="27.3"/>
    <n v="0"/>
    <n v="0"/>
    <n v="0"/>
    <n v="0"/>
    <n v="27.3"/>
    <s v=""/>
    <s v=""/>
    <n v="1"/>
    <n v="0"/>
  </r>
  <r>
    <s v="Utilidade Pública / Energia Elétrica / Energia Elétrica"/>
    <x v="114"/>
    <n v="4"/>
    <x v="4"/>
    <s v="div"/>
    <m/>
    <m/>
    <m/>
    <n v="0.2727"/>
    <n v="0.2727"/>
    <s v=""/>
    <s v=""/>
    <s v=""/>
    <s v=""/>
    <s v=""/>
    <s v=""/>
    <n v="32.01"/>
    <n v="0"/>
    <n v="0"/>
    <n v="0"/>
    <n v="0"/>
    <n v="32.01"/>
    <s v=""/>
    <s v=""/>
    <n v="1"/>
    <n v="0"/>
  </r>
  <r>
    <s v="Utilidade Pública / Energia Elétrica / Energia Elétrica"/>
    <x v="115"/>
    <n v="4"/>
    <x v="4"/>
    <s v="div"/>
    <m/>
    <m/>
    <m/>
    <n v="0.29997000000000001"/>
    <n v="0.29997000000000001"/>
    <s v=""/>
    <s v=""/>
    <s v=""/>
    <s v=""/>
    <s v=""/>
    <s v=""/>
    <n v="0"/>
    <n v="0"/>
    <n v="0"/>
    <n v="0"/>
    <n v="0"/>
    <s v=""/>
    <s v=""/>
    <s v=""/>
    <n v="1"/>
    <n v="0"/>
  </r>
  <r>
    <s v="Utilidade Pública / Energia Elétrica / Energia Elétrica"/>
    <x v="113"/>
    <n v="5"/>
    <x v="4"/>
    <s v="div"/>
    <n v="4.1500000000000004"/>
    <m/>
    <m/>
    <n v="1.7469999999999999E-2"/>
    <n v="1.7469999999999999E-2"/>
    <n v="2.2492885"/>
    <n v="0.5419972289156626"/>
    <n v="4.2700000000000005"/>
    <n v="3.3895238333333335"/>
    <n v="0.7937994925839188"/>
    <s v=""/>
    <n v="27.3"/>
    <n v="0"/>
    <n v="0"/>
    <n v="0"/>
    <n v="0"/>
    <n v="27.3"/>
    <s v=""/>
    <n v="8.2391520146520139E-2"/>
    <n v="1"/>
    <n v="0"/>
  </r>
  <r>
    <s v="Utilidade Pública / Energia Elétrica / Energia Elétrica"/>
    <x v="114"/>
    <n v="5"/>
    <x v="4"/>
    <s v="div"/>
    <n v="4.1500000000000004"/>
    <m/>
    <m/>
    <n v="1.7469999999999999E-2"/>
    <n v="1.7469999999999999E-2"/>
    <n v="2.2492885"/>
    <n v="0.5419972289156626"/>
    <n v="4.2700000000000005"/>
    <n v="3.3895238333333335"/>
    <n v="0.7937994925839188"/>
    <s v=""/>
    <n v="32.01"/>
    <n v="0"/>
    <n v="0"/>
    <n v="0"/>
    <n v="0"/>
    <n v="32.01"/>
    <s v=""/>
    <n v="7.0268306779131526E-2"/>
    <n v="1"/>
    <n v="0"/>
  </r>
  <r>
    <s v="Utilidade Pública / Energia Elétrica / Energia Elétrica"/>
    <x v="115"/>
    <n v="5"/>
    <x v="4"/>
    <s v="div"/>
    <n v="4.5599999999999996"/>
    <m/>
    <m/>
    <n v="1.9220000000000001E-2"/>
    <n v="1.9220000000000001E-2"/>
    <n v="2.4742234999999999"/>
    <n v="0.54259287280701762"/>
    <n v="4.6900000000000004"/>
    <n v="3.7284763333333344"/>
    <n v="0.79498429282160643"/>
    <s v=""/>
    <n v="0"/>
    <n v="0"/>
    <n v="0"/>
    <n v="0"/>
    <n v="0"/>
    <s v=""/>
    <s v=""/>
    <s v=""/>
    <n v="1"/>
    <n v="0"/>
  </r>
  <r>
    <s v="Utilidade Pública / Energia Elétrica / Energia Elétrica"/>
    <x v="113"/>
    <n v="5"/>
    <x v="5"/>
    <s v="div"/>
    <n v="2.2400000000000002"/>
    <d v="2013-04-29T00:00:00"/>
    <d v="2013-05-15T00:00:00"/>
    <n v="0.29016999999999998"/>
    <n v="0.29016999999999998"/>
    <n v="0.29016999999999998"/>
    <n v="0.12954017857142855"/>
    <n v="3.7625000000000002"/>
    <n v="2.6146853750000001"/>
    <n v="0.69493299003322262"/>
    <s v=""/>
    <n v="27.3"/>
    <n v="0"/>
    <n v="0"/>
    <n v="0"/>
    <n v="0"/>
    <n v="27.3"/>
    <s v=""/>
    <n v="1.0628937728937728E-2"/>
    <n v="1"/>
    <n v="0"/>
  </r>
  <r>
    <s v="Utilidade Pública / Energia Elétrica / Energia Elétrica"/>
    <x v="114"/>
    <n v="5"/>
    <x v="5"/>
    <s v="div"/>
    <n v="2.2400000000000002"/>
    <d v="2013-04-29T00:00:00"/>
    <d v="2013-05-15T00:00:00"/>
    <n v="0.29016999999999998"/>
    <n v="0.29016999999999998"/>
    <n v="0.29016999999999998"/>
    <n v="0.12954017857142855"/>
    <n v="3.7625000000000002"/>
    <n v="2.6146853750000001"/>
    <n v="0.69493299003322262"/>
    <s v=""/>
    <n v="32.01"/>
    <n v="0"/>
    <n v="0"/>
    <n v="0"/>
    <n v="0"/>
    <n v="32.01"/>
    <s v=""/>
    <n v="9.0649796938456727E-3"/>
    <n v="1"/>
    <n v="0"/>
  </r>
  <r>
    <s v="Utilidade Pública / Energia Elétrica / Energia Elétrica"/>
    <x v="115"/>
    <n v="5"/>
    <x v="5"/>
    <s v="div"/>
    <n v="2.46"/>
    <d v="2013-04-29T00:00:00"/>
    <d v="2013-05-15T00:00:00"/>
    <n v="0.31918999999999997"/>
    <n v="0.31918999999999997"/>
    <n v="0.31918999999999997"/>
    <n v="0.12975203252032519"/>
    <n v="4.1325000000000003"/>
    <n v="2.8761547500000009"/>
    <n v="0.69598421052631598"/>
    <s v=""/>
    <n v="0"/>
    <n v="0"/>
    <n v="0"/>
    <n v="0"/>
    <n v="0"/>
    <s v=""/>
    <s v=""/>
    <s v=""/>
    <n v="1"/>
    <n v="0"/>
  </r>
  <r>
    <s v="Utilidade Pública / Energia Elétrica / Energia Elétrica"/>
    <x v="454"/>
    <n v="4"/>
    <x v="1"/>
    <s v="jcp"/>
    <m/>
    <d v="2010-11-05T00:00:00"/>
    <m/>
    <n v="0.33704000000000001"/>
    <n v="0.28648400000000002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1"/>
    <s v="div"/>
    <n v="1.8562399999999999"/>
    <d v="2011-02-04T00:00:00"/>
    <m/>
    <n v="0.24246999999999999"/>
    <n v="0.24246999999999999"/>
    <n v="0.96725400000000006"/>
    <n v="0.52108240313752541"/>
    <n v="1.8562399999999999"/>
    <n v="0.96725400000000006"/>
    <n v="0.52108240313752541"/>
    <s v=""/>
    <n v="32.65"/>
    <n v="0"/>
    <n v="0"/>
    <n v="0"/>
    <n v="0"/>
    <n v="32.65"/>
    <s v=""/>
    <n v="2.9624931087289436E-2"/>
    <n v="1"/>
    <n v="0"/>
  </r>
  <r>
    <s v="Utilidade Pública / Energia Elétrica / Energia Elétrica"/>
    <x v="454"/>
    <n v="4"/>
    <x v="3"/>
    <s v="div"/>
    <m/>
    <d v="2011-07-29T00:00:00"/>
    <d v="2011-10-06T00:00:00"/>
    <n v="1.00807"/>
    <n v="1.00807"/>
    <s v=""/>
    <s v=""/>
    <s v=""/>
    <s v=""/>
    <s v=""/>
    <s v=""/>
    <n v="32.65"/>
    <n v="0"/>
    <n v="0"/>
    <n v="0"/>
    <n v="0"/>
    <n v="32.65"/>
    <s v=""/>
    <s v=""/>
    <n v="1"/>
    <n v="0"/>
  </r>
  <r>
    <s v="Utilidade Pública / Energia Elétrica / Energia Elétrica"/>
    <x v="454"/>
    <n v="4"/>
    <x v="3"/>
    <s v="jcp"/>
    <m/>
    <d v="2012-11-04T00:00:00"/>
    <d v="2012-02-10T00:00:00"/>
    <n v="0.38911000000000001"/>
    <n v="0.33074350000000002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3"/>
    <s v="div"/>
    <n v="2.2177799999999999"/>
    <d v="2012-02-07T00:00:00"/>
    <m/>
    <n v="0.79256000000000004"/>
    <n v="0.79256000000000004"/>
    <n v="2.1313735"/>
    <n v="0.96103919234549873"/>
    <n v="2.03701"/>
    <n v="1.54931375"/>
    <n v="0.76058229954688494"/>
    <s v=""/>
    <n v="32.65"/>
    <n v="0"/>
    <n v="0"/>
    <n v="0"/>
    <n v="0"/>
    <n v="32.65"/>
    <s v=""/>
    <n v="6.527943338437979E-2"/>
    <n v="1"/>
    <n v="0"/>
  </r>
  <r>
    <s v="Utilidade Pública / Energia Elétrica / Energia Elétrica"/>
    <x v="454"/>
    <n v="4"/>
    <x v="4"/>
    <s v="div"/>
    <m/>
    <d v="2012-07-26T00:00:00"/>
    <d v="2012-09-27T00:00:00"/>
    <n v="1.06284"/>
    <n v="1.06284"/>
    <s v=""/>
    <s v=""/>
    <s v=""/>
    <s v=""/>
    <s v=""/>
    <s v=""/>
    <n v="32.65"/>
    <n v="0"/>
    <n v="0"/>
    <n v="0"/>
    <n v="0"/>
    <n v="32.65"/>
    <s v=""/>
    <s v=""/>
    <n v="1"/>
    <n v="0"/>
  </r>
  <r>
    <s v="Utilidade Pública / Energia Elétrica / Energia Elétrica"/>
    <x v="454"/>
    <n v="4"/>
    <x v="4"/>
    <s v="jcp"/>
    <m/>
    <d v="2012-10-25T00:00:00"/>
    <m/>
    <n v="0.42314000000000002"/>
    <n v="0.35966900000000002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4"/>
    <s v="div"/>
    <n v="2.2972299999999999"/>
    <d v="2013-02-07T00:00:00"/>
    <m/>
    <n v="0.88309000000000004"/>
    <n v="0.88309000000000004"/>
    <n v="2.305599"/>
    <n v="1.003643083191496"/>
    <n v="2.1237499999999998"/>
    <n v="1.8014088333333333"/>
    <n v="0.84822075730822055"/>
    <s v=""/>
    <n v="32.65"/>
    <n v="0"/>
    <n v="0"/>
    <n v="0"/>
    <n v="0"/>
    <n v="32.65"/>
    <s v=""/>
    <n v="7.0615589586523739E-2"/>
    <n v="1"/>
    <n v="0"/>
  </r>
  <r>
    <s v="Utilidade Pública / Energia Elétrica / Energia Elétrica"/>
    <x v="454"/>
    <n v="4"/>
    <x v="5"/>
    <s v="div"/>
    <m/>
    <d v="2013-07-30T00:00:00"/>
    <d v="2013-09-23T00:00:00"/>
    <n v="1.17591"/>
    <n v="1.17591"/>
    <s v=""/>
    <s v=""/>
    <s v=""/>
    <s v=""/>
    <s v=""/>
    <s v=""/>
    <n v="32.65"/>
    <n v="0"/>
    <n v="0"/>
    <n v="0"/>
    <n v="0"/>
    <n v="32.65"/>
    <s v=""/>
    <s v=""/>
    <n v="1"/>
    <n v="0"/>
  </r>
  <r>
    <s v="Utilidade Pública / Energia Elétrica / Energia Elétrica"/>
    <x v="454"/>
    <n v="4"/>
    <x v="5"/>
    <s v="jcp"/>
    <m/>
    <d v="2013-10-25T00:00:00"/>
    <d v="2014-02-28T00:00:00"/>
    <n v="0.37502999999999997"/>
    <n v="0.31877549999999999"/>
    <s v=""/>
    <s v=""/>
    <s v=""/>
    <s v=""/>
    <s v=""/>
    <s v=""/>
    <n v="32.65"/>
    <n v="0"/>
    <n v="0"/>
    <n v="0"/>
    <n v="0"/>
    <n v="32.65"/>
    <s v=""/>
    <s v=""/>
    <n v="0"/>
    <n v="1"/>
  </r>
  <r>
    <s v="Utilidade Pública / Energia Elétrica / Energia Elétrica"/>
    <x v="454"/>
    <n v="5"/>
    <x v="5"/>
    <s v="div"/>
    <n v="2.2001200000000001"/>
    <d v="2014-02-20T00:00:00"/>
    <m/>
    <n v="0.70745999999999998"/>
    <n v="0.70745999999999998"/>
    <n v="2.2021455000000003"/>
    <n v="1.0009206316019128"/>
    <n v="2.1428425"/>
    <n v="1.9015930000000001"/>
    <n v="0.88741613067689296"/>
    <s v=""/>
    <n v="32.65"/>
    <n v="0"/>
    <n v="0"/>
    <n v="0"/>
    <n v="0"/>
    <n v="32.65"/>
    <s v=""/>
    <n v="6.7447029096477804E-2"/>
    <n v="1"/>
    <n v="0"/>
  </r>
  <r>
    <s v="Utilidade Pública / Energia Elétrica / Energia Elétrica"/>
    <x v="146"/>
    <n v="4"/>
    <x v="1"/>
    <s v="jcp"/>
    <m/>
    <d v="2010-08-17T00:00:00"/>
    <d v="2010-09-20T00:00:00"/>
    <n v="0.29661999999999999"/>
    <n v="0.25212699999999999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1"/>
    <s v="jcp"/>
    <m/>
    <d v="2010-08-17T00:00:00"/>
    <d v="2010-09-20T00:00:00"/>
    <n v="0.32638"/>
    <n v="0.27742299999999998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1"/>
    <s v="jcp"/>
    <m/>
    <d v="2010-08-17T00:00:00"/>
    <d v="2010-09-20T00:00:00"/>
    <n v="0.32638"/>
    <n v="0.27742299999999998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1"/>
    <s v="jcp"/>
    <n v="3.45"/>
    <m/>
    <m/>
    <n v="0.40037"/>
    <n v="0.34031450000000002"/>
    <n v="0.87572150000000004"/>
    <n v="0.25383231884057972"/>
    <n v="3.45"/>
    <n v="0.87572150000000004"/>
    <n v="0.25383231884057972"/>
    <s v=""/>
    <n v="19.05"/>
    <n v="0"/>
    <n v="0"/>
    <n v="0"/>
    <n v="0"/>
    <n v="19.05"/>
    <s v=""/>
    <n v="4.5969632545931761E-2"/>
    <n v="0"/>
    <n v="1"/>
  </r>
  <r>
    <s v="Utilidade Pública / Energia Elétrica / Energia Elétrica"/>
    <x v="147"/>
    <n v="5"/>
    <x v="1"/>
    <s v="jcp"/>
    <n v="5.21"/>
    <m/>
    <m/>
    <n v="1.1508700000000001"/>
    <n v="0.97823950000000004"/>
    <n v="2.3034824999999999"/>
    <n v="0.44212715930902108"/>
    <n v="5.21"/>
    <n v="2.3034824999999999"/>
    <n v="0.44212715930902108"/>
    <s v=""/>
    <n v="30"/>
    <n v="0"/>
    <n v="0"/>
    <n v="0"/>
    <n v="0"/>
    <n v="30"/>
    <s v=""/>
    <n v="7.6782749999999997E-2"/>
    <n v="0"/>
    <n v="1"/>
  </r>
  <r>
    <s v="Utilidade Pública / Energia Elétrica / Energia Elétrica"/>
    <x v="148"/>
    <n v="5"/>
    <x v="1"/>
    <s v="jcp"/>
    <n v="3.79"/>
    <m/>
    <m/>
    <n v="0.44048999999999999"/>
    <n v="0.37441649999999999"/>
    <n v="0.96350950000000002"/>
    <n v="0.25422414248021108"/>
    <n v="3.79"/>
    <n v="0.96350950000000002"/>
    <n v="0.25422414248021108"/>
    <s v=""/>
    <n v="26.32"/>
    <n v="0"/>
    <n v="0"/>
    <n v="0"/>
    <n v="0"/>
    <n v="26.32"/>
    <s v=""/>
    <n v="3.6607503799392101E-2"/>
    <n v="0"/>
    <n v="1"/>
  </r>
  <r>
    <s v="Utilidade Pública / Energia Elétrica / Energia Elétrica"/>
    <x v="146"/>
    <n v="4"/>
    <x v="3"/>
    <s v="div"/>
    <m/>
    <d v="2011-04-28T00:00:00"/>
    <d v="2011-05-23T00:00:00"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3"/>
    <s v="div"/>
    <m/>
    <d v="2011-04-28T00:00:00"/>
    <d v="2011-05-23T00:00:00"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3"/>
    <s v="div"/>
    <m/>
    <d v="2011-04-28T00:00:00"/>
    <d v="2011-05-23T00:00:00"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3"/>
    <s v="jcp"/>
    <m/>
    <d v="2011-04-28T00:00:00"/>
    <d v="2011-05-23T00:00:00"/>
    <n v="0.40037"/>
    <n v="0.3403145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3"/>
    <s v="jcp"/>
    <m/>
    <d v="2011-04-28T00:00:00"/>
    <d v="2011-05-23T00:00:00"/>
    <n v="1.1508700000000001"/>
    <n v="0.97823950000000004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3"/>
    <s v="jcp"/>
    <m/>
    <d v="2011-04-28T00:00:00"/>
    <d v="2011-05-23T00:00:00"/>
    <n v="0.44048999999999999"/>
    <n v="0.3744164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3"/>
    <s v="jcp"/>
    <n v="4.04"/>
    <d v="2011-08-11T00:00:00"/>
    <d v="2011-09-15T00:00:00"/>
    <n v="0.78803000000000001"/>
    <n v="0.66982549999999996"/>
    <n v="1.29342"/>
    <n v="0.32015346534653466"/>
    <n v="3.7450000000000001"/>
    <n v="1.0845707500000001"/>
    <n v="0.28960500667556743"/>
    <s v=""/>
    <n v="19.05"/>
    <n v="0"/>
    <n v="0"/>
    <n v="0"/>
    <n v="0"/>
    <n v="19.05"/>
    <s v=""/>
    <n v="6.7896062992125986E-2"/>
    <n v="0"/>
    <n v="1"/>
  </r>
  <r>
    <s v="Utilidade Pública / Energia Elétrica / Energia Elétrica"/>
    <x v="147"/>
    <n v="5"/>
    <x v="3"/>
    <s v="jcp"/>
    <n v="5.33"/>
    <d v="2011-08-11T00:00:00"/>
    <d v="2011-09-15T00:00:00"/>
    <n v="0.86706000000000005"/>
    <n v="0.73700100000000002"/>
    <n v="2.7630604999999999"/>
    <n v="0.51839784240150089"/>
    <n v="5.27"/>
    <n v="2.5332714999999997"/>
    <n v="0.48069667931688803"/>
    <s v=""/>
    <n v="30"/>
    <n v="0"/>
    <n v="0"/>
    <n v="0"/>
    <n v="0"/>
    <n v="30"/>
    <s v=""/>
    <n v="9.2102016666666661E-2"/>
    <n v="0"/>
    <n v="1"/>
  </r>
  <r>
    <s v="Utilidade Pública / Energia Elétrica / Energia Elétrica"/>
    <x v="148"/>
    <n v="5"/>
    <x v="3"/>
    <s v="jcp"/>
    <n v="4.4400000000000004"/>
    <d v="2011-08-11T00:00:00"/>
    <d v="2011-09-15T00:00:00"/>
    <n v="0.86706000000000005"/>
    <n v="0.73700100000000002"/>
    <n v="1.4230875000000001"/>
    <n v="0.32051520270270267"/>
    <n v="4.1150000000000002"/>
    <n v="1.1932985"/>
    <n v="0.28998748481166464"/>
    <s v=""/>
    <n v="26.32"/>
    <n v="0"/>
    <n v="0"/>
    <n v="0"/>
    <n v="0"/>
    <n v="26.32"/>
    <s v=""/>
    <n v="5.4068674012158056E-2"/>
    <n v="0"/>
    <n v="1"/>
  </r>
  <r>
    <s v="Utilidade Pública / Energia Elétrica / Energia Elétrica"/>
    <x v="146"/>
    <n v="4"/>
    <x v="4"/>
    <s v="jcp"/>
    <m/>
    <d v="2010-08-17T00:00:00"/>
    <d v="2010-09-20T00:00:00"/>
    <n v="0.29661999999999999"/>
    <n v="0.25212699999999999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0-08-17T00:00:00"/>
    <d v="2010-09-20T00:00:00"/>
    <n v="0.32638"/>
    <n v="0.27742299999999998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0-08-17T00:00:00"/>
    <d v="2010-09-20T00:00:00"/>
    <n v="0.23638000000000001"/>
    <n v="0.2009229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div"/>
    <m/>
    <d v="2010-04-28T00:00:00"/>
    <d v="2010-05-23T00:00:00"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4"/>
    <s v="div"/>
    <m/>
    <d v="2010-04-28T00:00:00"/>
    <d v="2010-05-23T00:00:00"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4"/>
    <s v="div"/>
    <m/>
    <d v="2010-04-28T00:00:00"/>
    <d v="2010-05-23T00:00:00"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4"/>
    <s v="jcp"/>
    <m/>
    <d v="2010-04-28T00:00:00"/>
    <d v="2010-05-23T00:00:00"/>
    <n v="0.40037"/>
    <n v="0.3403145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0-04-28T00:00:00"/>
    <d v="2010-05-23T00:00:00"/>
    <n v="1.1508700000000001"/>
    <n v="0.97823950000000004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0-04-28T00:00:00"/>
    <d v="2010-05-23T00:00:00"/>
    <n v="0.44048999999999999"/>
    <n v="0.3744164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jcp"/>
    <m/>
    <d v="2011-08-11T00:00:00"/>
    <d v="2011-09-15T00:00:00"/>
    <n v="0.78803000000000001"/>
    <n v="0.6698254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1-08-11T00:00:00"/>
    <d v="2011-09-15T00:00:00"/>
    <n v="0.86706000000000005"/>
    <n v="0.73700100000000002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1-08-11T00:00:00"/>
    <d v="2011-09-15T00:00:00"/>
    <n v="0.86706000000000005"/>
    <n v="0.73700100000000002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jcp"/>
    <m/>
    <d v="2012-04-26T00:00:00"/>
    <d v="2012-05-29T00:00:00"/>
    <n v="0.68030000000000002"/>
    <n v="0.5782549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4"/>
    <s v="jcp"/>
    <m/>
    <d v="2012-04-26T00:00:00"/>
    <d v="2012-05-29T00:00:00"/>
    <n v="1.65801"/>
    <n v="1.4093084999999999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4"/>
    <s v="jcp"/>
    <m/>
    <d v="2012-04-26T00:00:00"/>
    <d v="2012-05-29T00:00:00"/>
    <n v="0.74839999999999995"/>
    <n v="0.63613999999999993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4"/>
    <s v="jcp"/>
    <m/>
    <d v="2012-12-19T00:00:00"/>
    <d v="2013-01-15T00:00:00"/>
    <n v="0.47920000000000001"/>
    <n v="0.4073200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5"/>
    <x v="4"/>
    <s v="jcp"/>
    <n v="2.4434999999999998"/>
    <d v="2012-12-19T00:00:00"/>
    <d v="2013-01-15T00:00:00"/>
    <n v="2.5250699999999999"/>
    <n v="2.1463095000000001"/>
    <n v="6.5961014999999996"/>
    <n v="2.699448127685697"/>
    <n v="4.3278333333333334"/>
    <n v="3.8875481666666665"/>
    <n v="0.89826660761736044"/>
    <s v=""/>
    <n v="30"/>
    <n v="0"/>
    <n v="0"/>
    <n v="0"/>
    <n v="0"/>
    <n v="30"/>
    <s v=""/>
    <n v="0.21987004999999998"/>
    <n v="0"/>
    <n v="1"/>
  </r>
  <r>
    <s v="Utilidade Pública / Energia Elétrica / Energia Elétrica"/>
    <x v="148"/>
    <n v="4"/>
    <x v="4"/>
    <s v="jcp"/>
    <m/>
    <d v="2012-12-19T00:00:00"/>
    <d v="2013-01-15T00:00:00"/>
    <n v="0.5272"/>
    <n v="0.44811999999999996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4"/>
    <s v="div"/>
    <n v="2.6879"/>
    <d v="2013-04-25T00:00:00"/>
    <m/>
    <n v="0.45606999999999998"/>
    <n v="0.45606999999999998"/>
    <n v="2.9871919999999998"/>
    <n v="1.1113478924067115"/>
    <n v="3.3926333333333338"/>
    <n v="1.7187778333333334"/>
    <n v="0.50662057005865646"/>
    <s v=""/>
    <n v="19.05"/>
    <n v="0"/>
    <n v="0"/>
    <n v="0"/>
    <n v="0"/>
    <n v="19.05"/>
    <s v=""/>
    <n v="0.15680797900262466"/>
    <n v="1"/>
    <n v="0"/>
  </r>
  <r>
    <s v="Utilidade Pública / Energia Elétrica / Energia Elétrica"/>
    <x v="148"/>
    <n v="5"/>
    <x v="4"/>
    <s v="div"/>
    <n v="4.1741999999999999"/>
    <d v="2013-04-25T00:00:00"/>
    <m/>
    <n v="0.50168999999999997"/>
    <n v="0.50168999999999997"/>
    <n v="3.2099604999999998"/>
    <n v="0.76900016769680413"/>
    <n v="4.1347333333333331"/>
    <n v="1.8655191666666664"/>
    <n v="0.45118246239177051"/>
    <s v=""/>
    <n v="26.32"/>
    <n v="0"/>
    <n v="0"/>
    <n v="0"/>
    <n v="0"/>
    <n v="26.32"/>
    <s v=""/>
    <n v="0.12195898556231002"/>
    <n v="1"/>
    <n v="0"/>
  </r>
  <r>
    <s v="Utilidade Pública / Energia Elétrica / Energia Elétrica"/>
    <x v="146"/>
    <n v="4"/>
    <x v="5"/>
    <s v="div"/>
    <m/>
    <d v="2011-04-28T00:00:00"/>
    <d v="2011-05-23T00:00:00"/>
    <n v="0.28327999999999998"/>
    <n v="0.28327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5"/>
    <s v="div"/>
    <m/>
    <d v="2011-04-28T00:00:00"/>
    <d v="2011-05-23T00:00:00"/>
    <n v="1.04782"/>
    <n v="1.04782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5"/>
    <s v="div"/>
    <m/>
    <d v="2011-04-28T00:00:00"/>
    <d v="2011-05-23T00:00:00"/>
    <n v="0.31167"/>
    <n v="0.31167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5"/>
    <s v="jcp"/>
    <m/>
    <d v="2011-04-28T00:00:00"/>
    <d v="2011-05-23T00:00:00"/>
    <n v="0.40037"/>
    <n v="0.3403145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5"/>
    <s v="jcp"/>
    <m/>
    <d v="2011-04-28T00:00:00"/>
    <d v="2011-05-23T00:00:00"/>
    <n v="1.1508700000000001"/>
    <n v="0.97823950000000004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5"/>
    <s v="jcp"/>
    <m/>
    <d v="2011-04-28T00:00:00"/>
    <d v="2011-05-23T00:00:00"/>
    <n v="0.44048999999999999"/>
    <n v="0.37441649999999999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5"/>
    <s v="jcp"/>
    <m/>
    <d v="2011-08-11T00:00:00"/>
    <d v="2011-09-15T00:00:00"/>
    <n v="0.78803000000000001"/>
    <n v="0.6698254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5"/>
    <s v="jcp"/>
    <m/>
    <d v="2011-08-11T00:00:00"/>
    <d v="2011-09-15T00:00:00"/>
    <n v="0.86706000000000005"/>
    <n v="0.73700100000000002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5"/>
    <s v="jcp"/>
    <m/>
    <d v="2011-08-11T00:00:00"/>
    <d v="2011-09-15T00:00:00"/>
    <n v="0.86706000000000005"/>
    <n v="0.73700100000000002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5"/>
    <s v="jcp"/>
    <m/>
    <d v="2012-04-26T00:00:00"/>
    <d v="2012-05-29T00:00:00"/>
    <n v="0.68030000000000002"/>
    <n v="0.57825499999999996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5"/>
    <s v="jcp"/>
    <m/>
    <d v="2012-04-26T00:00:00"/>
    <d v="2012-05-29T00:00:00"/>
    <n v="1.65801"/>
    <n v="1.4093084999999999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5"/>
    <s v="jcp"/>
    <m/>
    <d v="2012-04-26T00:00:00"/>
    <d v="2012-05-29T00:00:00"/>
    <n v="0.74839999999999995"/>
    <n v="0.63613999999999993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5"/>
    <s v="jcp"/>
    <m/>
    <d v="2012-12-19T00:00:00"/>
    <d v="2013-01-15T00:00:00"/>
    <n v="0.47920000000000001"/>
    <n v="0.40732000000000002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5"/>
    <s v="jcp"/>
    <m/>
    <d v="2012-12-19T00:00:00"/>
    <d v="2013-01-15T00:00:00"/>
    <n v="2.5250699999999999"/>
    <n v="2.1463095000000001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5"/>
    <s v="jcp"/>
    <m/>
    <d v="2012-12-19T00:00:00"/>
    <d v="2013-01-15T00:00:00"/>
    <n v="0.5272"/>
    <n v="0.44811999999999996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4"/>
    <x v="5"/>
    <s v="div"/>
    <m/>
    <d v="2013-04-25T00:00:00"/>
    <d v="2013-05-23T00:00:00"/>
    <n v="0.45606999999999998"/>
    <n v="0.45606999999999998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7"/>
    <n v="4"/>
    <x v="5"/>
    <s v="div"/>
    <m/>
    <d v="2013-04-25T00:00:00"/>
    <d v="2013-05-23T00:00:00"/>
    <n v="0.50168999999999997"/>
    <n v="0.50168999999999997"/>
    <s v=""/>
    <s v=""/>
    <s v=""/>
    <s v=""/>
    <s v=""/>
    <s v=""/>
    <n v="30"/>
    <n v="0"/>
    <n v="0"/>
    <n v="0"/>
    <n v="0"/>
    <n v="30"/>
    <s v=""/>
    <s v=""/>
    <n v="1"/>
    <n v="0"/>
  </r>
  <r>
    <s v="Utilidade Pública / Energia Elétrica / Energia Elétrica"/>
    <x v="148"/>
    <n v="4"/>
    <x v="5"/>
    <s v="div"/>
    <m/>
    <d v="2013-04-25T00:00:00"/>
    <d v="2013-05-23T00:00:00"/>
    <n v="0.50617000000000001"/>
    <n v="0.50617000000000001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5"/>
    <s v="div"/>
    <m/>
    <d v="2013-11-13T00:00:00"/>
    <d v="2013-12-16T00:00:00"/>
    <n v="0.55688000000000004"/>
    <n v="0.55688000000000004"/>
    <s v=""/>
    <s v=""/>
    <s v=""/>
    <s v=""/>
    <s v=""/>
    <s v=""/>
    <n v="19.05"/>
    <n v="0"/>
    <n v="0"/>
    <n v="0"/>
    <n v="0"/>
    <n v="19.05"/>
    <s v=""/>
    <s v=""/>
    <n v="1"/>
    <n v="0"/>
  </r>
  <r>
    <s v="Utilidade Pública / Energia Elétrica / Energia Elétrica"/>
    <x v="148"/>
    <n v="4"/>
    <x v="5"/>
    <s v="div"/>
    <m/>
    <d v="2013-11-13T00:00:00"/>
    <d v="2013-12-16T00:00:00"/>
    <n v="0.55688000000000004"/>
    <n v="0.55688000000000004"/>
    <s v=""/>
    <s v=""/>
    <s v=""/>
    <s v=""/>
    <s v=""/>
    <s v=""/>
    <n v="26.32"/>
    <n v="0"/>
    <n v="0"/>
    <n v="0"/>
    <n v="0"/>
    <n v="26.32"/>
    <s v=""/>
    <s v=""/>
    <n v="1"/>
    <n v="0"/>
  </r>
  <r>
    <s v="Utilidade Pública / Energia Elétrica / Energia Elétrica"/>
    <x v="146"/>
    <n v="4"/>
    <x v="5"/>
    <s v="jcp"/>
    <m/>
    <d v="2013-11-13T00:00:00"/>
    <d v="2013-12-16T00:00:00"/>
    <n v="0.62819000000000003"/>
    <n v="0.53396149999999998"/>
    <s v=""/>
    <s v=""/>
    <s v=""/>
    <s v=""/>
    <s v=""/>
    <s v=""/>
    <n v="19.05"/>
    <n v="0"/>
    <n v="0"/>
    <n v="0"/>
    <n v="0"/>
    <n v="19.05"/>
    <s v=""/>
    <s v=""/>
    <n v="0"/>
    <n v="1"/>
  </r>
  <r>
    <s v="Utilidade Pública / Energia Elétrica / Energia Elétrica"/>
    <x v="147"/>
    <n v="4"/>
    <x v="5"/>
    <s v="jcp"/>
    <m/>
    <d v="2013-11-13T00:00:00"/>
    <d v="2013-12-16T00:00:00"/>
    <n v="0.69111"/>
    <n v="0.58744350000000001"/>
    <s v=""/>
    <s v=""/>
    <s v=""/>
    <s v=""/>
    <s v=""/>
    <s v=""/>
    <n v="30"/>
    <n v="0"/>
    <n v="0"/>
    <n v="0"/>
    <n v="0"/>
    <n v="30"/>
    <s v=""/>
    <s v=""/>
    <n v="0"/>
    <n v="1"/>
  </r>
  <r>
    <s v="Utilidade Pública / Energia Elétrica / Energia Elétrica"/>
    <x v="148"/>
    <n v="4"/>
    <x v="5"/>
    <s v="jcp"/>
    <m/>
    <d v="2013-11-13T00:00:00"/>
    <d v="2013-12-16T00:00:00"/>
    <n v="0.69111"/>
    <n v="0.58744350000000001"/>
    <s v=""/>
    <s v=""/>
    <s v=""/>
    <s v=""/>
    <s v=""/>
    <s v=""/>
    <n v="26.32"/>
    <n v="0"/>
    <n v="0"/>
    <n v="0"/>
    <n v="0"/>
    <n v="26.32"/>
    <s v=""/>
    <s v=""/>
    <n v="0"/>
    <n v="1"/>
  </r>
  <r>
    <s v="Utilidade Pública / Energia Elétrica / Energia Elétrica"/>
    <x v="146"/>
    <n v="5"/>
    <x v="5"/>
    <s v="div"/>
    <n v="3.7427800000000002"/>
    <d v="2014-04-24T00:00:00"/>
    <m/>
    <n v="0.82135999999999998"/>
    <n v="0.82135999999999998"/>
    <n v="4.6472665000000006"/>
    <n v="1.2416616792865198"/>
    <n v="3.4801700000000002"/>
    <n v="2.4509000000000003"/>
    <n v="0.70424720631463411"/>
    <s v=""/>
    <n v="19.05"/>
    <n v="0"/>
    <n v="0"/>
    <n v="0"/>
    <n v="0"/>
    <n v="19.05"/>
    <s v=""/>
    <n v="0.2439509973753281"/>
    <n v="1"/>
    <n v="0"/>
  </r>
  <r>
    <s v="Utilidade Pública / Energia Elétrica / Energia Elétrica"/>
    <x v="147"/>
    <n v="5"/>
    <x v="5"/>
    <s v="div"/>
    <n v="4.4900099999999998"/>
    <d v="2014-04-24T00:00:00"/>
    <m/>
    <n v="1.27708"/>
    <n v="1.27708"/>
    <n v="8.6848919999999996"/>
    <n v="1.9342700795766601"/>
    <n v="4.3683774999999994"/>
    <n v="5.0868841249999992"/>
    <n v="1.1644790600171344"/>
    <s v=""/>
    <n v="30"/>
    <n v="0"/>
    <n v="0"/>
    <n v="0"/>
    <n v="0"/>
    <n v="30"/>
    <s v=""/>
    <n v="0.28949639999999999"/>
    <n v="1"/>
    <n v="0"/>
  </r>
  <r>
    <s v="Utilidade Pública / Energia Elétrica / Energia Elétrica"/>
    <x v="148"/>
    <n v="5"/>
    <x v="5"/>
    <s v="div"/>
    <n v="4.1174099999999996"/>
    <d v="2014-04-24T00:00:00"/>
    <m/>
    <n v="0.90366000000000002"/>
    <n v="0.90366000000000002"/>
    <n v="5.0615009999999998"/>
    <n v="1.2292924435506787"/>
    <n v="4.1304024999999998"/>
    <n v="2.6645146249999998"/>
    <n v="0.64509805642428308"/>
    <s v=""/>
    <n v="26.32"/>
    <n v="0"/>
    <n v="0"/>
    <n v="0"/>
    <n v="0"/>
    <n v="26.32"/>
    <s v=""/>
    <n v="0.19230626899696049"/>
    <n v="1"/>
    <n v="0"/>
  </r>
  <r>
    <s v="Petróleo. Gás e Biocombustíveis / Petróleo. Gás e Biocombustíveis / Exploração e/ou Refino"/>
    <x v="362"/>
    <n v="4"/>
    <x v="1"/>
    <s v="jcp"/>
    <m/>
    <d v="2010-04-16T00:00:00"/>
    <d v="2010-08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04-16T00:00:00"/>
    <d v="2010-08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1"/>
    <s v="jcp"/>
    <m/>
    <d v="2010-10-22T00:00:00"/>
    <d v="2010-11-30T00:00:00"/>
    <n v="0.14000000000000001"/>
    <n v="0.11900000000000001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10-22T00:00:00"/>
    <d v="2010-11-30T00:00:00"/>
    <n v="0.14000000000000001"/>
    <n v="0.11900000000000001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1"/>
    <s v="jcp"/>
    <m/>
    <d v="2010-12-10T00:00:00"/>
    <d v="2010-12-30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0-12-10T00:00:00"/>
    <d v="2010-12-30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1"/>
    <s v="jcp"/>
    <m/>
    <d v="2011-02-25T00:00:00"/>
    <m/>
    <n v="0.17"/>
    <n v="0.14450000000000002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1"/>
    <s v="jcp"/>
    <m/>
    <d v="2011-02-25T00:00:00"/>
    <m/>
    <n v="0.17"/>
    <n v="0.14450000000000002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1"/>
    <s v="div"/>
    <n v="3.55"/>
    <d v="2011-02-25T00:00:00"/>
    <m/>
    <n v="0.12"/>
    <n v="0.12"/>
    <n v="0.89350000000000007"/>
    <n v="0.25169014084507046"/>
    <n v="3.55"/>
    <n v="0.89350000000000007"/>
    <n v="0.25169014084507046"/>
    <s v=""/>
    <n v="0"/>
    <n v="12.95"/>
    <n v="0"/>
    <n v="0"/>
    <n v="0"/>
    <n v="12.95"/>
    <s v=""/>
    <n v="6.8996138996139003E-2"/>
    <n v="1"/>
    <n v="0"/>
  </r>
  <r>
    <s v="Petróleo. Gás e Biocombustíveis / Petróleo. Gás e Biocombustíveis / Exploração e/ou Refino"/>
    <x v="363"/>
    <n v="5"/>
    <x v="1"/>
    <s v="div"/>
    <n v="3.55"/>
    <d v="2011-02-25T00:00:00"/>
    <m/>
    <n v="0.12"/>
    <n v="0.12"/>
    <n v="0.89350000000000007"/>
    <n v="0.25169014084507046"/>
    <n v="3.55"/>
    <n v="0.89350000000000007"/>
    <n v="0.25169014084507046"/>
    <s v=""/>
    <n v="0"/>
    <n v="13.5"/>
    <n v="0"/>
    <n v="0"/>
    <n v="0"/>
    <n v="13.5"/>
    <s v=""/>
    <n v="6.6185185185185194E-2"/>
    <n v="1"/>
    <n v="0"/>
  </r>
  <r>
    <s v="Petróleo. Gás e Biocombustíveis / Petróleo. Gás e Biocombustíveis / Exploração e/ou Refino"/>
    <x v="362"/>
    <n v="4"/>
    <x v="3"/>
    <s v="jcp"/>
    <m/>
    <d v="2011-02-25T00:00:00"/>
    <d v="2011-03-31T00:00:00"/>
    <n v="0.17"/>
    <n v="0.14450000000000002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3"/>
    <s v="jcp"/>
    <m/>
    <d v="2011-02-25T00:00:00"/>
    <d v="2011-03-31T00:00:00"/>
    <n v="0.17"/>
    <n v="0.14450000000000002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3"/>
    <s v="div"/>
    <m/>
    <d v="2011-04-28T00:00:00"/>
    <d v="2011-06-27T00:00:00"/>
    <n v="0.12"/>
    <n v="0.12"/>
    <s v=""/>
    <s v=""/>
    <s v=""/>
    <s v=""/>
    <s v=""/>
    <s v=""/>
    <n v="0"/>
    <n v="12.95"/>
    <n v="0"/>
    <n v="0"/>
    <n v="0"/>
    <n v="12.95"/>
    <s v=""/>
    <s v=""/>
    <n v="1"/>
    <n v="0"/>
  </r>
  <r>
    <s v="Petróleo. Gás e Biocombustíveis / Petróleo. Gás e Biocombustíveis / Exploração e/ou Refino"/>
    <x v="363"/>
    <n v="4"/>
    <x v="3"/>
    <s v="div"/>
    <m/>
    <d v="2011-04-28T00:00:00"/>
    <d v="2011-06-27T00:00:00"/>
    <n v="0.12"/>
    <n v="0.12"/>
    <s v=""/>
    <s v=""/>
    <s v=""/>
    <s v=""/>
    <s v=""/>
    <s v=""/>
    <n v="0"/>
    <n v="13.5"/>
    <n v="0"/>
    <n v="0"/>
    <n v="0"/>
    <n v="13.5"/>
    <s v=""/>
    <s v=""/>
    <n v="1"/>
    <n v="0"/>
  </r>
  <r>
    <s v="Petróleo. Gás e Biocombustíveis / Petróleo. Gás e Biocombustíveis / Exploração e/ou Refino"/>
    <x v="362"/>
    <n v="4"/>
    <x v="3"/>
    <s v="jcp"/>
    <m/>
    <d v="2011-04-29T00:00:00"/>
    <d v="2011-05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3"/>
    <s v="jcp"/>
    <m/>
    <d v="2011-04-29T00:00:00"/>
    <d v="2011-05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3"/>
    <s v="jcp"/>
    <m/>
    <d v="2011-07-22T00:00:00"/>
    <d v="2011-08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3"/>
    <s v="jcp"/>
    <m/>
    <d v="2011-07-22T00:00:00"/>
    <d v="2011-08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3"/>
    <s v="jcp"/>
    <m/>
    <d v="2011-10-28T00:00:00"/>
    <d v="2011-11-30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3"/>
    <s v="jcp"/>
    <m/>
    <d v="2011-10-28T00:00:00"/>
    <d v="2011-11-30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3"/>
    <s v="jcp"/>
    <m/>
    <d v="2011-12-22T00:00:00"/>
    <m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3"/>
    <s v="jcp"/>
    <m/>
    <d v="2011-12-22T00:00:00"/>
    <m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3"/>
    <s v="div"/>
    <n v="2.54"/>
    <d v="2012-02-09T00:00:00"/>
    <m/>
    <n v="0.12"/>
    <n v="0.12"/>
    <n v="1.0645000000000002"/>
    <n v="0.41909448818897643"/>
    <n v="3.0449999999999999"/>
    <n v="0.97900000000000009"/>
    <n v="0.3215106732348112"/>
    <s v=""/>
    <n v="0"/>
    <n v="12.95"/>
    <n v="0"/>
    <n v="0"/>
    <n v="0"/>
    <n v="12.95"/>
    <s v=""/>
    <n v="8.2200772200772224E-2"/>
    <n v="1"/>
    <n v="0"/>
  </r>
  <r>
    <s v="Petróleo. Gás e Biocombustíveis / Petróleo. Gás e Biocombustíveis / Exploração e/ou Refino"/>
    <x v="363"/>
    <n v="5"/>
    <x v="3"/>
    <s v="div"/>
    <n v="2.54"/>
    <d v="2012-02-09T00:00:00"/>
    <m/>
    <n v="0.12"/>
    <n v="0.12"/>
    <n v="1.0645000000000002"/>
    <n v="0.41909448818897643"/>
    <n v="3.0449999999999999"/>
    <n v="0.97900000000000009"/>
    <n v="0.3215106732348112"/>
    <s v=""/>
    <n v="0"/>
    <n v="13.5"/>
    <n v="0"/>
    <n v="0"/>
    <n v="0"/>
    <n v="13.5"/>
    <s v=""/>
    <n v="7.8851851851851867E-2"/>
    <n v="1"/>
    <n v="0"/>
  </r>
  <r>
    <s v="Petróleo. Gás e Biocombustíveis / Petróleo. Gás e Biocombustíveis / Exploração e/ou Refino"/>
    <x v="362"/>
    <n v="4"/>
    <x v="4"/>
    <s v="jcp"/>
    <m/>
    <d v="2011-12-22T00:00:00"/>
    <d v="2012-02-29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4"/>
    <s v="jcp"/>
    <m/>
    <d v="2011-12-22T00:00:00"/>
    <d v="2012-02-29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4"/>
    <x v="4"/>
    <s v="div"/>
    <m/>
    <d v="2012-02-09T00:00:00"/>
    <d v="2012-05-18T00:00:00"/>
    <n v="0.12"/>
    <n v="0.12"/>
    <s v=""/>
    <s v=""/>
    <s v=""/>
    <s v=""/>
    <s v=""/>
    <s v=""/>
    <n v="0"/>
    <n v="12.95"/>
    <n v="0"/>
    <n v="0"/>
    <n v="0"/>
    <n v="12.95"/>
    <s v=""/>
    <s v=""/>
    <n v="1"/>
    <n v="0"/>
  </r>
  <r>
    <s v="Petróleo. Gás e Biocombustíveis / Petróleo. Gás e Biocombustíveis / Exploração e/ou Refino"/>
    <x v="363"/>
    <n v="4"/>
    <x v="4"/>
    <s v="div"/>
    <m/>
    <d v="2012-02-09T00:00:00"/>
    <d v="2012-05-18T00:00:00"/>
    <n v="0.12"/>
    <n v="0.12"/>
    <s v=""/>
    <s v=""/>
    <s v=""/>
    <s v=""/>
    <s v=""/>
    <s v=""/>
    <n v="0"/>
    <n v="13.5"/>
    <n v="0"/>
    <n v="0"/>
    <n v="0"/>
    <n v="13.5"/>
    <s v=""/>
    <s v=""/>
    <n v="1"/>
    <n v="0"/>
  </r>
  <r>
    <s v="Petróleo. Gás e Biocombustíveis / Petróleo. Gás e Biocombustíveis / Exploração e/ou Refino"/>
    <x v="362"/>
    <n v="4"/>
    <x v="4"/>
    <s v="jcp"/>
    <m/>
    <d v="2012-04-27T00:00:00"/>
    <d v="2012-05-31T00:00:00"/>
    <n v="0.2"/>
    <n v="0.17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4"/>
    <s v="jcp"/>
    <m/>
    <d v="2012-04-27T00:00:00"/>
    <d v="2012-05-31T00:00:00"/>
    <n v="0.2"/>
    <n v="0.17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4"/>
    <s v="jcp"/>
    <n v="1.6"/>
    <d v="2013-02-04T00:00:00"/>
    <m/>
    <n v="0.27"/>
    <n v="0.22950000000000001"/>
    <n v="0.68950000000000011"/>
    <n v="0.43093750000000003"/>
    <n v="2.563333333333333"/>
    <n v="0.88250000000000017"/>
    <n v="0.34427828348504563"/>
    <s v=""/>
    <n v="0"/>
    <n v="12.95"/>
    <n v="0"/>
    <n v="0"/>
    <n v="0"/>
    <n v="12.95"/>
    <s v=""/>
    <n v="5.3243243243243255E-2"/>
    <n v="0"/>
    <n v="1"/>
  </r>
  <r>
    <s v="Petróleo. Gás e Biocombustíveis / Petróleo. Gás e Biocombustíveis / Exploração e/ou Refino"/>
    <x v="363"/>
    <n v="5"/>
    <x v="4"/>
    <s v="jcp"/>
    <n v="1.6"/>
    <d v="2013-02-04T00:00:00"/>
    <m/>
    <n v="0.76"/>
    <n v="0.64600000000000002"/>
    <n v="1.1060000000000001"/>
    <n v="0.69125000000000003"/>
    <n v="2.563333333333333"/>
    <n v="1.0213333333333334"/>
    <n v="0.39843953185955794"/>
    <s v=""/>
    <n v="0"/>
    <n v="13.5"/>
    <n v="0"/>
    <n v="0"/>
    <n v="0"/>
    <n v="13.5"/>
    <s v=""/>
    <n v="8.192592592592593E-2"/>
    <n v="0"/>
    <n v="1"/>
  </r>
  <r>
    <s v="Petróleo. Gás e Biocombustíveis / Petróleo. Gás e Biocombustíveis / Exploração e/ou Refino"/>
    <x v="362"/>
    <n v="4"/>
    <x v="5"/>
    <s v="jcp"/>
    <m/>
    <d v="2013-02-04T00:00:00"/>
    <d v="2013-05-29T00:00:00"/>
    <n v="0.27"/>
    <n v="0.22950000000000001"/>
    <s v=""/>
    <s v=""/>
    <s v=""/>
    <s v=""/>
    <s v=""/>
    <s v=""/>
    <n v="0"/>
    <n v="12.95"/>
    <n v="0"/>
    <n v="0"/>
    <n v="0"/>
    <n v="12.95"/>
    <s v=""/>
    <s v=""/>
    <n v="0"/>
    <n v="1"/>
  </r>
  <r>
    <s v="Petróleo. Gás e Biocombustíveis / Petróleo. Gás e Biocombustíveis / Exploração e/ou Refino"/>
    <x v="363"/>
    <n v="4"/>
    <x v="5"/>
    <s v="jcp"/>
    <m/>
    <d v="2013-02-04T00:00:00"/>
    <d v="2013-05-29T00:00:00"/>
    <n v="0.76"/>
    <n v="0.64600000000000002"/>
    <s v=""/>
    <s v=""/>
    <s v=""/>
    <s v=""/>
    <s v=""/>
    <s v=""/>
    <n v="0"/>
    <n v="13.5"/>
    <n v="0"/>
    <n v="0"/>
    <n v="0"/>
    <n v="13.5"/>
    <s v=""/>
    <s v=""/>
    <n v="0"/>
    <n v="1"/>
  </r>
  <r>
    <s v="Petróleo. Gás e Biocombustíveis / Petróleo. Gás e Biocombustíveis / Exploração e/ou Refino"/>
    <x v="362"/>
    <n v="5"/>
    <x v="5"/>
    <s v="jcp"/>
    <n v="1.79"/>
    <d v="2014-02-25T00:00:00"/>
    <m/>
    <n v="0.52170000000000005"/>
    <n v="0.44344500000000003"/>
    <n v="0.67294500000000002"/>
    <n v="0.37594692737430169"/>
    <n v="2.37"/>
    <n v="0.83011125000000008"/>
    <n v="0.35025791139240509"/>
    <s v=""/>
    <n v="0"/>
    <n v="12.95"/>
    <n v="0"/>
    <n v="0"/>
    <n v="0"/>
    <n v="12.95"/>
    <s v=""/>
    <n v="5.1964864864864867E-2"/>
    <n v="0"/>
    <n v="1"/>
  </r>
  <r>
    <s v="Petróleo. Gás e Biocombustíveis / Petróleo. Gás e Biocombustíveis / Exploração e/ou Refino"/>
    <x v="363"/>
    <n v="5"/>
    <x v="5"/>
    <s v="jcp"/>
    <n v="1.79"/>
    <d v="2014-02-25T00:00:00"/>
    <m/>
    <n v="0.96719999999999995"/>
    <n v="0.82211999999999996"/>
    <n v="1.4681199999999999"/>
    <n v="0.82017877094972058"/>
    <n v="2.37"/>
    <n v="1.13303"/>
    <n v="0.47807172995780589"/>
    <s v=""/>
    <n v="0"/>
    <n v="13.5"/>
    <n v="0"/>
    <n v="0"/>
    <n v="0"/>
    <n v="13.5"/>
    <s v=""/>
    <n v="0.10874962962962963"/>
    <n v="0"/>
    <n v="1"/>
  </r>
  <r>
    <s v="Materiais Básicos / Químicos / Petroquímicos"/>
    <x v="485"/>
    <n v="5"/>
    <x v="2"/>
    <s v="jcp"/>
    <n v="0.36693999999999999"/>
    <d v="2000-12-28T00:00:00"/>
    <d v="2001-01-12T00:00:00"/>
    <n v="4.2500000000000003E-2"/>
    <n v="3.6125000000000004E-2"/>
    <n v="3.6125000000000004E-2"/>
    <n v="9.8449337766392336E-2"/>
    <n v="0.36693999999999999"/>
    <n v="3.6125000000000004E-2"/>
    <n v="9.8449337766392336E-2"/>
    <s v=""/>
    <n v="0"/>
    <n v="0.57999999999999996"/>
    <n v="0"/>
    <n v="0"/>
    <n v="0"/>
    <n v="0.57999999999999996"/>
    <s v=""/>
    <n v="6.2284482758620703E-2"/>
    <n v="0"/>
    <n v="1"/>
  </r>
  <r>
    <s v="Materiais Básicos / Químicos / Petroquímicos"/>
    <x v="486"/>
    <n v="5"/>
    <x v="2"/>
    <s v="jcp"/>
    <n v="0.36693999999999999"/>
    <d v="2000-12-28T00:00:00"/>
    <d v="2001-01-12T00:00:00"/>
    <n v="4.2500000000000003E-2"/>
    <n v="3.6125000000000004E-2"/>
    <n v="3.6125000000000004E-2"/>
    <n v="9.8449337766392336E-2"/>
    <n v="0.36693999999999999"/>
    <n v="3.6125000000000004E-2"/>
    <n v="9.8449337766392336E-2"/>
    <s v=""/>
    <n v="0.64"/>
    <n v="0"/>
    <n v="0"/>
    <n v="0"/>
    <n v="0"/>
    <n v="0.64"/>
    <s v=""/>
    <n v="5.6445312500000004E-2"/>
    <n v="0"/>
    <n v="1"/>
  </r>
  <r>
    <s v="Materiais Básicos / Químicos / Petroquímicos"/>
    <x v="487"/>
    <n v="5"/>
    <x v="2"/>
    <s v="jcp"/>
    <n v="0.36693999999999999"/>
    <d v="2000-12-28T00:00:00"/>
    <d v="2001-01-12T00:00:00"/>
    <n v="4.2500000000000003E-2"/>
    <n v="3.6125000000000004E-2"/>
    <n v="3.6125000000000004E-2"/>
    <n v="9.8449337766392336E-2"/>
    <n v="0.36693999999999999"/>
    <n v="3.6125000000000004E-2"/>
    <n v="9.8449337766392336E-2"/>
    <s v=""/>
    <n v="0.41"/>
    <n v="0"/>
    <n v="0"/>
    <n v="0"/>
    <n v="0"/>
    <n v="0.41"/>
    <s v=""/>
    <n v="8.8109756097560998E-2"/>
    <n v="0"/>
    <n v="1"/>
  </r>
  <r>
    <s v="Materiais Básicos / Químicos / Petroquímicos"/>
    <x v="485"/>
    <n v="4"/>
    <x v="6"/>
    <s v="jcp"/>
    <m/>
    <d v="2000-12-28T00:00:00"/>
    <d v="2001-01-12T00:00:00"/>
    <n v="4.2500000000000003E-2"/>
    <n v="3.6125000000000004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6"/>
    <s v="jcp"/>
    <m/>
    <d v="2000-12-28T00:00:00"/>
    <d v="2001-01-12T00:00:00"/>
    <n v="4.2500000000000003E-2"/>
    <n v="3.6125000000000004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6"/>
    <s v="jcp"/>
    <m/>
    <d v="2000-12-28T00:00:00"/>
    <d v="2001-01-12T00:00:00"/>
    <n v="4.2500000000000003E-2"/>
    <n v="3.6125000000000004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6"/>
    <s v="div"/>
    <m/>
    <d v="2001-04-27T00:00:00"/>
    <d v="2001-05-14T00:00:00"/>
    <n v="4.4699999999999997E-2"/>
    <n v="4.4699999999999997E-2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6"/>
    <s v="div"/>
    <m/>
    <d v="2001-04-27T00:00:00"/>
    <d v="2001-05-14T00:00:00"/>
    <n v="5.7500000000000002E-2"/>
    <n v="5.7500000000000002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6"/>
    <s v="div"/>
    <m/>
    <d v="2001-04-27T00:00:00"/>
    <d v="2001-05-14T00:00:00"/>
    <n v="5.3499999999999999E-2"/>
    <n v="5.34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6"/>
    <s v="jcp"/>
    <m/>
    <d v="2001-06-22T00:00:00"/>
    <d v="2001-10-16T00:00:00"/>
    <n v="3.4000000000000002E-2"/>
    <n v="2.890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6"/>
    <s v="jcp"/>
    <m/>
    <d v="2001-06-22T00:00:00"/>
    <d v="2001-10-16T00:00:00"/>
    <n v="3.4000000000000002E-2"/>
    <n v="2.8900000000000002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6"/>
    <s v="jcp"/>
    <m/>
    <d v="2001-06-22T00:00:00"/>
    <d v="2001-10-16T00:00:00"/>
    <n v="3.4000000000000002E-2"/>
    <n v="2.8900000000000002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6"/>
    <s v="jcp"/>
    <n v="0.31084000000000001"/>
    <d v="2001-12-28T00:00:00"/>
    <d v="2002-01-17T00:00:00"/>
    <n v="3.4000000000000002E-2"/>
    <n v="2.8900000000000002E-2"/>
    <n v="0.13862500000000003"/>
    <n v="0.44596898726032691"/>
    <n v="0.33889000000000002"/>
    <n v="8.7375000000000008E-2"/>
    <n v="0.25782702351795567"/>
    <s v=""/>
    <n v="0"/>
    <n v="0.57999999999999996"/>
    <n v="0"/>
    <n v="0"/>
    <n v="0"/>
    <n v="0.57999999999999996"/>
    <s v=""/>
    <n v="0.23900862068965523"/>
    <n v="0"/>
    <n v="1"/>
  </r>
  <r>
    <s v="Materiais Básicos / Químicos / Petroquímicos"/>
    <x v="486"/>
    <n v="5"/>
    <x v="6"/>
    <s v="jcp"/>
    <n v="0.31084000000000001"/>
    <d v="2001-12-28T00:00:00"/>
    <d v="2002-01-17T00:00:00"/>
    <n v="3.4000000000000002E-2"/>
    <n v="2.8900000000000002E-2"/>
    <n v="0.15142500000000003"/>
    <n v="0.48714772873504064"/>
    <n v="0.33889000000000002"/>
    <n v="9.3775000000000025E-2"/>
    <n v="0.27671220750095904"/>
    <s v=""/>
    <n v="0.64"/>
    <n v="0"/>
    <n v="0"/>
    <n v="0"/>
    <n v="0"/>
    <n v="0.64"/>
    <s v=""/>
    <n v="0.23660156250000006"/>
    <n v="0"/>
    <n v="1"/>
  </r>
  <r>
    <s v="Materiais Básicos / Químicos / Petroquímicos"/>
    <x v="487"/>
    <n v="5"/>
    <x v="6"/>
    <s v="jcp"/>
    <n v="0.31084000000000001"/>
    <d v="2001-12-28T00:00:00"/>
    <d v="2002-01-17T00:00:00"/>
    <n v="3.4000000000000002E-2"/>
    <n v="2.8900000000000002E-2"/>
    <n v="0.14742500000000003"/>
    <n v="0.47427937202419257"/>
    <n v="0.33889000000000002"/>
    <n v="9.1775000000000023E-2"/>
    <n v="0.27081058750627052"/>
    <s v=""/>
    <n v="0.41"/>
    <n v="0"/>
    <n v="0"/>
    <n v="0"/>
    <n v="0"/>
    <n v="0.41"/>
    <s v=""/>
    <n v="0.35957317073170741"/>
    <n v="0"/>
    <n v="1"/>
  </r>
  <r>
    <s v="Materiais Básicos / Químicos / Petroquímicos"/>
    <x v="485"/>
    <n v="4"/>
    <x v="7"/>
    <s v="jcp"/>
    <m/>
    <d v="2002-10-24T00:00:00"/>
    <d v="2002-11-13T00:00:00"/>
    <n v="0.06"/>
    <n v="5.0999999999999997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7"/>
    <s v="jcp"/>
    <m/>
    <d v="2002-10-24T00:00:00"/>
    <d v="2002-11-13T00:00:00"/>
    <n v="0.06"/>
    <n v="5.0999999999999997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7"/>
    <s v="jcp"/>
    <m/>
    <d v="2002-10-24T00:00:00"/>
    <d v="2002-11-13T00:00:00"/>
    <n v="0.06"/>
    <n v="5.0999999999999997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7"/>
    <s v="jcp"/>
    <m/>
    <d v="2002-12-20T00:00:00"/>
    <m/>
    <n v="1.7000000000000001E-2"/>
    <n v="1.445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7"/>
    <s v="jcp"/>
    <m/>
    <d v="2002-12-20T00:00:00"/>
    <m/>
    <n v="1.7000000000000001E-2"/>
    <n v="1.4450000000000001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7"/>
    <s v="jcp"/>
    <m/>
    <d v="2002-12-20T00:00:00"/>
    <m/>
    <n v="1.7000000000000001E-2"/>
    <n v="1.4450000000000001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7"/>
    <s v="div"/>
    <n v="0.28397"/>
    <m/>
    <m/>
    <n v="0.13550000000000001"/>
    <n v="0.13550000000000001"/>
    <n v="0.20095000000000002"/>
    <n v="0.70764517378596337"/>
    <n v="0.32058333333333339"/>
    <n v="0.12523333333333334"/>
    <n v="0.39064205874707558"/>
    <s v=""/>
    <n v="0"/>
    <n v="0.57999999999999996"/>
    <n v="0"/>
    <n v="0"/>
    <n v="0"/>
    <n v="0.57999999999999996"/>
    <s v=""/>
    <n v="0.34646551724137936"/>
    <n v="1"/>
    <n v="0"/>
  </r>
  <r>
    <s v="Materiais Básicos / Químicos / Petroquímicos"/>
    <x v="486"/>
    <n v="5"/>
    <x v="7"/>
    <s v="div"/>
    <n v="0.28397"/>
    <m/>
    <m/>
    <n v="3.4549999999999997E-2"/>
    <n v="3.4549999999999997E-2"/>
    <n v="9.9999999999999992E-2"/>
    <n v="0.35214987498679434"/>
    <n v="0.32058333333333339"/>
    <n v="9.5850000000000005E-2"/>
    <n v="0.29898622303093314"/>
    <s v=""/>
    <n v="0.64"/>
    <n v="0"/>
    <n v="0"/>
    <n v="0"/>
    <n v="0"/>
    <n v="0.64"/>
    <s v=""/>
    <n v="0.15624999999999997"/>
    <n v="1"/>
    <n v="0"/>
  </r>
  <r>
    <s v="Materiais Básicos / Químicos / Petroquímicos"/>
    <x v="487"/>
    <n v="5"/>
    <x v="7"/>
    <s v="div"/>
    <n v="0.28397"/>
    <m/>
    <m/>
    <n v="2.145E-2"/>
    <n v="2.145E-2"/>
    <n v="8.6899999999999991E-2"/>
    <n v="0.30601824136352429"/>
    <n v="0.32058333333333339"/>
    <n v="9.0150000000000008E-2"/>
    <n v="0.28120613465037692"/>
    <s v=""/>
    <n v="0.41"/>
    <n v="0"/>
    <n v="0"/>
    <n v="0"/>
    <n v="0"/>
    <n v="0.41"/>
    <s v=""/>
    <n v="0.21195121951219512"/>
    <n v="1"/>
    <n v="0"/>
  </r>
  <r>
    <s v="Materiais Básicos / Químicos / Petroquímicos"/>
    <x v="485"/>
    <n v="4"/>
    <x v="8"/>
    <s v="div"/>
    <m/>
    <d v="2003-11-06T00:00:00"/>
    <d v="2003-11-28T00:00:00"/>
    <n v="0.02"/>
    <n v="0.02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8"/>
    <s v="div"/>
    <m/>
    <d v="2003-11-06T00:00:00"/>
    <d v="2003-11-28T00:00:00"/>
    <n v="0.02"/>
    <n v="0.0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8"/>
    <s v="div"/>
    <m/>
    <d v="2003-11-06T00:00:00"/>
    <d v="2003-11-28T00:00:00"/>
    <n v="0.02"/>
    <n v="0.0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8"/>
    <s v="jcp"/>
    <m/>
    <d v="2003-12-30T00:00:00"/>
    <m/>
    <n v="3.4000000000000002E-2"/>
    <n v="2.890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8"/>
    <s v="jcp"/>
    <m/>
    <d v="2003-12-30T00:00:00"/>
    <m/>
    <n v="3.4000000000000002E-2"/>
    <n v="2.8900000000000002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8"/>
    <s v="jcp"/>
    <m/>
    <d v="2003-12-30T00:00:00"/>
    <m/>
    <n v="3.4000000000000002E-2"/>
    <n v="2.8900000000000002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8"/>
    <s v="div"/>
    <n v="0.25336999999999998"/>
    <d v="2004-04-24T00:00:00"/>
    <m/>
    <n v="1.67E-2"/>
    <n v="1.67E-2"/>
    <n v="6.5599999999999992E-2"/>
    <n v="0.25890989462051545"/>
    <n v="0.30378000000000005"/>
    <n v="0.11032500000000001"/>
    <n v="0.36317400750543155"/>
    <s v=""/>
    <n v="0"/>
    <n v="0.57999999999999996"/>
    <n v="0"/>
    <n v="0"/>
    <n v="0"/>
    <n v="0.57999999999999996"/>
    <s v=""/>
    <n v="0.11310344827586206"/>
    <n v="1"/>
    <n v="0"/>
  </r>
  <r>
    <s v="Materiais Básicos / Químicos / Petroquímicos"/>
    <x v="486"/>
    <n v="5"/>
    <x v="8"/>
    <s v="div"/>
    <n v="0.25336999999999998"/>
    <d v="2004-04-24T00:00:00"/>
    <m/>
    <n v="4.5999999999999999E-2"/>
    <n v="4.5999999999999999E-2"/>
    <n v="9.4899999999999998E-2"/>
    <n v="0.37455105182144693"/>
    <n v="0.30378000000000005"/>
    <n v="9.5612500000000003E-2"/>
    <n v="0.31474257686483637"/>
    <s v=""/>
    <n v="0.64"/>
    <n v="0"/>
    <n v="0"/>
    <n v="0"/>
    <n v="0"/>
    <n v="0.64"/>
    <s v=""/>
    <n v="0.14828125"/>
    <n v="1"/>
    <n v="0"/>
  </r>
  <r>
    <s v="Materiais Básicos / Químicos / Petroquímicos"/>
    <x v="487"/>
    <n v="5"/>
    <x v="8"/>
    <s v="div"/>
    <n v="0.25336999999999998"/>
    <d v="2004-04-24T00:00:00"/>
    <m/>
    <n v="2.3769999999999999E-2"/>
    <n v="2.3769999999999999E-2"/>
    <n v="7.2669999999999998E-2"/>
    <n v="0.28681375064135456"/>
    <n v="0.30378000000000005"/>
    <n v="8.5780000000000009E-2"/>
    <n v="0.28237540325235366"/>
    <s v=""/>
    <n v="0.41"/>
    <n v="0"/>
    <n v="0"/>
    <n v="0"/>
    <n v="0"/>
    <n v="0.41"/>
    <s v=""/>
    <n v="0.17724390243902441"/>
    <n v="1"/>
    <n v="0"/>
  </r>
  <r>
    <s v="Materiais Básicos / Químicos / Petroquímicos"/>
    <x v="485"/>
    <n v="4"/>
    <x v="9"/>
    <s v="div"/>
    <m/>
    <d v="2004-04-27T00:00:00"/>
    <d v="2004-05-18T00:00:00"/>
    <n v="1.67E-2"/>
    <n v="1.67E-2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9"/>
    <s v="div"/>
    <m/>
    <d v="2004-04-27T00:00:00"/>
    <d v="2004-05-18T00:00:00"/>
    <n v="4.5999999999999999E-2"/>
    <n v="4.5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9"/>
    <s v="div"/>
    <m/>
    <d v="2004-04-27T00:00:00"/>
    <d v="2004-05-18T00:00:00"/>
    <n v="2.3769999999999999E-2"/>
    <n v="2.376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9"/>
    <s v="jcp"/>
    <m/>
    <d v="2004-08-11T00:00:00"/>
    <d v="2004-11-05T00:00:00"/>
    <n v="2.5000000000000001E-2"/>
    <n v="2.125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9"/>
    <s v="jcp"/>
    <m/>
    <d v="2004-08-11T00:00:00"/>
    <d v="2004-11-05T00:00:00"/>
    <n v="2.5000000000000001E-2"/>
    <n v="2.1250000000000002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9"/>
    <s v="jcp"/>
    <m/>
    <d v="2004-08-11T00:00:00"/>
    <d v="2004-11-05T00:00:00"/>
    <n v="2.5000000000000001E-2"/>
    <n v="2.1250000000000002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9"/>
    <s v="jcp"/>
    <m/>
    <d v="2004-12-27T00:00:00"/>
    <m/>
    <n v="0.09"/>
    <n v="7.6499999999999999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9"/>
    <s v="jcp"/>
    <m/>
    <d v="2004-12-27T00:00:00"/>
    <m/>
    <n v="0.09"/>
    <n v="7.6499999999999999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9"/>
    <s v="jcp"/>
    <m/>
    <d v="2004-12-27T00:00:00"/>
    <m/>
    <n v="0.09"/>
    <n v="7.6499999999999999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9"/>
    <s v="div"/>
    <n v="0.42553000000000002"/>
    <m/>
    <m/>
    <n v="1.2149999999999999E-2"/>
    <n v="1.2149999999999999E-2"/>
    <n v="0.12659999999999999"/>
    <n v="0.29751133880102459"/>
    <n v="0.32813000000000003"/>
    <n v="0.11358000000000001"/>
    <n v="0.34614329686404782"/>
    <s v=""/>
    <n v="0"/>
    <n v="0.57999999999999996"/>
    <n v="0"/>
    <n v="0"/>
    <n v="0"/>
    <n v="0.57999999999999996"/>
    <s v=""/>
    <n v="0.21827586206896551"/>
    <n v="1"/>
    <n v="0"/>
  </r>
  <r>
    <s v="Materiais Básicos / Químicos / Petroquímicos"/>
    <x v="486"/>
    <n v="5"/>
    <x v="9"/>
    <s v="div"/>
    <n v="0.42553000000000002"/>
    <m/>
    <m/>
    <n v="2.3140000000000001E-2"/>
    <n v="2.3140000000000001E-2"/>
    <n v="0.16688999999999998"/>
    <n v="0.39219326486969186"/>
    <n v="0.32813000000000003"/>
    <n v="0.10986799999999999"/>
    <n v="0.33483070734160236"/>
    <s v=""/>
    <n v="0.64"/>
    <n v="0"/>
    <n v="0"/>
    <n v="0"/>
    <n v="0"/>
    <n v="0.64"/>
    <s v=""/>
    <n v="0.26076562499999995"/>
    <n v="1"/>
    <n v="0"/>
  </r>
  <r>
    <s v="Materiais Básicos / Químicos / Petroquímicos"/>
    <x v="487"/>
    <n v="5"/>
    <x v="9"/>
    <s v="div"/>
    <n v="0.42553000000000002"/>
    <m/>
    <m/>
    <n v="2.3140000000000001E-2"/>
    <n v="2.3140000000000001E-2"/>
    <n v="0.14466000000000001"/>
    <n v="0.33995252978638407"/>
    <n v="0.32813000000000003"/>
    <n v="9.7556000000000004E-2"/>
    <n v="0.29730899338676742"/>
    <s v=""/>
    <n v="0.41"/>
    <n v="0"/>
    <n v="0"/>
    <n v="0"/>
    <n v="0"/>
    <n v="0.41"/>
    <s v=""/>
    <n v="0.35282926829268296"/>
    <n v="1"/>
    <n v="0"/>
  </r>
  <r>
    <s v="Materiais Básicos / Químicos / Petroquímicos"/>
    <x v="485"/>
    <n v="4"/>
    <x v="10"/>
    <s v="jcp"/>
    <m/>
    <d v="2005-06-30T00:00:00"/>
    <d v="2005-08-18T00:00:00"/>
    <n v="0.02"/>
    <n v="1.70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06-30T00:00:00"/>
    <d v="2005-08-18T00:00:00"/>
    <n v="2.1999999999999999E-2"/>
    <n v="1.8699999999999998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06-30T00:00:00"/>
    <d v="2005-08-18T00:00:00"/>
    <n v="2.1999999999999999E-2"/>
    <n v="1.8699999999999998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0"/>
    <s v="jcp"/>
    <m/>
    <d v="2005-06-30T00:00:00"/>
    <d v="2005-11-17T00:00:00"/>
    <n v="0.02"/>
    <n v="1.70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06-30T00:00:00"/>
    <d v="2005-11-17T00:00:00"/>
    <n v="2.1999999999999999E-2"/>
    <n v="1.8699999999999998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06-30T00:00:00"/>
    <d v="2005-11-17T00:00:00"/>
    <n v="2.1999999999999999E-2"/>
    <n v="1.8699999999999998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0"/>
    <s v="jcp"/>
    <m/>
    <d v="2005-09-29T00:00:00"/>
    <d v="2006-02-21T00:00:00"/>
    <n v="2.5000000000000001E-2"/>
    <n v="2.1250000000000002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09-29T00:00:00"/>
    <d v="2006-02-21T00:00:00"/>
    <n v="2.75E-2"/>
    <n v="2.3375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09-29T00:00:00"/>
    <d v="2006-02-21T00:00:00"/>
    <n v="2.75E-2"/>
    <n v="2.3375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0"/>
    <s v="jcp"/>
    <m/>
    <d v="2005-12-27T00:00:00"/>
    <m/>
    <n v="0.02"/>
    <n v="1.70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0"/>
    <s v="jcp"/>
    <m/>
    <d v="2005-12-27T00:00:00"/>
    <m/>
    <n v="2.1999999999999999E-2"/>
    <n v="1.8699999999999998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0"/>
    <s v="jcp"/>
    <m/>
    <d v="2005-12-27T00:00:00"/>
    <m/>
    <n v="2.1999999999999999E-2"/>
    <n v="1.8699999999999998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10"/>
    <s v="div"/>
    <n v="0.32280999999999999"/>
    <d v="2005-12-31T00:00:00"/>
    <m/>
    <n v="1.171E-2"/>
    <n v="1.171E-2"/>
    <n v="8.3960000000000007E-2"/>
    <n v="0.26009107524550046"/>
    <n v="0.32724333333333339"/>
    <n v="0.10864333333333336"/>
    <n v="0.33199555886037913"/>
    <s v=""/>
    <n v="0"/>
    <n v="0.57999999999999996"/>
    <n v="0"/>
    <n v="0"/>
    <n v="0"/>
    <n v="0.57999999999999996"/>
    <s v=""/>
    <n v="0.1447586206896552"/>
    <n v="1"/>
    <n v="0"/>
  </r>
  <r>
    <s v="Materiais Básicos / Químicos / Petroquímicos"/>
    <x v="486"/>
    <n v="5"/>
    <x v="10"/>
    <s v="div"/>
    <n v="0.32280999999999999"/>
    <d v="2005-12-31T00:00:00"/>
    <m/>
    <n v="2.0525000000000002E-2"/>
    <n v="2.0525000000000002E-2"/>
    <n v="9.9999999999999992E-2"/>
    <n v="0.30977974660016727"/>
    <n v="0.32724333333333339"/>
    <n v="0.10822333333333332"/>
    <n v="0.33071211025434682"/>
    <s v=""/>
    <n v="0.64"/>
    <n v="0"/>
    <n v="0"/>
    <n v="0"/>
    <n v="0"/>
    <n v="0.64"/>
    <s v=""/>
    <n v="0.15624999999999997"/>
    <n v="1"/>
    <n v="0"/>
  </r>
  <r>
    <s v="Materiais Básicos / Químicos / Petroquímicos"/>
    <x v="487"/>
    <n v="5"/>
    <x v="10"/>
    <s v="div"/>
    <n v="0.32280999999999999"/>
    <d v="2005-12-31T00:00:00"/>
    <m/>
    <n v="1.2881E-2"/>
    <n v="1.2881E-2"/>
    <n v="9.2355999999999994E-2"/>
    <n v="0.2861001827700505"/>
    <n v="0.32724333333333339"/>
    <n v="9.6689333333333335E-2"/>
    <n v="0.29546616686869093"/>
    <s v=""/>
    <n v="0.41"/>
    <n v="0"/>
    <n v="0"/>
    <n v="0"/>
    <n v="0"/>
    <n v="0.41"/>
    <s v=""/>
    <n v="0.22525853658536585"/>
    <n v="1"/>
    <n v="0"/>
  </r>
  <r>
    <s v="Materiais Básicos / Químicos / Petroquímicos"/>
    <x v="485"/>
    <n v="4"/>
    <x v="11"/>
    <s v="jcp"/>
    <m/>
    <d v="2006-08-25T00:00:00"/>
    <d v="2006-09-11T00:00:00"/>
    <n v="0.01"/>
    <n v="8.5000000000000006E-3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1"/>
    <s v="jcp"/>
    <m/>
    <d v="2006-08-25T00:00:00"/>
    <d v="2006-09-11T00:00:00"/>
    <n v="1.0999999999999999E-2"/>
    <n v="9.3499999999999989E-3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1"/>
    <s v="jcp"/>
    <m/>
    <d v="2006-08-25T00:00:00"/>
    <d v="2006-09-11T00:00:00"/>
    <n v="1.0999999999999999E-2"/>
    <n v="9.3499999999999989E-3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1"/>
    <s v="jcp"/>
    <m/>
    <d v="2006-11-13T00:00:00"/>
    <d v="2006-11-23T00:00:00"/>
    <n v="0.01"/>
    <n v="8.5000000000000006E-3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1"/>
    <s v="jcp"/>
    <m/>
    <d v="2006-11-13T00:00:00"/>
    <d v="2006-11-23T00:00:00"/>
    <n v="1.0999999999999999E-2"/>
    <n v="9.3499999999999989E-3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1"/>
    <s v="jcp"/>
    <m/>
    <d v="2006-11-13T00:00:00"/>
    <d v="2006-11-23T00:00:00"/>
    <n v="1.0999999999999999E-2"/>
    <n v="9.3499999999999989E-3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1"/>
    <s v="jcp"/>
    <m/>
    <d v="2006-12-21T00:00:00"/>
    <d v="2007-02-28T00:00:00"/>
    <n v="2.7E-2"/>
    <n v="2.2949999999999998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1"/>
    <s v="jcp"/>
    <m/>
    <d v="2006-12-21T00:00:00"/>
    <d v="2007-02-28T00:00:00"/>
    <n v="2.9700000000000001E-2"/>
    <n v="2.5245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1"/>
    <s v="jcp"/>
    <m/>
    <d v="2006-12-21T00:00:00"/>
    <d v="2007-02-28T00:00:00"/>
    <n v="2.9700000000000001E-2"/>
    <n v="2.5245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5"/>
    <x v="11"/>
    <s v="div"/>
    <n v="0.14308999999999999"/>
    <m/>
    <m/>
    <n v="7.5000000000000002E-4"/>
    <n v="7.5000000000000002E-4"/>
    <n v="4.07E-2"/>
    <n v="0.28443636871898809"/>
    <n v="0.30093571428571436"/>
    <n v="9.8937142857142862E-2"/>
    <n v="0.32876504236785259"/>
    <s v=""/>
    <n v="0"/>
    <n v="0.57999999999999996"/>
    <n v="0"/>
    <n v="0"/>
    <n v="0"/>
    <n v="0.57999999999999996"/>
    <s v=""/>
    <n v="7.0172413793103447E-2"/>
    <n v="1"/>
    <n v="0"/>
  </r>
  <r>
    <s v="Materiais Básicos / Químicos / Petroquímicos"/>
    <x v="486"/>
    <n v="5"/>
    <x v="11"/>
    <s v="div"/>
    <n v="0.14308999999999999"/>
    <m/>
    <m/>
    <n v="5.6055000000000001E-2"/>
    <n v="5.6055000000000001E-2"/>
    <n v="0.1"/>
    <n v="0.69886085680341048"/>
    <n v="0.30093571428571436"/>
    <n v="0.10704857142857141"/>
    <n v="0.35571906672046694"/>
    <s v=""/>
    <n v="0.64"/>
    <n v="0"/>
    <n v="0"/>
    <n v="0"/>
    <n v="0"/>
    <n v="0.64"/>
    <s v=""/>
    <n v="0.15625"/>
    <n v="1"/>
    <n v="0"/>
  </r>
  <r>
    <s v="Materiais Básicos / Químicos / Petroquímicos"/>
    <x v="487"/>
    <n v="5"/>
    <x v="11"/>
    <s v="div"/>
    <n v="0.14308999999999999"/>
    <m/>
    <m/>
    <n v="8.25E-4"/>
    <n v="8.25E-4"/>
    <n v="4.4769999999999997E-2"/>
    <n v="0.31288000559088686"/>
    <n v="0.30093571428571436"/>
    <n v="8.9272285714285707E-2"/>
    <n v="0.29664902328451725"/>
    <s v=""/>
    <n v="0.41"/>
    <n v="0"/>
    <n v="0"/>
    <n v="0"/>
    <n v="0"/>
    <n v="0.41"/>
    <s v=""/>
    <n v="0.10919512195121951"/>
    <n v="1"/>
    <n v="0"/>
  </r>
  <r>
    <s v="Materiais Básicos / Químicos / Petroquímicos"/>
    <x v="485"/>
    <n v="4"/>
    <x v="12"/>
    <s v="div"/>
    <m/>
    <d v="2007-08-23T00:00:00"/>
    <d v="2007-08-31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2"/>
    <s v="div"/>
    <m/>
    <d v="2007-08-23T00:00:00"/>
    <d v="2007-08-31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2"/>
    <s v="div"/>
    <m/>
    <d v="2007-08-23T00:00:00"/>
    <d v="2007-08-31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12"/>
    <s v="div"/>
    <m/>
    <d v="2007-12-10T00:00:00"/>
    <d v="2007-12-19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2"/>
    <s v="div"/>
    <m/>
    <d v="2007-12-10T00:00:00"/>
    <d v="2007-12-19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2"/>
    <s v="div"/>
    <m/>
    <d v="2007-12-10T00:00:00"/>
    <d v="2007-12-19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4"/>
    <x v="12"/>
    <s v="div"/>
    <m/>
    <d v="2008-03-13T00:00:00"/>
    <d v="2008-03-25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2"/>
    <s v="div"/>
    <m/>
    <d v="2008-03-13T00:00:00"/>
    <d v="2008-03-25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2"/>
    <s v="div"/>
    <m/>
    <d v="2008-03-13T00:00:00"/>
    <d v="2008-03-25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5"/>
    <x v="12"/>
    <s v="div"/>
    <n v="0.19087999999999999"/>
    <m/>
    <m/>
    <n v="2.1000000000000001E-2"/>
    <n v="2.1000000000000001E-2"/>
    <n v="5.1000000000000004E-2"/>
    <n v="0.26718357082984079"/>
    <n v="0.28717875000000004"/>
    <n v="9.2945000000000014E-2"/>
    <n v="0.32364859865153672"/>
    <s v=""/>
    <n v="0"/>
    <n v="0.57999999999999996"/>
    <n v="0"/>
    <n v="0"/>
    <n v="0"/>
    <n v="0.57999999999999996"/>
    <s v=""/>
    <n v="8.793103448275863E-2"/>
    <n v="1"/>
    <n v="0"/>
  </r>
  <r>
    <s v="Materiais Básicos / Químicos / Petroquímicos"/>
    <x v="486"/>
    <n v="5"/>
    <x v="12"/>
    <s v="div"/>
    <n v="0.19087999999999999"/>
    <m/>
    <m/>
    <n v="6.7000000000000004E-2"/>
    <n v="6.7000000000000004E-2"/>
    <n v="0.1"/>
    <n v="0.5238893545683152"/>
    <n v="0.28717875000000004"/>
    <n v="0.10616749999999998"/>
    <n v="0.36969135077020837"/>
    <s v=""/>
    <n v="0.64"/>
    <n v="0"/>
    <n v="0"/>
    <n v="0"/>
    <n v="0"/>
    <n v="0.64"/>
    <s v=""/>
    <n v="0.15625"/>
    <n v="1"/>
    <n v="0"/>
  </r>
  <r>
    <s v="Materiais Básicos / Químicos / Petroquímicos"/>
    <x v="487"/>
    <n v="5"/>
    <x v="12"/>
    <s v="div"/>
    <n v="0.19087999999999999"/>
    <m/>
    <m/>
    <n v="2.3099999999999999E-2"/>
    <n v="2.3099999999999999E-2"/>
    <n v="5.6099999999999997E-2"/>
    <n v="0.29390192791282482"/>
    <n v="0.28717875000000004"/>
    <n v="8.512575E-2"/>
    <n v="0.29642078322299259"/>
    <s v=""/>
    <n v="0.41"/>
    <n v="0"/>
    <n v="0"/>
    <n v="0"/>
    <n v="0"/>
    <n v="0.41"/>
    <s v=""/>
    <n v="0.13682926829268294"/>
    <n v="1"/>
    <n v="0"/>
  </r>
  <r>
    <s v="Materiais Básicos / Químicos / Petroquímicos"/>
    <x v="485"/>
    <n v="4"/>
    <x v="13"/>
    <s v="jcp"/>
    <m/>
    <d v="2008-08-12T00:00:00"/>
    <d v="2008-08-19T00:00:00"/>
    <n v="1.2E-2"/>
    <n v="1.02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3"/>
    <s v="jcp"/>
    <m/>
    <d v="2008-08-12T00:00:00"/>
    <d v="2008-08-19T00:00:00"/>
    <n v="1.32E-2"/>
    <n v="1.1219999999999999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3"/>
    <s v="jcp"/>
    <m/>
    <d v="2008-08-12T00:00:00"/>
    <d v="2008-08-19T00:00:00"/>
    <n v="1.32E-2"/>
    <n v="1.1219999999999999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3"/>
    <s v="jcp"/>
    <m/>
    <d v="2008-10-31T00:00:00"/>
    <d v="2008-11-14T00:00:00"/>
    <n v="1.2E-2"/>
    <n v="1.0200000000000001E-2"/>
    <s v=""/>
    <s v=""/>
    <s v=""/>
    <s v=""/>
    <s v=""/>
    <s v=""/>
    <n v="0"/>
    <n v="0.57999999999999996"/>
    <n v="0"/>
    <n v="0"/>
    <n v="0"/>
    <n v="0.57999999999999996"/>
    <s v=""/>
    <s v=""/>
    <n v="0"/>
    <n v="1"/>
  </r>
  <r>
    <s v="Materiais Básicos / Químicos / Petroquímicos"/>
    <x v="486"/>
    <n v="4"/>
    <x v="13"/>
    <s v="jcp"/>
    <m/>
    <d v="2008-10-31T00:00:00"/>
    <d v="2008-11-14T00:00:00"/>
    <n v="1.32E-2"/>
    <n v="1.1219999999999999E-2"/>
    <s v=""/>
    <s v=""/>
    <s v=""/>
    <s v=""/>
    <s v=""/>
    <s v=""/>
    <n v="0.64"/>
    <n v="0"/>
    <n v="0"/>
    <n v="0"/>
    <n v="0"/>
    <n v="0.64"/>
    <s v=""/>
    <s v=""/>
    <n v="0"/>
    <n v="1"/>
  </r>
  <r>
    <s v="Materiais Básicos / Químicos / Petroquímicos"/>
    <x v="487"/>
    <n v="4"/>
    <x v="13"/>
    <s v="jcp"/>
    <m/>
    <d v="2008-10-31T00:00:00"/>
    <d v="2008-11-14T00:00:00"/>
    <n v="1.32E-2"/>
    <n v="1.1219999999999999E-2"/>
    <s v=""/>
    <s v=""/>
    <s v=""/>
    <s v=""/>
    <s v=""/>
    <s v=""/>
    <n v="0.41"/>
    <n v="0"/>
    <n v="0"/>
    <n v="0"/>
    <n v="0"/>
    <n v="0.41"/>
    <s v=""/>
    <s v=""/>
    <n v="0"/>
    <n v="1"/>
  </r>
  <r>
    <s v="Materiais Básicos / Químicos / Petroquímicos"/>
    <x v="485"/>
    <n v="4"/>
    <x v="13"/>
    <s v="div"/>
    <m/>
    <d v="2009-02-06T00:00:00"/>
    <d v="2009-02-18T00:00:00"/>
    <n v="0.01"/>
    <n v="0.01"/>
    <s v=""/>
    <s v=""/>
    <s v=""/>
    <s v=""/>
    <s v=""/>
    <s v=""/>
    <n v="0"/>
    <n v="0.57999999999999996"/>
    <n v="0"/>
    <n v="0"/>
    <n v="0"/>
    <n v="0.57999999999999996"/>
    <s v=""/>
    <s v=""/>
    <n v="1"/>
    <n v="0"/>
  </r>
  <r>
    <s v="Materiais Básicos / Químicos / Petroquímicos"/>
    <x v="486"/>
    <n v="4"/>
    <x v="13"/>
    <s v="div"/>
    <m/>
    <d v="2009-02-06T00:00:00"/>
    <d v="2009-02-18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4"/>
    <x v="13"/>
    <s v="div"/>
    <m/>
    <d v="2009-02-06T00:00:00"/>
    <d v="2009-02-18T00:00:00"/>
    <n v="1.0999999999999999E-2"/>
    <n v="1.0999999999999999E-2"/>
    <s v=""/>
    <s v=""/>
    <s v=""/>
    <s v=""/>
    <s v=""/>
    <s v=""/>
    <n v="0.41"/>
    <n v="0"/>
    <n v="0"/>
    <n v="0"/>
    <n v="0"/>
    <n v="0.41"/>
    <s v=""/>
    <s v=""/>
    <n v="1"/>
    <n v="0"/>
  </r>
  <r>
    <s v="Materiais Básicos / Químicos / Petroquímicos"/>
    <x v="485"/>
    <n v="5"/>
    <x v="13"/>
    <s v="div"/>
    <n v="-0.18240999999999999"/>
    <d v="2009-02-06T00:00:00"/>
    <m/>
    <n v="0.01"/>
    <n v="0.01"/>
    <n v="4.0400000000000005E-2"/>
    <n v="0"/>
    <n v="0.23500222222222225"/>
    <n v="8.7106666666666679E-2"/>
    <n v="0.37066316157766832"/>
    <s v=""/>
    <n v="0"/>
    <n v="0.57999999999999996"/>
    <n v="0"/>
    <n v="0"/>
    <n v="0"/>
    <n v="0.57999999999999996"/>
    <s v=""/>
    <n v="6.9655172413793112E-2"/>
    <n v="1"/>
    <n v="0"/>
  </r>
  <r>
    <s v="Materiais Básicos / Químicos / Petroquímicos"/>
    <x v="486"/>
    <n v="5"/>
    <x v="13"/>
    <s v="div"/>
    <n v="-0.18240999999999999"/>
    <d v="2009-02-06T00:00:00"/>
    <m/>
    <n v="1.0999999999999999E-2"/>
    <n v="1.0999999999999999E-2"/>
    <n v="4.4439999999999993E-2"/>
    <n v="0"/>
    <n v="0.23500222222222225"/>
    <n v="9.9308888888888877E-2"/>
    <n v="0.42258702045370722"/>
    <s v=""/>
    <n v="0.64"/>
    <n v="0"/>
    <n v="0"/>
    <n v="0"/>
    <n v="0"/>
    <n v="0.64"/>
    <s v=""/>
    <n v="6.9437499999999985E-2"/>
    <n v="1"/>
    <n v="0"/>
  </r>
  <r>
    <s v="Materiais Básicos / Químicos / Petroquímicos"/>
    <x v="487"/>
    <n v="5"/>
    <x v="13"/>
    <s v="div"/>
    <n v="-0.18240999999999999"/>
    <d v="2009-02-06T00:00:00"/>
    <m/>
    <n v="1.0999999999999999E-2"/>
    <n v="1.0999999999999999E-2"/>
    <n v="4.4439999999999993E-2"/>
    <n v="0"/>
    <n v="0.23500222222222225"/>
    <n v="8.0605111111111113E-2"/>
    <n v="0.34299722934062088"/>
    <s v=""/>
    <n v="0.41"/>
    <n v="0"/>
    <n v="0"/>
    <n v="0"/>
    <n v="0"/>
    <n v="0.41"/>
    <s v=""/>
    <n v="0.10839024390243901"/>
    <n v="1"/>
    <n v="0"/>
  </r>
  <r>
    <s v="Materiais Básicos / Químicos / Petroquímicos"/>
    <x v="486"/>
    <n v="4"/>
    <x v="14"/>
    <s v="div"/>
    <m/>
    <d v="2009-03-12T00:00:00"/>
    <d v="2009-05-08T00:00:00"/>
    <n v="5.16E-2"/>
    <n v="5.16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5"/>
    <n v="5"/>
    <x v="14"/>
    <s v="div"/>
    <n v="-0.81501999999999997"/>
    <d v="2009-08-20T00:00:00"/>
    <d v="2009-08-31T00:00:00"/>
    <n v="0.01"/>
    <n v="0.01"/>
    <n v="0.01"/>
    <n v="0"/>
    <n v="0.13000000000000003"/>
    <n v="7.9396000000000008E-2"/>
    <n v="0.61073846153846145"/>
    <s v=""/>
    <n v="0"/>
    <n v="0.57999999999999996"/>
    <n v="0"/>
    <n v="0"/>
    <n v="0"/>
    <n v="0.57999999999999996"/>
    <s v=""/>
    <n v="1.7241379310344831E-2"/>
    <n v="1"/>
    <n v="0"/>
  </r>
  <r>
    <s v="Materiais Básicos / Químicos / Petroquímicos"/>
    <x v="486"/>
    <n v="4"/>
    <x v="14"/>
    <s v="div"/>
    <m/>
    <d v="2009-08-20T00:00:00"/>
    <d v="2009-08-31T00:00:00"/>
    <n v="1.0999999999999999E-2"/>
    <n v="1.0999999999999999E-2"/>
    <s v=""/>
    <s v=""/>
    <s v=""/>
    <s v=""/>
    <s v=""/>
    <s v=""/>
    <n v="0.64"/>
    <n v="0"/>
    <n v="0"/>
    <n v="0"/>
    <n v="0"/>
    <n v="0.64"/>
    <s v=""/>
    <s v=""/>
    <n v="1"/>
    <n v="0"/>
  </r>
  <r>
    <s v="Materiais Básicos / Químicos / Petroquímicos"/>
    <x v="487"/>
    <n v="5"/>
    <x v="14"/>
    <s v="div"/>
    <n v="-0.81501999999999997"/>
    <d v="2009-08-20T00:00:00"/>
    <d v="2009-08-31T00:00:00"/>
    <n v="1.0999999999999999E-2"/>
    <n v="1.0999999999999999E-2"/>
    <n v="1.0999999999999999E-2"/>
    <n v="0"/>
    <n v="0.13000000000000003"/>
    <n v="7.3644600000000005E-2"/>
    <n v="0.56649692307692301"/>
    <s v=""/>
    <n v="0.41"/>
    <n v="0"/>
    <n v="0"/>
    <n v="0"/>
    <n v="0"/>
    <n v="0.41"/>
    <s v=""/>
    <n v="2.6829268292682926E-2"/>
    <n v="1"/>
    <n v="0"/>
  </r>
  <r>
    <s v="Materiais Básicos / Químicos / Petroquímicos"/>
    <x v="486"/>
    <n v="5"/>
    <x v="14"/>
    <s v="div"/>
    <n v="-0.81501999999999997"/>
    <d v="2010-03-01T00:00:00"/>
    <m/>
    <n v="8.8999999999999996E-2"/>
    <n v="8.8999999999999996E-2"/>
    <n v="0.15160000000000001"/>
    <n v="0"/>
    <n v="0.13000000000000003"/>
    <n v="0.10453799999999999"/>
    <n v="0.80413846153846125"/>
    <s v=""/>
    <n v="0.64"/>
    <n v="0"/>
    <n v="0"/>
    <n v="0"/>
    <n v="0"/>
    <n v="0.64"/>
    <s v=""/>
    <n v="0.236875"/>
    <n v="1"/>
    <n v="0"/>
  </r>
  <r>
    <s v="Utilidade Pública / Energia Elétrica / Energia Elétrica"/>
    <x v="7"/>
    <n v="4"/>
    <x v="14"/>
    <s v="jcp"/>
    <m/>
    <d v="2009-12-16T00:00:00"/>
    <m/>
    <n v="0.23418"/>
    <n v="0.19905300000000001"/>
    <s v=""/>
    <s v=""/>
    <s v=""/>
    <s v=""/>
    <s v=""/>
    <s v=""/>
    <n v="7.13"/>
    <n v="0"/>
    <n v="0"/>
    <n v="0"/>
    <n v="0"/>
    <n v="7.13"/>
    <s v=""/>
    <s v=""/>
    <n v="0"/>
    <n v="1"/>
  </r>
  <r>
    <s v="Utilidade Pública / Energia Elétrica / Energia Elétrica"/>
    <x v="7"/>
    <n v="5"/>
    <x v="14"/>
    <s v="div"/>
    <n v="3.2297099999999999"/>
    <d v="2010-02-05T00:00:00"/>
    <m/>
    <n v="2.9647299999999999"/>
    <n v="2.9647299999999999"/>
    <n v="3.163783"/>
    <n v="0.97958733137030884"/>
    <n v="-1.3226562819406651"/>
    <n v="0.88216383333333348"/>
    <n v="-0.66696377991641198"/>
    <s v=""/>
    <n v="7.13"/>
    <n v="0"/>
    <n v="0"/>
    <n v="0"/>
    <n v="0"/>
    <n v="7.13"/>
    <s v=""/>
    <n v="0.44372833099579245"/>
    <n v="1"/>
    <n v="0"/>
  </r>
  <r>
    <s v="Utilidade Pública / Energia Elétrica / Energia Elétrica"/>
    <x v="7"/>
    <n v="4"/>
    <x v="13"/>
    <s v="div"/>
    <m/>
    <d v="2008-08-12T00:00:00"/>
    <d v="2008-08-29T00:00:00"/>
    <n v="1.1045499999999999"/>
    <n v="1.1045499999999999"/>
    <s v=""/>
    <s v=""/>
    <s v=""/>
    <s v=""/>
    <s v=""/>
    <s v=""/>
    <n v="7.13"/>
    <n v="0"/>
    <n v="0"/>
    <n v="0"/>
    <n v="0"/>
    <n v="7.13"/>
    <s v=""/>
    <s v=""/>
    <n v="1"/>
    <n v="0"/>
  </r>
  <r>
    <s v="Utilidade Pública / Energia Elétrica / Energia Elétrica"/>
    <x v="7"/>
    <n v="4"/>
    <x v="13"/>
    <s v="jcp"/>
    <m/>
    <d v="2008-12-08T00:00:00"/>
    <d v="2009-05-08T00:00:00"/>
    <n v="0.22739000000000001"/>
    <n v="0.19328149999999999"/>
    <s v=""/>
    <s v=""/>
    <s v=""/>
    <s v=""/>
    <s v=""/>
    <s v=""/>
    <n v="7.13"/>
    <n v="0"/>
    <n v="0"/>
    <n v="0"/>
    <n v="0"/>
    <n v="7.13"/>
    <s v=""/>
    <s v=""/>
    <n v="0"/>
    <n v="1"/>
  </r>
  <r>
    <s v="Utilidade Pública / Energia Elétrica / Energia Elétrica"/>
    <x v="7"/>
    <n v="5"/>
    <x v="13"/>
    <s v="div"/>
    <n v="4.8910200000000001"/>
    <m/>
    <m/>
    <n v="3.4778600000000002"/>
    <n v="3.4778600000000002"/>
    <n v="4.7756915000000006"/>
    <n v="0.97642035812570804"/>
    <n v="-1.8917020671832478"/>
    <n v="0.59696143750000008"/>
    <n v="-0.31556842266862778"/>
    <s v=""/>
    <n v="7.13"/>
    <n v="0"/>
    <n v="0"/>
    <n v="0"/>
    <n v="0"/>
    <n v="7.13"/>
    <s v=""/>
    <n v="0.66980245441795239"/>
    <n v="1"/>
    <n v="0"/>
  </r>
  <r>
    <s v="Utilidade Pública / Energia Elétrica / Energia Elétrica"/>
    <x v="203"/>
    <n v="5"/>
    <x v="12"/>
    <s v="div"/>
    <n v="4.2575000000000003"/>
    <d v="2008-03-18T00:00:00"/>
    <d v="2008-05-08T00:00:00"/>
    <n v="0.89749999999999996"/>
    <n v="0.89749999999999996"/>
    <n v="3.7476249999999998"/>
    <n v="0.88024075161479731"/>
    <n v="0.4847727272727273"/>
    <n v="0.74342045454545458"/>
    <n v="1.5335443037974683"/>
    <s v=""/>
    <n v="15"/>
    <n v="0"/>
    <n v="0"/>
    <n v="0"/>
    <n v="0"/>
    <n v="15"/>
    <s v=""/>
    <n v="0.24984166666666666"/>
    <n v="1"/>
    <n v="0"/>
  </r>
  <r>
    <s v="Utilidade Pública / Energia Elétrica / Energia Elétrica"/>
    <x v="204"/>
    <n v="5"/>
    <x v="12"/>
    <s v="div"/>
    <n v="4.2575000000000003"/>
    <d v="2008-03-18T00:00:00"/>
    <d v="2008-05-08T00:00:00"/>
    <n v="0.98750000000000004"/>
    <n v="0.98750000000000004"/>
    <n v="4.367"/>
    <n v="1.0257193188490898"/>
    <n v="0.4847727272727273"/>
    <n v="0.83976136363636378"/>
    <n v="1.7322784810126584"/>
    <s v=""/>
    <n v="7.94"/>
    <n v="0"/>
    <n v="0"/>
    <n v="0"/>
    <n v="0"/>
    <n v="7.94"/>
    <s v=""/>
    <n v="0.54999999999999993"/>
    <n v="1"/>
    <n v="0"/>
  </r>
  <r>
    <s v="Utilidade Pública / Energia Elétrica / Energia Elétrica"/>
    <x v="203"/>
    <n v="4"/>
    <x v="13"/>
    <s v="div"/>
    <m/>
    <d v="2008-08-12T00:00:00"/>
    <d v="2008-08-28T00:00:00"/>
    <n v="2.0261300000000002"/>
    <n v="2.0261300000000002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3"/>
    <s v="div"/>
    <m/>
    <d v="2008-08-12T00:00:00"/>
    <d v="2008-08-28T00:00:00"/>
    <n v="2.2287400000000002"/>
    <n v="2.2287400000000002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13"/>
    <s v="jcp"/>
    <m/>
    <d v="2008-12-19T00:00:00"/>
    <m/>
    <n v="0.38785999999999998"/>
    <n v="0.329681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13"/>
    <s v="jcp"/>
    <m/>
    <d v="2008-12-19T00:00:00"/>
    <m/>
    <n v="0.42664999999999997"/>
    <n v="0.36265249999999999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13"/>
    <s v="div"/>
    <n v="6.1377100000000002"/>
    <m/>
    <m/>
    <n v="3.4646400000000002"/>
    <n v="3.4646400000000002"/>
    <n v="5.8204510000000003"/>
    <n v="0.94830987452975135"/>
    <n v="0.95585083333333343"/>
    <n v="1.1665063333333332"/>
    <n v="1.2203853286033994"/>
    <s v=""/>
    <n v="15"/>
    <n v="0"/>
    <n v="0"/>
    <n v="0"/>
    <n v="0"/>
    <n v="15"/>
    <s v=""/>
    <n v="0.38803006666666667"/>
    <n v="1"/>
    <n v="0"/>
  </r>
  <r>
    <s v="Utilidade Pública / Energia Elétrica / Energia Elétrica"/>
    <x v="204"/>
    <n v="5"/>
    <x v="13"/>
    <s v="div"/>
    <n v="6.1377100000000002"/>
    <m/>
    <m/>
    <n v="3.8111000000000002"/>
    <n v="3.8111000000000002"/>
    <n v="6.4024925000000001"/>
    <n v="1.0431402754447505"/>
    <n v="0.95585083333333343"/>
    <n v="1.3033222916666669"/>
    <n v="1.3635205894225129"/>
    <s v=""/>
    <n v="7.94"/>
    <n v="0"/>
    <n v="0"/>
    <n v="0"/>
    <n v="0"/>
    <n v="7.94"/>
    <s v=""/>
    <n v="0.80635925692695209"/>
    <n v="1"/>
    <n v="0"/>
  </r>
  <r>
    <s v="Utilidade Pública / Energia Elétrica / Energia Elétrica"/>
    <x v="203"/>
    <n v="4"/>
    <x v="14"/>
    <s v="div"/>
    <m/>
    <d v="2009-08-13T00:00:00"/>
    <d v="2009-09-24T00:00:00"/>
    <n v="1.8189900000000001"/>
    <n v="1.8189900000000001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4"/>
    <s v="div"/>
    <m/>
    <d v="2009-08-13T00:00:00"/>
    <d v="2009-09-24T00:00:00"/>
    <n v="2.0008900000000001"/>
    <n v="2.0008900000000001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14"/>
    <s v="jcp"/>
    <m/>
    <d v="2009-12-16T00:00:00"/>
    <m/>
    <n v="0.39905000000000002"/>
    <n v="0.33919250000000001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14"/>
    <s v="jcp"/>
    <m/>
    <d v="2009-12-16T00:00:00"/>
    <m/>
    <n v="0.43895000000000001"/>
    <n v="0.37310749999999998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14"/>
    <s v="div"/>
    <n v="6.3533400000000002"/>
    <m/>
    <m/>
    <n v="3.86836"/>
    <n v="3.86836"/>
    <n v="6.0265424999999997"/>
    <n v="0.94856288188574822"/>
    <n v="1.3710423076923075"/>
    <n v="1.5403552692307689"/>
    <n v="1.1234921494315104"/>
    <s v=""/>
    <n v="15"/>
    <n v="0"/>
    <n v="0"/>
    <n v="0"/>
    <n v="0"/>
    <n v="15"/>
    <s v=""/>
    <n v="0.4017695"/>
    <n v="1"/>
    <n v="0"/>
  </r>
  <r>
    <s v="Utilidade Pública / Energia Elétrica / Energia Elétrica"/>
    <x v="204"/>
    <n v="5"/>
    <x v="14"/>
    <s v="div"/>
    <n v="6.3533400000000002"/>
    <m/>
    <m/>
    <n v="4.2552000000000003"/>
    <n v="4.2552000000000003"/>
    <n v="6.6291975000000001"/>
    <n v="1.0434192881224678"/>
    <n v="1.3710423076923075"/>
    <n v="1.7130050000000001"/>
    <n v="1.2494180452266808"/>
    <s v=""/>
    <n v="7.94"/>
    <n v="0"/>
    <n v="0"/>
    <n v="0"/>
    <n v="0"/>
    <n v="7.94"/>
    <s v=""/>
    <n v="0.83491152392947099"/>
    <n v="1"/>
    <n v="0"/>
  </r>
  <r>
    <s v="Utilidade Pública / Energia Elétrica / Energia Elétrica"/>
    <x v="203"/>
    <n v="4"/>
    <x v="1"/>
    <s v="div"/>
    <m/>
    <d v="2010-08-05T00:00:00"/>
    <d v="2010-09-15T00:00:00"/>
    <n v="1.76285"/>
    <n v="1.76285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1"/>
    <s v="div"/>
    <m/>
    <d v="2010-08-05T00:00:00"/>
    <d v="2010-09-15T00:00:00"/>
    <n v="1.9391400000000001"/>
    <n v="1.9391400000000001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5"/>
    <x v="1"/>
    <s v="jcp"/>
    <n v="7.5960999999999999"/>
    <d v="2010-12-03T00:00:00"/>
    <m/>
    <n v="0.41012999999999999"/>
    <n v="0.34861049999999999"/>
    <n v="2.1114605000000002"/>
    <n v="0.27796639064783246"/>
    <n v="1.8156892857142855"/>
    <n v="1.5811484999999996"/>
    <n v="0.87082548343505906"/>
    <s v=""/>
    <n v="15"/>
    <n v="0"/>
    <n v="0"/>
    <n v="0"/>
    <n v="0"/>
    <n v="15"/>
    <s v=""/>
    <n v="0.14076403333333334"/>
    <n v="0"/>
    <n v="1"/>
  </r>
  <r>
    <s v="Utilidade Pública / Energia Elétrica / Energia Elétrica"/>
    <x v="204"/>
    <n v="5"/>
    <x v="1"/>
    <s v="jcp"/>
    <n v="8.3557000000000006"/>
    <d v="2010-12-03T00:00:00"/>
    <m/>
    <n v="0.45113999999999999"/>
    <n v="0.383469"/>
    <n v="2.3226089999999999"/>
    <n v="0.27796701652763978"/>
    <n v="1.8699464285714285"/>
    <n v="1.756548142857143"/>
    <n v="0.93935746822387978"/>
    <s v=""/>
    <n v="7.94"/>
    <n v="0"/>
    <n v="0"/>
    <n v="0"/>
    <n v="0"/>
    <n v="7.94"/>
    <s v=""/>
    <n v="0.29252002518891684"/>
    <n v="0"/>
    <n v="1"/>
  </r>
  <r>
    <s v="Utilidade Pública / Energia Elétrica / Energia Elétrica"/>
    <x v="203"/>
    <n v="4"/>
    <x v="3"/>
    <s v="jcp"/>
    <m/>
    <d v="2011-12-07T00:00:00"/>
    <d v="2012-05-15T00:00:00"/>
    <n v="0.41167999999999999"/>
    <n v="0.34992799999999996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3"/>
    <s v="jcp"/>
    <m/>
    <d v="2011-12-07T00:00:00"/>
    <d v="2012-05-15T00:00:00"/>
    <n v="0.45284999999999997"/>
    <n v="0.38492249999999995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4"/>
    <x v="3"/>
    <s v="div"/>
    <m/>
    <d v="2011-04-29T00:00:00"/>
    <d v="2011-05-15T00:00:00"/>
    <n v="4.75495"/>
    <n v="4.75495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3"/>
    <s v="div"/>
    <m/>
    <d v="2011-04-29T00:00:00"/>
    <d v="2011-05-15T00:00:00"/>
    <n v="5.2304500000000003"/>
    <n v="5.2304500000000003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3"/>
    <s v="div"/>
    <m/>
    <d v="2011-08-10T00:00:00"/>
    <d v="2011-09-22T00:00:00"/>
    <n v="1.64008"/>
    <n v="1.64008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3"/>
    <s v="div"/>
    <m/>
    <d v="2011-08-10T00:00:00"/>
    <d v="2011-09-22T00:00:00"/>
    <n v="1.80409"/>
    <n v="1.80409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5"/>
    <x v="3"/>
    <s v="div"/>
    <n v="8.8610000000000007"/>
    <d v="2012-03-13T00:00:00"/>
    <d v="2012-05-15T00:00:00"/>
    <n v="3.0834100000000002"/>
    <n v="3.0834100000000002"/>
    <n v="9.8283680000000011"/>
    <n v="1.1091714253470264"/>
    <n v="2.2853766666666666"/>
    <n v="2.1309631333333332"/>
    <n v="0.93243409912005748"/>
    <s v=""/>
    <n v="15"/>
    <n v="0"/>
    <n v="0"/>
    <n v="0"/>
    <n v="0"/>
    <n v="15"/>
    <s v=""/>
    <n v="0.65522453333333341"/>
    <n v="1"/>
    <n v="0"/>
  </r>
  <r>
    <s v="Utilidade Pública / Energia Elétrica / Energia Elétrica"/>
    <x v="204"/>
    <n v="5"/>
    <x v="3"/>
    <s v="div"/>
    <n v="9.7470999999999997"/>
    <d v="2012-03-13T00:00:00"/>
    <d v="2012-05-15T00:00:00"/>
    <n v="3.39175"/>
    <n v="3.39175"/>
    <n v="10.8112125"/>
    <n v="1.1091722153255841"/>
    <n v="2.3950900000000006"/>
    <n v="2.3601924333333333"/>
    <n v="0.98542953848637538"/>
    <s v=""/>
    <n v="7.94"/>
    <n v="0"/>
    <n v="0"/>
    <n v="0"/>
    <n v="0"/>
    <n v="7.94"/>
    <s v=""/>
    <n v="1.3616136649874055"/>
    <n v="1"/>
    <n v="0"/>
  </r>
  <r>
    <s v="Utilidade Pública / Energia Elétrica / Energia Elétrica"/>
    <x v="203"/>
    <n v="4"/>
    <x v="4"/>
    <s v="div"/>
    <m/>
    <d v="2012-04-16T00:00:00"/>
    <d v="2012-05-15T00:00:00"/>
    <n v="3.0834100000000002"/>
    <n v="3.0834100000000002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4"/>
    <s v="div"/>
    <m/>
    <d v="2012-04-16T00:00:00"/>
    <d v="2012-05-15T00:00:00"/>
    <n v="3.39175"/>
    <n v="3.39175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4"/>
    <s v="jcp"/>
    <m/>
    <d v="2012-12-20T00:00:00"/>
    <m/>
    <n v="0.30615999999999999"/>
    <n v="0.26023599999999997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4"/>
    <s v="jcp"/>
    <m/>
    <d v="2012-12-20T00:00:00"/>
    <m/>
    <n v="0.33678000000000002"/>
    <n v="0.28626299999999999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4"/>
    <s v="div"/>
    <n v="0.60840000000000005"/>
    <d v="2013-02-26T00:00:00"/>
    <m/>
    <n v="3.0300000000000001E-3"/>
    <n v="3.0300000000000001E-3"/>
    <n v="3.346676"/>
    <n v="5.500782380013149"/>
    <n v="2.1805656250000003"/>
    <n v="2.2069451874999997"/>
    <n v="1.0120975778933503"/>
    <s v=""/>
    <n v="15"/>
    <n v="0"/>
    <n v="0"/>
    <n v="0"/>
    <n v="0"/>
    <n v="15"/>
    <s v=""/>
    <n v="0.22311173333333334"/>
    <n v="1"/>
    <n v="0"/>
  </r>
  <r>
    <s v="Utilidade Pública / Energia Elétrica / Energia Elétrica"/>
    <x v="204"/>
    <n v="5"/>
    <x v="4"/>
    <s v="div"/>
    <n v="0.66930000000000001"/>
    <d v="2013-02-26T00:00:00"/>
    <m/>
    <n v="3.3400000000000001E-3"/>
    <n v="3.3400000000000001E-3"/>
    <n v="3.6813530000000001"/>
    <n v="5.5003033019572687"/>
    <n v="2.2872281250000004"/>
    <n v="2.4427649687500002"/>
    <n v="1.0680023308781235"/>
    <s v=""/>
    <n v="7.94"/>
    <n v="0"/>
    <n v="0"/>
    <n v="0"/>
    <n v="0"/>
    <n v="7.94"/>
    <s v=""/>
    <n v="0.46364647355163729"/>
    <n v="1"/>
    <n v="0"/>
  </r>
  <r>
    <s v="Utilidade Pública / Energia Elétrica / Energia Elétrica"/>
    <x v="203"/>
    <n v="4"/>
    <x v="5"/>
    <s v="div"/>
    <m/>
    <d v="2013-04-04T00:00:00"/>
    <d v="2013-11-25T00:00:00"/>
    <n v="3.0300000000000001E-3"/>
    <n v="3.0300000000000001E-3"/>
    <s v=""/>
    <s v=""/>
    <s v=""/>
    <s v=""/>
    <s v=""/>
    <s v=""/>
    <n v="15"/>
    <n v="0"/>
    <n v="0"/>
    <n v="0"/>
    <n v="0"/>
    <n v="15"/>
    <s v=""/>
    <s v=""/>
    <n v="1"/>
    <n v="0"/>
  </r>
  <r>
    <s v="Utilidade Pública / Energia Elétrica / Energia Elétrica"/>
    <x v="204"/>
    <n v="4"/>
    <x v="5"/>
    <s v="div"/>
    <m/>
    <d v="2013-04-04T00:00:00"/>
    <d v="2013-11-25T00:00:00"/>
    <n v="3.3400000000000001E-3"/>
    <n v="3.3400000000000001E-3"/>
    <s v=""/>
    <s v=""/>
    <s v=""/>
    <s v=""/>
    <s v=""/>
    <s v=""/>
    <n v="7.94"/>
    <n v="0"/>
    <n v="0"/>
    <n v="0"/>
    <n v="0"/>
    <n v="7.94"/>
    <s v=""/>
    <s v=""/>
    <n v="1"/>
    <n v="0"/>
  </r>
  <r>
    <s v="Utilidade Pública / Energia Elétrica / Energia Elétrica"/>
    <x v="203"/>
    <n v="4"/>
    <x v="5"/>
    <s v="jcp"/>
    <m/>
    <d v="2013-04-04T00:00:00"/>
    <d v="2013-11-25T00:00:00"/>
    <n v="0.30615999999999999"/>
    <n v="0.26023599999999997"/>
    <s v=""/>
    <s v=""/>
    <s v=""/>
    <s v=""/>
    <s v=""/>
    <s v=""/>
    <n v="15"/>
    <n v="0"/>
    <n v="0"/>
    <n v="0"/>
    <n v="0"/>
    <n v="15"/>
    <s v=""/>
    <s v=""/>
    <n v="0"/>
    <n v="1"/>
  </r>
  <r>
    <s v="Utilidade Pública / Energia Elétrica / Energia Elétrica"/>
    <x v="204"/>
    <n v="4"/>
    <x v="5"/>
    <s v="jcp"/>
    <m/>
    <d v="2013-04-04T00:00:00"/>
    <d v="2013-11-25T00:00:00"/>
    <n v="0.33677000000000001"/>
    <n v="0.28625450000000002"/>
    <s v=""/>
    <s v=""/>
    <s v=""/>
    <s v=""/>
    <s v=""/>
    <s v=""/>
    <n v="7.94"/>
    <n v="0"/>
    <n v="0"/>
    <n v="0"/>
    <n v="0"/>
    <n v="7.94"/>
    <s v=""/>
    <s v=""/>
    <n v="0"/>
    <n v="1"/>
  </r>
  <r>
    <s v="Utilidade Pública / Energia Elétrica / Energia Elétrica"/>
    <x v="203"/>
    <n v="5"/>
    <x v="5"/>
    <s v="div"/>
    <n v="1.117"/>
    <d v="2014-02-25T00:00:00"/>
    <m/>
    <n v="0.38897999999999999"/>
    <n v="0.38897999999999999"/>
    <n v="0.65224599999999988"/>
    <n v="0.58392658907788708"/>
    <n v="2.1180029411764707"/>
    <n v="2.1154922941176468"/>
    <n v="0.99881461587705389"/>
    <s v=""/>
    <n v="15"/>
    <n v="0"/>
    <n v="0"/>
    <n v="0"/>
    <n v="0"/>
    <n v="15"/>
    <s v=""/>
    <n v="4.348306666666666E-2"/>
    <n v="1"/>
    <n v="0"/>
  </r>
  <r>
    <s v="Utilidade Pública / Energia Elétrica / Energia Elétrica"/>
    <x v="204"/>
    <n v="5"/>
    <x v="5"/>
    <s v="div"/>
    <n v="1.2286999999999999"/>
    <d v="2014-02-25T00:00:00"/>
    <m/>
    <n v="0.42786999999999997"/>
    <n v="0.42786999999999997"/>
    <n v="0.71746449999999995"/>
    <n v="0.58392162448115892"/>
    <n v="2.2249617647058826"/>
    <n v="2.3412767058823531"/>
    <n v="1.0522772764105661"/>
    <s v=""/>
    <n v="7.94"/>
    <n v="0"/>
    <n v="0"/>
    <n v="0"/>
    <n v="0"/>
    <n v="7.94"/>
    <s v=""/>
    <n v="9.0360768261964722E-2"/>
    <n v="1"/>
    <n v="0"/>
  </r>
  <r>
    <s v="Utilidade Pública / Energia Elétrica / Energia Elétrica"/>
    <x v="203"/>
    <n v="5"/>
    <x v="15"/>
    <s v="jcp"/>
    <n v="2.4175"/>
    <d v="2000-03-23T00:00:00"/>
    <d v="2000-04-04T00:00:00"/>
    <n v="0.90500000000000003"/>
    <n v="0.76924999999999999"/>
    <n v="0.76924999999999999"/>
    <n v="0.31820062047569803"/>
    <n v="-7.0833333333333345E-2"/>
    <n v="0.2880833333333333"/>
    <n v="-4.0670588235294103"/>
    <s v=""/>
    <n v="15"/>
    <n v="0"/>
    <n v="0"/>
    <n v="0"/>
    <n v="0"/>
    <n v="15"/>
    <s v=""/>
    <n v="5.1283333333333334E-2"/>
    <n v="0"/>
    <n v="1"/>
  </r>
  <r>
    <s v="Utilidade Pública / Energia Elétrica / Energia Elétrica"/>
    <x v="204"/>
    <n v="5"/>
    <x v="15"/>
    <s v="jcp"/>
    <n v="2.4175"/>
    <d v="2000-03-23T00:00:00"/>
    <d v="2000-04-04T00:00:00"/>
    <n v="0.995"/>
    <n v="0.84575"/>
    <n v="0.84575"/>
    <n v="0.34984488107549122"/>
    <n v="-7.0833333333333345E-2"/>
    <n v="0.31691666666666668"/>
    <n v="-4.4741176470588231"/>
    <s v=""/>
    <n v="7.94"/>
    <n v="0"/>
    <n v="0"/>
    <n v="0"/>
    <n v="0"/>
    <n v="7.94"/>
    <s v=""/>
    <n v="0.1065176322418136"/>
    <n v="0"/>
    <n v="1"/>
  </r>
  <r>
    <s v="Utilidade Pública / Energia Elétrica / Energia Elétrica"/>
    <x v="203"/>
    <n v="5"/>
    <x v="16"/>
    <m/>
    <n v="-3.19"/>
    <m/>
    <m/>
    <m/>
    <n v="0"/>
    <n v="0"/>
    <n v="0"/>
    <n v="-1.3149999999999999"/>
    <n v="4.7500000000000001E-2"/>
    <n v="-3.6121673003802285E-2"/>
    <s v=""/>
    <n v="15"/>
    <n v="0"/>
    <n v="0"/>
    <n v="0"/>
    <n v="0"/>
    <n v="15"/>
    <s v=""/>
    <n v="0"/>
    <n v="0"/>
    <n v="0"/>
  </r>
  <r>
    <s v="Utilidade Pública / Energia Elétrica / Energia Elétrica"/>
    <x v="204"/>
    <n v="5"/>
    <x v="16"/>
    <m/>
    <n v="-3.19"/>
    <m/>
    <m/>
    <m/>
    <n v="0"/>
    <n v="0"/>
    <n v="0"/>
    <n v="-1.3149999999999999"/>
    <n v="5.2500000000000005E-2"/>
    <n v="-3.9923954372623582E-2"/>
    <s v=""/>
    <n v="7.94"/>
    <n v="0"/>
    <n v="0"/>
    <n v="0"/>
    <n v="0"/>
    <n v="7.94"/>
    <s v=""/>
    <n v="0"/>
    <n v="0"/>
    <n v="0"/>
  </r>
  <r>
    <s v="Utilidade Pública / Energia Elétrica / Energia Elétrica"/>
    <x v="203"/>
    <n v="5"/>
    <x v="17"/>
    <s v="div"/>
    <n v="0.55999999999999994"/>
    <d v="1998-03-25T00:00:00"/>
    <d v="1998-05-25T00:00:00"/>
    <n v="9.5000000000000001E-2"/>
    <n v="9.5000000000000001E-2"/>
    <n v="9.5000000000000001E-2"/>
    <n v="0.16964285714285715"/>
    <n v="0.55999999999999994"/>
    <n v="9.5000000000000001E-2"/>
    <n v="0.16964285714285715"/>
    <s v=""/>
    <n v="15"/>
    <n v="0"/>
    <n v="0"/>
    <n v="0"/>
    <n v="0"/>
    <n v="15"/>
    <s v=""/>
    <n v="6.3333333333333332E-3"/>
    <n v="1"/>
    <n v="0"/>
  </r>
  <r>
    <s v="Utilidade Pública / Energia Elétrica / Energia Elétrica"/>
    <x v="204"/>
    <n v="5"/>
    <x v="17"/>
    <s v="div"/>
    <n v="0.55999999999999994"/>
    <d v="1998-03-25T00:00:00"/>
    <d v="1998-05-25T00:00:00"/>
    <n v="0.10500000000000001"/>
    <n v="0.10500000000000001"/>
    <n v="0.10500000000000001"/>
    <n v="0.18750000000000003"/>
    <n v="0.55999999999999994"/>
    <n v="0.10500000000000001"/>
    <n v="0.18750000000000003"/>
    <s v=""/>
    <n v="7.94"/>
    <n v="0"/>
    <n v="0"/>
    <n v="0"/>
    <n v="0"/>
    <n v="7.94"/>
    <s v=""/>
    <n v="1.3224181360201512E-2"/>
    <n v="1"/>
    <n v="0"/>
  </r>
  <r>
    <s v="Utilidade Pública / Energia Elétrica / Energia Elétrica"/>
    <x v="7"/>
    <n v="5"/>
    <x v="12"/>
    <m/>
    <n v="1.99"/>
    <m/>
    <m/>
    <m/>
    <n v="0"/>
    <n v="0"/>
    <n v="0"/>
    <n v="-2.8606623624951406"/>
    <n v="0"/>
    <n v="0"/>
    <s v=""/>
    <n v="7.13"/>
    <n v="0"/>
    <n v="0"/>
    <n v="0"/>
    <n v="0"/>
    <n v="7.13"/>
    <s v=""/>
    <n v="0"/>
    <n v="0"/>
    <n v="0"/>
  </r>
  <r>
    <s v="Utilidade Pública / Energia Elétrica / Energia Elétrica"/>
    <x v="7"/>
    <n v="5"/>
    <x v="11"/>
    <m/>
    <n v="0.72"/>
    <m/>
    <m/>
    <m/>
    <n v="0"/>
    <n v="0"/>
    <n v="0"/>
    <n v="-3.6691060895776642"/>
    <n v="0"/>
    <n v="0"/>
    <s v=""/>
    <n v="7.13"/>
    <n v="0"/>
    <n v="0"/>
    <n v="0"/>
    <n v="0"/>
    <n v="7.13"/>
    <s v=""/>
    <n v="0"/>
    <n v="0"/>
    <n v="0"/>
  </r>
  <r>
    <s v="Utilidade Pública / Energia Elétrica / Energia Elétrica"/>
    <x v="7"/>
    <n v="5"/>
    <x v="10"/>
    <m/>
    <n v="-1.26"/>
    <m/>
    <m/>
    <m/>
    <n v="0"/>
    <n v="0"/>
    <n v="0"/>
    <n v="-4.5469273074931973"/>
    <n v="0"/>
    <n v="0"/>
    <s v=""/>
    <n v="7.13"/>
    <n v="0"/>
    <n v="0"/>
    <n v="0"/>
    <n v="0"/>
    <n v="7.13"/>
    <s v=""/>
    <n v="0"/>
    <n v="0"/>
    <n v="0"/>
  </r>
  <r>
    <s v="Utilidade Pública / Energia Elétrica / Energia Elétrica"/>
    <x v="7"/>
    <n v="5"/>
    <x v="9"/>
    <m/>
    <n v="-4.8099999999999996"/>
    <m/>
    <m/>
    <m/>
    <n v="0"/>
    <n v="0"/>
    <n v="0"/>
    <n v="-5.3686591343664958"/>
    <n v="0"/>
    <n v="0"/>
    <s v=""/>
    <n v="7.13"/>
    <n v="0"/>
    <n v="0"/>
    <n v="0"/>
    <n v="0"/>
    <n v="7.13"/>
    <s v=""/>
    <n v="0"/>
    <n v="0"/>
    <n v="0"/>
  </r>
  <r>
    <s v="Utilidade Pública / Energia Elétrica / Energia Elétrica"/>
    <x v="7"/>
    <n v="5"/>
    <x v="8"/>
    <m/>
    <n v="-2.452871088977802"/>
    <m/>
    <m/>
    <m/>
    <n v="0"/>
    <n v="0"/>
    <n v="0"/>
    <n v="-5.5548788458219951"/>
    <n v="0"/>
    <n v="0"/>
    <s v=""/>
    <n v="7.13"/>
    <n v="0"/>
    <n v="0"/>
    <n v="0"/>
    <n v="0"/>
    <n v="7.13"/>
    <s v=""/>
    <n v="0"/>
    <n v="0"/>
    <n v="0"/>
  </r>
  <r>
    <s v="Utilidade Pública / Energia Elétrica / Energia Elétrica"/>
    <x v="7"/>
    <n v="5"/>
    <x v="7"/>
    <m/>
    <n v="-16.31323722126098"/>
    <m/>
    <m/>
    <m/>
    <n v="0"/>
    <n v="0"/>
    <n v="0"/>
    <n v="-7.1058827242440916"/>
    <n v="0"/>
    <n v="0"/>
    <s v=""/>
    <n v="7.13"/>
    <n v="0"/>
    <n v="0"/>
    <n v="0"/>
    <n v="0"/>
    <n v="7.13"/>
    <s v=""/>
    <n v="0"/>
    <n v="0"/>
    <n v="0"/>
  </r>
  <r>
    <s v="Utilidade Pública / Energia Elétrica / Energia Elétrica"/>
    <x v="7"/>
    <n v="5"/>
    <x v="6"/>
    <m/>
    <n v="2.1014717727727961"/>
    <m/>
    <m/>
    <m/>
    <n v="0"/>
    <n v="0"/>
    <n v="0"/>
    <n v="2.1014717727727961"/>
    <n v="0"/>
    <n v="0"/>
    <s v=""/>
    <n v="7.13"/>
    <n v="0"/>
    <n v="0"/>
    <n v="0"/>
    <n v="0"/>
    <n v="7.13"/>
    <s v=""/>
    <n v="0"/>
    <n v="0"/>
    <n v="0"/>
  </r>
  <r>
    <s v="Utilidade Pública / Energia Elétrica / Energia Elétrica"/>
    <x v="516"/>
    <n v="5"/>
    <x v="14"/>
    <m/>
    <n v="0.15059"/>
    <m/>
    <m/>
    <m/>
    <n v="0"/>
    <n v="0"/>
    <n v="0"/>
    <n v="2.3134000000000001"/>
    <n v="0"/>
    <n v="0"/>
    <s v=""/>
    <n v="5.35"/>
    <n v="0"/>
    <n v="0"/>
    <n v="0"/>
    <n v="0"/>
    <n v="5.35"/>
    <s v=""/>
    <n v="0"/>
    <n v="0"/>
    <n v="0"/>
  </r>
  <r>
    <s v="Utilidade Pública / Energia Elétrica / Energia Elétrica"/>
    <x v="517"/>
    <n v="5"/>
    <x v="14"/>
    <m/>
    <n v="0.15059"/>
    <m/>
    <m/>
    <m/>
    <n v="0"/>
    <n v="0"/>
    <n v="0"/>
    <n v="2.3134000000000001"/>
    <n v="0"/>
    <n v="0"/>
    <s v=""/>
    <n v="0"/>
    <n v="23.01"/>
    <n v="0"/>
    <n v="0"/>
    <n v="0"/>
    <n v="23.01"/>
    <s v=""/>
    <n v="0"/>
    <n v="0"/>
    <n v="0"/>
  </r>
  <r>
    <s v="Utilidade Pública / Energia Elétrica / Energia Elétrica"/>
    <x v="518"/>
    <n v="5"/>
    <x v="14"/>
    <m/>
    <n v="0.15059"/>
    <m/>
    <m/>
    <m/>
    <n v="0"/>
    <n v="0"/>
    <n v="0"/>
    <n v="2.3134000000000001"/>
    <n v="0"/>
    <n v="0"/>
    <s v=""/>
    <n v="9.67"/>
    <n v="0"/>
    <n v="0"/>
    <n v="0"/>
    <n v="0"/>
    <n v="9.67"/>
    <s v=""/>
    <n v="0"/>
    <n v="0"/>
    <n v="0"/>
  </r>
  <r>
    <s v="Utilidade Pública / Energia Elétrica / Energia Elétrica"/>
    <x v="516"/>
    <n v="5"/>
    <x v="13"/>
    <m/>
    <n v="5.4192200000000001"/>
    <m/>
    <m/>
    <m/>
    <n v="0"/>
    <n v="0"/>
    <n v="0"/>
    <n v="3.3948049999999999"/>
    <n v="0"/>
    <n v="0"/>
    <s v=""/>
    <n v="5.35"/>
    <n v="0"/>
    <n v="0"/>
    <n v="0"/>
    <n v="0"/>
    <n v="5.35"/>
    <s v=""/>
    <n v="0"/>
    <n v="0"/>
    <n v="0"/>
  </r>
  <r>
    <s v="Utilidade Pública / Energia Elétrica / Energia Elétrica"/>
    <x v="517"/>
    <n v="5"/>
    <x v="13"/>
    <m/>
    <n v="5.4192200000000001"/>
    <m/>
    <m/>
    <m/>
    <n v="0"/>
    <n v="0"/>
    <n v="0"/>
    <n v="3.3948049999999999"/>
    <n v="0"/>
    <n v="0"/>
    <s v=""/>
    <n v="0"/>
    <n v="23.01"/>
    <n v="0"/>
    <n v="0"/>
    <n v="0"/>
    <n v="23.01"/>
    <s v=""/>
    <n v="0"/>
    <n v="0"/>
    <n v="0"/>
  </r>
  <r>
    <s v="Utilidade Pública / Energia Elétrica / Energia Elétrica"/>
    <x v="518"/>
    <n v="5"/>
    <x v="13"/>
    <m/>
    <n v="5.4192200000000001"/>
    <m/>
    <m/>
    <m/>
    <n v="0"/>
    <n v="0"/>
    <n v="0"/>
    <n v="3.3948049999999999"/>
    <n v="0"/>
    <n v="0"/>
    <s v=""/>
    <n v="9.67"/>
    <n v="0"/>
    <n v="0"/>
    <n v="0"/>
    <n v="0"/>
    <n v="9.67"/>
    <s v=""/>
    <n v="0"/>
    <n v="0"/>
    <n v="0"/>
  </r>
  <r>
    <s v="Utilidade Pública / Energia Elétrica / Energia Elétrica"/>
    <x v="516"/>
    <n v="5"/>
    <x v="12"/>
    <m/>
    <n v="1.37039"/>
    <m/>
    <m/>
    <m/>
    <n v="0"/>
    <n v="0"/>
    <n v="0"/>
    <n v="1.37039"/>
    <n v="0"/>
    <n v="0"/>
    <s v=""/>
    <n v="5.35"/>
    <n v="0"/>
    <n v="0"/>
    <n v="0"/>
    <n v="0"/>
    <n v="5.35"/>
    <s v=""/>
    <n v="0"/>
    <n v="0"/>
    <n v="0"/>
  </r>
  <r>
    <s v="Utilidade Pública / Energia Elétrica / Energia Elétrica"/>
    <x v="517"/>
    <n v="5"/>
    <x v="12"/>
    <m/>
    <n v="1.37039"/>
    <m/>
    <m/>
    <m/>
    <n v="0"/>
    <n v="0"/>
    <n v="0"/>
    <n v="1.37039"/>
    <n v="0"/>
    <n v="0"/>
    <s v=""/>
    <n v="0"/>
    <n v="23.01"/>
    <n v="0"/>
    <n v="0"/>
    <n v="0"/>
    <n v="23.01"/>
    <s v=""/>
    <n v="0"/>
    <n v="0"/>
    <n v="0"/>
  </r>
  <r>
    <s v="Utilidade Pública / Energia Elétrica / Energia Elétrica"/>
    <x v="518"/>
    <n v="5"/>
    <x v="12"/>
    <m/>
    <n v="1.37039"/>
    <m/>
    <m/>
    <m/>
    <n v="0"/>
    <n v="0"/>
    <n v="0"/>
    <n v="1.37039"/>
    <n v="0"/>
    <n v="0"/>
    <s v=""/>
    <n v="9.67"/>
    <n v="0"/>
    <n v="0"/>
    <n v="0"/>
    <n v="0"/>
    <n v="9.67"/>
    <s v="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5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4">
        <item x="0"/>
        <item m="1" x="12"/>
        <item m="1" x="4"/>
        <item m="1" x="7"/>
        <item m="1" x="9"/>
        <item m="1" x="5"/>
        <item m="1" x="6"/>
        <item m="1" x="8"/>
        <item m="1" x="11"/>
        <item m="1" x="10"/>
        <item m="1" x="3"/>
        <item x="1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5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olHeaderCaption="Ano">
  <location ref="A3:H46" firstHeaderRow="1" firstDataRow="2" firstDataCol="1"/>
  <pivotFields count="26">
    <pivotField showAll="0"/>
    <pivotField axis="axisRow" showAll="0" sortType="descending">
      <items count="5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sd="0" x="509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sd="0"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sd="0" x="113"/>
        <item sd="0" x="114"/>
        <item sd="0"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sd="0" x="138"/>
        <item sd="0" x="139"/>
        <item sd="0" x="513"/>
        <item sd="0" x="514"/>
        <item sd="0" x="140"/>
        <item sd="0" x="141"/>
        <item sd="0" x="142"/>
        <item x="143"/>
        <item x="144"/>
        <item x="145"/>
        <item sd="0" x="146"/>
        <item sd="0" x="147"/>
        <item sd="0"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sd="0" x="516"/>
        <item sd="0" x="517"/>
        <item sd="0" x="518"/>
        <item sd="0" x="203"/>
        <item sd="0" x="204"/>
        <item x="205"/>
        <item x="206"/>
        <item x="207"/>
        <item x="208"/>
        <item x="209"/>
        <item sd="0" x="210"/>
        <item sd="0" x="211"/>
        <item sd="0"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sd="0" x="236"/>
        <item sd="0" x="235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sd="0" x="250"/>
        <item sd="0" x="515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sd="0"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sd="0" x="362"/>
        <item sd="0"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sd="0" x="510"/>
        <item sd="0" x="511"/>
        <item sd="0" x="512"/>
        <item sd="0"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sd="0" x="479"/>
        <item sd="0" x="480"/>
        <item x="481"/>
        <item x="482"/>
        <item x="483"/>
        <item x="484"/>
        <item sd="0" x="485"/>
        <item sd="0" x="486"/>
        <item sd="0"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axis="axisRow" showAll="0" sortType="descending">
      <items count="19">
        <item h="1" x="0"/>
        <item x="5"/>
        <item x="4"/>
        <item x="3"/>
        <item x="1"/>
        <item x="14"/>
        <item x="13"/>
        <item x="12"/>
        <item x="11"/>
        <item x="10"/>
        <item x="9"/>
        <item x="8"/>
        <item x="7"/>
        <item x="6"/>
        <item x="2"/>
        <item x="15"/>
        <item x="16"/>
        <item x="17"/>
        <item t="default"/>
      </items>
    </pivotField>
    <pivotField showAll="0"/>
    <pivotField dataField="1" showAll="0"/>
    <pivotField showAll="0"/>
    <pivotField showAll="0"/>
    <pivotField showAll="0"/>
    <pivotField showAll="0"/>
    <pivotField dataField="1" showAl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numFmtId="165" showAll="0" defaultSubtotal="0"/>
    <pivotField numFmtId="165" showAll="0" defaultSubtotal="0"/>
    <pivotField numFmtId="165" showAll="0" defaultSubtotal="0"/>
    <pivotField numFmtId="165" showAll="0" defaultSubtotal="0"/>
    <pivotField numFmtId="165" showAll="0" defaultSubtotal="0"/>
    <pivotField dataField="1" numFmtId="165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</pivotFields>
  <rowFields count="2">
    <field x="1"/>
    <field x="3"/>
  </rowFields>
  <rowItems count="42">
    <i>
      <x v="210"/>
    </i>
    <i>
      <x v="206"/>
    </i>
    <i>
      <x v="7"/>
    </i>
    <i>
      <x v="150"/>
    </i>
    <i>
      <x v="461"/>
    </i>
    <i>
      <x v="209"/>
    </i>
    <i>
      <x v="8"/>
    </i>
    <i>
      <x v="149"/>
    </i>
    <i>
      <x v="497"/>
    </i>
    <i>
      <x v="490"/>
    </i>
    <i>
      <x v="496"/>
    </i>
    <i>
      <x v="142"/>
    </i>
    <i>
      <x v="141"/>
    </i>
    <i>
      <x v="151"/>
    </i>
    <i>
      <x v="207"/>
    </i>
    <i>
      <x v="495"/>
    </i>
    <i>
      <x v="257"/>
    </i>
    <i>
      <x v="114"/>
    </i>
    <i>
      <x v="145"/>
    </i>
    <i>
      <x v="144"/>
    </i>
    <i>
      <x v="35"/>
    </i>
    <i>
      <x v="256"/>
    </i>
    <i>
      <x v="208"/>
    </i>
    <i>
      <x v="101"/>
    </i>
    <i>
      <x v="370"/>
    </i>
    <i>
      <x v="242"/>
    </i>
    <i>
      <x v="115"/>
    </i>
    <i>
      <x v="241"/>
    </i>
    <i>
      <x v="143"/>
    </i>
    <i>
      <x v="489"/>
    </i>
    <i>
      <x v="369"/>
    </i>
    <i>
      <x v="464"/>
    </i>
    <i>
      <x v="218"/>
    </i>
    <i>
      <x v="216"/>
    </i>
    <i>
      <x v="140"/>
    </i>
    <i>
      <x v="217"/>
    </i>
    <i>
      <x v="139"/>
    </i>
    <i>
      <x v="311"/>
    </i>
    <i>
      <x v="463"/>
    </i>
    <i>
      <x v="116"/>
    </i>
    <i>
      <x v="46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* Média LPA" fld="5" subtotal="average" baseField="0" baseItem="0" numFmtId="173"/>
    <dataField name="Média Proventos" fld="10" subtotal="average" baseField="0" baseItem="0" numFmtId="172"/>
    <dataField name="Média de % Yield" fld="11" subtotal="average" baseField="0" baseItem="0" numFmtId="10"/>
    <dataField name="* % ROI A.A." fld="23" subtotal="average" baseField="0" baseItem="0" numFmtId="10"/>
    <dataField name="Total Div" fld="24" baseField="0" baseItem="0"/>
    <dataField name="Total Jcp" fld="25" baseField="0" baseItem="0"/>
    <dataField name="Média de Cotação" fld="21" subtotal="average" baseField="0" baseItem="0" numFmtId="44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18" connectionId="3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64" connectionId="69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4" connectionId="69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47" connectionId="4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44" connectionId="60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59" connectionId="67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72" connectionId="72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75" connectionId="73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59" connectionId="42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38" connectionId="39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82" connectionId="76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61" connectionId="68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43" connectionId="60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65" connectionId="69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26" connectionId="39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33" connectionId="5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62" connectionId="68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37" connectionId="5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55" connectionId="6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73" connectionId="6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72" connectionId="6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81" connectionId="76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251" connectionId="78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35" connectionId="77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67" connectionId="70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70" connectionId="72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7" connectionId="104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0" connectionId="77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13" connectionId="30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58" connectionId="6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29" connectionId="108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54" connectionId="64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28" connectionId="35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15" connectionId="30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20" connectionId="32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7" connectionId="6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40" connectionId="59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90" connectionId="77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32" connectionId="93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70" connectionId="38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71" connectionId="72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71" connectionId="5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49" connectionId="60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26" connectionId="106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5" connectionId="73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9" connectionId="108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19" connectionId="29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48" connectionId="62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5" connectionId="88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42" connectionId="60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69" connectionId="71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16" connectionId="3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19" connectionId="32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38" connectionId="58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43" connectionId="42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80" connectionId="76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52" connectionId="79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32" connectionId="37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21" connectionId="102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33" connectionId="37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56" connectionId="38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31" connectionId="47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27" connectionId="41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30" connectionId="36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2" connectionId="81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4" connectionId="38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55" connectionId="36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98" connectionId="38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23" connectionId="35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12" connectionId="30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04" connectionId="77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45" connectionId="43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51" connectionId="63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50" connectionId="63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30" connectionId="54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39" connectionId="59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53" connectionId="64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17" connectionId="26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66" connectionId="54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" connectionId="81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4" connectionId="95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26" connectionId="35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60" connectionId="67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30" connectionId="82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14" connectionId="85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13" connectionId="83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11" connectionId="29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68" connectionId="71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40" connectionId="41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221" connectionId="33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24" connectionId="34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57" connectionId="66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31" connectionId="915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24" connectionId="105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12" connectionId="81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58" connectionId="41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0" connectionId="110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46" connectionId="61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30" connectionId="46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8" connectionId="81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51" connectionId="30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73" connectionId="73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47" connectionId="62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44" connectionId="43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22" connectionId="33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25" connectionId="34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60" connectionId="44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63" connectionId="68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09" connectionId="28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56" connectionId="65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62" connectionId="47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34" connectionId="73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77" connectionId="75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17" connectionId="81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34" connectionId="52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49" connectionId="28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9" connectionId="38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74" connectionId="73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53" connectionId="33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52" connectionId="64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83" connectionId="80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31" connectionId="36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49" connectionId="63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22" connectionId="81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07" connectionId="28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17" connectionId="31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253" connectionId="81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37" connectionId="39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41" connectionId="59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9" connectionId="73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52" connectionId="32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79" connectionId="75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5" connectionId="100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41" connectionId="42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3" connectionId="81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27" connectionId="107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61" connectionId="46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8" connectionId="69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6" connectionId="61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50" connectionId="72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28" connectionId="107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32" connectionId="49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06" connectionId="27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29" connectionId="36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78" connectionId="75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45" connectionId="61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33" connectionId="94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35" connectionId="38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23" connectionId="100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55" connectionId="65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57" connectionId="30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0" connectionId="79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66" connectionId="70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36" connectionId="56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21" connectionId="102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75" connectionId="36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21" connectionId="33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1" connectionId="80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34" connectionId="52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26" connectionId="89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71" connectionId="35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18" connectionId="85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61" connectionId="31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64" connectionId="69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26" connectionId="40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305" connectionId="46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88" connectionId="41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58" connectionId="67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28" connectionId="92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58" connectionId="41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51" connectionId="31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317" connectionId="48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5" connectionId="100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52" connectionId="32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35" connectionId="788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77" connectionId="37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339" connectionId="53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39" connectionId="59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69" connectionId="71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59" connectionId="67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91" connectionId="42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55" connectionId="36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82" connectionId="76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369" connectionId="59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70" connectionId="60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56" connectionId="29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78" connectionId="37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65" connectionId="69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13" connectionId="83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304" connectionId="45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5" connectionId="74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81" connectionId="76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48" connectionId="274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72" connectionId="35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311" connectionId="47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49" connectionId="63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333" connectionId="52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57" connectionId="66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36" connectionId="99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330" connectionId="51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03" connectionId="74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66" connectionId="54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50" connectionId="55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53" connectionId="34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59" connectionId="42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361" connectionId="57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67" connectionId="77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65" connectionId="52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12" connectionId="81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63" connectionId="68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15" connectionId="88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68" connectionId="33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329" connectionId="51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375" connectionId="73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49" connectionId="916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32" connectionId="65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56" connectionId="38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27" connectionId="41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95" connectionId="43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352" connectionId="56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75" connectionId="73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54" connectionId="35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24" connectionId="815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50" connectionId="27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38" connectionId="99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35" connectionId="54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40" connectionId="59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327" connectionId="50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74" connectionId="73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60" connectionId="67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71" connectionId="72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42" connectionId="60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20" connectionId="49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45" connectionId="107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353" connectionId="56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18" connectionId="485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60" connectionId="44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71" connectionId="562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25" connectionId="38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14" connectionId="859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298" connectionId="44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343" connectionId="53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8" connectionId="70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10" connectionId="110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70" connectionId="34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50" connectionId="935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344" connectionId="54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56" connectionId="66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262" connectionId="32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61" connectionId="682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53" connectionId="29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76" connectionId="74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62" connectionId="47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24" connectionId="37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33" connectionId="97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20" connectionId="31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4" connectionId="70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58" connectionId="30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69" connectionId="339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63" connectionId="49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33" connectionId="510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09" connectionId="47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82" connectionId="39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37" connectionId="57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300" connectionId="455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19" connectionId="48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345" connectionId="55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73" connectionId="663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46" connectionId="1077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" connectionId="79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24" connectionId="49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53" connectionId="64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365" connectionId="58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325" connectionId="50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29" connectionId="40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32" connectionId="493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29" connectionId="93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96" connectionId="44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46" connectionId="619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54" connectionId="65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9" connectionId="74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ExternalData_4" connectionId="97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46" connectionId="27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0" connectionId="79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7" connectionId="66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51" connectionId="639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42" connectionId="102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44" connectionId="106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92" connectionId="42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4" connectionId="75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79" connectionId="759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49" connectionId="55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80" connectionId="38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17" connectionId="27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68" connectionId="71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_30" connectionId="94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42" connectionId="537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23" connectionId="497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356" connectionId="56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83" connectionId="81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72" connectionId="62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79" connectionId="379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45" connectionId="61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328" connectionId="50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172" connectionId="72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63" connectionId="32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293" connectionId="43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90" connectionId="79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08" connectionId="47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58" connectionId="57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376" connectionId="79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6" connectionId="77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50" connectionId="63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22" connectionId="344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23" connectionId="355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67" connectionId="71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265" connectionId="332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7" connectionId="105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30" connectionId="46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94" connectionId="436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2" connectionId="1063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19" connectionId="29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04" connectionId="78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43" connectionId="60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326" connectionId="50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41" connectionId="81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02" connectionId="45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87" connectionId="410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6" connectionId="772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52" connectionId="64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ExternalData_22" connectionId="110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23" connectionId="112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77" connectionId="753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128" connectionId="43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180" connectionId="76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ExternalData_20" connectionId="100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32" connectionId="96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367" connectionId="58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31" connectionId="954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6" connectionId="62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31" connectionId="479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48" connectionId="63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62" connectionId="68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41" connectionId="600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338" connectionId="53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331" connectionId="519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51" connectionId="28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27" connectionId="90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336" connectionId="52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299" connectionId="45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260" connectionId="31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70" connectionId="40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44" connectionId="610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371" connectionId="72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35" connectionId="98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33" connectionId="700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0" connectionId="557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19" connectionId="96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37" connectionId="99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73" connectionId="73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61" connectionId="466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97" connectionId="443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70" connectionId="72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78" connectionId="75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37" connectionId="53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6" connectionId="103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63" connectionId="581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315" connectionId="48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259" connectionId="30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147" connectionId="627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360" connectionId="57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76" connectionId="36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90" connectionId="42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98" connectionId="39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49" connectionId="284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51" connectionId="94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40" connectionId="100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129" connectionId="451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50" connectionId="29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49" connectionId="277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57" connectionId="40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38" connectionId="588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9" connectionId="108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362" connectionId="57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64" connectionId="51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39" connectionId="100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ExternalData_34" connectionId="98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31" connectionId="61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307" connectionId="468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81" connectionId="390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47" connectionId="108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402" connectionId="41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38" connectionId="999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ExternalData_3" connectionId="84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61" connectionId="57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26" connectionId="50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403" connectionId="42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57" connectionId="96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63" connectionId="32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9" connectionId="744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17" connectionId="484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400" connectionId="38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29" connectionId="45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44" connectionId="75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48" connectionId="63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67" connectionId="77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19" connectionId="29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325" connectionId="50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20" connectionId="79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34" connectionId="52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408" connectionId="507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410" connectionId="54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52" connectionId="64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421" connectionId="63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136" connectionId="56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98" connectionId="39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447" connectionId="764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24" connectionId="81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ExternalData_5" connectionId="100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39" connectionId="100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47" connectionId="62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26" connectionId="40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456" connectionId="808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55" connectionId="65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8" connectionId="106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25" connectionId="389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ExternalData_16" connectionId="900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44" connectionId="1081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424" connectionId="642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455" connectionId="80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62" connectionId="68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418" connectionId="616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416" connectionId="599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52" connectionId="565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14" connectionId="86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74" connectionId="73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278" connectionId="37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4" connectionId="97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10" connectionId="110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77" connectionId="754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42" connectionId="104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43" connectionId="608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27" connectionId="910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423" connectionId="63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61" connectionId="98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59" connectionId="97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40" connectionId="71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48" connectionId="83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409" connectionId="52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61" connectionId="467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55" connectionId="37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22" connectionId="1105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05" connectionId="46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138" connectionId="58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175" connectionId="73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32" connectionId="659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51" connectionId="31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80" connectionId="76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73" connectionId="73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17" connectionId="105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257" connectionId="30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450" connectionId="77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268" connectionId="337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72" connectionId="623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19" connectionId="96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ExternalData_55" connectionId="949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31" connectionId="52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9" connectionId="108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319" connectionId="48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330" connectionId="51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103" connectionId="74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2" connectionId="107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31" connectionId="955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66" connectionId="1073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265" connectionId="33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311" connectionId="47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435" connectionId="68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70" connectionId="723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344" connectionId="54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65" connectionId="106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20" connectionId="49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15" connectionId="74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401" connectionId="39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30" connectionId="95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33" connectionId="681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16" connectionId="77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41" connectionId="95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35" connectionId="54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31" connectionId="61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23" connectionId="1133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7" connectionId="662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149" connectionId="634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65" connectionId="697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398" connectionId="35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158" connectionId="672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25" connectionId="88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65" connectionId="584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339" connectionId="53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ExternalData_72" connectionId="94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27" connectionId="416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438" connectionId="69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159" connectionId="675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75" connectionId="36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28" connectionId="43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282" connectionId="394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277" connectionId="37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82" connectionId="76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122" connectionId="34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428" connectionId="65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76" connectionId="747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ExternalData_7" connectionId="1051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52" connectionId="90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62" connectionId="985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50" connectionId="88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250" connectionId="28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54" connectionId="35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297" connectionId="44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5" connectionId="78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71" connectionId="93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12" connectionId="822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293" connectionId="435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28" connectionId="924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67" connectionId="107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91" connectionId="42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ExternalData_35" connectionId="986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356" connectionId="569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53" connectionId="342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415" connectionId="595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58" connectionId="96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161" connectionId="68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437" connectionId="695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68" connectionId="1089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397" connectionId="338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404" connectionId="44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342" connectionId="53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18" connectionId="862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329" connectionId="51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446" connectionId="76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60" connectionId="67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45" connectionId="615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281" connectionId="39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92" connectionId="42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6" connectionId="1031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30" connectionId="46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51" connectionId="778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52" connectionId="32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ExternalData_54" connectionId="936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362" connectionId="58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ExternalData_64" connectionId="105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56" connectionId="66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269" connectionId="340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249" connectionId="27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95" connectionId="44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260" connectionId="316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373" connectionId="383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74" connectionId="54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441" connectionId="717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32" connectionId="494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425" connectionId="64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350" connectionId="555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62" connectionId="478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13" connectionId="84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70" connectionId="34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328" connectionId="50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42" connectionId="60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76" connectionId="36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343" connectionId="540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08" connectionId="47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71" connectionId="56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258" connectionId="305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37" connectionId="53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34" connectionId="98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31" connectionId="48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87" connectionId="41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39" connectionId="70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ExternalData_53" connectionId="922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61" connectionId="31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49" connectionId="55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54" connectionId="65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_29" connectionId="93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26" connectionId="77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ExternalData_60" connectionId="97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150" connectionId="63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63" connectionId="689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71" connectionId="726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304" connectionId="460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36" connectionId="991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6" connectionId="62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24" connectionId="500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20" connectionId="31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63" connectionId="582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137" connectionId="57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70" connectionId="405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40" connectionId="597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73" connectionId="66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168" connectionId="715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1" connectionId="80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53" connectionId="648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31" connectionId="673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33" connectionId="976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8" connectionId="70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60" connectionId="449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59" connectionId="43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04" connectionId="78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99" connectionId="454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442" connectionId="740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169" connectionId="719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280" connectionId="382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07" connectionId="46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3" connectionId="70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259" connectionId="308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15" connectionId="482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" connectionId="79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58" connectionId="571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50" connectionId="299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51" connectionId="894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58" connectionId="41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ExternalData_37" connectionId="996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33" connectionId="51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434" connectionId="684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445" connectionId="75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ExternalData_26" connectionId="896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64" connectionId="514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288" connectionId="41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333" connectionId="522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432" connectionId="677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369" connectionId="591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57" connectionId="40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52" connectionId="78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144" connectionId="61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294" connectionId="43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56" connectionId="29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454" connectionId="799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323" connectionId="49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ExternalData_63" connectionId="99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253" connectionId="291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72" connectionId="72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41" connectionId="60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65" connectionId="53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4" connectionId="40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124" connectionId="37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183" connectionId="812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179" connectionId="76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262" connectionId="322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90" connectionId="79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345" connectionId="551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164" connectionId="69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178" connectionId="75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302" connectionId="458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157" connectionId="669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69" connectionId="831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81" connectionId="76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29" connectionId="40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300" connectionId="45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414" connectionId="592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39" connectionId="594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40" connectionId="100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10" connectionId="800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394" connectionId="29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53" connectionId="794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ExternalData_70" connectionId="917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32" connectionId="96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279" connectionId="380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290" connectionId="421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66" connectionId="54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353" connectionId="567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118" connectionId="287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271" connectionId="352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30" connectionId="55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56" connectionId="38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251" connectionId="289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327" connectionId="50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49" connectionId="28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151" connectionId="640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ExternalData_15" connectionId="882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338" connectionId="534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167" connectionId="71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ExternalData_21" connectionId="1029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166" connectionId="70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36" connectionId="52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123" connectionId="35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21" connectionId="331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1" connectionId="1087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98" connectionId="447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14" connectionId="708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146" connectionId="62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96" connectionId="44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367" connectionId="58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63" connectionId="49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34" connectionId="751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272" connectionId="360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309" connectionId="473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318" connectionId="486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20" connectionId="1010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11" connectionId="112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360" connectionId="576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411" connectionId="556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56" connectionId="954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392" connectionId="26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426" connectionId="649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52" connectionId="64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79" connectionId="1033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361" connectionId="57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277" connectionId="37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6" connectionId="625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265" connectionId="33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12" connectionId="82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45" connectionId="75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107" connectionId="113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98" connectionId="398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150" connectionId="637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ExternalData_39" connectionId="1001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82" connectionId="1039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104" connectionId="1122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ExternalData_81" connectionId="1037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98" connectionId="110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54" connectionId="938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43" connectionId="106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455" connectionId="804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31" connectionId="61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73" connectionId="66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1" connectionId="805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280" connectionId="382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ExternalData_19" connectionId="96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97" connectionId="1103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ExternalData_49" connectionId="86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59" connectionId="43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344" connectionId="544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16" connectionId="600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438" connectionId="702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87" connectionId="105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56" connectionId="95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30" connectionId="465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29" connectionId="452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60" connectionId="31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ExternalData_119" connectionId="83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104" connectionId="785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72" connectionId="623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331" connectionId="52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287" connectionId="411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60" connectionId="976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262" connectionId="32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174" connectionId="73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176" connectionId="74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450" connectionId="77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363" connectionId="582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89" connectionId="107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7" connectionId="662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18" connectionId="486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ExternalData_113" connectionId="1146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119" connectionId="297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116" connectionId="822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ExternalData_3" connectionId="84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158" connectionId="672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ExternalData_48" connectionId="839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30" connectionId="95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85" connectionId="1045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19" connectionId="489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28" connectionId="925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437" connectionId="696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403" connectionId="429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72" connectionId="1017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55" connectionId="950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120" connectionId="83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26" connectionId="89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65" connectionId="530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292" connectionId="428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138" connectionId="918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63" connectionId="49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178" connectionId="757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397" connectionId="34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28" connectionId="432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58" connectionId="418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408" connectionId="510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343" connectionId="54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91" connectionId="109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ExternalData_94" connectionId="1096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6" connectionId="1031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71" connectionId="56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442" connectionId="743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402" connectionId="41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167" connectionId="711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398" connectionId="35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ExternalData_133" connectionId="871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181" connectionId="766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434" connectionId="685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14" connectionId="86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161" connectionId="68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132" connectionId="49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270" connectionId="349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59" connectionId="971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ExternalData_67" connectionId="1006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421" connectionId="633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14" connectionId="59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ExternalData_117" connectionId="825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66" connectionId="54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378" connectionId="741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56" connectionId="66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8" connectionId="1067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ExternalData_128" connectionId="85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7" connectionId="1051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169" connectionId="71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377" connectionId="700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155" connectionId="65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ExternalData_137" connectionId="90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425" connectionId="647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115" connectionId="816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125" connectionId="389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56" connectionId="38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276" connectionId="366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83" connectionId="104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294" connectionId="437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112" connectionId="114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452" connectionId="785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300" connectionId="45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ExternalData_124" connectionId="847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139" connectionId="942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22" connectionId="1106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125" connectionId="84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ExternalData_108" connectionId="113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8" connectionId="703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440" connectionId="71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07" connectionId="46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78" connectionId="377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374" connectionId="557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90" connectionId="79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290" connectionId="421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90" connectionId="107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308" connectionId="471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157" connectionId="669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432" connectionId="678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106" connectionId="1127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92" connectionId="1092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453" connectionId="795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ExternalData_32" connectionId="96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105" connectionId="112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15" connectionId="749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39" connectionId="594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52" connectionId="910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133" connectionId="51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9" connectionId="744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123" connectionId="84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345" connectionId="55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18" connectionId="863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10" connectionId="80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124" connectionId="372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356" connectionId="569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44" connectionId="108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144" connectionId="611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88" connectionId="1064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127" connectionId="853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ExternalData_100" connectionId="1114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64" connectionId="693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120" connectionId="314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86" connectionId="1048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50" connectionId="29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ExternalData_36" connectionId="992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57" connectionId="403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45" connectionId="110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82" connectionId="769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41" connectionId="60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323" connectionId="49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404" connectionId="448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102" connectionId="1118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411" connectionId="56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62" connectionId="478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67" connectionId="771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268" connectionId="337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27" connectionId="91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46" connectionId="1129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04" connectionId="460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52" connectionId="329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426" connectionId="65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349" connectionId="55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30" connectionId="558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401" connectionId="400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ExternalData_114" connectionId="1148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75" connectionId="1023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140" connectionId="94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132" connectionId="86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418" connectionId="619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55" connectionId="370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253" connectionId="291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392" connectionId="272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48" connectionId="63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64" connectionId="998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68" connectionId="1009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40" connectionId="1005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57" connectionId="961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134" connectionId="87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309" connectionId="47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49" connectionId="278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338" connectionId="534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54" connectionId="35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146" connectionId="620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51" connectionId="896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394" connectionId="296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281" connectionId="391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136" connectionId="561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143" connectionId="608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279" connectionId="380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315" connectionId="482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2" connectionId="1070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72" connectionId="729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180" connectionId="763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325" connectionId="502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41" connectionId="995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433" connectionId="682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96" connectionId="110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78" connectionId="1030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447" connectionId="765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126" connectionId="85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367" connectionId="586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175" connectionId="739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64" connectionId="514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32" connectionId="659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296" connectionId="44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369" connectionId="591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122" connectionId="842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53" connectionId="92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28" connectionId="66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03" connectionId="74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25" connectionId="886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295" connectionId="44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130" connectionId="86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95" connectionId="1098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299" connectionId="454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74" connectionId="1021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171" connectionId="726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ExternalData_9" connectionId="1084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410" connectionId="54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26" connectionId="77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302" connectionId="458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330" connectionId="518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311" connectionId="475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37" connectionId="996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451" connectionId="779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329" connectionId="516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103" connectionId="1120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352" connectionId="565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35" connectionId="98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99" connectionId="1112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51" connectionId="640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49" connectionId="285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160" connectionId="679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66" connectionId="1004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272" connectionId="360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ExternalData_129" connectionId="857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ExternalData_15" connectionId="883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328" connectionId="509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424" connectionId="643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140" connectionId="59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261" connectionId="31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37" connectionId="57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5" connectionId="789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333" connectionId="522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135" connectionId="875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353" connectionId="56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256" connectionId="29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10" connectionId="1109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360" connectionId="576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456" connectionId="80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65" connectionId="697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73" connectionId="1019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62" connectionId="986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ExternalData_50" connectionId="882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58" connectionId="96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34" connectionId="751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127" connectionId="416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70" connectionId="405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69" connectionId="1011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121" connectionId="331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327" connectionId="506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11" connectionId="1130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17" connectionId="1053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ExternalData_24" connectionId="81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31" connectionId="956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291" connectionId="424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373" connectionId="39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305" connectionId="462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320" connectionId="492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118" connectionId="287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297" connectionId="444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149" connectionId="634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76" connectionId="1026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183" connectionId="812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ExternalData_42" connectionId="1050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251" connectionId="289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415" connectionId="59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ExternalData_63" connectionId="991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159" connectionId="675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336" connectionId="525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131" connectionId="866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23" connectionId="1133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126" connectionId="407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293" connectionId="435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47" connectionId="818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145" connectionId="615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258" connectionId="305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16" connectionId="900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1" connectionId="79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153" connectionId="648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142" connectionId="605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136" connectionId="877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271" connectionId="352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259" connectionId="308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26" connectionId="504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439" connectionId="710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134" connectionId="52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257" connectionId="301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250" connectionId="280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282" connectionId="394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16" connectionId="779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446" connectionId="762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147" connectionId="628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288" connectionId="413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163" connectionId="689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ExternalData_110" connectionId="1140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444" connectionId="756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118" connectionId="827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21" connectionId="1029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177" connectionId="754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342" connectionId="53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33" connectionId="701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109" connectionId="113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29" connectionId="939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123" connectionId="356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93" connectionId="1094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431" connectionId="674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4" connectionId="401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65" connectionId="1000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51" connectionId="312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269" connectionId="340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376" connectionId="658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435" connectionId="688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38" connectionId="999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4" connectionId="972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324" connectionId="500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454" connectionId="800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31" connectionId="480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121" connectionId="837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1" connectionId="1087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60" connectionId="449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317" connectionId="484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61" connectionId="981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101" connectionId="1116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70" connectionId="1013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5" connectionId="1007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29" connectionId="40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14" connectionId="70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122" connectionId="345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173" connectionId="732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168" connectionId="71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13" connectionId="840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53" connectionId="342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263" connectionId="325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138" connectionId="58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34" connectionId="982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379" connectionId="783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400" connectionId="386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111" connectionId="1142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84" connectionId="1043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339" connectionId="536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365" connectionId="584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298" connectionId="44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423" connectionId="639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135" connectionId="549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ExternalData_80" connectionId="1035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77" connectionId="1028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337" connectionId="532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166" connectionId="706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409" connectionId="526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170" connectionId="723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71" connectionId="1015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350" connectionId="555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441" connectionId="718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20" connectionId="796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154" connectionId="651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61" connectionId="467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20" connectionId="1010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179" connectionId="760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162" connectionId="686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358" connectionId="571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275" connectionId="363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ExternalData_33" connectionId="977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362" connectionId="580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324" connectionId="50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ExternalData_1" connectionId="1088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32" connectionId="67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114" connectionId="1149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253" connectionId="291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338" connectionId="534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20" connectionId="1010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263" connectionId="325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455" connectionId="807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155" connectionId="90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ExternalData_3" connectionId="844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ExternalData_15" connectionId="884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158" connectionId="920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270" connectionId="349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57" connectionId="403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58" connectionId="96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414" connectionId="594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378" connectionId="742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ExternalData_140" connectionId="887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269" connectionId="34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90" connectionId="791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80" connectionId="1036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19" connectionId="968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35" connectionId="98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53" connectionId="927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165" connectionId="932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86" connectionId="1049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4" connectionId="973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49" connectionId="285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339" connectionId="536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63" connectionId="690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331" connectionId="520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ExternalData_150" connectionId="90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142" connectionId="60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74" connectionId="1022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46" connectionId="1132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42" connectionId="538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37" connectionId="574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447" connectionId="766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ExternalData_79" connectionId="1034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ExternalData_138" connectionId="881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59" connectionId="430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91" connectionId="1091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6" connectionId="780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431" connectionId="675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156" connectionId="666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281" connectionId="391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315" connectionId="482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148" connectionId="631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37" connectionId="997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ExternalData_107" connectionId="1134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134" connectionId="528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311" connectionId="475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287" connectionId="411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179" connectionId="760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279" connectionId="380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177" connectionId="754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102" connectionId="1119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7" connectionId="662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451" connectionId="781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408" connectionId="511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118" connectionId="287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23" connectionId="1135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39" connectionId="100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453" connectionId="798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250" connectionId="280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33" connectionId="978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256" connectionId="293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9" connectionId="74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104" connectionId="1123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441" connectionId="719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6" connectionId="1032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163" connectionId="930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147" connectionId="628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400" connectionId="387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437" connectionId="69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97" connectionId="1104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257" connectionId="301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426" connectionId="651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168" connectionId="716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326" connectionId="504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401" connectionId="401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33" connectionId="701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275" connectionId="363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76" connectionId="366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18" connectionId="620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293" connectionId="435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175" connectionId="739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121" connectionId="838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80" connectionId="382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11" connectionId="806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291" connectionId="424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136" connectionId="561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124" connectionId="848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95" connectionId="44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69" connectionId="720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148" connectionId="900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58" connectionId="418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155" connectionId="656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62" connectionId="580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361" connectionId="578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137" connectionId="879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149" connectionId="901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26" connectionId="775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73" connectionId="664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55" connectionId="953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251" connectionId="28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265" connectionId="333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ExternalData_60" connectionId="979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178" connectionId="757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140" connectionId="59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ExternalData_157" connectionId="919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136" connectionId="878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261" connectionId="319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67" connectionId="77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135" connectionId="549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71" connectionId="101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ExternalData_139" connectionId="886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129" connectionId="452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308" connectionId="471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30" connectionId="559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105" connectionId="1125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55" connectionId="370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50" connectionId="885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74" connectionId="735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288" connectionId="413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56" connectionId="958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9" connectionId="1085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64" connectionId="693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304" connectionId="460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61" connectionId="984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173" connectionId="732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15" connectionId="749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76" connectionId="1027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ExternalData_126" connectionId="852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329" connectionId="516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50" connectionId="299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68" connectionId="101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23" connectionId="846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294" connectionId="437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135" connectionId="876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282" connectionId="394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99" connectionId="111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309" connectionId="47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143" connectionId="608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ExternalData_87" connectionId="105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ExternalData_24" connectionId="82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139" connectionId="59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63" connectionId="496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56" connectionId="387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151" connectionId="641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ExternalData_28" connectionId="926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49" connectionId="865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72" connectionId="1018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103" connectionId="112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ExternalData_31" connectionId="957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379" connectionId="784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123" connectionId="35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154" connectionId="652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110" connectionId="1141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32" connectionId="963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ExternalData_132" connectionId="87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51" connectionId="899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14" connectionId="708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78" connectionId="1031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445" connectionId="760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416" connectionId="601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297" connectionId="444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134" connectionId="874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54" connectionId="358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397" connectionId="342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415" connectionId="597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156" connectionId="914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58" connectionId="571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30" connectionId="952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298" connectionId="447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85" connectionId="1046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21" connectionId="102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25" connectionId="886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124" connectionId="372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183" connectionId="812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71" connectionId="56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337" connectionId="532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ExternalData_168" connectionId="948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61" connectionId="467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31" connectionId="618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94" connectionId="1097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158" connectionId="672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142" connectionId="88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21" connectionId="63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ExternalData_36" connectionId="993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444" connectionId="757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20" connectionId="797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17" connectionId="1055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350" connectionId="55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116" connectionId="824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43" connectionId="106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113" connectionId="1147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425" connectionId="648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277" connectionId="374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81" connectionId="1038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ExternalData_59" connectionId="974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367" connectionId="586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103" connectionId="742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22" connectionId="345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28" connectionId="856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83" connectionId="1042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52" connectionId="329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90" connectionId="1080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165" connectionId="698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129" connectionId="858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ExternalData_117" connectionId="826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353" connectionId="567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152" connectionId="90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145" connectionId="615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438" connectionId="703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93" connectionId="1095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160" connectionId="680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410" connectionId="546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403" connectionId="430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44" connectionId="89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452" connectionId="787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161" connectionId="928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31" connectionId="867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167" connectionId="943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126" connectionId="407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ExternalData_48" connectionId="840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ExternalData_164" connectionId="931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98" connectionId="1110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434" connectionId="686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60" connectionId="450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409" connectionId="527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411" connectionId="561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72" connectionId="729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130" connectionId="861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13" connectionId="841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302" connectionId="458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47" connectionId="821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25" connectionId="50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130" connectionId="46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52" connectionId="913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69" connectionId="1012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260" connectionId="316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77" connectionId="1029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7" connectionId="1052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2" connectionId="1071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50" connectionId="637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67" connectionId="1007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171" connectionId="726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374" connectionId="558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8" connectionId="704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73" connectionId="1020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144" connectionId="61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62" connectionId="478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166" connectionId="706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259" connectionId="308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127" connectionId="416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299" connectionId="454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109" connectionId="1139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5" connectionId="100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12" connectionId="823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45" connectionId="1108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39" connectionId="711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278" connectionId="377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132" connectionId="494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319" connectionId="489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70" connectionId="723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89" connectionId="1075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423" connectionId="640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159" connectionId="921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271" connectionId="352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29" connectionId="940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147" connectionId="895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64" connectionId="99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119" connectionId="297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82" connectionId="1040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122" connectionId="843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62" connectionId="929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356" connectionId="569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38" connectionId="589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65" connectionId="1001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111" connectionId="1143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70" connectionId="1014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67" connectionId="712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128" connectionId="432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262" connectionId="322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157" connectionId="66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70" connectionId="405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268" connectionId="337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44" connectionId="1086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363" connectionId="582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318" connectionId="486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369" connectionId="591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307" connectionId="469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424" connectionId="644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446" connectionId="763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1" connectionId="793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180" connectionId="763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133" connectionId="512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84" connectionId="1044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11" connectionId="113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ExternalData_119" connectionId="833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18" connectionId="864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296" connectionId="442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328" connectionId="509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143" connectionId="890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28" connectionId="662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4" connectionId="401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6" connectionId="625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131" connectionId="480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53" connectionId="343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108" connectionId="1137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373" connectionId="398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61" connectionId="683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160" connectionId="923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153" connectionId="64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10" connectionId="802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162" connectionId="686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320" connectionId="492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88" connectionId="1065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112" connectionId="1145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141" connectionId="888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32" connectionId="660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40" connectionId="1005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352" connectionId="565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146" connectionId="893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345" connectionId="55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66" connectionId="1005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65" connectionId="530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00" connectionId="1115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42" connectionId="1051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360" connectionId="576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ExternalData_106" connectionId="1128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57" connectionId="964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8" connectionId="1068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450" connectionId="77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29" connectionId="409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33" connectionId="683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343" connectionId="540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456" connectionId="810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54" connectionId="941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125" connectionId="850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365" connectionId="58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159" connectionId="676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51" connectionId="312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96" connectionId="1101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120" connectionId="835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121" connectionId="331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ExternalData_95" connectionId="1099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125" connectionId="389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154" connectionId="907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41" connectionId="996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34" connectionId="983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120" connectionId="314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75" connectionId="1024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317" connectionId="484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153" connectionId="906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398" connectionId="356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181" connectionId="766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52" connectionId="645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323" connectionId="498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ExternalData_38" connectionId="999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35" connectionId="789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141" connectionId="602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64" connectionId="514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305" connectionId="462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146" connectionId="621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336" connectionId="525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376" connectionId="659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118" connectionId="828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330" connectionId="518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92" connectionId="1093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272" connectionId="360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442" connectionId="744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300" connectionId="456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10" connectionId="1111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292" connectionId="428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333" connectionId="522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104" connectionId="786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151" connectionId="903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344" connectionId="544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402" connectionId="416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435" connectionId="689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ExternalData_166" connectionId="933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34" connectionId="751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98" connectionId="399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394" connectionId="297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149" connectionId="634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249" connectionId="278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ExternalData_26" connectionId="898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145" connectionId="89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ExternalData_63" connectionId="994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ExternalData_16" connectionId="900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ExternalData_22" connectionId="1107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ExternalData_133" connectionId="872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377" connectionId="701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72" connectionId="623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404" connectionId="449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176" connectionId="747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66" connectionId="547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27" connectionId="912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440" connectionId="715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ExternalData_127" connectionId="854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258" connectionId="305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327" connectionId="506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62" connectionId="989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ExternalData_14" connectionId="868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ExternalData_101" connectionId="1117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290" connectionId="421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349" connectionId="553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454" connectionId="801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ExternalData_115" connectionId="817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182" connectionId="769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1" totalsRowCount="1">
  <autoFilter ref="A1:BB520">
    <filterColumn colId="0"/>
    <filterColumn colId="3"/>
    <filterColumn colId="44"/>
  </autoFilter>
  <sortState ref="A2:BB520">
    <sortCondition ref="AN1:AN520"/>
  </sortState>
  <tableColumns count="54">
    <tableColumn id="10" name="Classificação Setorial" totalsRowFunction="count" dataDxfId="198" totalsRowDxfId="197"/>
    <tableColumn id="9" name="PAPEL" dataDxfId="196" totalsRowDxfId="195"/>
    <tableColumn id="34" name="Nome" dataDxfId="194">
      <calculatedColumnFormula>LEFT([PAPEL],LEN([PAPEL])-(LEN([PAPEL])-4))</calculatedColumnFormula>
    </tableColumn>
    <tableColumn id="24" name="Ref"/>
    <tableColumn id="1" name="Capital Social" dataDxfId="193"/>
    <tableColumn id="7" name="Ações" dataDxfId="192"/>
    <tableColumn id="25" name="%Div" dataDxfId="191"/>
    <tableColumn id="29" name="% PNA (PL)" dataDxfId="190"/>
    <tableColumn id="30" name="% PNA (CS)" dataDxfId="189"/>
    <tableColumn id="47" name="% Pref. / ON" dataDxfId="188"/>
    <tableColumn id="27" name="Unit ON" dataDxfId="187"/>
    <tableColumn id="31" name="Unit PN" dataDxfId="186"/>
    <tableColumn id="32" name="Ativo || Passivo" dataDxfId="185" totalsRowDxfId="184"/>
    <tableColumn id="45" name="Ativo Circulante" dataDxfId="183" totalsRowDxfId="182"/>
    <tableColumn id="46" name="Passivo Circulante" dataDxfId="181" totalsRowDxfId="180"/>
    <tableColumn id="2" name="Patrimônio Líquido" dataDxfId="179" totalsRowDxfId="178"/>
    <tableColumn id="13" name="Lucro Líquido" dataDxfId="177" totalsRowDxfId="176"/>
    <tableColumn id="38" name="Dívida" dataDxfId="175" totalsRowDxfId="174">
      <calculatedColumnFormula>IF(Tabela3[[#This Row],[Ativo || Passivo]]&gt;0,Tabela3[[#This Row],[Ativo || Passivo]]-Tabela3[[#This Row],[Patrimônio Líquido]],0)</calculatedColumnFormula>
    </tableColumn>
    <tableColumn id="43" name="Valor de Mercado" dataDxfId="173" totalsRowDxfId="172">
      <calculatedColumnFormula>Tabela3[[#This Row],[Cotação]]*Tabela3[[#This Row],[Total Ações]]</calculatedColumnFormula>
    </tableColumn>
    <tableColumn id="48" name="Liquidez Corrente" dataDxfId="171" totalsRowDxfId="170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69" totalsRowDxfId="168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67" totalsRowDxfId="166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65" totalsRowDxfId="164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63" totalsRowDxfId="162">
      <calculatedColumnFormula>IF(Tabela3[[#This Row],[Dívida]]&gt;0,Tabela3[[#This Row],[Dívida]]/Tabela3[[#This Row],[Patrimônio Líquido]],0)</calculatedColumnFormula>
    </tableColumn>
    <tableColumn id="55" name="Dívida / PL Média" dataDxfId="161" totalsRowDxfId="160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59" totalsRowDxfId="158">
      <calculatedColumnFormula>Tabela3[[#This Row],[Capital Social]]*20%</calculatedColumnFormula>
    </tableColumn>
    <tableColumn id="36" name="Reserva Legal" dataDxfId="157" totalsRowDxfId="156">
      <calculatedColumnFormula>IF(([Lucro Líquido]*5%)&gt;[Teto R. Legal],[Teto R. Legal],[Lucro Líquido]*5%)</calculatedColumnFormula>
    </tableColumn>
    <tableColumn id="37" name="Lucro Distribuir" dataDxfId="155" totalsRowDxfId="154">
      <calculatedColumnFormula>IF([Lucro Líquido]&lt;0,0,[Lucro Líquido]-[Reserva Legal])</calculatedColumnFormula>
    </tableColumn>
    <tableColumn id="23" name="25 % Div" dataDxfId="153" totalsRowDxfId="152">
      <calculatedColumnFormula>Tabela3[[#This Row],[Lucro Distribuir]]*[%Div]</calculatedColumnFormula>
    </tableColumn>
    <tableColumn id="3" name="Total Ações" dataDxfId="151" totalsRowDxfId="150">
      <calculatedColumnFormula>SUMPRODUCT(N([Nome]=Tabela3[[#This Row],[Nome]]),[Ações])</calculatedColumnFormula>
    </tableColumn>
    <tableColumn id="44" name="VN" dataDxfId="149" totalsRowDxfId="148">
      <calculatedColumnFormula>[Capital Social]/[Total Ações]</calculatedColumnFormula>
    </tableColumn>
    <tableColumn id="19" name="Lucro/Ação" dataDxfId="147" totalsRowDxfId="146">
      <calculatedColumnFormula>Tabela3[[#This Row],[Lucro Líquido]]/Tabela3[[#This Row],[Total Ações]]</calculatedColumnFormula>
    </tableColumn>
    <tableColumn id="40" name="Div. Mínimo" dataDxfId="145" totalsRowDxfId="144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43" totalsRowDxfId="142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41" totalsRowDxfId="140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9" totalsRowDxfId="138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7" totalsRowDxfId="136">
      <calculatedColumnFormula>[Div Base]*[Ações]</calculatedColumnFormula>
    </tableColumn>
    <tableColumn id="22" name="Total" dataDxfId="135" totalsRowDxfId="134">
      <calculatedColumnFormula>SUMPRODUCT(N([Nome]=Tabela3[[#This Row],[Nome]]),[Div Base]*[Ações])</calculatedColumnFormula>
    </tableColumn>
    <tableColumn id="4" name="VPA" dataDxfId="133" totalsRowDxfId="132">
      <calculatedColumnFormula>[Patrimônio Líquido]/[Total Ações]</calculatedColumnFormula>
    </tableColumn>
    <tableColumn id="5" name="Cotação" dataDxfId="131" totalsRowDxfId="130">
      <calculatedColumnFormula>MAX(Tabela3[[#This Row],[Cotação 1]:[Cotação 5]])</calculatedColumnFormula>
    </tableColumn>
    <tableColumn id="6" name="PVPA" dataDxfId="129" totalsRowDxfId="128">
      <calculatedColumnFormula>[Cotação]/[VPA]</calculatedColumnFormula>
    </tableColumn>
    <tableColumn id="16" name="PL" dataDxfId="127">
      <calculatedColumnFormula>IF(Tabela3[[#This Row],[Lucro/Ação]]&gt;0,Tabela3[[#This Row],[Cotação]]/(Tabela3[[#This Row],[Lucro/Ação]]/[Ref]*4),0)</calculatedColumnFormula>
    </tableColumn>
    <tableColumn id="53" name="Lucro Dist./Ação" dataDxfId="126" totalsRowDxfId="125">
      <calculatedColumnFormula>[Lucro Distribuir]/[Total Ações]</calculatedColumnFormula>
    </tableColumn>
    <tableColumn id="52" name="Lucro" dataDxfId="124" totalsRowDxfId="123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2" totalsRowDxfId="121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0" totalsRowDxfId="119">
      <calculatedColumnFormula>IF([Cotação]&gt;0,Tabela3[[#This Row],[Lucro]]/Tabela3[[#This Row],[Cotação]],0)</calculatedColumnFormula>
    </tableColumn>
    <tableColumn id="12" name="% A.A." dataDxfId="118" totalsRowDxfId="117">
      <calculatedColumnFormula>((1+Tabela3[[#This Row],[% Yield]])^(1/(3*Tabela3[[#This Row],[Ref]])))^(12)-1</calculatedColumnFormula>
    </tableColumn>
    <tableColumn id="17" name="Ativos" dataDxfId="116" totalsRowDxfId="115">
      <calculatedColumnFormula>IF([Cotação]&gt;0,($BH$1/Tabela3[[#This Row],[Cotação]]-MOD($BH$1/Tabela3[[#This Row],[Cotação]],100)),)</calculatedColumnFormula>
    </tableColumn>
    <tableColumn id="18" name="Lucro Med A.A" dataDxfId="114" totalsRowDxfId="113">
      <calculatedColumnFormula>Tabela3[[#This Row],[Ativos]]*[Lucro]</calculatedColumnFormula>
    </tableColumn>
    <tableColumn id="15" name="Cotação 1" dataDxfId="112" totalsRowDxfId="111">
      <calculatedColumnFormula>SUMPRODUCT(N(Tabela1[Código]=Tabela3[[#This Row],[PAPEL]]),Tabela1[Fechamento])</calculatedColumnFormula>
    </tableColumn>
    <tableColumn id="20" name="Cotação 2" dataDxfId="110" totalsRowDxfId="109">
      <calculatedColumnFormula>SUMPRODUCT(N(Tabela17[Código]=Tabela3[[#This Row],[PAPEL]]),Tabela17[Fechamento])</calculatedColumnFormula>
    </tableColumn>
    <tableColumn id="11" name="Cotação 3" dataDxfId="108" totalsRowDxfId="107">
      <calculatedColumnFormula>SUMPRODUCT(N(Tabela176[Código]=Tabela3[[#This Row],[PAPEL]]),Tabela176[Fechamento])</calculatedColumnFormula>
    </tableColumn>
    <tableColumn id="21" name="Cotação 4" dataDxfId="106" totalsRowDxfId="105">
      <calculatedColumnFormula>SUMPRODUCT(N(Tabela1768[Código]=Tabela3[[#This Row],[PAPEL]]),Tabela1768[Fechamento])</calculatedColumnFormula>
    </tableColumn>
    <tableColumn id="26" name="Cotação 5" dataDxfId="104" totalsRowDxfId="103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02" dataDxfId="101">
  <autoFilter ref="P6:V112"/>
  <sortState ref="P7:V112">
    <sortCondition ref="P6:P112"/>
  </sortState>
  <tableColumns count="7">
    <tableColumn id="1" name="Código" dataDxfId="100"/>
    <tableColumn id="2" name="Ativo" dataDxfId="99">
      <calculatedColumnFormula>IF(A7="","",C7)</calculatedColumnFormula>
    </tableColumn>
    <tableColumn id="3" name="Data" dataDxfId="98">
      <calculatedColumnFormula>IF(A7="","",H7)</calculatedColumnFormula>
    </tableColumn>
    <tableColumn id="4" name="Abertura" dataDxfId="97">
      <calculatedColumnFormula>J7</calculatedColumnFormula>
    </tableColumn>
    <tableColumn id="5" name="Fechamento" dataDxfId="96">
      <calculatedColumnFormula>K7</calculatedColumnFormula>
    </tableColumn>
    <tableColumn id="6" name="Máxima" dataDxfId="95">
      <calculatedColumnFormula>L7</calculatedColumnFormula>
    </tableColumn>
    <tableColumn id="7" name="Mínima" dataDxfId="94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93" dataDxfId="92">
  <autoFilter ref="P6:V112"/>
  <sortState ref="P7:V112">
    <sortCondition ref="P6:P112"/>
  </sortState>
  <tableColumns count="7">
    <tableColumn id="1" name="Código" dataDxfId="91"/>
    <tableColumn id="2" name="Ativo" dataDxfId="90">
      <calculatedColumnFormula>IF(A7="","",C7)</calculatedColumnFormula>
    </tableColumn>
    <tableColumn id="3" name="Data" dataDxfId="89">
      <calculatedColumnFormula>IF(A7="","",H7)</calculatedColumnFormula>
    </tableColumn>
    <tableColumn id="4" name="Abertura" dataDxfId="88">
      <calculatedColumnFormula>J7</calculatedColumnFormula>
    </tableColumn>
    <tableColumn id="5" name="Fechamento" dataDxfId="87">
      <calculatedColumnFormula>K7</calculatedColumnFormula>
    </tableColumn>
    <tableColumn id="6" name="Máxima" dataDxfId="86">
      <calculatedColumnFormula>L7</calculatedColumnFormula>
    </tableColumn>
    <tableColumn id="7" name="Mínima" dataDxfId="85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84" dataDxfId="83">
  <autoFilter ref="P6:V112"/>
  <sortState ref="P7:V112">
    <sortCondition ref="P6:P112"/>
  </sortState>
  <tableColumns count="7">
    <tableColumn id="1" name="Código" dataDxfId="82"/>
    <tableColumn id="2" name="Ativo" dataDxfId="81">
      <calculatedColumnFormula>IF(A7="","",C7)</calculatedColumnFormula>
    </tableColumn>
    <tableColumn id="3" name="Data" dataDxfId="80">
      <calculatedColumnFormula>IF(A7="","",H7)</calculatedColumnFormula>
    </tableColumn>
    <tableColumn id="4" name="Abertura" dataDxfId="79">
      <calculatedColumnFormula>J7</calculatedColumnFormula>
    </tableColumn>
    <tableColumn id="5" name="Fechamento" dataDxfId="78">
      <calculatedColumnFormula>K7</calculatedColumnFormula>
    </tableColumn>
    <tableColumn id="6" name="Máxima" dataDxfId="77">
      <calculatedColumnFormula>L7</calculatedColumnFormula>
    </tableColumn>
    <tableColumn id="7" name="Mínima" dataDxfId="76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75" dataDxfId="74">
  <autoFilter ref="P6:V112"/>
  <sortState ref="P7:V112">
    <sortCondition ref="P6:P112"/>
  </sortState>
  <tableColumns count="7">
    <tableColumn id="1" name="Código" dataDxfId="73"/>
    <tableColumn id="2" name="Ativo" dataDxfId="72">
      <calculatedColumnFormula>IF(A7="","",C7)</calculatedColumnFormula>
    </tableColumn>
    <tableColumn id="3" name="Data" dataDxfId="71">
      <calculatedColumnFormula>IF(A7="","",H7)</calculatedColumnFormula>
    </tableColumn>
    <tableColumn id="4" name="Abertura" dataDxfId="70">
      <calculatedColumnFormula>J7</calculatedColumnFormula>
    </tableColumn>
    <tableColumn id="5" name="Fechamento" dataDxfId="69">
      <calculatedColumnFormula>K7</calculatedColumnFormula>
    </tableColumn>
    <tableColumn id="6" name="Máxima" dataDxfId="68">
      <calculatedColumnFormula>L7</calculatedColumnFormula>
    </tableColumn>
    <tableColumn id="7" name="Mínima" dataDxfId="67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66" dataDxfId="65">
  <autoFilter ref="P6:V112"/>
  <sortState ref="P7:V112">
    <sortCondition ref="P6:P112"/>
  </sortState>
  <tableColumns count="7">
    <tableColumn id="1" name="Código" dataDxfId="64"/>
    <tableColumn id="2" name="Ativo" dataDxfId="63">
      <calculatedColumnFormula>IF(A7="","",C7)</calculatedColumnFormula>
    </tableColumn>
    <tableColumn id="3" name="Data" dataDxfId="62">
      <calculatedColumnFormula>IF(A7="","",H7)</calculatedColumnFormula>
    </tableColumn>
    <tableColumn id="4" name="Abertura" dataDxfId="61">
      <calculatedColumnFormula>J7</calculatedColumnFormula>
    </tableColumn>
    <tableColumn id="5" name="Fechamento" dataDxfId="60">
      <calculatedColumnFormula>K7</calculatedColumnFormula>
    </tableColumn>
    <tableColumn id="6" name="Máxima" dataDxfId="59">
      <calculatedColumnFormula>L7</calculatedColumnFormula>
    </tableColumn>
    <tableColumn id="7" name="Mínima" dataDxfId="58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5" totalsRowCount="1" headerRowDxfId="57" dataDxfId="56" totalsRowDxfId="55">
  <autoFilter ref="A1:N4"/>
  <tableColumns count="14">
    <tableColumn id="1" name="Data Liquidação" totalsRowLabel="Total" dataDxfId="54" totalsRowDxfId="53"/>
    <tableColumn id="16" name="Dia" dataDxfId="52" totalsRowDxfId="51">
      <calculatedColumnFormula>DAY([Data Liquidação])</calculatedColumnFormula>
    </tableColumn>
    <tableColumn id="15" name="Mês" dataDxfId="50" totalsRowDxfId="49">
      <calculatedColumnFormula>MONTH([Data Liquidação])</calculatedColumnFormula>
    </tableColumn>
    <tableColumn id="14" name="Ano" dataDxfId="48" totalsRowDxfId="47">
      <calculatedColumnFormula>YEAR([Data Liquidação])</calculatedColumnFormula>
    </tableColumn>
    <tableColumn id="7" name="Nome" dataDxfId="46" totalsRowDxfId="45"/>
    <tableColumn id="2" name="Aplicação" totalsRowFunction="sum" dataDxfId="44" totalsRowDxfId="43"/>
    <tableColumn id="3" name="Taxas" totalsRowFunction="min" dataDxfId="42" totalsRowDxfId="41"/>
    <tableColumn id="4" name="Resgates" totalsRowFunction="sum" dataDxfId="40" totalsRowDxfId="39"/>
    <tableColumn id="5" name="Dividendo" totalsRowFunction="sum" dataDxfId="38" totalsRowDxfId="37"/>
    <tableColumn id="18" name="JPC" totalsRowFunction="sum" dataDxfId="36" totalsRowDxfId="35"/>
    <tableColumn id="8" name="Quantidade" dataDxfId="34" totalsRowDxfId="33"/>
    <tableColumn id="9" name="Preço Médio" dataDxfId="32" totalsRowDxfId="31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0" totalsRowDxfId="29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28" totalsRowDxfId="27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ela8" displayName="Tabela8" ref="A1:Z1131" totalsRowShown="0" headerRowDxfId="26" headerRowCellStyle="Moeda">
  <autoFilter ref="A1:Z1131">
    <filterColumn colId="1">
      <filters>
        <filter val="UNIP6"/>
      </filters>
    </filterColumn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</autoFilter>
  <sortState ref="A494:Z1035">
    <sortCondition descending="1" ref="D1:D1131"/>
  </sortState>
  <tableColumns count="26">
    <tableColumn id="1" name="Classificação Setorial" dataDxfId="25"/>
    <tableColumn id="2" name="Papel" dataDxfId="24" dataCellStyle="Hyperlink"/>
    <tableColumn id="4" name="Ref" dataDxfId="23" dataCellStyle="Moeda"/>
    <tableColumn id="5" name="Exercício" dataDxfId="22"/>
    <tableColumn id="6" name="Tipo" dataDxfId="21"/>
    <tableColumn id="9" name="Lucro p/Ação" dataDxfId="20"/>
    <tableColumn id="7" name="Aprovação" dataDxfId="19"/>
    <tableColumn id="8" name="Pagamento" dataDxfId="18"/>
    <tableColumn id="10" name="Provento p/Ação" dataDxfId="17"/>
    <tableColumn id="11" name="Líquido p/Ação" dataDxfId="16">
      <calculatedColumnFormula>IF(Tabela8[[#This Row],[Tipo]]="jcp",Tabela8[[#This Row],[Provento p/Ação]]*85%,Tabela8[[#This Row],[Provento p/Ação]])</calculatedColumnFormula>
    </tableColumn>
    <tableColumn id="12" name="Total Exercício" dataDxfId="15">
      <calculatedColumnFormula>IF([Lucro p/Ação]&lt;&gt;0,SUMPRODUCT(N([Papel]=Tabela8[[#This Row],[Papel]]),N([Exercício]=Tabela8[[#This Row],[Exercício]]),[Líquido p/Ação]),"")</calculatedColumnFormula>
    </tableColumn>
    <tableColumn id="13" name="% Yield Exercício" dataDxfId="14">
      <calculatedColumnFormula>IF(Tabela8[[#This Row],[Lucro p/Ação]]="","",IF(Tabela8[[#This Row],[Lucro p/Ação]]&gt;0,Tabela8[[#This Row],[Total Exercício]]/Tabela8[[#This Row],[Lucro p/Ação]],0))</calculatedColumnFormula>
    </tableColumn>
    <tableColumn id="15" name="Média Lucro p/Ação" dataDxfId="13" dataCellStyle="Porcentagem">
      <calculatedColumnFormula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calculatedColumnFormula>
    </tableColumn>
    <tableColumn id="16" name="Média Pago" dataDxfId="12" dataCellStyle="Porcentagem">
      <calculatedColumnFormula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calculatedColumnFormula>
    </tableColumn>
    <tableColumn id="14" name="% Yield Médio" dataDxfId="11">
      <calculatedColumnFormula>IF(Tabela8[[#This Row],[Média Lucro p/Ação]]&lt;&gt;"",Tabela8[[#This Row],[Média Pago]]/Tabela8[[#This Row],[Média Lucro p/Ação]],"")</calculatedColumnFormula>
    </tableColumn>
    <tableColumn id="19" name="Prévia Pagamento" dataDxfId="10">
      <calculatedColumnFormula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calculatedColumnFormula>
    </tableColumn>
    <tableColumn id="20" name="Cotação 1" dataDxfId="9">
      <calculatedColumnFormula>SUMPRODUCT(N(Tabela1[Código]=Tabela8[[#This Row],[Papel]]),Tabela1[Fechamento])</calculatedColumnFormula>
    </tableColumn>
    <tableColumn id="21" name="Cotação 2" dataDxfId="8">
      <calculatedColumnFormula>SUMPRODUCT(N(Tabela17[Código]=Tabela8[[#This Row],[Papel]]),Tabela17[Fechamento])</calculatedColumnFormula>
    </tableColumn>
    <tableColumn id="22" name="Cotação 3" dataDxfId="7">
      <calculatedColumnFormula>SUMPRODUCT(N(Tabela176[Código]=Tabela8[[#This Row],[Papel]]),Tabela176[Fechamento])</calculatedColumnFormula>
    </tableColumn>
    <tableColumn id="23" name="Cotação 4" dataDxfId="6">
      <calculatedColumnFormula>SUMPRODUCT(N(Tabela1768[Código]=Tabela8[[#This Row],[Papel]]),Tabela1768[Fechamento])</calculatedColumnFormula>
    </tableColumn>
    <tableColumn id="24" name="Cotação 5" dataDxfId="5">
      <calculatedColumnFormula>SUMPRODUCT(N(Tabela17683[Código]=Tabela8[[#This Row],[Papel]]),Tabela17683[Fechamento])</calculatedColumnFormula>
    </tableColumn>
    <tableColumn id="25" name="Cotação" dataDxfId="4">
      <calculatedColumnFormula>IF(MAX(Tabela8[[#This Row],[Cotação 1]]:Tabela8[[#This Row],[Cotação 5]])=0,"",MAX(Tabela8[[#This Row],[Cotação 1]]:Tabela8[[#This Row],[Cotação 5]]))</calculatedColumnFormula>
    </tableColumn>
    <tableColumn id="26" name="% ROI Prev" dataDxfId="3">
      <calculatedColumnFormula>IF(AND(Tabela8[[#This Row],[Prévia Pagamento]]&lt;&gt;"",Tabela8[[#This Row],[Prévia Pagamento]]&gt;0,Tabela8[[#This Row],[Cotação]]&gt;0,[Ref]&lt;4),(Tabela8[[#This Row],[Prévia Pagamento]]/Tabela8[[#This Row],[Ref]]*4)/Tabela8[[#This Row],[Cotação]],"")</calculatedColumnFormula>
    </tableColumn>
    <tableColumn id="29" name="% ROI Last" dataDxfId="2">
      <calculatedColumnFormula>IF(AND([Ref]=5,[Cotação]&gt;0,[Cotação]&lt;&gt;""),[Total Exercício]/[Cotação],IF([Ref]&lt;4,0,""))</calculatedColumnFormula>
    </tableColumn>
    <tableColumn id="3" name="Div" dataDxfId="1">
      <calculatedColumnFormula>IF([Tipo]="div",1,0)</calculatedColumnFormula>
    </tableColumn>
    <tableColumn id="17" name="Jcp" dataDxfId="0">
      <calculatedColumnFormula>IF([Tipo]="jcp",1,0)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hyperlink" Target="http://www.bmfbovespa.com.br/Cias-Listadas/Empresas-Listadas/ResumoEmpresaPrincipal.aspx?codigoCvm=18961&amp;idioma=pt-BR" TargetMode="External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printerSettings" Target="../printerSettings/printerSettings1.bin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493" Type="http://schemas.openxmlformats.org/officeDocument/2006/relationships/table" Target="../tables/table1.xm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73.xml"/><Relationship Id="rId299" Type="http://schemas.openxmlformats.org/officeDocument/2006/relationships/queryTable" Target="../queryTables/queryTable555.xml"/><Relationship Id="rId303" Type="http://schemas.openxmlformats.org/officeDocument/2006/relationships/queryTable" Target="../queryTables/queryTable559.xml"/><Relationship Id="rId21" Type="http://schemas.openxmlformats.org/officeDocument/2006/relationships/queryTable" Target="../queryTables/queryTable277.xml"/><Relationship Id="rId42" Type="http://schemas.openxmlformats.org/officeDocument/2006/relationships/queryTable" Target="../queryTables/queryTable298.xml"/><Relationship Id="rId63" Type="http://schemas.openxmlformats.org/officeDocument/2006/relationships/queryTable" Target="../queryTables/queryTable319.xml"/><Relationship Id="rId84" Type="http://schemas.openxmlformats.org/officeDocument/2006/relationships/queryTable" Target="../queryTables/queryTable340.xml"/><Relationship Id="rId138" Type="http://schemas.openxmlformats.org/officeDocument/2006/relationships/queryTable" Target="../queryTables/queryTable394.xml"/><Relationship Id="rId159" Type="http://schemas.openxmlformats.org/officeDocument/2006/relationships/queryTable" Target="../queryTables/queryTable415.xml"/><Relationship Id="rId324" Type="http://schemas.openxmlformats.org/officeDocument/2006/relationships/queryTable" Target="../queryTables/queryTable580.xml"/><Relationship Id="rId345" Type="http://schemas.openxmlformats.org/officeDocument/2006/relationships/queryTable" Target="../queryTables/queryTable601.xml"/><Relationship Id="rId366" Type="http://schemas.openxmlformats.org/officeDocument/2006/relationships/queryTable" Target="../queryTables/queryTable622.xml"/><Relationship Id="rId170" Type="http://schemas.openxmlformats.org/officeDocument/2006/relationships/queryTable" Target="../queryTables/queryTable426.xml"/><Relationship Id="rId191" Type="http://schemas.openxmlformats.org/officeDocument/2006/relationships/queryTable" Target="../queryTables/queryTable447.xml"/><Relationship Id="rId205" Type="http://schemas.openxmlformats.org/officeDocument/2006/relationships/queryTable" Target="../queryTables/queryTable461.xml"/><Relationship Id="rId226" Type="http://schemas.openxmlformats.org/officeDocument/2006/relationships/queryTable" Target="../queryTables/queryTable482.xml"/><Relationship Id="rId247" Type="http://schemas.openxmlformats.org/officeDocument/2006/relationships/queryTable" Target="../queryTables/queryTable503.xml"/><Relationship Id="rId107" Type="http://schemas.openxmlformats.org/officeDocument/2006/relationships/queryTable" Target="../queryTables/queryTable363.xml"/><Relationship Id="rId268" Type="http://schemas.openxmlformats.org/officeDocument/2006/relationships/queryTable" Target="../queryTables/queryTable524.xml"/><Relationship Id="rId289" Type="http://schemas.openxmlformats.org/officeDocument/2006/relationships/queryTable" Target="../queryTables/queryTable545.xml"/><Relationship Id="rId11" Type="http://schemas.openxmlformats.org/officeDocument/2006/relationships/queryTable" Target="../queryTables/queryTable267.xml"/><Relationship Id="rId32" Type="http://schemas.openxmlformats.org/officeDocument/2006/relationships/queryTable" Target="../queryTables/queryTable288.xml"/><Relationship Id="rId53" Type="http://schemas.openxmlformats.org/officeDocument/2006/relationships/queryTable" Target="../queryTables/queryTable309.xml"/><Relationship Id="rId74" Type="http://schemas.openxmlformats.org/officeDocument/2006/relationships/queryTable" Target="../queryTables/queryTable330.xml"/><Relationship Id="rId128" Type="http://schemas.openxmlformats.org/officeDocument/2006/relationships/queryTable" Target="../queryTables/queryTable384.xml"/><Relationship Id="rId149" Type="http://schemas.openxmlformats.org/officeDocument/2006/relationships/queryTable" Target="../queryTables/queryTable405.xml"/><Relationship Id="rId314" Type="http://schemas.openxmlformats.org/officeDocument/2006/relationships/queryTable" Target="../queryTables/queryTable570.xml"/><Relationship Id="rId335" Type="http://schemas.openxmlformats.org/officeDocument/2006/relationships/queryTable" Target="../queryTables/queryTable591.xml"/><Relationship Id="rId356" Type="http://schemas.openxmlformats.org/officeDocument/2006/relationships/queryTable" Target="../queryTables/queryTable612.xml"/><Relationship Id="rId5" Type="http://schemas.openxmlformats.org/officeDocument/2006/relationships/queryTable" Target="../queryTables/queryTable261.xml"/><Relationship Id="rId95" Type="http://schemas.openxmlformats.org/officeDocument/2006/relationships/queryTable" Target="../queryTables/queryTable351.xml"/><Relationship Id="rId160" Type="http://schemas.openxmlformats.org/officeDocument/2006/relationships/queryTable" Target="../queryTables/queryTable416.xml"/><Relationship Id="rId181" Type="http://schemas.openxmlformats.org/officeDocument/2006/relationships/queryTable" Target="../queryTables/queryTable437.xml"/><Relationship Id="rId216" Type="http://schemas.openxmlformats.org/officeDocument/2006/relationships/queryTable" Target="../queryTables/queryTable472.xml"/><Relationship Id="rId237" Type="http://schemas.openxmlformats.org/officeDocument/2006/relationships/queryTable" Target="../queryTables/queryTable493.xml"/><Relationship Id="rId258" Type="http://schemas.openxmlformats.org/officeDocument/2006/relationships/queryTable" Target="../queryTables/queryTable514.xml"/><Relationship Id="rId279" Type="http://schemas.openxmlformats.org/officeDocument/2006/relationships/queryTable" Target="../queryTables/queryTable535.xml"/><Relationship Id="rId22" Type="http://schemas.openxmlformats.org/officeDocument/2006/relationships/queryTable" Target="../queryTables/queryTable278.xml"/><Relationship Id="rId43" Type="http://schemas.openxmlformats.org/officeDocument/2006/relationships/queryTable" Target="../queryTables/queryTable299.xml"/><Relationship Id="rId64" Type="http://schemas.openxmlformats.org/officeDocument/2006/relationships/queryTable" Target="../queryTables/queryTable320.xml"/><Relationship Id="rId118" Type="http://schemas.openxmlformats.org/officeDocument/2006/relationships/queryTable" Target="../queryTables/queryTable374.xml"/><Relationship Id="rId139" Type="http://schemas.openxmlformats.org/officeDocument/2006/relationships/queryTable" Target="../queryTables/queryTable395.xml"/><Relationship Id="rId290" Type="http://schemas.openxmlformats.org/officeDocument/2006/relationships/queryTable" Target="../queryTables/queryTable546.xml"/><Relationship Id="rId304" Type="http://schemas.openxmlformats.org/officeDocument/2006/relationships/queryTable" Target="../queryTables/queryTable560.xml"/><Relationship Id="rId325" Type="http://schemas.openxmlformats.org/officeDocument/2006/relationships/queryTable" Target="../queryTables/queryTable581.xml"/><Relationship Id="rId346" Type="http://schemas.openxmlformats.org/officeDocument/2006/relationships/queryTable" Target="../queryTables/queryTable602.xml"/><Relationship Id="rId85" Type="http://schemas.openxmlformats.org/officeDocument/2006/relationships/queryTable" Target="../queryTables/queryTable341.xml"/><Relationship Id="rId150" Type="http://schemas.openxmlformats.org/officeDocument/2006/relationships/queryTable" Target="../queryTables/queryTable406.xml"/><Relationship Id="rId171" Type="http://schemas.openxmlformats.org/officeDocument/2006/relationships/queryTable" Target="../queryTables/queryTable427.xml"/><Relationship Id="rId192" Type="http://schemas.openxmlformats.org/officeDocument/2006/relationships/queryTable" Target="../queryTables/queryTable448.xml"/><Relationship Id="rId206" Type="http://schemas.openxmlformats.org/officeDocument/2006/relationships/queryTable" Target="../queryTables/queryTable462.xml"/><Relationship Id="rId227" Type="http://schemas.openxmlformats.org/officeDocument/2006/relationships/queryTable" Target="../queryTables/queryTable483.xml"/><Relationship Id="rId248" Type="http://schemas.openxmlformats.org/officeDocument/2006/relationships/queryTable" Target="../queryTables/queryTable504.xml"/><Relationship Id="rId269" Type="http://schemas.openxmlformats.org/officeDocument/2006/relationships/queryTable" Target="../queryTables/queryTable525.xml"/><Relationship Id="rId12" Type="http://schemas.openxmlformats.org/officeDocument/2006/relationships/queryTable" Target="../queryTables/queryTable268.xml"/><Relationship Id="rId33" Type="http://schemas.openxmlformats.org/officeDocument/2006/relationships/queryTable" Target="../queryTables/queryTable289.xml"/><Relationship Id="rId108" Type="http://schemas.openxmlformats.org/officeDocument/2006/relationships/queryTable" Target="../queryTables/queryTable364.xml"/><Relationship Id="rId129" Type="http://schemas.openxmlformats.org/officeDocument/2006/relationships/queryTable" Target="../queryTables/queryTable385.xml"/><Relationship Id="rId280" Type="http://schemas.openxmlformats.org/officeDocument/2006/relationships/queryTable" Target="../queryTables/queryTable536.xml"/><Relationship Id="rId315" Type="http://schemas.openxmlformats.org/officeDocument/2006/relationships/queryTable" Target="../queryTables/queryTable571.xml"/><Relationship Id="rId336" Type="http://schemas.openxmlformats.org/officeDocument/2006/relationships/queryTable" Target="../queryTables/queryTable592.xml"/><Relationship Id="rId357" Type="http://schemas.openxmlformats.org/officeDocument/2006/relationships/queryTable" Target="../queryTables/queryTable613.xml"/><Relationship Id="rId54" Type="http://schemas.openxmlformats.org/officeDocument/2006/relationships/queryTable" Target="../queryTables/queryTable310.xml"/><Relationship Id="rId75" Type="http://schemas.openxmlformats.org/officeDocument/2006/relationships/queryTable" Target="../queryTables/queryTable331.xml"/><Relationship Id="rId96" Type="http://schemas.openxmlformats.org/officeDocument/2006/relationships/queryTable" Target="../queryTables/queryTable352.xml"/><Relationship Id="rId140" Type="http://schemas.openxmlformats.org/officeDocument/2006/relationships/queryTable" Target="../queryTables/queryTable396.xml"/><Relationship Id="rId161" Type="http://schemas.openxmlformats.org/officeDocument/2006/relationships/queryTable" Target="../queryTables/queryTable417.xml"/><Relationship Id="rId182" Type="http://schemas.openxmlformats.org/officeDocument/2006/relationships/queryTable" Target="../queryTables/queryTable438.xml"/><Relationship Id="rId217" Type="http://schemas.openxmlformats.org/officeDocument/2006/relationships/queryTable" Target="../queryTables/queryTable473.xml"/><Relationship Id="rId6" Type="http://schemas.openxmlformats.org/officeDocument/2006/relationships/queryTable" Target="../queryTables/queryTable262.xml"/><Relationship Id="rId238" Type="http://schemas.openxmlformats.org/officeDocument/2006/relationships/queryTable" Target="../queryTables/queryTable494.xml"/><Relationship Id="rId259" Type="http://schemas.openxmlformats.org/officeDocument/2006/relationships/queryTable" Target="../queryTables/queryTable515.xml"/><Relationship Id="rId23" Type="http://schemas.openxmlformats.org/officeDocument/2006/relationships/queryTable" Target="../queryTables/queryTable279.xml"/><Relationship Id="rId119" Type="http://schemas.openxmlformats.org/officeDocument/2006/relationships/queryTable" Target="../queryTables/queryTable375.xml"/><Relationship Id="rId270" Type="http://schemas.openxmlformats.org/officeDocument/2006/relationships/queryTable" Target="../queryTables/queryTable526.xml"/><Relationship Id="rId291" Type="http://schemas.openxmlformats.org/officeDocument/2006/relationships/queryTable" Target="../queryTables/queryTable547.xml"/><Relationship Id="rId305" Type="http://schemas.openxmlformats.org/officeDocument/2006/relationships/queryTable" Target="../queryTables/queryTable561.xml"/><Relationship Id="rId326" Type="http://schemas.openxmlformats.org/officeDocument/2006/relationships/queryTable" Target="../queryTables/queryTable582.xml"/><Relationship Id="rId347" Type="http://schemas.openxmlformats.org/officeDocument/2006/relationships/queryTable" Target="../queryTables/queryTable603.xml"/><Relationship Id="rId44" Type="http://schemas.openxmlformats.org/officeDocument/2006/relationships/queryTable" Target="../queryTables/queryTable300.xml"/><Relationship Id="rId65" Type="http://schemas.openxmlformats.org/officeDocument/2006/relationships/queryTable" Target="../queryTables/queryTable321.xml"/><Relationship Id="rId86" Type="http://schemas.openxmlformats.org/officeDocument/2006/relationships/queryTable" Target="../queryTables/queryTable342.xml"/><Relationship Id="rId130" Type="http://schemas.openxmlformats.org/officeDocument/2006/relationships/queryTable" Target="../queryTables/queryTable386.xml"/><Relationship Id="rId151" Type="http://schemas.openxmlformats.org/officeDocument/2006/relationships/queryTable" Target="../queryTables/queryTable407.xml"/><Relationship Id="rId172" Type="http://schemas.openxmlformats.org/officeDocument/2006/relationships/queryTable" Target="../queryTables/queryTable428.xml"/><Relationship Id="rId193" Type="http://schemas.openxmlformats.org/officeDocument/2006/relationships/queryTable" Target="../queryTables/queryTable449.xml"/><Relationship Id="rId207" Type="http://schemas.openxmlformats.org/officeDocument/2006/relationships/queryTable" Target="../queryTables/queryTable463.xml"/><Relationship Id="rId228" Type="http://schemas.openxmlformats.org/officeDocument/2006/relationships/queryTable" Target="../queryTables/queryTable484.xml"/><Relationship Id="rId249" Type="http://schemas.openxmlformats.org/officeDocument/2006/relationships/queryTable" Target="../queryTables/queryTable505.xml"/><Relationship Id="rId13" Type="http://schemas.openxmlformats.org/officeDocument/2006/relationships/queryTable" Target="../queryTables/queryTable269.xml"/><Relationship Id="rId109" Type="http://schemas.openxmlformats.org/officeDocument/2006/relationships/queryTable" Target="../queryTables/queryTable365.xml"/><Relationship Id="rId260" Type="http://schemas.openxmlformats.org/officeDocument/2006/relationships/queryTable" Target="../queryTables/queryTable516.xml"/><Relationship Id="rId281" Type="http://schemas.openxmlformats.org/officeDocument/2006/relationships/queryTable" Target="../queryTables/queryTable537.xml"/><Relationship Id="rId316" Type="http://schemas.openxmlformats.org/officeDocument/2006/relationships/queryTable" Target="../queryTables/queryTable572.xml"/><Relationship Id="rId337" Type="http://schemas.openxmlformats.org/officeDocument/2006/relationships/queryTable" Target="../queryTables/queryTable593.xml"/><Relationship Id="rId34" Type="http://schemas.openxmlformats.org/officeDocument/2006/relationships/queryTable" Target="../queryTables/queryTable290.xml"/><Relationship Id="rId55" Type="http://schemas.openxmlformats.org/officeDocument/2006/relationships/queryTable" Target="../queryTables/queryTable311.xml"/><Relationship Id="rId76" Type="http://schemas.openxmlformats.org/officeDocument/2006/relationships/queryTable" Target="../queryTables/queryTable332.xml"/><Relationship Id="rId97" Type="http://schemas.openxmlformats.org/officeDocument/2006/relationships/queryTable" Target="../queryTables/queryTable353.xml"/><Relationship Id="rId120" Type="http://schemas.openxmlformats.org/officeDocument/2006/relationships/queryTable" Target="../queryTables/queryTable376.xml"/><Relationship Id="rId141" Type="http://schemas.openxmlformats.org/officeDocument/2006/relationships/queryTable" Target="../queryTables/queryTable397.xml"/><Relationship Id="rId358" Type="http://schemas.openxmlformats.org/officeDocument/2006/relationships/queryTable" Target="../queryTables/queryTable614.xml"/><Relationship Id="rId7" Type="http://schemas.openxmlformats.org/officeDocument/2006/relationships/queryTable" Target="../queryTables/queryTable263.xml"/><Relationship Id="rId162" Type="http://schemas.openxmlformats.org/officeDocument/2006/relationships/queryTable" Target="../queryTables/queryTable418.xml"/><Relationship Id="rId183" Type="http://schemas.openxmlformats.org/officeDocument/2006/relationships/queryTable" Target="../queryTables/queryTable439.xml"/><Relationship Id="rId218" Type="http://schemas.openxmlformats.org/officeDocument/2006/relationships/queryTable" Target="../queryTables/queryTable474.xml"/><Relationship Id="rId239" Type="http://schemas.openxmlformats.org/officeDocument/2006/relationships/queryTable" Target="../queryTables/queryTable495.xml"/><Relationship Id="rId250" Type="http://schemas.openxmlformats.org/officeDocument/2006/relationships/queryTable" Target="../queryTables/queryTable506.xml"/><Relationship Id="rId271" Type="http://schemas.openxmlformats.org/officeDocument/2006/relationships/queryTable" Target="../queryTables/queryTable527.xml"/><Relationship Id="rId292" Type="http://schemas.openxmlformats.org/officeDocument/2006/relationships/queryTable" Target="../queryTables/queryTable548.xml"/><Relationship Id="rId306" Type="http://schemas.openxmlformats.org/officeDocument/2006/relationships/queryTable" Target="../queryTables/queryTable562.xml"/><Relationship Id="rId24" Type="http://schemas.openxmlformats.org/officeDocument/2006/relationships/queryTable" Target="../queryTables/queryTable280.xml"/><Relationship Id="rId45" Type="http://schemas.openxmlformats.org/officeDocument/2006/relationships/queryTable" Target="../queryTables/queryTable301.xml"/><Relationship Id="rId66" Type="http://schemas.openxmlformats.org/officeDocument/2006/relationships/queryTable" Target="../queryTables/queryTable322.xml"/><Relationship Id="rId87" Type="http://schemas.openxmlformats.org/officeDocument/2006/relationships/queryTable" Target="../queryTables/queryTable343.xml"/><Relationship Id="rId110" Type="http://schemas.openxmlformats.org/officeDocument/2006/relationships/queryTable" Target="../queryTables/queryTable366.xml"/><Relationship Id="rId131" Type="http://schemas.openxmlformats.org/officeDocument/2006/relationships/queryTable" Target="../queryTables/queryTable387.xml"/><Relationship Id="rId327" Type="http://schemas.openxmlformats.org/officeDocument/2006/relationships/queryTable" Target="../queryTables/queryTable583.xml"/><Relationship Id="rId348" Type="http://schemas.openxmlformats.org/officeDocument/2006/relationships/queryTable" Target="../queryTables/queryTable604.xml"/><Relationship Id="rId152" Type="http://schemas.openxmlformats.org/officeDocument/2006/relationships/queryTable" Target="../queryTables/queryTable408.xml"/><Relationship Id="rId173" Type="http://schemas.openxmlformats.org/officeDocument/2006/relationships/queryTable" Target="../queryTables/queryTable429.xml"/><Relationship Id="rId194" Type="http://schemas.openxmlformats.org/officeDocument/2006/relationships/queryTable" Target="../queryTables/queryTable450.xml"/><Relationship Id="rId208" Type="http://schemas.openxmlformats.org/officeDocument/2006/relationships/queryTable" Target="../queryTables/queryTable464.xml"/><Relationship Id="rId229" Type="http://schemas.openxmlformats.org/officeDocument/2006/relationships/queryTable" Target="../queryTables/queryTable485.xml"/><Relationship Id="rId240" Type="http://schemas.openxmlformats.org/officeDocument/2006/relationships/queryTable" Target="../queryTables/queryTable496.xml"/><Relationship Id="rId261" Type="http://schemas.openxmlformats.org/officeDocument/2006/relationships/queryTable" Target="../queryTables/queryTable517.xml"/><Relationship Id="rId14" Type="http://schemas.openxmlformats.org/officeDocument/2006/relationships/queryTable" Target="../queryTables/queryTable270.xml"/><Relationship Id="rId35" Type="http://schemas.openxmlformats.org/officeDocument/2006/relationships/queryTable" Target="../queryTables/queryTable291.xml"/><Relationship Id="rId56" Type="http://schemas.openxmlformats.org/officeDocument/2006/relationships/queryTable" Target="../queryTables/queryTable312.xml"/><Relationship Id="rId77" Type="http://schemas.openxmlformats.org/officeDocument/2006/relationships/queryTable" Target="../queryTables/queryTable333.xml"/><Relationship Id="rId100" Type="http://schemas.openxmlformats.org/officeDocument/2006/relationships/queryTable" Target="../queryTables/queryTable356.xml"/><Relationship Id="rId282" Type="http://schemas.openxmlformats.org/officeDocument/2006/relationships/queryTable" Target="../queryTables/queryTable538.xml"/><Relationship Id="rId317" Type="http://schemas.openxmlformats.org/officeDocument/2006/relationships/queryTable" Target="../queryTables/queryTable573.xml"/><Relationship Id="rId338" Type="http://schemas.openxmlformats.org/officeDocument/2006/relationships/queryTable" Target="../queryTables/queryTable594.xml"/><Relationship Id="rId359" Type="http://schemas.openxmlformats.org/officeDocument/2006/relationships/queryTable" Target="../queryTables/queryTable615.xml"/><Relationship Id="rId8" Type="http://schemas.openxmlformats.org/officeDocument/2006/relationships/queryTable" Target="../queryTables/queryTable264.xml"/><Relationship Id="rId98" Type="http://schemas.openxmlformats.org/officeDocument/2006/relationships/queryTable" Target="../queryTables/queryTable354.xml"/><Relationship Id="rId121" Type="http://schemas.openxmlformats.org/officeDocument/2006/relationships/queryTable" Target="../queryTables/queryTable377.xml"/><Relationship Id="rId142" Type="http://schemas.openxmlformats.org/officeDocument/2006/relationships/queryTable" Target="../queryTables/queryTable398.xml"/><Relationship Id="rId163" Type="http://schemas.openxmlformats.org/officeDocument/2006/relationships/queryTable" Target="../queryTables/queryTable419.xml"/><Relationship Id="rId184" Type="http://schemas.openxmlformats.org/officeDocument/2006/relationships/queryTable" Target="../queryTables/queryTable440.xml"/><Relationship Id="rId219" Type="http://schemas.openxmlformats.org/officeDocument/2006/relationships/queryTable" Target="../queryTables/queryTable475.xml"/><Relationship Id="rId230" Type="http://schemas.openxmlformats.org/officeDocument/2006/relationships/queryTable" Target="../queryTables/queryTable486.xml"/><Relationship Id="rId251" Type="http://schemas.openxmlformats.org/officeDocument/2006/relationships/queryTable" Target="../queryTables/queryTable507.xml"/><Relationship Id="rId25" Type="http://schemas.openxmlformats.org/officeDocument/2006/relationships/queryTable" Target="../queryTables/queryTable281.xml"/><Relationship Id="rId46" Type="http://schemas.openxmlformats.org/officeDocument/2006/relationships/queryTable" Target="../queryTables/queryTable302.xml"/><Relationship Id="rId67" Type="http://schemas.openxmlformats.org/officeDocument/2006/relationships/queryTable" Target="../queryTables/queryTable323.xml"/><Relationship Id="rId272" Type="http://schemas.openxmlformats.org/officeDocument/2006/relationships/queryTable" Target="../queryTables/queryTable528.xml"/><Relationship Id="rId293" Type="http://schemas.openxmlformats.org/officeDocument/2006/relationships/queryTable" Target="../queryTables/queryTable549.xml"/><Relationship Id="rId307" Type="http://schemas.openxmlformats.org/officeDocument/2006/relationships/queryTable" Target="../queryTables/queryTable563.xml"/><Relationship Id="rId328" Type="http://schemas.openxmlformats.org/officeDocument/2006/relationships/queryTable" Target="../queryTables/queryTable584.xml"/><Relationship Id="rId349" Type="http://schemas.openxmlformats.org/officeDocument/2006/relationships/queryTable" Target="../queryTables/queryTable605.xml"/><Relationship Id="rId88" Type="http://schemas.openxmlformats.org/officeDocument/2006/relationships/queryTable" Target="../queryTables/queryTable344.xml"/><Relationship Id="rId111" Type="http://schemas.openxmlformats.org/officeDocument/2006/relationships/queryTable" Target="../queryTables/queryTable367.xml"/><Relationship Id="rId132" Type="http://schemas.openxmlformats.org/officeDocument/2006/relationships/queryTable" Target="../queryTables/queryTable388.xml"/><Relationship Id="rId153" Type="http://schemas.openxmlformats.org/officeDocument/2006/relationships/queryTable" Target="../queryTables/queryTable409.xml"/><Relationship Id="rId174" Type="http://schemas.openxmlformats.org/officeDocument/2006/relationships/queryTable" Target="../queryTables/queryTable430.xml"/><Relationship Id="rId195" Type="http://schemas.openxmlformats.org/officeDocument/2006/relationships/queryTable" Target="../queryTables/queryTable451.xml"/><Relationship Id="rId209" Type="http://schemas.openxmlformats.org/officeDocument/2006/relationships/queryTable" Target="../queryTables/queryTable465.xml"/><Relationship Id="rId360" Type="http://schemas.openxmlformats.org/officeDocument/2006/relationships/queryTable" Target="../queryTables/queryTable616.xml"/><Relationship Id="rId220" Type="http://schemas.openxmlformats.org/officeDocument/2006/relationships/queryTable" Target="../queryTables/queryTable476.xml"/><Relationship Id="rId241" Type="http://schemas.openxmlformats.org/officeDocument/2006/relationships/queryTable" Target="../queryTables/queryTable497.xml"/><Relationship Id="rId15" Type="http://schemas.openxmlformats.org/officeDocument/2006/relationships/queryTable" Target="../queryTables/queryTable271.xml"/><Relationship Id="rId36" Type="http://schemas.openxmlformats.org/officeDocument/2006/relationships/queryTable" Target="../queryTables/queryTable292.xml"/><Relationship Id="rId57" Type="http://schemas.openxmlformats.org/officeDocument/2006/relationships/queryTable" Target="../queryTables/queryTable313.xml"/><Relationship Id="rId106" Type="http://schemas.openxmlformats.org/officeDocument/2006/relationships/queryTable" Target="../queryTables/queryTable362.xml"/><Relationship Id="rId127" Type="http://schemas.openxmlformats.org/officeDocument/2006/relationships/queryTable" Target="../queryTables/queryTable383.xml"/><Relationship Id="rId262" Type="http://schemas.openxmlformats.org/officeDocument/2006/relationships/queryTable" Target="../queryTables/queryTable518.xml"/><Relationship Id="rId283" Type="http://schemas.openxmlformats.org/officeDocument/2006/relationships/queryTable" Target="../queryTables/queryTable539.xml"/><Relationship Id="rId313" Type="http://schemas.openxmlformats.org/officeDocument/2006/relationships/queryTable" Target="../queryTables/queryTable569.xml"/><Relationship Id="rId318" Type="http://schemas.openxmlformats.org/officeDocument/2006/relationships/queryTable" Target="../queryTables/queryTable574.xml"/><Relationship Id="rId339" Type="http://schemas.openxmlformats.org/officeDocument/2006/relationships/queryTable" Target="../queryTables/queryTable595.xml"/><Relationship Id="rId10" Type="http://schemas.openxmlformats.org/officeDocument/2006/relationships/queryTable" Target="../queryTables/queryTable266.xml"/><Relationship Id="rId31" Type="http://schemas.openxmlformats.org/officeDocument/2006/relationships/queryTable" Target="../queryTables/queryTable287.xml"/><Relationship Id="rId52" Type="http://schemas.openxmlformats.org/officeDocument/2006/relationships/queryTable" Target="../queryTables/queryTable308.xml"/><Relationship Id="rId73" Type="http://schemas.openxmlformats.org/officeDocument/2006/relationships/queryTable" Target="../queryTables/queryTable329.xml"/><Relationship Id="rId78" Type="http://schemas.openxmlformats.org/officeDocument/2006/relationships/queryTable" Target="../queryTables/queryTable334.xml"/><Relationship Id="rId94" Type="http://schemas.openxmlformats.org/officeDocument/2006/relationships/queryTable" Target="../queryTables/queryTable350.xml"/><Relationship Id="rId99" Type="http://schemas.openxmlformats.org/officeDocument/2006/relationships/queryTable" Target="../queryTables/queryTable355.xml"/><Relationship Id="rId101" Type="http://schemas.openxmlformats.org/officeDocument/2006/relationships/queryTable" Target="../queryTables/queryTable357.xml"/><Relationship Id="rId122" Type="http://schemas.openxmlformats.org/officeDocument/2006/relationships/queryTable" Target="../queryTables/queryTable378.xml"/><Relationship Id="rId143" Type="http://schemas.openxmlformats.org/officeDocument/2006/relationships/queryTable" Target="../queryTables/queryTable399.xml"/><Relationship Id="rId148" Type="http://schemas.openxmlformats.org/officeDocument/2006/relationships/queryTable" Target="../queryTables/queryTable404.xml"/><Relationship Id="rId164" Type="http://schemas.openxmlformats.org/officeDocument/2006/relationships/queryTable" Target="../queryTables/queryTable420.xml"/><Relationship Id="rId169" Type="http://schemas.openxmlformats.org/officeDocument/2006/relationships/queryTable" Target="../queryTables/queryTable425.xml"/><Relationship Id="rId185" Type="http://schemas.openxmlformats.org/officeDocument/2006/relationships/queryTable" Target="../queryTables/queryTable441.xml"/><Relationship Id="rId334" Type="http://schemas.openxmlformats.org/officeDocument/2006/relationships/queryTable" Target="../queryTables/queryTable590.xml"/><Relationship Id="rId350" Type="http://schemas.openxmlformats.org/officeDocument/2006/relationships/queryTable" Target="../queryTables/queryTable606.xml"/><Relationship Id="rId355" Type="http://schemas.openxmlformats.org/officeDocument/2006/relationships/queryTable" Target="../queryTables/queryTable611.xml"/><Relationship Id="rId4" Type="http://schemas.openxmlformats.org/officeDocument/2006/relationships/queryTable" Target="../queryTables/queryTable260.xml"/><Relationship Id="rId9" Type="http://schemas.openxmlformats.org/officeDocument/2006/relationships/queryTable" Target="../queryTables/queryTable265.xml"/><Relationship Id="rId180" Type="http://schemas.openxmlformats.org/officeDocument/2006/relationships/queryTable" Target="../queryTables/queryTable436.xml"/><Relationship Id="rId210" Type="http://schemas.openxmlformats.org/officeDocument/2006/relationships/queryTable" Target="../queryTables/queryTable466.xml"/><Relationship Id="rId215" Type="http://schemas.openxmlformats.org/officeDocument/2006/relationships/queryTable" Target="../queryTables/queryTable471.xml"/><Relationship Id="rId236" Type="http://schemas.openxmlformats.org/officeDocument/2006/relationships/queryTable" Target="../queryTables/queryTable492.xml"/><Relationship Id="rId257" Type="http://schemas.openxmlformats.org/officeDocument/2006/relationships/queryTable" Target="../queryTables/queryTable513.xml"/><Relationship Id="rId278" Type="http://schemas.openxmlformats.org/officeDocument/2006/relationships/queryTable" Target="../queryTables/queryTable534.xml"/><Relationship Id="rId26" Type="http://schemas.openxmlformats.org/officeDocument/2006/relationships/queryTable" Target="../queryTables/queryTable282.xml"/><Relationship Id="rId231" Type="http://schemas.openxmlformats.org/officeDocument/2006/relationships/queryTable" Target="../queryTables/queryTable487.xml"/><Relationship Id="rId252" Type="http://schemas.openxmlformats.org/officeDocument/2006/relationships/queryTable" Target="../queryTables/queryTable508.xml"/><Relationship Id="rId273" Type="http://schemas.openxmlformats.org/officeDocument/2006/relationships/queryTable" Target="../queryTables/queryTable529.xml"/><Relationship Id="rId294" Type="http://schemas.openxmlformats.org/officeDocument/2006/relationships/queryTable" Target="../queryTables/queryTable550.xml"/><Relationship Id="rId308" Type="http://schemas.openxmlformats.org/officeDocument/2006/relationships/queryTable" Target="../queryTables/queryTable564.xml"/><Relationship Id="rId329" Type="http://schemas.openxmlformats.org/officeDocument/2006/relationships/queryTable" Target="../queryTables/queryTable585.xml"/><Relationship Id="rId47" Type="http://schemas.openxmlformats.org/officeDocument/2006/relationships/queryTable" Target="../queryTables/queryTable303.xml"/><Relationship Id="rId68" Type="http://schemas.openxmlformats.org/officeDocument/2006/relationships/queryTable" Target="../queryTables/queryTable324.xml"/><Relationship Id="rId89" Type="http://schemas.openxmlformats.org/officeDocument/2006/relationships/queryTable" Target="../queryTables/queryTable345.xml"/><Relationship Id="rId112" Type="http://schemas.openxmlformats.org/officeDocument/2006/relationships/queryTable" Target="../queryTables/queryTable368.xml"/><Relationship Id="rId133" Type="http://schemas.openxmlformats.org/officeDocument/2006/relationships/queryTable" Target="../queryTables/queryTable389.xml"/><Relationship Id="rId154" Type="http://schemas.openxmlformats.org/officeDocument/2006/relationships/queryTable" Target="../queryTables/queryTable410.xml"/><Relationship Id="rId175" Type="http://schemas.openxmlformats.org/officeDocument/2006/relationships/queryTable" Target="../queryTables/queryTable431.xml"/><Relationship Id="rId340" Type="http://schemas.openxmlformats.org/officeDocument/2006/relationships/queryTable" Target="../queryTables/queryTable596.xml"/><Relationship Id="rId361" Type="http://schemas.openxmlformats.org/officeDocument/2006/relationships/queryTable" Target="../queryTables/queryTable617.xml"/><Relationship Id="rId196" Type="http://schemas.openxmlformats.org/officeDocument/2006/relationships/queryTable" Target="../queryTables/queryTable452.xml"/><Relationship Id="rId200" Type="http://schemas.openxmlformats.org/officeDocument/2006/relationships/queryTable" Target="../queryTables/queryTable456.xml"/><Relationship Id="rId16" Type="http://schemas.openxmlformats.org/officeDocument/2006/relationships/queryTable" Target="../queryTables/queryTable272.xml"/><Relationship Id="rId221" Type="http://schemas.openxmlformats.org/officeDocument/2006/relationships/queryTable" Target="../queryTables/queryTable477.xml"/><Relationship Id="rId242" Type="http://schemas.openxmlformats.org/officeDocument/2006/relationships/queryTable" Target="../queryTables/queryTable498.xml"/><Relationship Id="rId263" Type="http://schemas.openxmlformats.org/officeDocument/2006/relationships/queryTable" Target="../queryTables/queryTable519.xml"/><Relationship Id="rId284" Type="http://schemas.openxmlformats.org/officeDocument/2006/relationships/queryTable" Target="../queryTables/queryTable540.xml"/><Relationship Id="rId319" Type="http://schemas.openxmlformats.org/officeDocument/2006/relationships/queryTable" Target="../queryTables/queryTable575.xml"/><Relationship Id="rId37" Type="http://schemas.openxmlformats.org/officeDocument/2006/relationships/queryTable" Target="../queryTables/queryTable293.xml"/><Relationship Id="rId58" Type="http://schemas.openxmlformats.org/officeDocument/2006/relationships/queryTable" Target="../queryTables/queryTable314.xml"/><Relationship Id="rId79" Type="http://schemas.openxmlformats.org/officeDocument/2006/relationships/queryTable" Target="../queryTables/queryTable335.xml"/><Relationship Id="rId102" Type="http://schemas.openxmlformats.org/officeDocument/2006/relationships/queryTable" Target="../queryTables/queryTable358.xml"/><Relationship Id="rId123" Type="http://schemas.openxmlformats.org/officeDocument/2006/relationships/queryTable" Target="../queryTables/queryTable379.xml"/><Relationship Id="rId144" Type="http://schemas.openxmlformats.org/officeDocument/2006/relationships/queryTable" Target="../queryTables/queryTable400.xml"/><Relationship Id="rId330" Type="http://schemas.openxmlformats.org/officeDocument/2006/relationships/queryTable" Target="../queryTables/queryTable586.xml"/><Relationship Id="rId90" Type="http://schemas.openxmlformats.org/officeDocument/2006/relationships/queryTable" Target="../queryTables/queryTable346.xml"/><Relationship Id="rId165" Type="http://schemas.openxmlformats.org/officeDocument/2006/relationships/queryTable" Target="../queryTables/queryTable421.xml"/><Relationship Id="rId186" Type="http://schemas.openxmlformats.org/officeDocument/2006/relationships/queryTable" Target="../queryTables/queryTable442.xml"/><Relationship Id="rId351" Type="http://schemas.openxmlformats.org/officeDocument/2006/relationships/queryTable" Target="../queryTables/queryTable607.xml"/><Relationship Id="rId211" Type="http://schemas.openxmlformats.org/officeDocument/2006/relationships/queryTable" Target="../queryTables/queryTable467.xml"/><Relationship Id="rId232" Type="http://schemas.openxmlformats.org/officeDocument/2006/relationships/queryTable" Target="../queryTables/queryTable488.xml"/><Relationship Id="rId253" Type="http://schemas.openxmlformats.org/officeDocument/2006/relationships/queryTable" Target="../queryTables/queryTable509.xml"/><Relationship Id="rId274" Type="http://schemas.openxmlformats.org/officeDocument/2006/relationships/queryTable" Target="../queryTables/queryTable530.xml"/><Relationship Id="rId295" Type="http://schemas.openxmlformats.org/officeDocument/2006/relationships/queryTable" Target="../queryTables/queryTable551.xml"/><Relationship Id="rId309" Type="http://schemas.openxmlformats.org/officeDocument/2006/relationships/queryTable" Target="../queryTables/queryTable565.xml"/><Relationship Id="rId27" Type="http://schemas.openxmlformats.org/officeDocument/2006/relationships/queryTable" Target="../queryTables/queryTable283.xml"/><Relationship Id="rId48" Type="http://schemas.openxmlformats.org/officeDocument/2006/relationships/queryTable" Target="../queryTables/queryTable304.xml"/><Relationship Id="rId69" Type="http://schemas.openxmlformats.org/officeDocument/2006/relationships/queryTable" Target="../queryTables/queryTable325.xml"/><Relationship Id="rId113" Type="http://schemas.openxmlformats.org/officeDocument/2006/relationships/queryTable" Target="../queryTables/queryTable369.xml"/><Relationship Id="rId134" Type="http://schemas.openxmlformats.org/officeDocument/2006/relationships/queryTable" Target="../queryTables/queryTable390.xml"/><Relationship Id="rId320" Type="http://schemas.openxmlformats.org/officeDocument/2006/relationships/queryTable" Target="../queryTables/queryTable576.xml"/><Relationship Id="rId80" Type="http://schemas.openxmlformats.org/officeDocument/2006/relationships/queryTable" Target="../queryTables/queryTable336.xml"/><Relationship Id="rId155" Type="http://schemas.openxmlformats.org/officeDocument/2006/relationships/queryTable" Target="../queryTables/queryTable411.xml"/><Relationship Id="rId176" Type="http://schemas.openxmlformats.org/officeDocument/2006/relationships/queryTable" Target="../queryTables/queryTable432.xml"/><Relationship Id="rId197" Type="http://schemas.openxmlformats.org/officeDocument/2006/relationships/queryTable" Target="../queryTables/queryTable453.xml"/><Relationship Id="rId341" Type="http://schemas.openxmlformats.org/officeDocument/2006/relationships/queryTable" Target="../queryTables/queryTable597.xml"/><Relationship Id="rId362" Type="http://schemas.openxmlformats.org/officeDocument/2006/relationships/queryTable" Target="../queryTables/queryTable618.xml"/><Relationship Id="rId201" Type="http://schemas.openxmlformats.org/officeDocument/2006/relationships/queryTable" Target="../queryTables/queryTable457.xml"/><Relationship Id="rId222" Type="http://schemas.openxmlformats.org/officeDocument/2006/relationships/queryTable" Target="../queryTables/queryTable478.xml"/><Relationship Id="rId243" Type="http://schemas.openxmlformats.org/officeDocument/2006/relationships/queryTable" Target="../queryTables/queryTable499.xml"/><Relationship Id="rId264" Type="http://schemas.openxmlformats.org/officeDocument/2006/relationships/queryTable" Target="../queryTables/queryTable520.xml"/><Relationship Id="rId285" Type="http://schemas.openxmlformats.org/officeDocument/2006/relationships/queryTable" Target="../queryTables/queryTable541.xml"/><Relationship Id="rId17" Type="http://schemas.openxmlformats.org/officeDocument/2006/relationships/queryTable" Target="../queryTables/queryTable273.xml"/><Relationship Id="rId38" Type="http://schemas.openxmlformats.org/officeDocument/2006/relationships/queryTable" Target="../queryTables/queryTable294.xml"/><Relationship Id="rId59" Type="http://schemas.openxmlformats.org/officeDocument/2006/relationships/queryTable" Target="../queryTables/queryTable315.xml"/><Relationship Id="rId103" Type="http://schemas.openxmlformats.org/officeDocument/2006/relationships/queryTable" Target="../queryTables/queryTable359.xml"/><Relationship Id="rId124" Type="http://schemas.openxmlformats.org/officeDocument/2006/relationships/queryTable" Target="../queryTables/queryTable380.xml"/><Relationship Id="rId310" Type="http://schemas.openxmlformats.org/officeDocument/2006/relationships/queryTable" Target="../queryTables/queryTable566.xml"/><Relationship Id="rId70" Type="http://schemas.openxmlformats.org/officeDocument/2006/relationships/queryTable" Target="../queryTables/queryTable326.xml"/><Relationship Id="rId91" Type="http://schemas.openxmlformats.org/officeDocument/2006/relationships/queryTable" Target="../queryTables/queryTable347.xml"/><Relationship Id="rId145" Type="http://schemas.openxmlformats.org/officeDocument/2006/relationships/queryTable" Target="../queryTables/queryTable401.xml"/><Relationship Id="rId166" Type="http://schemas.openxmlformats.org/officeDocument/2006/relationships/queryTable" Target="../queryTables/queryTable422.xml"/><Relationship Id="rId187" Type="http://schemas.openxmlformats.org/officeDocument/2006/relationships/queryTable" Target="../queryTables/queryTable443.xml"/><Relationship Id="rId331" Type="http://schemas.openxmlformats.org/officeDocument/2006/relationships/queryTable" Target="../queryTables/queryTable587.xml"/><Relationship Id="rId352" Type="http://schemas.openxmlformats.org/officeDocument/2006/relationships/queryTable" Target="../queryTables/queryTable608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8.xml"/><Relationship Id="rId233" Type="http://schemas.openxmlformats.org/officeDocument/2006/relationships/queryTable" Target="../queryTables/queryTable489.xml"/><Relationship Id="rId254" Type="http://schemas.openxmlformats.org/officeDocument/2006/relationships/queryTable" Target="../queryTables/queryTable510.xml"/><Relationship Id="rId28" Type="http://schemas.openxmlformats.org/officeDocument/2006/relationships/queryTable" Target="../queryTables/queryTable284.xml"/><Relationship Id="rId49" Type="http://schemas.openxmlformats.org/officeDocument/2006/relationships/queryTable" Target="../queryTables/queryTable305.xml"/><Relationship Id="rId114" Type="http://schemas.openxmlformats.org/officeDocument/2006/relationships/queryTable" Target="../queryTables/queryTable370.xml"/><Relationship Id="rId275" Type="http://schemas.openxmlformats.org/officeDocument/2006/relationships/queryTable" Target="../queryTables/queryTable531.xml"/><Relationship Id="rId296" Type="http://schemas.openxmlformats.org/officeDocument/2006/relationships/queryTable" Target="../queryTables/queryTable552.xml"/><Relationship Id="rId300" Type="http://schemas.openxmlformats.org/officeDocument/2006/relationships/queryTable" Target="../queryTables/queryTable556.xml"/><Relationship Id="rId60" Type="http://schemas.openxmlformats.org/officeDocument/2006/relationships/queryTable" Target="../queryTables/queryTable316.xml"/><Relationship Id="rId81" Type="http://schemas.openxmlformats.org/officeDocument/2006/relationships/queryTable" Target="../queryTables/queryTable337.xml"/><Relationship Id="rId135" Type="http://schemas.openxmlformats.org/officeDocument/2006/relationships/queryTable" Target="../queryTables/queryTable391.xml"/><Relationship Id="rId156" Type="http://schemas.openxmlformats.org/officeDocument/2006/relationships/queryTable" Target="../queryTables/queryTable412.xml"/><Relationship Id="rId177" Type="http://schemas.openxmlformats.org/officeDocument/2006/relationships/queryTable" Target="../queryTables/queryTable433.xml"/><Relationship Id="rId198" Type="http://schemas.openxmlformats.org/officeDocument/2006/relationships/queryTable" Target="../queryTables/queryTable454.xml"/><Relationship Id="rId321" Type="http://schemas.openxmlformats.org/officeDocument/2006/relationships/queryTable" Target="../queryTables/queryTable577.xml"/><Relationship Id="rId342" Type="http://schemas.openxmlformats.org/officeDocument/2006/relationships/queryTable" Target="../queryTables/queryTable598.xml"/><Relationship Id="rId363" Type="http://schemas.openxmlformats.org/officeDocument/2006/relationships/queryTable" Target="../queryTables/queryTable619.xml"/><Relationship Id="rId202" Type="http://schemas.openxmlformats.org/officeDocument/2006/relationships/queryTable" Target="../queryTables/queryTable458.xml"/><Relationship Id="rId223" Type="http://schemas.openxmlformats.org/officeDocument/2006/relationships/queryTable" Target="../queryTables/queryTable479.xml"/><Relationship Id="rId244" Type="http://schemas.openxmlformats.org/officeDocument/2006/relationships/queryTable" Target="../queryTables/queryTable500.xml"/><Relationship Id="rId18" Type="http://schemas.openxmlformats.org/officeDocument/2006/relationships/queryTable" Target="../queryTables/queryTable274.xml"/><Relationship Id="rId39" Type="http://schemas.openxmlformats.org/officeDocument/2006/relationships/queryTable" Target="../queryTables/queryTable295.xml"/><Relationship Id="rId265" Type="http://schemas.openxmlformats.org/officeDocument/2006/relationships/queryTable" Target="../queryTables/queryTable521.xml"/><Relationship Id="rId286" Type="http://schemas.openxmlformats.org/officeDocument/2006/relationships/queryTable" Target="../queryTables/queryTable542.xml"/><Relationship Id="rId50" Type="http://schemas.openxmlformats.org/officeDocument/2006/relationships/queryTable" Target="../queryTables/queryTable306.xml"/><Relationship Id="rId104" Type="http://schemas.openxmlformats.org/officeDocument/2006/relationships/queryTable" Target="../queryTables/queryTable360.xml"/><Relationship Id="rId125" Type="http://schemas.openxmlformats.org/officeDocument/2006/relationships/queryTable" Target="../queryTables/queryTable381.xml"/><Relationship Id="rId146" Type="http://schemas.openxmlformats.org/officeDocument/2006/relationships/queryTable" Target="../queryTables/queryTable402.xml"/><Relationship Id="rId167" Type="http://schemas.openxmlformats.org/officeDocument/2006/relationships/queryTable" Target="../queryTables/queryTable423.xml"/><Relationship Id="rId188" Type="http://schemas.openxmlformats.org/officeDocument/2006/relationships/queryTable" Target="../queryTables/queryTable444.xml"/><Relationship Id="rId311" Type="http://schemas.openxmlformats.org/officeDocument/2006/relationships/queryTable" Target="../queryTables/queryTable567.xml"/><Relationship Id="rId332" Type="http://schemas.openxmlformats.org/officeDocument/2006/relationships/queryTable" Target="../queryTables/queryTable588.xml"/><Relationship Id="rId353" Type="http://schemas.openxmlformats.org/officeDocument/2006/relationships/queryTable" Target="../queryTables/queryTable609.xml"/><Relationship Id="rId71" Type="http://schemas.openxmlformats.org/officeDocument/2006/relationships/queryTable" Target="../queryTables/queryTable327.xml"/><Relationship Id="rId92" Type="http://schemas.openxmlformats.org/officeDocument/2006/relationships/queryTable" Target="../queryTables/queryTable348.xml"/><Relationship Id="rId213" Type="http://schemas.openxmlformats.org/officeDocument/2006/relationships/queryTable" Target="../queryTables/queryTable469.xml"/><Relationship Id="rId234" Type="http://schemas.openxmlformats.org/officeDocument/2006/relationships/queryTable" Target="../queryTables/queryTable490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5.xml"/><Relationship Id="rId255" Type="http://schemas.openxmlformats.org/officeDocument/2006/relationships/queryTable" Target="../queryTables/queryTable511.xml"/><Relationship Id="rId276" Type="http://schemas.openxmlformats.org/officeDocument/2006/relationships/queryTable" Target="../queryTables/queryTable532.xml"/><Relationship Id="rId297" Type="http://schemas.openxmlformats.org/officeDocument/2006/relationships/queryTable" Target="../queryTables/queryTable553.xml"/><Relationship Id="rId40" Type="http://schemas.openxmlformats.org/officeDocument/2006/relationships/queryTable" Target="../queryTables/queryTable296.xml"/><Relationship Id="rId115" Type="http://schemas.openxmlformats.org/officeDocument/2006/relationships/queryTable" Target="../queryTables/queryTable371.xml"/><Relationship Id="rId136" Type="http://schemas.openxmlformats.org/officeDocument/2006/relationships/queryTable" Target="../queryTables/queryTable392.xml"/><Relationship Id="rId157" Type="http://schemas.openxmlformats.org/officeDocument/2006/relationships/queryTable" Target="../queryTables/queryTable413.xml"/><Relationship Id="rId178" Type="http://schemas.openxmlformats.org/officeDocument/2006/relationships/queryTable" Target="../queryTables/queryTable434.xml"/><Relationship Id="rId301" Type="http://schemas.openxmlformats.org/officeDocument/2006/relationships/queryTable" Target="../queryTables/queryTable557.xml"/><Relationship Id="rId322" Type="http://schemas.openxmlformats.org/officeDocument/2006/relationships/queryTable" Target="../queryTables/queryTable578.xml"/><Relationship Id="rId343" Type="http://schemas.openxmlformats.org/officeDocument/2006/relationships/queryTable" Target="../queryTables/queryTable599.xml"/><Relationship Id="rId364" Type="http://schemas.openxmlformats.org/officeDocument/2006/relationships/queryTable" Target="../queryTables/queryTable620.xml"/><Relationship Id="rId61" Type="http://schemas.openxmlformats.org/officeDocument/2006/relationships/queryTable" Target="../queryTables/queryTable317.xml"/><Relationship Id="rId82" Type="http://schemas.openxmlformats.org/officeDocument/2006/relationships/queryTable" Target="../queryTables/queryTable338.xml"/><Relationship Id="rId199" Type="http://schemas.openxmlformats.org/officeDocument/2006/relationships/queryTable" Target="../queryTables/queryTable455.xml"/><Relationship Id="rId203" Type="http://schemas.openxmlformats.org/officeDocument/2006/relationships/queryTable" Target="../queryTables/queryTable459.xml"/><Relationship Id="rId19" Type="http://schemas.openxmlformats.org/officeDocument/2006/relationships/queryTable" Target="../queryTables/queryTable275.xml"/><Relationship Id="rId224" Type="http://schemas.openxmlformats.org/officeDocument/2006/relationships/queryTable" Target="../queryTables/queryTable480.xml"/><Relationship Id="rId245" Type="http://schemas.openxmlformats.org/officeDocument/2006/relationships/queryTable" Target="../queryTables/queryTable501.xml"/><Relationship Id="rId266" Type="http://schemas.openxmlformats.org/officeDocument/2006/relationships/queryTable" Target="../queryTables/queryTable522.xml"/><Relationship Id="rId287" Type="http://schemas.openxmlformats.org/officeDocument/2006/relationships/queryTable" Target="../queryTables/queryTable543.xml"/><Relationship Id="rId30" Type="http://schemas.openxmlformats.org/officeDocument/2006/relationships/queryTable" Target="../queryTables/queryTable286.xml"/><Relationship Id="rId105" Type="http://schemas.openxmlformats.org/officeDocument/2006/relationships/queryTable" Target="../queryTables/queryTable361.xml"/><Relationship Id="rId126" Type="http://schemas.openxmlformats.org/officeDocument/2006/relationships/queryTable" Target="../queryTables/queryTable382.xml"/><Relationship Id="rId147" Type="http://schemas.openxmlformats.org/officeDocument/2006/relationships/queryTable" Target="../queryTables/queryTable403.xml"/><Relationship Id="rId168" Type="http://schemas.openxmlformats.org/officeDocument/2006/relationships/queryTable" Target="../queryTables/queryTable424.xml"/><Relationship Id="rId312" Type="http://schemas.openxmlformats.org/officeDocument/2006/relationships/queryTable" Target="../queryTables/queryTable568.xml"/><Relationship Id="rId333" Type="http://schemas.openxmlformats.org/officeDocument/2006/relationships/queryTable" Target="../queryTables/queryTable589.xml"/><Relationship Id="rId354" Type="http://schemas.openxmlformats.org/officeDocument/2006/relationships/queryTable" Target="../queryTables/queryTable610.xml"/><Relationship Id="rId51" Type="http://schemas.openxmlformats.org/officeDocument/2006/relationships/queryTable" Target="../queryTables/queryTable307.xml"/><Relationship Id="rId72" Type="http://schemas.openxmlformats.org/officeDocument/2006/relationships/queryTable" Target="../queryTables/queryTable328.xml"/><Relationship Id="rId93" Type="http://schemas.openxmlformats.org/officeDocument/2006/relationships/queryTable" Target="../queryTables/queryTable349.xml"/><Relationship Id="rId189" Type="http://schemas.openxmlformats.org/officeDocument/2006/relationships/queryTable" Target="../queryTables/queryTable445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70.xml"/><Relationship Id="rId235" Type="http://schemas.openxmlformats.org/officeDocument/2006/relationships/queryTable" Target="../queryTables/queryTable491.xml"/><Relationship Id="rId256" Type="http://schemas.openxmlformats.org/officeDocument/2006/relationships/queryTable" Target="../queryTables/queryTable512.xml"/><Relationship Id="rId277" Type="http://schemas.openxmlformats.org/officeDocument/2006/relationships/queryTable" Target="../queryTables/queryTable533.xml"/><Relationship Id="rId298" Type="http://schemas.openxmlformats.org/officeDocument/2006/relationships/queryTable" Target="../queryTables/queryTable554.xml"/><Relationship Id="rId116" Type="http://schemas.openxmlformats.org/officeDocument/2006/relationships/queryTable" Target="../queryTables/queryTable372.xml"/><Relationship Id="rId137" Type="http://schemas.openxmlformats.org/officeDocument/2006/relationships/queryTable" Target="../queryTables/queryTable393.xml"/><Relationship Id="rId158" Type="http://schemas.openxmlformats.org/officeDocument/2006/relationships/queryTable" Target="../queryTables/queryTable414.xml"/><Relationship Id="rId302" Type="http://schemas.openxmlformats.org/officeDocument/2006/relationships/queryTable" Target="../queryTables/queryTable558.xml"/><Relationship Id="rId323" Type="http://schemas.openxmlformats.org/officeDocument/2006/relationships/queryTable" Target="../queryTables/queryTable579.xml"/><Relationship Id="rId344" Type="http://schemas.openxmlformats.org/officeDocument/2006/relationships/queryTable" Target="../queryTables/queryTable600.xml"/><Relationship Id="rId20" Type="http://schemas.openxmlformats.org/officeDocument/2006/relationships/queryTable" Target="../queryTables/queryTable276.xml"/><Relationship Id="rId41" Type="http://schemas.openxmlformats.org/officeDocument/2006/relationships/queryTable" Target="../queryTables/queryTable297.xml"/><Relationship Id="rId62" Type="http://schemas.openxmlformats.org/officeDocument/2006/relationships/queryTable" Target="../queryTables/queryTable318.xml"/><Relationship Id="rId83" Type="http://schemas.openxmlformats.org/officeDocument/2006/relationships/queryTable" Target="../queryTables/queryTable339.xml"/><Relationship Id="rId179" Type="http://schemas.openxmlformats.org/officeDocument/2006/relationships/queryTable" Target="../queryTables/queryTable435.xml"/><Relationship Id="rId365" Type="http://schemas.openxmlformats.org/officeDocument/2006/relationships/queryTable" Target="../queryTables/queryTable621.xml"/><Relationship Id="rId190" Type="http://schemas.openxmlformats.org/officeDocument/2006/relationships/queryTable" Target="../queryTables/queryTable446.xml"/><Relationship Id="rId204" Type="http://schemas.openxmlformats.org/officeDocument/2006/relationships/queryTable" Target="../queryTables/queryTable460.xml"/><Relationship Id="rId225" Type="http://schemas.openxmlformats.org/officeDocument/2006/relationships/queryTable" Target="../queryTables/queryTable481.xml"/><Relationship Id="rId246" Type="http://schemas.openxmlformats.org/officeDocument/2006/relationships/queryTable" Target="../queryTables/queryTable502.xml"/><Relationship Id="rId267" Type="http://schemas.openxmlformats.org/officeDocument/2006/relationships/queryTable" Target="../queryTables/queryTable523.xml"/><Relationship Id="rId288" Type="http://schemas.openxmlformats.org/officeDocument/2006/relationships/queryTable" Target="../queryTables/queryTable54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36.xml"/><Relationship Id="rId299" Type="http://schemas.openxmlformats.org/officeDocument/2006/relationships/queryTable" Target="../queryTables/queryTable918.xml"/><Relationship Id="rId21" Type="http://schemas.openxmlformats.org/officeDocument/2006/relationships/queryTable" Target="../queryTables/queryTable640.xml"/><Relationship Id="rId63" Type="http://schemas.openxmlformats.org/officeDocument/2006/relationships/queryTable" Target="../queryTables/queryTable682.xml"/><Relationship Id="rId159" Type="http://schemas.openxmlformats.org/officeDocument/2006/relationships/queryTable" Target="../queryTables/queryTable778.xml"/><Relationship Id="rId324" Type="http://schemas.openxmlformats.org/officeDocument/2006/relationships/queryTable" Target="../queryTables/queryTable943.xml"/><Relationship Id="rId366" Type="http://schemas.openxmlformats.org/officeDocument/2006/relationships/queryTable" Target="../queryTables/queryTable985.xml"/><Relationship Id="rId170" Type="http://schemas.openxmlformats.org/officeDocument/2006/relationships/queryTable" Target="../queryTables/queryTable789.xml"/><Relationship Id="rId226" Type="http://schemas.openxmlformats.org/officeDocument/2006/relationships/queryTable" Target="../queryTables/queryTable845.xml"/><Relationship Id="rId433" Type="http://schemas.openxmlformats.org/officeDocument/2006/relationships/queryTable" Target="../queryTables/queryTable1052.xml"/><Relationship Id="rId268" Type="http://schemas.openxmlformats.org/officeDocument/2006/relationships/queryTable" Target="../queryTables/queryTable887.xml"/><Relationship Id="rId32" Type="http://schemas.openxmlformats.org/officeDocument/2006/relationships/queryTable" Target="../queryTables/queryTable651.xml"/><Relationship Id="rId74" Type="http://schemas.openxmlformats.org/officeDocument/2006/relationships/queryTable" Target="../queryTables/queryTable693.xml"/><Relationship Id="rId128" Type="http://schemas.openxmlformats.org/officeDocument/2006/relationships/queryTable" Target="../queryTables/queryTable747.xml"/><Relationship Id="rId335" Type="http://schemas.openxmlformats.org/officeDocument/2006/relationships/queryTable" Target="../queryTables/queryTable954.xml"/><Relationship Id="rId377" Type="http://schemas.openxmlformats.org/officeDocument/2006/relationships/queryTable" Target="../queryTables/queryTable996.xml"/><Relationship Id="rId5" Type="http://schemas.openxmlformats.org/officeDocument/2006/relationships/queryTable" Target="../queryTables/queryTable624.xml"/><Relationship Id="rId181" Type="http://schemas.openxmlformats.org/officeDocument/2006/relationships/queryTable" Target="../queryTables/queryTable800.xml"/><Relationship Id="rId237" Type="http://schemas.openxmlformats.org/officeDocument/2006/relationships/queryTable" Target="../queryTables/queryTable856.xml"/><Relationship Id="rId402" Type="http://schemas.openxmlformats.org/officeDocument/2006/relationships/queryTable" Target="../queryTables/queryTable1021.xml"/><Relationship Id="rId279" Type="http://schemas.openxmlformats.org/officeDocument/2006/relationships/queryTable" Target="../queryTables/queryTable898.xml"/><Relationship Id="rId444" Type="http://schemas.openxmlformats.org/officeDocument/2006/relationships/queryTable" Target="../queryTables/queryTable1063.xml"/><Relationship Id="rId43" Type="http://schemas.openxmlformats.org/officeDocument/2006/relationships/queryTable" Target="../queryTables/queryTable662.xml"/><Relationship Id="rId139" Type="http://schemas.openxmlformats.org/officeDocument/2006/relationships/queryTable" Target="../queryTables/queryTable758.xml"/><Relationship Id="rId290" Type="http://schemas.openxmlformats.org/officeDocument/2006/relationships/queryTable" Target="../queryTables/queryTable909.xml"/><Relationship Id="rId304" Type="http://schemas.openxmlformats.org/officeDocument/2006/relationships/queryTable" Target="../queryTables/queryTable923.xml"/><Relationship Id="rId346" Type="http://schemas.openxmlformats.org/officeDocument/2006/relationships/queryTable" Target="../queryTables/queryTable965.xml"/><Relationship Id="rId388" Type="http://schemas.openxmlformats.org/officeDocument/2006/relationships/queryTable" Target="../queryTables/queryTable1007.xml"/><Relationship Id="rId85" Type="http://schemas.openxmlformats.org/officeDocument/2006/relationships/queryTable" Target="../queryTables/queryTable704.xml"/><Relationship Id="rId150" Type="http://schemas.openxmlformats.org/officeDocument/2006/relationships/queryTable" Target="../queryTables/queryTable769.xml"/><Relationship Id="rId192" Type="http://schemas.openxmlformats.org/officeDocument/2006/relationships/queryTable" Target="../queryTables/queryTable811.xml"/><Relationship Id="rId206" Type="http://schemas.openxmlformats.org/officeDocument/2006/relationships/queryTable" Target="../queryTables/queryTable825.xml"/><Relationship Id="rId413" Type="http://schemas.openxmlformats.org/officeDocument/2006/relationships/queryTable" Target="../queryTables/queryTable1032.xml"/><Relationship Id="rId248" Type="http://schemas.openxmlformats.org/officeDocument/2006/relationships/queryTable" Target="../queryTables/queryTable867.xml"/><Relationship Id="rId12" Type="http://schemas.openxmlformats.org/officeDocument/2006/relationships/queryTable" Target="../queryTables/queryTable631.xml"/><Relationship Id="rId108" Type="http://schemas.openxmlformats.org/officeDocument/2006/relationships/queryTable" Target="../queryTables/queryTable727.xml"/><Relationship Id="rId315" Type="http://schemas.openxmlformats.org/officeDocument/2006/relationships/queryTable" Target="../queryTables/queryTable934.xml"/><Relationship Id="rId357" Type="http://schemas.openxmlformats.org/officeDocument/2006/relationships/queryTable" Target="../queryTables/queryTable976.xml"/><Relationship Id="rId54" Type="http://schemas.openxmlformats.org/officeDocument/2006/relationships/queryTable" Target="../queryTables/queryTable673.xml"/><Relationship Id="rId96" Type="http://schemas.openxmlformats.org/officeDocument/2006/relationships/queryTable" Target="../queryTables/queryTable715.xml"/><Relationship Id="rId161" Type="http://schemas.openxmlformats.org/officeDocument/2006/relationships/queryTable" Target="../queryTables/queryTable780.xml"/><Relationship Id="rId217" Type="http://schemas.openxmlformats.org/officeDocument/2006/relationships/queryTable" Target="../queryTables/queryTable836.xml"/><Relationship Id="rId399" Type="http://schemas.openxmlformats.org/officeDocument/2006/relationships/queryTable" Target="../queryTables/queryTable1018.xml"/><Relationship Id="rId6" Type="http://schemas.openxmlformats.org/officeDocument/2006/relationships/queryTable" Target="../queryTables/queryTable625.xml"/><Relationship Id="rId238" Type="http://schemas.openxmlformats.org/officeDocument/2006/relationships/queryTable" Target="../queryTables/queryTable857.xml"/><Relationship Id="rId259" Type="http://schemas.openxmlformats.org/officeDocument/2006/relationships/queryTable" Target="../queryTables/queryTable878.xml"/><Relationship Id="rId424" Type="http://schemas.openxmlformats.org/officeDocument/2006/relationships/queryTable" Target="../queryTables/queryTable1043.xml"/><Relationship Id="rId445" Type="http://schemas.openxmlformats.org/officeDocument/2006/relationships/queryTable" Target="../queryTables/queryTable1064.xml"/><Relationship Id="rId23" Type="http://schemas.openxmlformats.org/officeDocument/2006/relationships/queryTable" Target="../queryTables/queryTable642.xml"/><Relationship Id="rId119" Type="http://schemas.openxmlformats.org/officeDocument/2006/relationships/queryTable" Target="../queryTables/queryTable738.xml"/><Relationship Id="rId270" Type="http://schemas.openxmlformats.org/officeDocument/2006/relationships/queryTable" Target="../queryTables/queryTable889.xml"/><Relationship Id="rId291" Type="http://schemas.openxmlformats.org/officeDocument/2006/relationships/queryTable" Target="../queryTables/queryTable910.xml"/><Relationship Id="rId305" Type="http://schemas.openxmlformats.org/officeDocument/2006/relationships/queryTable" Target="../queryTables/queryTable924.xml"/><Relationship Id="rId326" Type="http://schemas.openxmlformats.org/officeDocument/2006/relationships/queryTable" Target="../queryTables/queryTable945.xml"/><Relationship Id="rId347" Type="http://schemas.openxmlformats.org/officeDocument/2006/relationships/queryTable" Target="../queryTables/queryTable966.xml"/><Relationship Id="rId44" Type="http://schemas.openxmlformats.org/officeDocument/2006/relationships/queryTable" Target="../queryTables/queryTable663.xml"/><Relationship Id="rId65" Type="http://schemas.openxmlformats.org/officeDocument/2006/relationships/queryTable" Target="../queryTables/queryTable684.xml"/><Relationship Id="rId86" Type="http://schemas.openxmlformats.org/officeDocument/2006/relationships/queryTable" Target="../queryTables/queryTable705.xml"/><Relationship Id="rId130" Type="http://schemas.openxmlformats.org/officeDocument/2006/relationships/queryTable" Target="../queryTables/queryTable749.xml"/><Relationship Id="rId151" Type="http://schemas.openxmlformats.org/officeDocument/2006/relationships/queryTable" Target="../queryTables/queryTable770.xml"/><Relationship Id="rId368" Type="http://schemas.openxmlformats.org/officeDocument/2006/relationships/queryTable" Target="../queryTables/queryTable987.xml"/><Relationship Id="rId389" Type="http://schemas.openxmlformats.org/officeDocument/2006/relationships/queryTable" Target="../queryTables/queryTable1008.xml"/><Relationship Id="rId172" Type="http://schemas.openxmlformats.org/officeDocument/2006/relationships/queryTable" Target="../queryTables/queryTable791.xml"/><Relationship Id="rId193" Type="http://schemas.openxmlformats.org/officeDocument/2006/relationships/queryTable" Target="../queryTables/queryTable812.xml"/><Relationship Id="rId207" Type="http://schemas.openxmlformats.org/officeDocument/2006/relationships/queryTable" Target="../queryTables/queryTable826.xml"/><Relationship Id="rId228" Type="http://schemas.openxmlformats.org/officeDocument/2006/relationships/queryTable" Target="../queryTables/queryTable847.xml"/><Relationship Id="rId249" Type="http://schemas.openxmlformats.org/officeDocument/2006/relationships/queryTable" Target="../queryTables/queryTable868.xml"/><Relationship Id="rId414" Type="http://schemas.openxmlformats.org/officeDocument/2006/relationships/queryTable" Target="../queryTables/queryTable1033.xml"/><Relationship Id="rId435" Type="http://schemas.openxmlformats.org/officeDocument/2006/relationships/queryTable" Target="../queryTables/queryTable1054.xml"/><Relationship Id="rId13" Type="http://schemas.openxmlformats.org/officeDocument/2006/relationships/queryTable" Target="../queryTables/queryTable632.xml"/><Relationship Id="rId109" Type="http://schemas.openxmlformats.org/officeDocument/2006/relationships/queryTable" Target="../queryTables/queryTable728.xml"/><Relationship Id="rId260" Type="http://schemas.openxmlformats.org/officeDocument/2006/relationships/queryTable" Target="../queryTables/queryTable879.xml"/><Relationship Id="rId281" Type="http://schemas.openxmlformats.org/officeDocument/2006/relationships/queryTable" Target="../queryTables/queryTable900.xml"/><Relationship Id="rId316" Type="http://schemas.openxmlformats.org/officeDocument/2006/relationships/queryTable" Target="../queryTables/queryTable935.xml"/><Relationship Id="rId337" Type="http://schemas.openxmlformats.org/officeDocument/2006/relationships/queryTable" Target="../queryTables/queryTable956.xml"/><Relationship Id="rId34" Type="http://schemas.openxmlformats.org/officeDocument/2006/relationships/queryTable" Target="../queryTables/queryTable653.xml"/><Relationship Id="rId55" Type="http://schemas.openxmlformats.org/officeDocument/2006/relationships/queryTable" Target="../queryTables/queryTable674.xml"/><Relationship Id="rId76" Type="http://schemas.openxmlformats.org/officeDocument/2006/relationships/queryTable" Target="../queryTables/queryTable695.xml"/><Relationship Id="rId97" Type="http://schemas.openxmlformats.org/officeDocument/2006/relationships/queryTable" Target="../queryTables/queryTable716.xml"/><Relationship Id="rId120" Type="http://schemas.openxmlformats.org/officeDocument/2006/relationships/queryTable" Target="../queryTables/queryTable739.xml"/><Relationship Id="rId141" Type="http://schemas.openxmlformats.org/officeDocument/2006/relationships/queryTable" Target="../queryTables/queryTable760.xml"/><Relationship Id="rId358" Type="http://schemas.openxmlformats.org/officeDocument/2006/relationships/queryTable" Target="../queryTables/queryTable977.xml"/><Relationship Id="rId379" Type="http://schemas.openxmlformats.org/officeDocument/2006/relationships/queryTable" Target="../queryTables/queryTable998.xml"/><Relationship Id="rId7" Type="http://schemas.openxmlformats.org/officeDocument/2006/relationships/queryTable" Target="../queryTables/queryTable626.xml"/><Relationship Id="rId162" Type="http://schemas.openxmlformats.org/officeDocument/2006/relationships/queryTable" Target="../queryTables/queryTable781.xml"/><Relationship Id="rId183" Type="http://schemas.openxmlformats.org/officeDocument/2006/relationships/queryTable" Target="../queryTables/queryTable802.xml"/><Relationship Id="rId218" Type="http://schemas.openxmlformats.org/officeDocument/2006/relationships/queryTable" Target="../queryTables/queryTable837.xml"/><Relationship Id="rId239" Type="http://schemas.openxmlformats.org/officeDocument/2006/relationships/queryTable" Target="../queryTables/queryTable858.xml"/><Relationship Id="rId390" Type="http://schemas.openxmlformats.org/officeDocument/2006/relationships/queryTable" Target="../queryTables/queryTable1009.xml"/><Relationship Id="rId404" Type="http://schemas.openxmlformats.org/officeDocument/2006/relationships/queryTable" Target="../queryTables/queryTable1023.xml"/><Relationship Id="rId425" Type="http://schemas.openxmlformats.org/officeDocument/2006/relationships/queryTable" Target="../queryTables/queryTable1044.xml"/><Relationship Id="rId446" Type="http://schemas.openxmlformats.org/officeDocument/2006/relationships/queryTable" Target="../queryTables/queryTable1065.xml"/><Relationship Id="rId250" Type="http://schemas.openxmlformats.org/officeDocument/2006/relationships/queryTable" Target="../queryTables/queryTable869.xml"/><Relationship Id="rId271" Type="http://schemas.openxmlformats.org/officeDocument/2006/relationships/queryTable" Target="../queryTables/queryTable890.xml"/><Relationship Id="rId292" Type="http://schemas.openxmlformats.org/officeDocument/2006/relationships/queryTable" Target="../queryTables/queryTable911.xml"/><Relationship Id="rId306" Type="http://schemas.openxmlformats.org/officeDocument/2006/relationships/queryTable" Target="../queryTables/queryTable925.xml"/><Relationship Id="rId24" Type="http://schemas.openxmlformats.org/officeDocument/2006/relationships/queryTable" Target="../queryTables/queryTable643.xml"/><Relationship Id="rId45" Type="http://schemas.openxmlformats.org/officeDocument/2006/relationships/queryTable" Target="../queryTables/queryTable664.xml"/><Relationship Id="rId66" Type="http://schemas.openxmlformats.org/officeDocument/2006/relationships/queryTable" Target="../queryTables/queryTable685.xml"/><Relationship Id="rId87" Type="http://schemas.openxmlformats.org/officeDocument/2006/relationships/queryTable" Target="../queryTables/queryTable706.xml"/><Relationship Id="rId110" Type="http://schemas.openxmlformats.org/officeDocument/2006/relationships/queryTable" Target="../queryTables/queryTable729.xml"/><Relationship Id="rId131" Type="http://schemas.openxmlformats.org/officeDocument/2006/relationships/queryTable" Target="../queryTables/queryTable750.xml"/><Relationship Id="rId327" Type="http://schemas.openxmlformats.org/officeDocument/2006/relationships/queryTable" Target="../queryTables/queryTable946.xml"/><Relationship Id="rId348" Type="http://schemas.openxmlformats.org/officeDocument/2006/relationships/queryTable" Target="../queryTables/queryTable967.xml"/><Relationship Id="rId369" Type="http://schemas.openxmlformats.org/officeDocument/2006/relationships/queryTable" Target="../queryTables/queryTable988.xml"/><Relationship Id="rId152" Type="http://schemas.openxmlformats.org/officeDocument/2006/relationships/queryTable" Target="../queryTables/queryTable771.xml"/><Relationship Id="rId173" Type="http://schemas.openxmlformats.org/officeDocument/2006/relationships/queryTable" Target="../queryTables/queryTable792.xml"/><Relationship Id="rId194" Type="http://schemas.openxmlformats.org/officeDocument/2006/relationships/queryTable" Target="../queryTables/queryTable813.xml"/><Relationship Id="rId208" Type="http://schemas.openxmlformats.org/officeDocument/2006/relationships/queryTable" Target="../queryTables/queryTable827.xml"/><Relationship Id="rId229" Type="http://schemas.openxmlformats.org/officeDocument/2006/relationships/queryTable" Target="../queryTables/queryTable848.xml"/><Relationship Id="rId380" Type="http://schemas.openxmlformats.org/officeDocument/2006/relationships/queryTable" Target="../queryTables/queryTable999.xml"/><Relationship Id="rId415" Type="http://schemas.openxmlformats.org/officeDocument/2006/relationships/queryTable" Target="../queryTables/queryTable1034.xml"/><Relationship Id="rId436" Type="http://schemas.openxmlformats.org/officeDocument/2006/relationships/queryTable" Target="../queryTables/queryTable1055.xml"/><Relationship Id="rId240" Type="http://schemas.openxmlformats.org/officeDocument/2006/relationships/queryTable" Target="../queryTables/queryTable859.xml"/><Relationship Id="rId261" Type="http://schemas.openxmlformats.org/officeDocument/2006/relationships/queryTable" Target="../queryTables/queryTable880.xml"/><Relationship Id="rId14" Type="http://schemas.openxmlformats.org/officeDocument/2006/relationships/queryTable" Target="../queryTables/queryTable633.xml"/><Relationship Id="rId35" Type="http://schemas.openxmlformats.org/officeDocument/2006/relationships/queryTable" Target="../queryTables/queryTable654.xml"/><Relationship Id="rId56" Type="http://schemas.openxmlformats.org/officeDocument/2006/relationships/queryTable" Target="../queryTables/queryTable675.xml"/><Relationship Id="rId77" Type="http://schemas.openxmlformats.org/officeDocument/2006/relationships/queryTable" Target="../queryTables/queryTable696.xml"/><Relationship Id="rId100" Type="http://schemas.openxmlformats.org/officeDocument/2006/relationships/queryTable" Target="../queryTables/queryTable719.xml"/><Relationship Id="rId282" Type="http://schemas.openxmlformats.org/officeDocument/2006/relationships/queryTable" Target="../queryTables/queryTable901.xml"/><Relationship Id="rId317" Type="http://schemas.openxmlformats.org/officeDocument/2006/relationships/queryTable" Target="../queryTables/queryTable936.xml"/><Relationship Id="rId338" Type="http://schemas.openxmlformats.org/officeDocument/2006/relationships/queryTable" Target="../queryTables/queryTable957.xml"/><Relationship Id="rId359" Type="http://schemas.openxmlformats.org/officeDocument/2006/relationships/queryTable" Target="../queryTables/queryTable978.xml"/><Relationship Id="rId8" Type="http://schemas.openxmlformats.org/officeDocument/2006/relationships/queryTable" Target="../queryTables/queryTable627.xml"/><Relationship Id="rId98" Type="http://schemas.openxmlformats.org/officeDocument/2006/relationships/queryTable" Target="../queryTables/queryTable717.xml"/><Relationship Id="rId121" Type="http://schemas.openxmlformats.org/officeDocument/2006/relationships/queryTable" Target="../queryTables/queryTable740.xml"/><Relationship Id="rId142" Type="http://schemas.openxmlformats.org/officeDocument/2006/relationships/queryTable" Target="../queryTables/queryTable761.xml"/><Relationship Id="rId163" Type="http://schemas.openxmlformats.org/officeDocument/2006/relationships/queryTable" Target="../queryTables/queryTable782.xml"/><Relationship Id="rId184" Type="http://schemas.openxmlformats.org/officeDocument/2006/relationships/queryTable" Target="../queryTables/queryTable803.xml"/><Relationship Id="rId219" Type="http://schemas.openxmlformats.org/officeDocument/2006/relationships/queryTable" Target="../queryTables/queryTable838.xml"/><Relationship Id="rId370" Type="http://schemas.openxmlformats.org/officeDocument/2006/relationships/queryTable" Target="../queryTables/queryTable989.xml"/><Relationship Id="rId391" Type="http://schemas.openxmlformats.org/officeDocument/2006/relationships/queryTable" Target="../queryTables/queryTable1010.xml"/><Relationship Id="rId405" Type="http://schemas.openxmlformats.org/officeDocument/2006/relationships/queryTable" Target="../queryTables/queryTable1024.xml"/><Relationship Id="rId426" Type="http://schemas.openxmlformats.org/officeDocument/2006/relationships/queryTable" Target="../queryTables/queryTable1045.xml"/><Relationship Id="rId447" Type="http://schemas.openxmlformats.org/officeDocument/2006/relationships/queryTable" Target="../queryTables/queryTable1066.xml"/><Relationship Id="rId230" Type="http://schemas.openxmlformats.org/officeDocument/2006/relationships/queryTable" Target="../queryTables/queryTable849.xml"/><Relationship Id="rId251" Type="http://schemas.openxmlformats.org/officeDocument/2006/relationships/queryTable" Target="../queryTables/queryTable870.xml"/><Relationship Id="rId25" Type="http://schemas.openxmlformats.org/officeDocument/2006/relationships/queryTable" Target="../queryTables/queryTable644.xml"/><Relationship Id="rId46" Type="http://schemas.openxmlformats.org/officeDocument/2006/relationships/queryTable" Target="../queryTables/queryTable665.xml"/><Relationship Id="rId67" Type="http://schemas.openxmlformats.org/officeDocument/2006/relationships/queryTable" Target="../queryTables/queryTable686.xml"/><Relationship Id="rId272" Type="http://schemas.openxmlformats.org/officeDocument/2006/relationships/queryTable" Target="../queryTables/queryTable891.xml"/><Relationship Id="rId293" Type="http://schemas.openxmlformats.org/officeDocument/2006/relationships/queryTable" Target="../queryTables/queryTable912.xml"/><Relationship Id="rId307" Type="http://schemas.openxmlformats.org/officeDocument/2006/relationships/queryTable" Target="../queryTables/queryTable926.xml"/><Relationship Id="rId328" Type="http://schemas.openxmlformats.org/officeDocument/2006/relationships/queryTable" Target="../queryTables/queryTable947.xml"/><Relationship Id="rId349" Type="http://schemas.openxmlformats.org/officeDocument/2006/relationships/queryTable" Target="../queryTables/queryTable968.xml"/><Relationship Id="rId88" Type="http://schemas.openxmlformats.org/officeDocument/2006/relationships/queryTable" Target="../queryTables/queryTable707.xml"/><Relationship Id="rId111" Type="http://schemas.openxmlformats.org/officeDocument/2006/relationships/queryTable" Target="../queryTables/queryTable730.xml"/><Relationship Id="rId132" Type="http://schemas.openxmlformats.org/officeDocument/2006/relationships/queryTable" Target="../queryTables/queryTable751.xml"/><Relationship Id="rId153" Type="http://schemas.openxmlformats.org/officeDocument/2006/relationships/queryTable" Target="../queryTables/queryTable772.xml"/><Relationship Id="rId174" Type="http://schemas.openxmlformats.org/officeDocument/2006/relationships/queryTable" Target="../queryTables/queryTable793.xml"/><Relationship Id="rId195" Type="http://schemas.openxmlformats.org/officeDocument/2006/relationships/queryTable" Target="../queryTables/queryTable814.xml"/><Relationship Id="rId209" Type="http://schemas.openxmlformats.org/officeDocument/2006/relationships/queryTable" Target="../queryTables/queryTable828.xml"/><Relationship Id="rId360" Type="http://schemas.openxmlformats.org/officeDocument/2006/relationships/queryTable" Target="../queryTables/queryTable979.xml"/><Relationship Id="rId381" Type="http://schemas.openxmlformats.org/officeDocument/2006/relationships/queryTable" Target="../queryTables/queryTable1000.xml"/><Relationship Id="rId416" Type="http://schemas.openxmlformats.org/officeDocument/2006/relationships/queryTable" Target="../queryTables/queryTable1035.xml"/><Relationship Id="rId220" Type="http://schemas.openxmlformats.org/officeDocument/2006/relationships/queryTable" Target="../queryTables/queryTable839.xml"/><Relationship Id="rId241" Type="http://schemas.openxmlformats.org/officeDocument/2006/relationships/queryTable" Target="../queryTables/queryTable860.xml"/><Relationship Id="rId437" Type="http://schemas.openxmlformats.org/officeDocument/2006/relationships/queryTable" Target="../queryTables/queryTable1056.xml"/><Relationship Id="rId15" Type="http://schemas.openxmlformats.org/officeDocument/2006/relationships/queryTable" Target="../queryTables/queryTable634.xml"/><Relationship Id="rId36" Type="http://schemas.openxmlformats.org/officeDocument/2006/relationships/queryTable" Target="../queryTables/queryTable655.xml"/><Relationship Id="rId57" Type="http://schemas.openxmlformats.org/officeDocument/2006/relationships/queryTable" Target="../queryTables/queryTable676.xml"/><Relationship Id="rId262" Type="http://schemas.openxmlformats.org/officeDocument/2006/relationships/queryTable" Target="../queryTables/queryTable881.xml"/><Relationship Id="rId283" Type="http://schemas.openxmlformats.org/officeDocument/2006/relationships/queryTable" Target="../queryTables/queryTable902.xml"/><Relationship Id="rId318" Type="http://schemas.openxmlformats.org/officeDocument/2006/relationships/queryTable" Target="../queryTables/queryTable937.xml"/><Relationship Id="rId339" Type="http://schemas.openxmlformats.org/officeDocument/2006/relationships/queryTable" Target="../queryTables/queryTable958.xml"/><Relationship Id="rId78" Type="http://schemas.openxmlformats.org/officeDocument/2006/relationships/queryTable" Target="../queryTables/queryTable697.xml"/><Relationship Id="rId99" Type="http://schemas.openxmlformats.org/officeDocument/2006/relationships/queryTable" Target="../queryTables/queryTable718.xml"/><Relationship Id="rId101" Type="http://schemas.openxmlformats.org/officeDocument/2006/relationships/queryTable" Target="../queryTables/queryTable720.xml"/><Relationship Id="rId122" Type="http://schemas.openxmlformats.org/officeDocument/2006/relationships/queryTable" Target="../queryTables/queryTable741.xml"/><Relationship Id="rId143" Type="http://schemas.openxmlformats.org/officeDocument/2006/relationships/queryTable" Target="../queryTables/queryTable762.xml"/><Relationship Id="rId164" Type="http://schemas.openxmlformats.org/officeDocument/2006/relationships/queryTable" Target="../queryTables/queryTable783.xml"/><Relationship Id="rId185" Type="http://schemas.openxmlformats.org/officeDocument/2006/relationships/queryTable" Target="../queryTables/queryTable804.xml"/><Relationship Id="rId350" Type="http://schemas.openxmlformats.org/officeDocument/2006/relationships/queryTable" Target="../queryTables/queryTable969.xml"/><Relationship Id="rId371" Type="http://schemas.openxmlformats.org/officeDocument/2006/relationships/queryTable" Target="../queryTables/queryTable990.xml"/><Relationship Id="rId406" Type="http://schemas.openxmlformats.org/officeDocument/2006/relationships/queryTable" Target="../queryTables/queryTable1025.xml"/><Relationship Id="rId9" Type="http://schemas.openxmlformats.org/officeDocument/2006/relationships/queryTable" Target="../queryTables/queryTable628.xml"/><Relationship Id="rId210" Type="http://schemas.openxmlformats.org/officeDocument/2006/relationships/queryTable" Target="../queryTables/queryTable829.xml"/><Relationship Id="rId392" Type="http://schemas.openxmlformats.org/officeDocument/2006/relationships/queryTable" Target="../queryTables/queryTable1011.xml"/><Relationship Id="rId427" Type="http://schemas.openxmlformats.org/officeDocument/2006/relationships/queryTable" Target="../queryTables/queryTable1046.xml"/><Relationship Id="rId448" Type="http://schemas.openxmlformats.org/officeDocument/2006/relationships/queryTable" Target="../queryTables/queryTable1067.xml"/><Relationship Id="rId26" Type="http://schemas.openxmlformats.org/officeDocument/2006/relationships/queryTable" Target="../queryTables/queryTable645.xml"/><Relationship Id="rId231" Type="http://schemas.openxmlformats.org/officeDocument/2006/relationships/queryTable" Target="../queryTables/queryTable850.xml"/><Relationship Id="rId252" Type="http://schemas.openxmlformats.org/officeDocument/2006/relationships/queryTable" Target="../queryTables/queryTable871.xml"/><Relationship Id="rId273" Type="http://schemas.openxmlformats.org/officeDocument/2006/relationships/queryTable" Target="../queryTables/queryTable892.xml"/><Relationship Id="rId294" Type="http://schemas.openxmlformats.org/officeDocument/2006/relationships/queryTable" Target="../queryTables/queryTable913.xml"/><Relationship Id="rId308" Type="http://schemas.openxmlformats.org/officeDocument/2006/relationships/queryTable" Target="../queryTables/queryTable927.xml"/><Relationship Id="rId329" Type="http://schemas.openxmlformats.org/officeDocument/2006/relationships/queryTable" Target="../queryTables/queryTable948.xml"/><Relationship Id="rId47" Type="http://schemas.openxmlformats.org/officeDocument/2006/relationships/queryTable" Target="../queryTables/queryTable666.xml"/><Relationship Id="rId68" Type="http://schemas.openxmlformats.org/officeDocument/2006/relationships/queryTable" Target="../queryTables/queryTable687.xml"/><Relationship Id="rId89" Type="http://schemas.openxmlformats.org/officeDocument/2006/relationships/queryTable" Target="../queryTables/queryTable708.xml"/><Relationship Id="rId112" Type="http://schemas.openxmlformats.org/officeDocument/2006/relationships/queryTable" Target="../queryTables/queryTable731.xml"/><Relationship Id="rId133" Type="http://schemas.openxmlformats.org/officeDocument/2006/relationships/queryTable" Target="../queryTables/queryTable752.xml"/><Relationship Id="rId154" Type="http://schemas.openxmlformats.org/officeDocument/2006/relationships/queryTable" Target="../queryTables/queryTable773.xml"/><Relationship Id="rId175" Type="http://schemas.openxmlformats.org/officeDocument/2006/relationships/queryTable" Target="../queryTables/queryTable794.xml"/><Relationship Id="rId340" Type="http://schemas.openxmlformats.org/officeDocument/2006/relationships/queryTable" Target="../queryTables/queryTable959.xml"/><Relationship Id="rId361" Type="http://schemas.openxmlformats.org/officeDocument/2006/relationships/queryTable" Target="../queryTables/queryTable980.xml"/><Relationship Id="rId196" Type="http://schemas.openxmlformats.org/officeDocument/2006/relationships/queryTable" Target="../queryTables/queryTable815.xml"/><Relationship Id="rId200" Type="http://schemas.openxmlformats.org/officeDocument/2006/relationships/queryTable" Target="../queryTables/queryTable819.xml"/><Relationship Id="rId382" Type="http://schemas.openxmlformats.org/officeDocument/2006/relationships/queryTable" Target="../queryTables/queryTable1001.xml"/><Relationship Id="rId417" Type="http://schemas.openxmlformats.org/officeDocument/2006/relationships/queryTable" Target="../queryTables/queryTable1036.xml"/><Relationship Id="rId438" Type="http://schemas.openxmlformats.org/officeDocument/2006/relationships/queryTable" Target="../queryTables/queryTable1057.xml"/><Relationship Id="rId16" Type="http://schemas.openxmlformats.org/officeDocument/2006/relationships/queryTable" Target="../queryTables/queryTable635.xml"/><Relationship Id="rId221" Type="http://schemas.openxmlformats.org/officeDocument/2006/relationships/queryTable" Target="../queryTables/queryTable840.xml"/><Relationship Id="rId242" Type="http://schemas.openxmlformats.org/officeDocument/2006/relationships/queryTable" Target="../queryTables/queryTable861.xml"/><Relationship Id="rId263" Type="http://schemas.openxmlformats.org/officeDocument/2006/relationships/queryTable" Target="../queryTables/queryTable882.xml"/><Relationship Id="rId284" Type="http://schemas.openxmlformats.org/officeDocument/2006/relationships/queryTable" Target="../queryTables/queryTable903.xml"/><Relationship Id="rId319" Type="http://schemas.openxmlformats.org/officeDocument/2006/relationships/queryTable" Target="../queryTables/queryTable938.xml"/><Relationship Id="rId37" Type="http://schemas.openxmlformats.org/officeDocument/2006/relationships/queryTable" Target="../queryTables/queryTable656.xml"/><Relationship Id="rId58" Type="http://schemas.openxmlformats.org/officeDocument/2006/relationships/queryTable" Target="../queryTables/queryTable677.xml"/><Relationship Id="rId79" Type="http://schemas.openxmlformats.org/officeDocument/2006/relationships/queryTable" Target="../queryTables/queryTable698.xml"/><Relationship Id="rId102" Type="http://schemas.openxmlformats.org/officeDocument/2006/relationships/queryTable" Target="../queryTables/queryTable721.xml"/><Relationship Id="rId123" Type="http://schemas.openxmlformats.org/officeDocument/2006/relationships/queryTable" Target="../queryTables/queryTable742.xml"/><Relationship Id="rId144" Type="http://schemas.openxmlformats.org/officeDocument/2006/relationships/queryTable" Target="../queryTables/queryTable763.xml"/><Relationship Id="rId330" Type="http://schemas.openxmlformats.org/officeDocument/2006/relationships/queryTable" Target="../queryTables/queryTable949.xml"/><Relationship Id="rId90" Type="http://schemas.openxmlformats.org/officeDocument/2006/relationships/queryTable" Target="../queryTables/queryTable709.xml"/><Relationship Id="rId165" Type="http://schemas.openxmlformats.org/officeDocument/2006/relationships/queryTable" Target="../queryTables/queryTable784.xml"/><Relationship Id="rId186" Type="http://schemas.openxmlformats.org/officeDocument/2006/relationships/queryTable" Target="../queryTables/queryTable805.xml"/><Relationship Id="rId351" Type="http://schemas.openxmlformats.org/officeDocument/2006/relationships/queryTable" Target="../queryTables/queryTable970.xml"/><Relationship Id="rId372" Type="http://schemas.openxmlformats.org/officeDocument/2006/relationships/queryTable" Target="../queryTables/queryTable991.xml"/><Relationship Id="rId393" Type="http://schemas.openxmlformats.org/officeDocument/2006/relationships/queryTable" Target="../queryTables/queryTable1012.xml"/><Relationship Id="rId407" Type="http://schemas.openxmlformats.org/officeDocument/2006/relationships/queryTable" Target="../queryTables/queryTable1026.xml"/><Relationship Id="rId428" Type="http://schemas.openxmlformats.org/officeDocument/2006/relationships/queryTable" Target="../queryTables/queryTable1047.xml"/><Relationship Id="rId449" Type="http://schemas.openxmlformats.org/officeDocument/2006/relationships/queryTable" Target="../queryTables/queryTable1068.xml"/><Relationship Id="rId211" Type="http://schemas.openxmlformats.org/officeDocument/2006/relationships/queryTable" Target="../queryTables/queryTable830.xml"/><Relationship Id="rId232" Type="http://schemas.openxmlformats.org/officeDocument/2006/relationships/queryTable" Target="../queryTables/queryTable851.xml"/><Relationship Id="rId253" Type="http://schemas.openxmlformats.org/officeDocument/2006/relationships/queryTable" Target="../queryTables/queryTable872.xml"/><Relationship Id="rId274" Type="http://schemas.openxmlformats.org/officeDocument/2006/relationships/queryTable" Target="../queryTables/queryTable893.xml"/><Relationship Id="rId295" Type="http://schemas.openxmlformats.org/officeDocument/2006/relationships/queryTable" Target="../queryTables/queryTable914.xml"/><Relationship Id="rId309" Type="http://schemas.openxmlformats.org/officeDocument/2006/relationships/queryTable" Target="../queryTables/queryTable928.xml"/><Relationship Id="rId27" Type="http://schemas.openxmlformats.org/officeDocument/2006/relationships/queryTable" Target="../queryTables/queryTable646.xml"/><Relationship Id="rId48" Type="http://schemas.openxmlformats.org/officeDocument/2006/relationships/queryTable" Target="../queryTables/queryTable667.xml"/><Relationship Id="rId69" Type="http://schemas.openxmlformats.org/officeDocument/2006/relationships/queryTable" Target="../queryTables/queryTable688.xml"/><Relationship Id="rId113" Type="http://schemas.openxmlformats.org/officeDocument/2006/relationships/queryTable" Target="../queryTables/queryTable732.xml"/><Relationship Id="rId134" Type="http://schemas.openxmlformats.org/officeDocument/2006/relationships/queryTable" Target="../queryTables/queryTable753.xml"/><Relationship Id="rId320" Type="http://schemas.openxmlformats.org/officeDocument/2006/relationships/queryTable" Target="../queryTables/queryTable939.xml"/><Relationship Id="rId80" Type="http://schemas.openxmlformats.org/officeDocument/2006/relationships/queryTable" Target="../queryTables/queryTable699.xml"/><Relationship Id="rId155" Type="http://schemas.openxmlformats.org/officeDocument/2006/relationships/queryTable" Target="../queryTables/queryTable774.xml"/><Relationship Id="rId176" Type="http://schemas.openxmlformats.org/officeDocument/2006/relationships/queryTable" Target="../queryTables/queryTable795.xml"/><Relationship Id="rId197" Type="http://schemas.openxmlformats.org/officeDocument/2006/relationships/queryTable" Target="../queryTables/queryTable816.xml"/><Relationship Id="rId341" Type="http://schemas.openxmlformats.org/officeDocument/2006/relationships/queryTable" Target="../queryTables/queryTable960.xml"/><Relationship Id="rId362" Type="http://schemas.openxmlformats.org/officeDocument/2006/relationships/queryTable" Target="../queryTables/queryTable981.xml"/><Relationship Id="rId383" Type="http://schemas.openxmlformats.org/officeDocument/2006/relationships/queryTable" Target="../queryTables/queryTable1002.xml"/><Relationship Id="rId418" Type="http://schemas.openxmlformats.org/officeDocument/2006/relationships/queryTable" Target="../queryTables/queryTable1037.xml"/><Relationship Id="rId439" Type="http://schemas.openxmlformats.org/officeDocument/2006/relationships/queryTable" Target="../queryTables/queryTable1058.xml"/><Relationship Id="rId201" Type="http://schemas.openxmlformats.org/officeDocument/2006/relationships/queryTable" Target="../queryTables/queryTable820.xml"/><Relationship Id="rId222" Type="http://schemas.openxmlformats.org/officeDocument/2006/relationships/queryTable" Target="../queryTables/queryTable841.xml"/><Relationship Id="rId243" Type="http://schemas.openxmlformats.org/officeDocument/2006/relationships/queryTable" Target="../queryTables/queryTable862.xml"/><Relationship Id="rId264" Type="http://schemas.openxmlformats.org/officeDocument/2006/relationships/queryTable" Target="../queryTables/queryTable883.xml"/><Relationship Id="rId285" Type="http://schemas.openxmlformats.org/officeDocument/2006/relationships/queryTable" Target="../queryTables/queryTable904.xml"/><Relationship Id="rId450" Type="http://schemas.openxmlformats.org/officeDocument/2006/relationships/queryTable" Target="../queryTables/queryTable1069.xml"/><Relationship Id="rId17" Type="http://schemas.openxmlformats.org/officeDocument/2006/relationships/queryTable" Target="../queryTables/queryTable636.xml"/><Relationship Id="rId38" Type="http://schemas.openxmlformats.org/officeDocument/2006/relationships/queryTable" Target="../queryTables/queryTable657.xml"/><Relationship Id="rId59" Type="http://schemas.openxmlformats.org/officeDocument/2006/relationships/queryTable" Target="../queryTables/queryTable678.xml"/><Relationship Id="rId103" Type="http://schemas.openxmlformats.org/officeDocument/2006/relationships/queryTable" Target="../queryTables/queryTable722.xml"/><Relationship Id="rId124" Type="http://schemas.openxmlformats.org/officeDocument/2006/relationships/queryTable" Target="../queryTables/queryTable743.xml"/><Relationship Id="rId310" Type="http://schemas.openxmlformats.org/officeDocument/2006/relationships/queryTable" Target="../queryTables/queryTable929.xml"/><Relationship Id="rId70" Type="http://schemas.openxmlformats.org/officeDocument/2006/relationships/queryTable" Target="../queryTables/queryTable689.xml"/><Relationship Id="rId91" Type="http://schemas.openxmlformats.org/officeDocument/2006/relationships/queryTable" Target="../queryTables/queryTable710.xml"/><Relationship Id="rId145" Type="http://schemas.openxmlformats.org/officeDocument/2006/relationships/queryTable" Target="../queryTables/queryTable764.xml"/><Relationship Id="rId166" Type="http://schemas.openxmlformats.org/officeDocument/2006/relationships/queryTable" Target="../queryTables/queryTable785.xml"/><Relationship Id="rId187" Type="http://schemas.openxmlformats.org/officeDocument/2006/relationships/queryTable" Target="../queryTables/queryTable806.xml"/><Relationship Id="rId331" Type="http://schemas.openxmlformats.org/officeDocument/2006/relationships/queryTable" Target="../queryTables/queryTable950.xml"/><Relationship Id="rId352" Type="http://schemas.openxmlformats.org/officeDocument/2006/relationships/queryTable" Target="../queryTables/queryTable971.xml"/><Relationship Id="rId373" Type="http://schemas.openxmlformats.org/officeDocument/2006/relationships/queryTable" Target="../queryTables/queryTable992.xml"/><Relationship Id="rId394" Type="http://schemas.openxmlformats.org/officeDocument/2006/relationships/queryTable" Target="../queryTables/queryTable1013.xml"/><Relationship Id="rId408" Type="http://schemas.openxmlformats.org/officeDocument/2006/relationships/queryTable" Target="../queryTables/queryTable1027.xml"/><Relationship Id="rId429" Type="http://schemas.openxmlformats.org/officeDocument/2006/relationships/queryTable" Target="../queryTables/queryTable1048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31.xml"/><Relationship Id="rId233" Type="http://schemas.openxmlformats.org/officeDocument/2006/relationships/queryTable" Target="../queryTables/queryTable852.xml"/><Relationship Id="rId254" Type="http://schemas.openxmlformats.org/officeDocument/2006/relationships/queryTable" Target="../queryTables/queryTable873.xml"/><Relationship Id="rId440" Type="http://schemas.openxmlformats.org/officeDocument/2006/relationships/queryTable" Target="../queryTables/queryTable1059.xml"/><Relationship Id="rId28" Type="http://schemas.openxmlformats.org/officeDocument/2006/relationships/queryTable" Target="../queryTables/queryTable647.xml"/><Relationship Id="rId49" Type="http://schemas.openxmlformats.org/officeDocument/2006/relationships/queryTable" Target="../queryTables/queryTable668.xml"/><Relationship Id="rId114" Type="http://schemas.openxmlformats.org/officeDocument/2006/relationships/queryTable" Target="../queryTables/queryTable733.xml"/><Relationship Id="rId275" Type="http://schemas.openxmlformats.org/officeDocument/2006/relationships/queryTable" Target="../queryTables/queryTable894.xml"/><Relationship Id="rId296" Type="http://schemas.openxmlformats.org/officeDocument/2006/relationships/queryTable" Target="../queryTables/queryTable915.xml"/><Relationship Id="rId300" Type="http://schemas.openxmlformats.org/officeDocument/2006/relationships/queryTable" Target="../queryTables/queryTable919.xml"/><Relationship Id="rId60" Type="http://schemas.openxmlformats.org/officeDocument/2006/relationships/queryTable" Target="../queryTables/queryTable679.xml"/><Relationship Id="rId81" Type="http://schemas.openxmlformats.org/officeDocument/2006/relationships/queryTable" Target="../queryTables/queryTable700.xml"/><Relationship Id="rId135" Type="http://schemas.openxmlformats.org/officeDocument/2006/relationships/queryTable" Target="../queryTables/queryTable754.xml"/><Relationship Id="rId156" Type="http://schemas.openxmlformats.org/officeDocument/2006/relationships/queryTable" Target="../queryTables/queryTable775.xml"/><Relationship Id="rId177" Type="http://schemas.openxmlformats.org/officeDocument/2006/relationships/queryTable" Target="../queryTables/queryTable796.xml"/><Relationship Id="rId198" Type="http://schemas.openxmlformats.org/officeDocument/2006/relationships/queryTable" Target="../queryTables/queryTable817.xml"/><Relationship Id="rId321" Type="http://schemas.openxmlformats.org/officeDocument/2006/relationships/queryTable" Target="../queryTables/queryTable940.xml"/><Relationship Id="rId342" Type="http://schemas.openxmlformats.org/officeDocument/2006/relationships/queryTable" Target="../queryTables/queryTable961.xml"/><Relationship Id="rId363" Type="http://schemas.openxmlformats.org/officeDocument/2006/relationships/queryTable" Target="../queryTables/queryTable982.xml"/><Relationship Id="rId384" Type="http://schemas.openxmlformats.org/officeDocument/2006/relationships/queryTable" Target="../queryTables/queryTable1003.xml"/><Relationship Id="rId419" Type="http://schemas.openxmlformats.org/officeDocument/2006/relationships/queryTable" Target="../queryTables/queryTable1038.xml"/><Relationship Id="rId202" Type="http://schemas.openxmlformats.org/officeDocument/2006/relationships/queryTable" Target="../queryTables/queryTable821.xml"/><Relationship Id="rId223" Type="http://schemas.openxmlformats.org/officeDocument/2006/relationships/queryTable" Target="../queryTables/queryTable842.xml"/><Relationship Id="rId244" Type="http://schemas.openxmlformats.org/officeDocument/2006/relationships/queryTable" Target="../queryTables/queryTable863.xml"/><Relationship Id="rId430" Type="http://schemas.openxmlformats.org/officeDocument/2006/relationships/queryTable" Target="../queryTables/queryTable1049.xml"/><Relationship Id="rId18" Type="http://schemas.openxmlformats.org/officeDocument/2006/relationships/queryTable" Target="../queryTables/queryTable637.xml"/><Relationship Id="rId39" Type="http://schemas.openxmlformats.org/officeDocument/2006/relationships/queryTable" Target="../queryTables/queryTable658.xml"/><Relationship Id="rId265" Type="http://schemas.openxmlformats.org/officeDocument/2006/relationships/queryTable" Target="../queryTables/queryTable884.xml"/><Relationship Id="rId286" Type="http://schemas.openxmlformats.org/officeDocument/2006/relationships/queryTable" Target="../queryTables/queryTable905.xml"/><Relationship Id="rId451" Type="http://schemas.openxmlformats.org/officeDocument/2006/relationships/queryTable" Target="../queryTables/queryTable1070.xml"/><Relationship Id="rId50" Type="http://schemas.openxmlformats.org/officeDocument/2006/relationships/queryTable" Target="../queryTables/queryTable669.xml"/><Relationship Id="rId104" Type="http://schemas.openxmlformats.org/officeDocument/2006/relationships/queryTable" Target="../queryTables/queryTable723.xml"/><Relationship Id="rId125" Type="http://schemas.openxmlformats.org/officeDocument/2006/relationships/queryTable" Target="../queryTables/queryTable744.xml"/><Relationship Id="rId146" Type="http://schemas.openxmlformats.org/officeDocument/2006/relationships/queryTable" Target="../queryTables/queryTable765.xml"/><Relationship Id="rId167" Type="http://schemas.openxmlformats.org/officeDocument/2006/relationships/queryTable" Target="../queryTables/queryTable786.xml"/><Relationship Id="rId188" Type="http://schemas.openxmlformats.org/officeDocument/2006/relationships/queryTable" Target="../queryTables/queryTable807.xml"/><Relationship Id="rId311" Type="http://schemas.openxmlformats.org/officeDocument/2006/relationships/queryTable" Target="../queryTables/queryTable930.xml"/><Relationship Id="rId332" Type="http://schemas.openxmlformats.org/officeDocument/2006/relationships/queryTable" Target="../queryTables/queryTable951.xml"/><Relationship Id="rId353" Type="http://schemas.openxmlformats.org/officeDocument/2006/relationships/queryTable" Target="../queryTables/queryTable972.xml"/><Relationship Id="rId374" Type="http://schemas.openxmlformats.org/officeDocument/2006/relationships/queryTable" Target="../queryTables/queryTable993.xml"/><Relationship Id="rId395" Type="http://schemas.openxmlformats.org/officeDocument/2006/relationships/queryTable" Target="../queryTables/queryTable1014.xml"/><Relationship Id="rId409" Type="http://schemas.openxmlformats.org/officeDocument/2006/relationships/queryTable" Target="../queryTables/queryTable1028.xml"/><Relationship Id="rId71" Type="http://schemas.openxmlformats.org/officeDocument/2006/relationships/queryTable" Target="../queryTables/queryTable690.xml"/><Relationship Id="rId92" Type="http://schemas.openxmlformats.org/officeDocument/2006/relationships/queryTable" Target="../queryTables/queryTable711.xml"/><Relationship Id="rId213" Type="http://schemas.openxmlformats.org/officeDocument/2006/relationships/queryTable" Target="../queryTables/queryTable832.xml"/><Relationship Id="rId234" Type="http://schemas.openxmlformats.org/officeDocument/2006/relationships/queryTable" Target="../queryTables/queryTable853.xml"/><Relationship Id="rId420" Type="http://schemas.openxmlformats.org/officeDocument/2006/relationships/queryTable" Target="../queryTables/queryTable1039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48.xml"/><Relationship Id="rId255" Type="http://schemas.openxmlformats.org/officeDocument/2006/relationships/queryTable" Target="../queryTables/queryTable874.xml"/><Relationship Id="rId276" Type="http://schemas.openxmlformats.org/officeDocument/2006/relationships/queryTable" Target="../queryTables/queryTable895.xml"/><Relationship Id="rId297" Type="http://schemas.openxmlformats.org/officeDocument/2006/relationships/queryTable" Target="../queryTables/queryTable916.xml"/><Relationship Id="rId441" Type="http://schemas.openxmlformats.org/officeDocument/2006/relationships/queryTable" Target="../queryTables/queryTable1060.xml"/><Relationship Id="rId40" Type="http://schemas.openxmlformats.org/officeDocument/2006/relationships/queryTable" Target="../queryTables/queryTable659.xml"/><Relationship Id="rId115" Type="http://schemas.openxmlformats.org/officeDocument/2006/relationships/queryTable" Target="../queryTables/queryTable734.xml"/><Relationship Id="rId136" Type="http://schemas.openxmlformats.org/officeDocument/2006/relationships/queryTable" Target="../queryTables/queryTable755.xml"/><Relationship Id="rId157" Type="http://schemas.openxmlformats.org/officeDocument/2006/relationships/queryTable" Target="../queryTables/queryTable776.xml"/><Relationship Id="rId178" Type="http://schemas.openxmlformats.org/officeDocument/2006/relationships/queryTable" Target="../queryTables/queryTable797.xml"/><Relationship Id="rId301" Type="http://schemas.openxmlformats.org/officeDocument/2006/relationships/queryTable" Target="../queryTables/queryTable920.xml"/><Relationship Id="rId322" Type="http://schemas.openxmlformats.org/officeDocument/2006/relationships/queryTable" Target="../queryTables/queryTable941.xml"/><Relationship Id="rId343" Type="http://schemas.openxmlformats.org/officeDocument/2006/relationships/queryTable" Target="../queryTables/queryTable962.xml"/><Relationship Id="rId364" Type="http://schemas.openxmlformats.org/officeDocument/2006/relationships/queryTable" Target="../queryTables/queryTable983.xml"/><Relationship Id="rId61" Type="http://schemas.openxmlformats.org/officeDocument/2006/relationships/queryTable" Target="../queryTables/queryTable680.xml"/><Relationship Id="rId82" Type="http://schemas.openxmlformats.org/officeDocument/2006/relationships/queryTable" Target="../queryTables/queryTable701.xml"/><Relationship Id="rId199" Type="http://schemas.openxmlformats.org/officeDocument/2006/relationships/queryTable" Target="../queryTables/queryTable818.xml"/><Relationship Id="rId203" Type="http://schemas.openxmlformats.org/officeDocument/2006/relationships/queryTable" Target="../queryTables/queryTable822.xml"/><Relationship Id="rId385" Type="http://schemas.openxmlformats.org/officeDocument/2006/relationships/queryTable" Target="../queryTables/queryTable1004.xml"/><Relationship Id="rId19" Type="http://schemas.openxmlformats.org/officeDocument/2006/relationships/queryTable" Target="../queryTables/queryTable638.xml"/><Relationship Id="rId224" Type="http://schemas.openxmlformats.org/officeDocument/2006/relationships/queryTable" Target="../queryTables/queryTable843.xml"/><Relationship Id="rId245" Type="http://schemas.openxmlformats.org/officeDocument/2006/relationships/queryTable" Target="../queryTables/queryTable864.xml"/><Relationship Id="rId266" Type="http://schemas.openxmlformats.org/officeDocument/2006/relationships/queryTable" Target="../queryTables/queryTable885.xml"/><Relationship Id="rId287" Type="http://schemas.openxmlformats.org/officeDocument/2006/relationships/queryTable" Target="../queryTables/queryTable906.xml"/><Relationship Id="rId410" Type="http://schemas.openxmlformats.org/officeDocument/2006/relationships/queryTable" Target="../queryTables/queryTable1029.xml"/><Relationship Id="rId431" Type="http://schemas.openxmlformats.org/officeDocument/2006/relationships/queryTable" Target="../queryTables/queryTable1050.xml"/><Relationship Id="rId452" Type="http://schemas.openxmlformats.org/officeDocument/2006/relationships/queryTable" Target="../queryTables/queryTable1071.xml"/><Relationship Id="rId30" Type="http://schemas.openxmlformats.org/officeDocument/2006/relationships/queryTable" Target="../queryTables/queryTable649.xml"/><Relationship Id="rId105" Type="http://schemas.openxmlformats.org/officeDocument/2006/relationships/queryTable" Target="../queryTables/queryTable724.xml"/><Relationship Id="rId126" Type="http://schemas.openxmlformats.org/officeDocument/2006/relationships/queryTable" Target="../queryTables/queryTable745.xml"/><Relationship Id="rId147" Type="http://schemas.openxmlformats.org/officeDocument/2006/relationships/queryTable" Target="../queryTables/queryTable766.xml"/><Relationship Id="rId168" Type="http://schemas.openxmlformats.org/officeDocument/2006/relationships/queryTable" Target="../queryTables/queryTable787.xml"/><Relationship Id="rId312" Type="http://schemas.openxmlformats.org/officeDocument/2006/relationships/queryTable" Target="../queryTables/queryTable931.xml"/><Relationship Id="rId333" Type="http://schemas.openxmlformats.org/officeDocument/2006/relationships/queryTable" Target="../queryTables/queryTable952.xml"/><Relationship Id="rId354" Type="http://schemas.openxmlformats.org/officeDocument/2006/relationships/queryTable" Target="../queryTables/queryTable973.xml"/><Relationship Id="rId51" Type="http://schemas.openxmlformats.org/officeDocument/2006/relationships/queryTable" Target="../queryTables/queryTable670.xml"/><Relationship Id="rId72" Type="http://schemas.openxmlformats.org/officeDocument/2006/relationships/queryTable" Target="../queryTables/queryTable691.xml"/><Relationship Id="rId93" Type="http://schemas.openxmlformats.org/officeDocument/2006/relationships/queryTable" Target="../queryTables/queryTable712.xml"/><Relationship Id="rId189" Type="http://schemas.openxmlformats.org/officeDocument/2006/relationships/queryTable" Target="../queryTables/queryTable808.xml"/><Relationship Id="rId375" Type="http://schemas.openxmlformats.org/officeDocument/2006/relationships/queryTable" Target="../queryTables/queryTable994.xml"/><Relationship Id="rId396" Type="http://schemas.openxmlformats.org/officeDocument/2006/relationships/queryTable" Target="../queryTables/queryTable1015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33.xml"/><Relationship Id="rId235" Type="http://schemas.openxmlformats.org/officeDocument/2006/relationships/queryTable" Target="../queryTables/queryTable854.xml"/><Relationship Id="rId256" Type="http://schemas.openxmlformats.org/officeDocument/2006/relationships/queryTable" Target="../queryTables/queryTable875.xml"/><Relationship Id="rId277" Type="http://schemas.openxmlformats.org/officeDocument/2006/relationships/queryTable" Target="../queryTables/queryTable896.xml"/><Relationship Id="rId298" Type="http://schemas.openxmlformats.org/officeDocument/2006/relationships/queryTable" Target="../queryTables/queryTable917.xml"/><Relationship Id="rId400" Type="http://schemas.openxmlformats.org/officeDocument/2006/relationships/queryTable" Target="../queryTables/queryTable1019.xml"/><Relationship Id="rId421" Type="http://schemas.openxmlformats.org/officeDocument/2006/relationships/queryTable" Target="../queryTables/queryTable1040.xml"/><Relationship Id="rId442" Type="http://schemas.openxmlformats.org/officeDocument/2006/relationships/queryTable" Target="../queryTables/queryTable1061.xml"/><Relationship Id="rId116" Type="http://schemas.openxmlformats.org/officeDocument/2006/relationships/queryTable" Target="../queryTables/queryTable735.xml"/><Relationship Id="rId137" Type="http://schemas.openxmlformats.org/officeDocument/2006/relationships/queryTable" Target="../queryTables/queryTable756.xml"/><Relationship Id="rId158" Type="http://schemas.openxmlformats.org/officeDocument/2006/relationships/queryTable" Target="../queryTables/queryTable777.xml"/><Relationship Id="rId302" Type="http://schemas.openxmlformats.org/officeDocument/2006/relationships/queryTable" Target="../queryTables/queryTable921.xml"/><Relationship Id="rId323" Type="http://schemas.openxmlformats.org/officeDocument/2006/relationships/queryTable" Target="../queryTables/queryTable942.xml"/><Relationship Id="rId344" Type="http://schemas.openxmlformats.org/officeDocument/2006/relationships/queryTable" Target="../queryTables/queryTable963.xml"/><Relationship Id="rId20" Type="http://schemas.openxmlformats.org/officeDocument/2006/relationships/queryTable" Target="../queryTables/queryTable639.xml"/><Relationship Id="rId41" Type="http://schemas.openxmlformats.org/officeDocument/2006/relationships/queryTable" Target="../queryTables/queryTable660.xml"/><Relationship Id="rId62" Type="http://schemas.openxmlformats.org/officeDocument/2006/relationships/queryTable" Target="../queryTables/queryTable681.xml"/><Relationship Id="rId83" Type="http://schemas.openxmlformats.org/officeDocument/2006/relationships/queryTable" Target="../queryTables/queryTable702.xml"/><Relationship Id="rId179" Type="http://schemas.openxmlformats.org/officeDocument/2006/relationships/queryTable" Target="../queryTables/queryTable798.xml"/><Relationship Id="rId365" Type="http://schemas.openxmlformats.org/officeDocument/2006/relationships/queryTable" Target="../queryTables/queryTable984.xml"/><Relationship Id="rId386" Type="http://schemas.openxmlformats.org/officeDocument/2006/relationships/queryTable" Target="../queryTables/queryTable1005.xml"/><Relationship Id="rId190" Type="http://schemas.openxmlformats.org/officeDocument/2006/relationships/queryTable" Target="../queryTables/queryTable809.xml"/><Relationship Id="rId204" Type="http://schemas.openxmlformats.org/officeDocument/2006/relationships/queryTable" Target="../queryTables/queryTable823.xml"/><Relationship Id="rId225" Type="http://schemas.openxmlformats.org/officeDocument/2006/relationships/queryTable" Target="../queryTables/queryTable844.xml"/><Relationship Id="rId246" Type="http://schemas.openxmlformats.org/officeDocument/2006/relationships/queryTable" Target="../queryTables/queryTable865.xml"/><Relationship Id="rId267" Type="http://schemas.openxmlformats.org/officeDocument/2006/relationships/queryTable" Target="../queryTables/queryTable886.xml"/><Relationship Id="rId288" Type="http://schemas.openxmlformats.org/officeDocument/2006/relationships/queryTable" Target="../queryTables/queryTable907.xml"/><Relationship Id="rId411" Type="http://schemas.openxmlformats.org/officeDocument/2006/relationships/queryTable" Target="../queryTables/queryTable1030.xml"/><Relationship Id="rId432" Type="http://schemas.openxmlformats.org/officeDocument/2006/relationships/queryTable" Target="../queryTables/queryTable1051.xml"/><Relationship Id="rId453" Type="http://schemas.openxmlformats.org/officeDocument/2006/relationships/queryTable" Target="../queryTables/queryTable1072.xml"/><Relationship Id="rId106" Type="http://schemas.openxmlformats.org/officeDocument/2006/relationships/queryTable" Target="../queryTables/queryTable725.xml"/><Relationship Id="rId127" Type="http://schemas.openxmlformats.org/officeDocument/2006/relationships/queryTable" Target="../queryTables/queryTable746.xml"/><Relationship Id="rId313" Type="http://schemas.openxmlformats.org/officeDocument/2006/relationships/queryTable" Target="../queryTables/queryTable932.xml"/><Relationship Id="rId10" Type="http://schemas.openxmlformats.org/officeDocument/2006/relationships/queryTable" Target="../queryTables/queryTable629.xml"/><Relationship Id="rId31" Type="http://schemas.openxmlformats.org/officeDocument/2006/relationships/queryTable" Target="../queryTables/queryTable650.xml"/><Relationship Id="rId52" Type="http://schemas.openxmlformats.org/officeDocument/2006/relationships/queryTable" Target="../queryTables/queryTable671.xml"/><Relationship Id="rId73" Type="http://schemas.openxmlformats.org/officeDocument/2006/relationships/queryTable" Target="../queryTables/queryTable692.xml"/><Relationship Id="rId94" Type="http://schemas.openxmlformats.org/officeDocument/2006/relationships/queryTable" Target="../queryTables/queryTable713.xml"/><Relationship Id="rId148" Type="http://schemas.openxmlformats.org/officeDocument/2006/relationships/queryTable" Target="../queryTables/queryTable767.xml"/><Relationship Id="rId169" Type="http://schemas.openxmlformats.org/officeDocument/2006/relationships/queryTable" Target="../queryTables/queryTable788.xml"/><Relationship Id="rId334" Type="http://schemas.openxmlformats.org/officeDocument/2006/relationships/queryTable" Target="../queryTables/queryTable953.xml"/><Relationship Id="rId355" Type="http://schemas.openxmlformats.org/officeDocument/2006/relationships/queryTable" Target="../queryTables/queryTable974.xml"/><Relationship Id="rId376" Type="http://schemas.openxmlformats.org/officeDocument/2006/relationships/queryTable" Target="../queryTables/queryTable995.xml"/><Relationship Id="rId397" Type="http://schemas.openxmlformats.org/officeDocument/2006/relationships/queryTable" Target="../queryTables/queryTable1016.xml"/><Relationship Id="rId4" Type="http://schemas.openxmlformats.org/officeDocument/2006/relationships/queryTable" Target="../queryTables/queryTable623.xml"/><Relationship Id="rId180" Type="http://schemas.openxmlformats.org/officeDocument/2006/relationships/queryTable" Target="../queryTables/queryTable799.xml"/><Relationship Id="rId215" Type="http://schemas.openxmlformats.org/officeDocument/2006/relationships/queryTable" Target="../queryTables/queryTable834.xml"/><Relationship Id="rId236" Type="http://schemas.openxmlformats.org/officeDocument/2006/relationships/queryTable" Target="../queryTables/queryTable855.xml"/><Relationship Id="rId257" Type="http://schemas.openxmlformats.org/officeDocument/2006/relationships/queryTable" Target="../queryTables/queryTable876.xml"/><Relationship Id="rId278" Type="http://schemas.openxmlformats.org/officeDocument/2006/relationships/queryTable" Target="../queryTables/queryTable897.xml"/><Relationship Id="rId401" Type="http://schemas.openxmlformats.org/officeDocument/2006/relationships/queryTable" Target="../queryTables/queryTable1020.xml"/><Relationship Id="rId422" Type="http://schemas.openxmlformats.org/officeDocument/2006/relationships/queryTable" Target="../queryTables/queryTable1041.xml"/><Relationship Id="rId443" Type="http://schemas.openxmlformats.org/officeDocument/2006/relationships/queryTable" Target="../queryTables/queryTable1062.xml"/><Relationship Id="rId303" Type="http://schemas.openxmlformats.org/officeDocument/2006/relationships/queryTable" Target="../queryTables/queryTable922.xml"/><Relationship Id="rId42" Type="http://schemas.openxmlformats.org/officeDocument/2006/relationships/queryTable" Target="../queryTables/queryTable661.xml"/><Relationship Id="rId84" Type="http://schemas.openxmlformats.org/officeDocument/2006/relationships/queryTable" Target="../queryTables/queryTable703.xml"/><Relationship Id="rId138" Type="http://schemas.openxmlformats.org/officeDocument/2006/relationships/queryTable" Target="../queryTables/queryTable757.xml"/><Relationship Id="rId345" Type="http://schemas.openxmlformats.org/officeDocument/2006/relationships/queryTable" Target="../queryTables/queryTable964.xml"/><Relationship Id="rId387" Type="http://schemas.openxmlformats.org/officeDocument/2006/relationships/queryTable" Target="../queryTables/queryTable1006.xml"/><Relationship Id="rId191" Type="http://schemas.openxmlformats.org/officeDocument/2006/relationships/queryTable" Target="../queryTables/queryTable810.xml"/><Relationship Id="rId205" Type="http://schemas.openxmlformats.org/officeDocument/2006/relationships/queryTable" Target="../queryTables/queryTable824.xml"/><Relationship Id="rId247" Type="http://schemas.openxmlformats.org/officeDocument/2006/relationships/queryTable" Target="../queryTables/queryTable866.xml"/><Relationship Id="rId412" Type="http://schemas.openxmlformats.org/officeDocument/2006/relationships/queryTable" Target="../queryTables/queryTable1031.xml"/><Relationship Id="rId107" Type="http://schemas.openxmlformats.org/officeDocument/2006/relationships/queryTable" Target="../queryTables/queryTable726.xml"/><Relationship Id="rId289" Type="http://schemas.openxmlformats.org/officeDocument/2006/relationships/queryTable" Target="../queryTables/queryTable908.xml"/><Relationship Id="rId454" Type="http://schemas.openxmlformats.org/officeDocument/2006/relationships/queryTable" Target="../queryTables/queryTable1073.xml"/><Relationship Id="rId11" Type="http://schemas.openxmlformats.org/officeDocument/2006/relationships/queryTable" Target="../queryTables/queryTable630.xml"/><Relationship Id="rId53" Type="http://schemas.openxmlformats.org/officeDocument/2006/relationships/queryTable" Target="../queryTables/queryTable672.xml"/><Relationship Id="rId149" Type="http://schemas.openxmlformats.org/officeDocument/2006/relationships/queryTable" Target="../queryTables/queryTable768.xml"/><Relationship Id="rId314" Type="http://schemas.openxmlformats.org/officeDocument/2006/relationships/queryTable" Target="../queryTables/queryTable933.xml"/><Relationship Id="rId356" Type="http://schemas.openxmlformats.org/officeDocument/2006/relationships/queryTable" Target="../queryTables/queryTable975.xml"/><Relationship Id="rId398" Type="http://schemas.openxmlformats.org/officeDocument/2006/relationships/queryTable" Target="../queryTables/queryTable1017.xml"/><Relationship Id="rId95" Type="http://schemas.openxmlformats.org/officeDocument/2006/relationships/queryTable" Target="../queryTables/queryTable714.xml"/><Relationship Id="rId160" Type="http://schemas.openxmlformats.org/officeDocument/2006/relationships/queryTable" Target="../queryTables/queryTable779.xml"/><Relationship Id="rId216" Type="http://schemas.openxmlformats.org/officeDocument/2006/relationships/queryTable" Target="../queryTables/queryTable835.xml"/><Relationship Id="rId423" Type="http://schemas.openxmlformats.org/officeDocument/2006/relationships/queryTable" Target="../queryTables/queryTable1042.xml"/><Relationship Id="rId258" Type="http://schemas.openxmlformats.org/officeDocument/2006/relationships/queryTable" Target="../queryTables/queryTable877.xml"/><Relationship Id="rId22" Type="http://schemas.openxmlformats.org/officeDocument/2006/relationships/queryTable" Target="../queryTables/queryTable641.xml"/><Relationship Id="rId64" Type="http://schemas.openxmlformats.org/officeDocument/2006/relationships/queryTable" Target="../queryTables/queryTable683.xml"/><Relationship Id="rId118" Type="http://schemas.openxmlformats.org/officeDocument/2006/relationships/queryTable" Target="../queryTables/queryTable737.xml"/><Relationship Id="rId325" Type="http://schemas.openxmlformats.org/officeDocument/2006/relationships/queryTable" Target="../queryTables/queryTable944.xml"/><Relationship Id="rId367" Type="http://schemas.openxmlformats.org/officeDocument/2006/relationships/queryTable" Target="../queryTables/queryTable986.xml"/><Relationship Id="rId171" Type="http://schemas.openxmlformats.org/officeDocument/2006/relationships/queryTable" Target="../queryTables/queryTable790.xml"/><Relationship Id="rId227" Type="http://schemas.openxmlformats.org/officeDocument/2006/relationships/queryTable" Target="../queryTables/queryTable846.xml"/><Relationship Id="rId269" Type="http://schemas.openxmlformats.org/officeDocument/2006/relationships/queryTable" Target="../queryTables/queryTable888.xml"/><Relationship Id="rId434" Type="http://schemas.openxmlformats.org/officeDocument/2006/relationships/queryTable" Target="../queryTables/queryTable1053.xml"/><Relationship Id="rId33" Type="http://schemas.openxmlformats.org/officeDocument/2006/relationships/queryTable" Target="../queryTables/queryTable652.xml"/><Relationship Id="rId129" Type="http://schemas.openxmlformats.org/officeDocument/2006/relationships/queryTable" Target="../queryTables/queryTable748.xml"/><Relationship Id="rId280" Type="http://schemas.openxmlformats.org/officeDocument/2006/relationships/queryTable" Target="../queryTables/queryTable899.xml"/><Relationship Id="rId336" Type="http://schemas.openxmlformats.org/officeDocument/2006/relationships/queryTable" Target="../queryTables/queryTable955.xml"/><Relationship Id="rId75" Type="http://schemas.openxmlformats.org/officeDocument/2006/relationships/queryTable" Target="../queryTables/queryTable694.xml"/><Relationship Id="rId140" Type="http://schemas.openxmlformats.org/officeDocument/2006/relationships/queryTable" Target="../queryTables/queryTable759.xml"/><Relationship Id="rId182" Type="http://schemas.openxmlformats.org/officeDocument/2006/relationships/queryTable" Target="../queryTables/queryTable801.xml"/><Relationship Id="rId378" Type="http://schemas.openxmlformats.org/officeDocument/2006/relationships/queryTable" Target="../queryTables/queryTable997.xml"/><Relationship Id="rId403" Type="http://schemas.openxmlformats.org/officeDocument/2006/relationships/queryTable" Target="../queryTables/queryTable1022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87.xml"/><Relationship Id="rId299" Type="http://schemas.openxmlformats.org/officeDocument/2006/relationships/queryTable" Target="../queryTables/queryTable1369.xml"/><Relationship Id="rId21" Type="http://schemas.openxmlformats.org/officeDocument/2006/relationships/queryTable" Target="../queryTables/queryTable1091.xml"/><Relationship Id="rId63" Type="http://schemas.openxmlformats.org/officeDocument/2006/relationships/queryTable" Target="../queryTables/queryTable1133.xml"/><Relationship Id="rId159" Type="http://schemas.openxmlformats.org/officeDocument/2006/relationships/queryTable" Target="../queryTables/queryTable1229.xml"/><Relationship Id="rId324" Type="http://schemas.openxmlformats.org/officeDocument/2006/relationships/queryTable" Target="../queryTables/queryTable1394.xml"/><Relationship Id="rId366" Type="http://schemas.openxmlformats.org/officeDocument/2006/relationships/queryTable" Target="../queryTables/queryTable1436.xml"/><Relationship Id="rId170" Type="http://schemas.openxmlformats.org/officeDocument/2006/relationships/queryTable" Target="../queryTables/queryTable1240.xml"/><Relationship Id="rId226" Type="http://schemas.openxmlformats.org/officeDocument/2006/relationships/queryTable" Target="../queryTables/queryTable1296.xml"/><Relationship Id="rId433" Type="http://schemas.openxmlformats.org/officeDocument/2006/relationships/queryTable" Target="../queryTables/queryTable1503.xml"/><Relationship Id="rId268" Type="http://schemas.openxmlformats.org/officeDocument/2006/relationships/queryTable" Target="../queryTables/queryTable1338.xml"/><Relationship Id="rId475" Type="http://schemas.openxmlformats.org/officeDocument/2006/relationships/queryTable" Target="../queryTables/queryTable1545.xml"/><Relationship Id="rId32" Type="http://schemas.openxmlformats.org/officeDocument/2006/relationships/queryTable" Target="../queryTables/queryTable1102.xml"/><Relationship Id="rId74" Type="http://schemas.openxmlformats.org/officeDocument/2006/relationships/queryTable" Target="../queryTables/queryTable1144.xml"/><Relationship Id="rId128" Type="http://schemas.openxmlformats.org/officeDocument/2006/relationships/queryTable" Target="../queryTables/queryTable1198.xml"/><Relationship Id="rId335" Type="http://schemas.openxmlformats.org/officeDocument/2006/relationships/queryTable" Target="../queryTables/queryTable1405.xml"/><Relationship Id="rId377" Type="http://schemas.openxmlformats.org/officeDocument/2006/relationships/queryTable" Target="../queryTables/queryTable1447.xml"/><Relationship Id="rId500" Type="http://schemas.openxmlformats.org/officeDocument/2006/relationships/queryTable" Target="../queryTables/queryTable1570.xml"/><Relationship Id="rId5" Type="http://schemas.openxmlformats.org/officeDocument/2006/relationships/queryTable" Target="../queryTables/queryTable1075.xml"/><Relationship Id="rId181" Type="http://schemas.openxmlformats.org/officeDocument/2006/relationships/queryTable" Target="../queryTables/queryTable1251.xml"/><Relationship Id="rId237" Type="http://schemas.openxmlformats.org/officeDocument/2006/relationships/queryTable" Target="../queryTables/queryTable1307.xml"/><Relationship Id="rId402" Type="http://schemas.openxmlformats.org/officeDocument/2006/relationships/queryTable" Target="../queryTables/queryTable1472.xml"/><Relationship Id="rId279" Type="http://schemas.openxmlformats.org/officeDocument/2006/relationships/queryTable" Target="../queryTables/queryTable1349.xml"/><Relationship Id="rId444" Type="http://schemas.openxmlformats.org/officeDocument/2006/relationships/queryTable" Target="../queryTables/queryTable1514.xml"/><Relationship Id="rId486" Type="http://schemas.openxmlformats.org/officeDocument/2006/relationships/queryTable" Target="../queryTables/queryTable1556.xml"/><Relationship Id="rId43" Type="http://schemas.openxmlformats.org/officeDocument/2006/relationships/queryTable" Target="../queryTables/queryTable1113.xml"/><Relationship Id="rId139" Type="http://schemas.openxmlformats.org/officeDocument/2006/relationships/queryTable" Target="../queryTables/queryTable1209.xml"/><Relationship Id="rId290" Type="http://schemas.openxmlformats.org/officeDocument/2006/relationships/queryTable" Target="../queryTables/queryTable1360.xml"/><Relationship Id="rId304" Type="http://schemas.openxmlformats.org/officeDocument/2006/relationships/queryTable" Target="../queryTables/queryTable1374.xml"/><Relationship Id="rId346" Type="http://schemas.openxmlformats.org/officeDocument/2006/relationships/queryTable" Target="../queryTables/queryTable1416.xml"/><Relationship Id="rId388" Type="http://schemas.openxmlformats.org/officeDocument/2006/relationships/queryTable" Target="../queryTables/queryTable1458.xml"/><Relationship Id="rId511" Type="http://schemas.openxmlformats.org/officeDocument/2006/relationships/queryTable" Target="../queryTables/queryTable1581.xml"/><Relationship Id="rId85" Type="http://schemas.openxmlformats.org/officeDocument/2006/relationships/queryTable" Target="../queryTables/queryTable1155.xml"/><Relationship Id="rId150" Type="http://schemas.openxmlformats.org/officeDocument/2006/relationships/queryTable" Target="../queryTables/queryTable1220.xml"/><Relationship Id="rId192" Type="http://schemas.openxmlformats.org/officeDocument/2006/relationships/queryTable" Target="../queryTables/queryTable1262.xml"/><Relationship Id="rId206" Type="http://schemas.openxmlformats.org/officeDocument/2006/relationships/queryTable" Target="../queryTables/queryTable1276.xml"/><Relationship Id="rId413" Type="http://schemas.openxmlformats.org/officeDocument/2006/relationships/queryTable" Target="../queryTables/queryTable1483.xml"/><Relationship Id="rId248" Type="http://schemas.openxmlformats.org/officeDocument/2006/relationships/queryTable" Target="../queryTables/queryTable1318.xml"/><Relationship Id="rId455" Type="http://schemas.openxmlformats.org/officeDocument/2006/relationships/queryTable" Target="../queryTables/queryTable1525.xml"/><Relationship Id="rId497" Type="http://schemas.openxmlformats.org/officeDocument/2006/relationships/queryTable" Target="../queryTables/queryTable1567.xml"/><Relationship Id="rId12" Type="http://schemas.openxmlformats.org/officeDocument/2006/relationships/queryTable" Target="../queryTables/queryTable1082.xml"/><Relationship Id="rId108" Type="http://schemas.openxmlformats.org/officeDocument/2006/relationships/queryTable" Target="../queryTables/queryTable1178.xml"/><Relationship Id="rId315" Type="http://schemas.openxmlformats.org/officeDocument/2006/relationships/queryTable" Target="../queryTables/queryTable1385.xml"/><Relationship Id="rId357" Type="http://schemas.openxmlformats.org/officeDocument/2006/relationships/queryTable" Target="../queryTables/queryTable1427.xml"/><Relationship Id="rId522" Type="http://schemas.openxmlformats.org/officeDocument/2006/relationships/queryTable" Target="../queryTables/queryTable1592.xml"/><Relationship Id="rId54" Type="http://schemas.openxmlformats.org/officeDocument/2006/relationships/queryTable" Target="../queryTables/queryTable1124.xml"/><Relationship Id="rId96" Type="http://schemas.openxmlformats.org/officeDocument/2006/relationships/queryTable" Target="../queryTables/queryTable1166.xml"/><Relationship Id="rId161" Type="http://schemas.openxmlformats.org/officeDocument/2006/relationships/queryTable" Target="../queryTables/queryTable1231.xml"/><Relationship Id="rId217" Type="http://schemas.openxmlformats.org/officeDocument/2006/relationships/queryTable" Target="../queryTables/queryTable1287.xml"/><Relationship Id="rId399" Type="http://schemas.openxmlformats.org/officeDocument/2006/relationships/queryTable" Target="../queryTables/queryTable1469.xml"/><Relationship Id="rId259" Type="http://schemas.openxmlformats.org/officeDocument/2006/relationships/queryTable" Target="../queryTables/queryTable1329.xml"/><Relationship Id="rId424" Type="http://schemas.openxmlformats.org/officeDocument/2006/relationships/queryTable" Target="../queryTables/queryTable1494.xml"/><Relationship Id="rId466" Type="http://schemas.openxmlformats.org/officeDocument/2006/relationships/queryTable" Target="../queryTables/queryTable1536.xml"/><Relationship Id="rId23" Type="http://schemas.openxmlformats.org/officeDocument/2006/relationships/queryTable" Target="../queryTables/queryTable1093.xml"/><Relationship Id="rId119" Type="http://schemas.openxmlformats.org/officeDocument/2006/relationships/queryTable" Target="../queryTables/queryTable1189.xml"/><Relationship Id="rId270" Type="http://schemas.openxmlformats.org/officeDocument/2006/relationships/queryTable" Target="../queryTables/queryTable1340.xml"/><Relationship Id="rId326" Type="http://schemas.openxmlformats.org/officeDocument/2006/relationships/queryTable" Target="../queryTables/queryTable1396.xml"/><Relationship Id="rId65" Type="http://schemas.openxmlformats.org/officeDocument/2006/relationships/queryTable" Target="../queryTables/queryTable1135.xml"/><Relationship Id="rId130" Type="http://schemas.openxmlformats.org/officeDocument/2006/relationships/queryTable" Target="../queryTables/queryTable1200.xml"/><Relationship Id="rId368" Type="http://schemas.openxmlformats.org/officeDocument/2006/relationships/queryTable" Target="../queryTables/queryTable1438.xml"/><Relationship Id="rId172" Type="http://schemas.openxmlformats.org/officeDocument/2006/relationships/queryTable" Target="../queryTables/queryTable1242.xml"/><Relationship Id="rId228" Type="http://schemas.openxmlformats.org/officeDocument/2006/relationships/queryTable" Target="../queryTables/queryTable1298.xml"/><Relationship Id="rId435" Type="http://schemas.openxmlformats.org/officeDocument/2006/relationships/queryTable" Target="../queryTables/queryTable1505.xml"/><Relationship Id="rId477" Type="http://schemas.openxmlformats.org/officeDocument/2006/relationships/queryTable" Target="../queryTables/queryTable1547.xml"/><Relationship Id="rId281" Type="http://schemas.openxmlformats.org/officeDocument/2006/relationships/queryTable" Target="../queryTables/queryTable1351.xml"/><Relationship Id="rId337" Type="http://schemas.openxmlformats.org/officeDocument/2006/relationships/queryTable" Target="../queryTables/queryTable1407.xml"/><Relationship Id="rId502" Type="http://schemas.openxmlformats.org/officeDocument/2006/relationships/queryTable" Target="../queryTables/queryTable1572.xml"/><Relationship Id="rId34" Type="http://schemas.openxmlformats.org/officeDocument/2006/relationships/queryTable" Target="../queryTables/queryTable1104.xml"/><Relationship Id="rId76" Type="http://schemas.openxmlformats.org/officeDocument/2006/relationships/queryTable" Target="../queryTables/queryTable1146.xml"/><Relationship Id="rId141" Type="http://schemas.openxmlformats.org/officeDocument/2006/relationships/queryTable" Target="../queryTables/queryTable1211.xml"/><Relationship Id="rId379" Type="http://schemas.openxmlformats.org/officeDocument/2006/relationships/queryTable" Target="../queryTables/queryTable1449.xml"/><Relationship Id="rId7" Type="http://schemas.openxmlformats.org/officeDocument/2006/relationships/queryTable" Target="../queryTables/queryTable1077.xml"/><Relationship Id="rId183" Type="http://schemas.openxmlformats.org/officeDocument/2006/relationships/queryTable" Target="../queryTables/queryTable1253.xml"/><Relationship Id="rId239" Type="http://schemas.openxmlformats.org/officeDocument/2006/relationships/queryTable" Target="../queryTables/queryTable1309.xml"/><Relationship Id="rId390" Type="http://schemas.openxmlformats.org/officeDocument/2006/relationships/queryTable" Target="../queryTables/queryTable1460.xml"/><Relationship Id="rId404" Type="http://schemas.openxmlformats.org/officeDocument/2006/relationships/queryTable" Target="../queryTables/queryTable1474.xml"/><Relationship Id="rId446" Type="http://schemas.openxmlformats.org/officeDocument/2006/relationships/queryTable" Target="../queryTables/queryTable1516.xml"/><Relationship Id="rId250" Type="http://schemas.openxmlformats.org/officeDocument/2006/relationships/queryTable" Target="../queryTables/queryTable1320.xml"/><Relationship Id="rId292" Type="http://schemas.openxmlformats.org/officeDocument/2006/relationships/queryTable" Target="../queryTables/queryTable1362.xml"/><Relationship Id="rId306" Type="http://schemas.openxmlformats.org/officeDocument/2006/relationships/queryTable" Target="../queryTables/queryTable1376.xml"/><Relationship Id="rId488" Type="http://schemas.openxmlformats.org/officeDocument/2006/relationships/queryTable" Target="../queryTables/queryTable1558.xml"/><Relationship Id="rId45" Type="http://schemas.openxmlformats.org/officeDocument/2006/relationships/queryTable" Target="../queryTables/queryTable1115.xml"/><Relationship Id="rId87" Type="http://schemas.openxmlformats.org/officeDocument/2006/relationships/queryTable" Target="../queryTables/queryTable1157.xml"/><Relationship Id="rId110" Type="http://schemas.openxmlformats.org/officeDocument/2006/relationships/queryTable" Target="../queryTables/queryTable1180.xml"/><Relationship Id="rId348" Type="http://schemas.openxmlformats.org/officeDocument/2006/relationships/queryTable" Target="../queryTables/queryTable1418.xml"/><Relationship Id="rId513" Type="http://schemas.openxmlformats.org/officeDocument/2006/relationships/queryTable" Target="../queryTables/queryTable1583.xml"/><Relationship Id="rId152" Type="http://schemas.openxmlformats.org/officeDocument/2006/relationships/queryTable" Target="../queryTables/queryTable1222.xml"/><Relationship Id="rId194" Type="http://schemas.openxmlformats.org/officeDocument/2006/relationships/queryTable" Target="../queryTables/queryTable1264.xml"/><Relationship Id="rId208" Type="http://schemas.openxmlformats.org/officeDocument/2006/relationships/queryTable" Target="../queryTables/queryTable1278.xml"/><Relationship Id="rId415" Type="http://schemas.openxmlformats.org/officeDocument/2006/relationships/queryTable" Target="../queryTables/queryTable1485.xml"/><Relationship Id="rId457" Type="http://schemas.openxmlformats.org/officeDocument/2006/relationships/queryTable" Target="../queryTables/queryTable1527.xml"/><Relationship Id="rId261" Type="http://schemas.openxmlformats.org/officeDocument/2006/relationships/queryTable" Target="../queryTables/queryTable1331.xml"/><Relationship Id="rId499" Type="http://schemas.openxmlformats.org/officeDocument/2006/relationships/queryTable" Target="../queryTables/queryTable1569.xml"/><Relationship Id="rId14" Type="http://schemas.openxmlformats.org/officeDocument/2006/relationships/queryTable" Target="../queryTables/queryTable1084.xml"/><Relationship Id="rId56" Type="http://schemas.openxmlformats.org/officeDocument/2006/relationships/queryTable" Target="../queryTables/queryTable1126.xml"/><Relationship Id="rId317" Type="http://schemas.openxmlformats.org/officeDocument/2006/relationships/queryTable" Target="../queryTables/queryTable1387.xml"/><Relationship Id="rId359" Type="http://schemas.openxmlformats.org/officeDocument/2006/relationships/queryTable" Target="../queryTables/queryTable1429.xml"/><Relationship Id="rId8" Type="http://schemas.openxmlformats.org/officeDocument/2006/relationships/queryTable" Target="../queryTables/queryTable1078.xml"/><Relationship Id="rId98" Type="http://schemas.openxmlformats.org/officeDocument/2006/relationships/queryTable" Target="../queryTables/queryTable1168.xml"/><Relationship Id="rId121" Type="http://schemas.openxmlformats.org/officeDocument/2006/relationships/queryTable" Target="../queryTables/queryTable1191.xml"/><Relationship Id="rId142" Type="http://schemas.openxmlformats.org/officeDocument/2006/relationships/queryTable" Target="../queryTables/queryTable1212.xml"/><Relationship Id="rId163" Type="http://schemas.openxmlformats.org/officeDocument/2006/relationships/queryTable" Target="../queryTables/queryTable1233.xml"/><Relationship Id="rId184" Type="http://schemas.openxmlformats.org/officeDocument/2006/relationships/queryTable" Target="../queryTables/queryTable1254.xml"/><Relationship Id="rId219" Type="http://schemas.openxmlformats.org/officeDocument/2006/relationships/queryTable" Target="../queryTables/queryTable1289.xml"/><Relationship Id="rId370" Type="http://schemas.openxmlformats.org/officeDocument/2006/relationships/queryTable" Target="../queryTables/queryTable1440.xml"/><Relationship Id="rId391" Type="http://schemas.openxmlformats.org/officeDocument/2006/relationships/queryTable" Target="../queryTables/queryTable1461.xml"/><Relationship Id="rId405" Type="http://schemas.openxmlformats.org/officeDocument/2006/relationships/queryTable" Target="../queryTables/queryTable1475.xml"/><Relationship Id="rId426" Type="http://schemas.openxmlformats.org/officeDocument/2006/relationships/queryTable" Target="../queryTables/queryTable1496.xml"/><Relationship Id="rId447" Type="http://schemas.openxmlformats.org/officeDocument/2006/relationships/queryTable" Target="../queryTables/queryTable1517.xml"/><Relationship Id="rId230" Type="http://schemas.openxmlformats.org/officeDocument/2006/relationships/queryTable" Target="../queryTables/queryTable1300.xml"/><Relationship Id="rId251" Type="http://schemas.openxmlformats.org/officeDocument/2006/relationships/queryTable" Target="../queryTables/queryTable1321.xml"/><Relationship Id="rId468" Type="http://schemas.openxmlformats.org/officeDocument/2006/relationships/queryTable" Target="../queryTables/queryTable1538.xml"/><Relationship Id="rId489" Type="http://schemas.openxmlformats.org/officeDocument/2006/relationships/queryTable" Target="../queryTables/queryTable1559.xml"/><Relationship Id="rId25" Type="http://schemas.openxmlformats.org/officeDocument/2006/relationships/queryTable" Target="../queryTables/queryTable1095.xml"/><Relationship Id="rId46" Type="http://schemas.openxmlformats.org/officeDocument/2006/relationships/queryTable" Target="../queryTables/queryTable1116.xml"/><Relationship Id="rId67" Type="http://schemas.openxmlformats.org/officeDocument/2006/relationships/queryTable" Target="../queryTables/queryTable1137.xml"/><Relationship Id="rId272" Type="http://schemas.openxmlformats.org/officeDocument/2006/relationships/queryTable" Target="../queryTables/queryTable1342.xml"/><Relationship Id="rId293" Type="http://schemas.openxmlformats.org/officeDocument/2006/relationships/queryTable" Target="../queryTables/queryTable1363.xml"/><Relationship Id="rId307" Type="http://schemas.openxmlformats.org/officeDocument/2006/relationships/queryTable" Target="../queryTables/queryTable1377.xml"/><Relationship Id="rId328" Type="http://schemas.openxmlformats.org/officeDocument/2006/relationships/queryTable" Target="../queryTables/queryTable1398.xml"/><Relationship Id="rId349" Type="http://schemas.openxmlformats.org/officeDocument/2006/relationships/queryTable" Target="../queryTables/queryTable1419.xml"/><Relationship Id="rId514" Type="http://schemas.openxmlformats.org/officeDocument/2006/relationships/queryTable" Target="../queryTables/queryTable1584.xml"/><Relationship Id="rId88" Type="http://schemas.openxmlformats.org/officeDocument/2006/relationships/queryTable" Target="../queryTables/queryTable1158.xml"/><Relationship Id="rId111" Type="http://schemas.openxmlformats.org/officeDocument/2006/relationships/queryTable" Target="../queryTables/queryTable1181.xml"/><Relationship Id="rId132" Type="http://schemas.openxmlformats.org/officeDocument/2006/relationships/queryTable" Target="../queryTables/queryTable1202.xml"/><Relationship Id="rId153" Type="http://schemas.openxmlformats.org/officeDocument/2006/relationships/queryTable" Target="../queryTables/queryTable1223.xml"/><Relationship Id="rId174" Type="http://schemas.openxmlformats.org/officeDocument/2006/relationships/queryTable" Target="../queryTables/queryTable1244.xml"/><Relationship Id="rId195" Type="http://schemas.openxmlformats.org/officeDocument/2006/relationships/queryTable" Target="../queryTables/queryTable1265.xml"/><Relationship Id="rId209" Type="http://schemas.openxmlformats.org/officeDocument/2006/relationships/queryTable" Target="../queryTables/queryTable1279.xml"/><Relationship Id="rId360" Type="http://schemas.openxmlformats.org/officeDocument/2006/relationships/queryTable" Target="../queryTables/queryTable1430.xml"/><Relationship Id="rId381" Type="http://schemas.openxmlformats.org/officeDocument/2006/relationships/queryTable" Target="../queryTables/queryTable1451.xml"/><Relationship Id="rId416" Type="http://schemas.openxmlformats.org/officeDocument/2006/relationships/queryTable" Target="../queryTables/queryTable1486.xml"/><Relationship Id="rId220" Type="http://schemas.openxmlformats.org/officeDocument/2006/relationships/queryTable" Target="../queryTables/queryTable1290.xml"/><Relationship Id="rId241" Type="http://schemas.openxmlformats.org/officeDocument/2006/relationships/queryTable" Target="../queryTables/queryTable1311.xml"/><Relationship Id="rId437" Type="http://schemas.openxmlformats.org/officeDocument/2006/relationships/queryTable" Target="../queryTables/queryTable1507.xml"/><Relationship Id="rId458" Type="http://schemas.openxmlformats.org/officeDocument/2006/relationships/queryTable" Target="../queryTables/queryTable1528.xml"/><Relationship Id="rId479" Type="http://schemas.openxmlformats.org/officeDocument/2006/relationships/queryTable" Target="../queryTables/queryTable1549.xml"/><Relationship Id="rId15" Type="http://schemas.openxmlformats.org/officeDocument/2006/relationships/queryTable" Target="../queryTables/queryTable1085.xml"/><Relationship Id="rId36" Type="http://schemas.openxmlformats.org/officeDocument/2006/relationships/queryTable" Target="../queryTables/queryTable1106.xml"/><Relationship Id="rId57" Type="http://schemas.openxmlformats.org/officeDocument/2006/relationships/queryTable" Target="../queryTables/queryTable1127.xml"/><Relationship Id="rId262" Type="http://schemas.openxmlformats.org/officeDocument/2006/relationships/queryTable" Target="../queryTables/queryTable1332.xml"/><Relationship Id="rId283" Type="http://schemas.openxmlformats.org/officeDocument/2006/relationships/queryTable" Target="../queryTables/queryTable1353.xml"/><Relationship Id="rId318" Type="http://schemas.openxmlformats.org/officeDocument/2006/relationships/queryTable" Target="../queryTables/queryTable1388.xml"/><Relationship Id="rId339" Type="http://schemas.openxmlformats.org/officeDocument/2006/relationships/queryTable" Target="../queryTables/queryTable1409.xml"/><Relationship Id="rId490" Type="http://schemas.openxmlformats.org/officeDocument/2006/relationships/queryTable" Target="../queryTables/queryTable1560.xml"/><Relationship Id="rId504" Type="http://schemas.openxmlformats.org/officeDocument/2006/relationships/queryTable" Target="../queryTables/queryTable1574.xml"/><Relationship Id="rId78" Type="http://schemas.openxmlformats.org/officeDocument/2006/relationships/queryTable" Target="../queryTables/queryTable1148.xml"/><Relationship Id="rId99" Type="http://schemas.openxmlformats.org/officeDocument/2006/relationships/queryTable" Target="../queryTables/queryTable1169.xml"/><Relationship Id="rId101" Type="http://schemas.openxmlformats.org/officeDocument/2006/relationships/queryTable" Target="../queryTables/queryTable1171.xml"/><Relationship Id="rId122" Type="http://schemas.openxmlformats.org/officeDocument/2006/relationships/queryTable" Target="../queryTables/queryTable1192.xml"/><Relationship Id="rId143" Type="http://schemas.openxmlformats.org/officeDocument/2006/relationships/queryTable" Target="../queryTables/queryTable1213.xml"/><Relationship Id="rId164" Type="http://schemas.openxmlformats.org/officeDocument/2006/relationships/queryTable" Target="../queryTables/queryTable1234.xml"/><Relationship Id="rId185" Type="http://schemas.openxmlformats.org/officeDocument/2006/relationships/queryTable" Target="../queryTables/queryTable1255.xml"/><Relationship Id="rId350" Type="http://schemas.openxmlformats.org/officeDocument/2006/relationships/queryTable" Target="../queryTables/queryTable1420.xml"/><Relationship Id="rId371" Type="http://schemas.openxmlformats.org/officeDocument/2006/relationships/queryTable" Target="../queryTables/queryTable1441.xml"/><Relationship Id="rId406" Type="http://schemas.openxmlformats.org/officeDocument/2006/relationships/queryTable" Target="../queryTables/queryTable1476.xml"/><Relationship Id="rId9" Type="http://schemas.openxmlformats.org/officeDocument/2006/relationships/queryTable" Target="../queryTables/queryTable1079.xml"/><Relationship Id="rId210" Type="http://schemas.openxmlformats.org/officeDocument/2006/relationships/queryTable" Target="../queryTables/queryTable1280.xml"/><Relationship Id="rId392" Type="http://schemas.openxmlformats.org/officeDocument/2006/relationships/queryTable" Target="../queryTables/queryTable1462.xml"/><Relationship Id="rId427" Type="http://schemas.openxmlformats.org/officeDocument/2006/relationships/queryTable" Target="../queryTables/queryTable1497.xml"/><Relationship Id="rId448" Type="http://schemas.openxmlformats.org/officeDocument/2006/relationships/queryTable" Target="../queryTables/queryTable1518.xml"/><Relationship Id="rId469" Type="http://schemas.openxmlformats.org/officeDocument/2006/relationships/queryTable" Target="../queryTables/queryTable1539.xml"/><Relationship Id="rId26" Type="http://schemas.openxmlformats.org/officeDocument/2006/relationships/queryTable" Target="../queryTables/queryTable1096.xml"/><Relationship Id="rId231" Type="http://schemas.openxmlformats.org/officeDocument/2006/relationships/queryTable" Target="../queryTables/queryTable1301.xml"/><Relationship Id="rId252" Type="http://schemas.openxmlformats.org/officeDocument/2006/relationships/queryTable" Target="../queryTables/queryTable1322.xml"/><Relationship Id="rId273" Type="http://schemas.openxmlformats.org/officeDocument/2006/relationships/queryTable" Target="../queryTables/queryTable1343.xml"/><Relationship Id="rId294" Type="http://schemas.openxmlformats.org/officeDocument/2006/relationships/queryTable" Target="../queryTables/queryTable1364.xml"/><Relationship Id="rId308" Type="http://schemas.openxmlformats.org/officeDocument/2006/relationships/queryTable" Target="../queryTables/queryTable1378.xml"/><Relationship Id="rId329" Type="http://schemas.openxmlformats.org/officeDocument/2006/relationships/queryTable" Target="../queryTables/queryTable1399.xml"/><Relationship Id="rId480" Type="http://schemas.openxmlformats.org/officeDocument/2006/relationships/queryTable" Target="../queryTables/queryTable1550.xml"/><Relationship Id="rId515" Type="http://schemas.openxmlformats.org/officeDocument/2006/relationships/queryTable" Target="../queryTables/queryTable1585.xml"/><Relationship Id="rId47" Type="http://schemas.openxmlformats.org/officeDocument/2006/relationships/queryTable" Target="../queryTables/queryTable1117.xml"/><Relationship Id="rId68" Type="http://schemas.openxmlformats.org/officeDocument/2006/relationships/queryTable" Target="../queryTables/queryTable1138.xml"/><Relationship Id="rId89" Type="http://schemas.openxmlformats.org/officeDocument/2006/relationships/queryTable" Target="../queryTables/queryTable1159.xml"/><Relationship Id="rId112" Type="http://schemas.openxmlformats.org/officeDocument/2006/relationships/queryTable" Target="../queryTables/queryTable1182.xml"/><Relationship Id="rId133" Type="http://schemas.openxmlformats.org/officeDocument/2006/relationships/queryTable" Target="../queryTables/queryTable1203.xml"/><Relationship Id="rId154" Type="http://schemas.openxmlformats.org/officeDocument/2006/relationships/queryTable" Target="../queryTables/queryTable1224.xml"/><Relationship Id="rId175" Type="http://schemas.openxmlformats.org/officeDocument/2006/relationships/queryTable" Target="../queryTables/queryTable1245.xml"/><Relationship Id="rId340" Type="http://schemas.openxmlformats.org/officeDocument/2006/relationships/queryTable" Target="../queryTables/queryTable1410.xml"/><Relationship Id="rId361" Type="http://schemas.openxmlformats.org/officeDocument/2006/relationships/queryTable" Target="../queryTables/queryTable1431.xml"/><Relationship Id="rId196" Type="http://schemas.openxmlformats.org/officeDocument/2006/relationships/queryTable" Target="../queryTables/queryTable1266.xml"/><Relationship Id="rId200" Type="http://schemas.openxmlformats.org/officeDocument/2006/relationships/queryTable" Target="../queryTables/queryTable1270.xml"/><Relationship Id="rId382" Type="http://schemas.openxmlformats.org/officeDocument/2006/relationships/queryTable" Target="../queryTables/queryTable1452.xml"/><Relationship Id="rId417" Type="http://schemas.openxmlformats.org/officeDocument/2006/relationships/queryTable" Target="../queryTables/queryTable1487.xml"/><Relationship Id="rId438" Type="http://schemas.openxmlformats.org/officeDocument/2006/relationships/queryTable" Target="../queryTables/queryTable1508.xml"/><Relationship Id="rId459" Type="http://schemas.openxmlformats.org/officeDocument/2006/relationships/queryTable" Target="../queryTables/queryTable1529.xml"/><Relationship Id="rId16" Type="http://schemas.openxmlformats.org/officeDocument/2006/relationships/queryTable" Target="../queryTables/queryTable1086.xml"/><Relationship Id="rId221" Type="http://schemas.openxmlformats.org/officeDocument/2006/relationships/queryTable" Target="../queryTables/queryTable1291.xml"/><Relationship Id="rId242" Type="http://schemas.openxmlformats.org/officeDocument/2006/relationships/queryTable" Target="../queryTables/queryTable1312.xml"/><Relationship Id="rId263" Type="http://schemas.openxmlformats.org/officeDocument/2006/relationships/queryTable" Target="../queryTables/queryTable1333.xml"/><Relationship Id="rId284" Type="http://schemas.openxmlformats.org/officeDocument/2006/relationships/queryTable" Target="../queryTables/queryTable1354.xml"/><Relationship Id="rId319" Type="http://schemas.openxmlformats.org/officeDocument/2006/relationships/queryTable" Target="../queryTables/queryTable1389.xml"/><Relationship Id="rId470" Type="http://schemas.openxmlformats.org/officeDocument/2006/relationships/queryTable" Target="../queryTables/queryTable1540.xml"/><Relationship Id="rId491" Type="http://schemas.openxmlformats.org/officeDocument/2006/relationships/queryTable" Target="../queryTables/queryTable1561.xml"/><Relationship Id="rId505" Type="http://schemas.openxmlformats.org/officeDocument/2006/relationships/queryTable" Target="../queryTables/queryTable1575.xml"/><Relationship Id="rId37" Type="http://schemas.openxmlformats.org/officeDocument/2006/relationships/queryTable" Target="../queryTables/queryTable1107.xml"/><Relationship Id="rId58" Type="http://schemas.openxmlformats.org/officeDocument/2006/relationships/queryTable" Target="../queryTables/queryTable1128.xml"/><Relationship Id="rId79" Type="http://schemas.openxmlformats.org/officeDocument/2006/relationships/queryTable" Target="../queryTables/queryTable1149.xml"/><Relationship Id="rId102" Type="http://schemas.openxmlformats.org/officeDocument/2006/relationships/queryTable" Target="../queryTables/queryTable1172.xml"/><Relationship Id="rId123" Type="http://schemas.openxmlformats.org/officeDocument/2006/relationships/queryTable" Target="../queryTables/queryTable1193.xml"/><Relationship Id="rId144" Type="http://schemas.openxmlformats.org/officeDocument/2006/relationships/queryTable" Target="../queryTables/queryTable1214.xml"/><Relationship Id="rId330" Type="http://schemas.openxmlformats.org/officeDocument/2006/relationships/queryTable" Target="../queryTables/queryTable1400.xml"/><Relationship Id="rId90" Type="http://schemas.openxmlformats.org/officeDocument/2006/relationships/queryTable" Target="../queryTables/queryTable1160.xml"/><Relationship Id="rId165" Type="http://schemas.openxmlformats.org/officeDocument/2006/relationships/queryTable" Target="../queryTables/queryTable1235.xml"/><Relationship Id="rId186" Type="http://schemas.openxmlformats.org/officeDocument/2006/relationships/queryTable" Target="../queryTables/queryTable1256.xml"/><Relationship Id="rId351" Type="http://schemas.openxmlformats.org/officeDocument/2006/relationships/queryTable" Target="../queryTables/queryTable1421.xml"/><Relationship Id="rId372" Type="http://schemas.openxmlformats.org/officeDocument/2006/relationships/queryTable" Target="../queryTables/queryTable1442.xml"/><Relationship Id="rId393" Type="http://schemas.openxmlformats.org/officeDocument/2006/relationships/queryTable" Target="../queryTables/queryTable1463.xml"/><Relationship Id="rId407" Type="http://schemas.openxmlformats.org/officeDocument/2006/relationships/queryTable" Target="../queryTables/queryTable1477.xml"/><Relationship Id="rId428" Type="http://schemas.openxmlformats.org/officeDocument/2006/relationships/queryTable" Target="../queryTables/queryTable1498.xml"/><Relationship Id="rId449" Type="http://schemas.openxmlformats.org/officeDocument/2006/relationships/queryTable" Target="../queryTables/queryTable1519.xml"/><Relationship Id="rId211" Type="http://schemas.openxmlformats.org/officeDocument/2006/relationships/queryTable" Target="../queryTables/queryTable1281.xml"/><Relationship Id="rId232" Type="http://schemas.openxmlformats.org/officeDocument/2006/relationships/queryTable" Target="../queryTables/queryTable1302.xml"/><Relationship Id="rId253" Type="http://schemas.openxmlformats.org/officeDocument/2006/relationships/queryTable" Target="../queryTables/queryTable1323.xml"/><Relationship Id="rId274" Type="http://schemas.openxmlformats.org/officeDocument/2006/relationships/queryTable" Target="../queryTables/queryTable1344.xml"/><Relationship Id="rId295" Type="http://schemas.openxmlformats.org/officeDocument/2006/relationships/queryTable" Target="../queryTables/queryTable1365.xml"/><Relationship Id="rId309" Type="http://schemas.openxmlformats.org/officeDocument/2006/relationships/queryTable" Target="../queryTables/queryTable1379.xml"/><Relationship Id="rId460" Type="http://schemas.openxmlformats.org/officeDocument/2006/relationships/queryTable" Target="../queryTables/queryTable1530.xml"/><Relationship Id="rId481" Type="http://schemas.openxmlformats.org/officeDocument/2006/relationships/queryTable" Target="../queryTables/queryTable1551.xml"/><Relationship Id="rId516" Type="http://schemas.openxmlformats.org/officeDocument/2006/relationships/queryTable" Target="../queryTables/queryTable1586.xml"/><Relationship Id="rId27" Type="http://schemas.openxmlformats.org/officeDocument/2006/relationships/queryTable" Target="../queryTables/queryTable1097.xml"/><Relationship Id="rId48" Type="http://schemas.openxmlformats.org/officeDocument/2006/relationships/queryTable" Target="../queryTables/queryTable1118.xml"/><Relationship Id="rId69" Type="http://schemas.openxmlformats.org/officeDocument/2006/relationships/queryTable" Target="../queryTables/queryTable1139.xml"/><Relationship Id="rId113" Type="http://schemas.openxmlformats.org/officeDocument/2006/relationships/queryTable" Target="../queryTables/queryTable1183.xml"/><Relationship Id="rId134" Type="http://schemas.openxmlformats.org/officeDocument/2006/relationships/queryTable" Target="../queryTables/queryTable1204.xml"/><Relationship Id="rId320" Type="http://schemas.openxmlformats.org/officeDocument/2006/relationships/queryTable" Target="../queryTables/queryTable1390.xml"/><Relationship Id="rId80" Type="http://schemas.openxmlformats.org/officeDocument/2006/relationships/queryTable" Target="../queryTables/queryTable1150.xml"/><Relationship Id="rId155" Type="http://schemas.openxmlformats.org/officeDocument/2006/relationships/queryTable" Target="../queryTables/queryTable1225.xml"/><Relationship Id="rId176" Type="http://schemas.openxmlformats.org/officeDocument/2006/relationships/queryTable" Target="../queryTables/queryTable1246.xml"/><Relationship Id="rId197" Type="http://schemas.openxmlformats.org/officeDocument/2006/relationships/queryTable" Target="../queryTables/queryTable1267.xml"/><Relationship Id="rId341" Type="http://schemas.openxmlformats.org/officeDocument/2006/relationships/queryTable" Target="../queryTables/queryTable1411.xml"/><Relationship Id="rId362" Type="http://schemas.openxmlformats.org/officeDocument/2006/relationships/queryTable" Target="../queryTables/queryTable1432.xml"/><Relationship Id="rId383" Type="http://schemas.openxmlformats.org/officeDocument/2006/relationships/queryTable" Target="../queryTables/queryTable1453.xml"/><Relationship Id="rId418" Type="http://schemas.openxmlformats.org/officeDocument/2006/relationships/queryTable" Target="../queryTables/queryTable1488.xml"/><Relationship Id="rId439" Type="http://schemas.openxmlformats.org/officeDocument/2006/relationships/queryTable" Target="../queryTables/queryTable1509.xml"/><Relationship Id="rId201" Type="http://schemas.openxmlformats.org/officeDocument/2006/relationships/queryTable" Target="../queryTables/queryTable1271.xml"/><Relationship Id="rId222" Type="http://schemas.openxmlformats.org/officeDocument/2006/relationships/queryTable" Target="../queryTables/queryTable1292.xml"/><Relationship Id="rId243" Type="http://schemas.openxmlformats.org/officeDocument/2006/relationships/queryTable" Target="../queryTables/queryTable1313.xml"/><Relationship Id="rId264" Type="http://schemas.openxmlformats.org/officeDocument/2006/relationships/queryTable" Target="../queryTables/queryTable1334.xml"/><Relationship Id="rId285" Type="http://schemas.openxmlformats.org/officeDocument/2006/relationships/queryTable" Target="../queryTables/queryTable1355.xml"/><Relationship Id="rId450" Type="http://schemas.openxmlformats.org/officeDocument/2006/relationships/queryTable" Target="../queryTables/queryTable1520.xml"/><Relationship Id="rId471" Type="http://schemas.openxmlformats.org/officeDocument/2006/relationships/queryTable" Target="../queryTables/queryTable1541.xml"/><Relationship Id="rId506" Type="http://schemas.openxmlformats.org/officeDocument/2006/relationships/queryTable" Target="../queryTables/queryTable1576.xml"/><Relationship Id="rId17" Type="http://schemas.openxmlformats.org/officeDocument/2006/relationships/queryTable" Target="../queryTables/queryTable1087.xml"/><Relationship Id="rId38" Type="http://schemas.openxmlformats.org/officeDocument/2006/relationships/queryTable" Target="../queryTables/queryTable1108.xml"/><Relationship Id="rId59" Type="http://schemas.openxmlformats.org/officeDocument/2006/relationships/queryTable" Target="../queryTables/queryTable1129.xml"/><Relationship Id="rId103" Type="http://schemas.openxmlformats.org/officeDocument/2006/relationships/queryTable" Target="../queryTables/queryTable1173.xml"/><Relationship Id="rId124" Type="http://schemas.openxmlformats.org/officeDocument/2006/relationships/queryTable" Target="../queryTables/queryTable1194.xml"/><Relationship Id="rId310" Type="http://schemas.openxmlformats.org/officeDocument/2006/relationships/queryTable" Target="../queryTables/queryTable1380.xml"/><Relationship Id="rId492" Type="http://schemas.openxmlformats.org/officeDocument/2006/relationships/queryTable" Target="../queryTables/queryTable1562.xml"/><Relationship Id="rId70" Type="http://schemas.openxmlformats.org/officeDocument/2006/relationships/queryTable" Target="../queryTables/queryTable1140.xml"/><Relationship Id="rId91" Type="http://schemas.openxmlformats.org/officeDocument/2006/relationships/queryTable" Target="../queryTables/queryTable1161.xml"/><Relationship Id="rId145" Type="http://schemas.openxmlformats.org/officeDocument/2006/relationships/queryTable" Target="../queryTables/queryTable1215.xml"/><Relationship Id="rId166" Type="http://schemas.openxmlformats.org/officeDocument/2006/relationships/queryTable" Target="../queryTables/queryTable1236.xml"/><Relationship Id="rId187" Type="http://schemas.openxmlformats.org/officeDocument/2006/relationships/queryTable" Target="../queryTables/queryTable1257.xml"/><Relationship Id="rId331" Type="http://schemas.openxmlformats.org/officeDocument/2006/relationships/queryTable" Target="../queryTables/queryTable1401.xml"/><Relationship Id="rId352" Type="http://schemas.openxmlformats.org/officeDocument/2006/relationships/queryTable" Target="../queryTables/queryTable1422.xml"/><Relationship Id="rId373" Type="http://schemas.openxmlformats.org/officeDocument/2006/relationships/queryTable" Target="../queryTables/queryTable1443.xml"/><Relationship Id="rId394" Type="http://schemas.openxmlformats.org/officeDocument/2006/relationships/queryTable" Target="../queryTables/queryTable1464.xml"/><Relationship Id="rId408" Type="http://schemas.openxmlformats.org/officeDocument/2006/relationships/queryTable" Target="../queryTables/queryTable1478.xml"/><Relationship Id="rId429" Type="http://schemas.openxmlformats.org/officeDocument/2006/relationships/queryTable" Target="../queryTables/queryTable1499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82.xml"/><Relationship Id="rId233" Type="http://schemas.openxmlformats.org/officeDocument/2006/relationships/queryTable" Target="../queryTables/queryTable1303.xml"/><Relationship Id="rId254" Type="http://schemas.openxmlformats.org/officeDocument/2006/relationships/queryTable" Target="../queryTables/queryTable1324.xml"/><Relationship Id="rId440" Type="http://schemas.openxmlformats.org/officeDocument/2006/relationships/queryTable" Target="../queryTables/queryTable1510.xml"/><Relationship Id="rId28" Type="http://schemas.openxmlformats.org/officeDocument/2006/relationships/queryTable" Target="../queryTables/queryTable1098.xml"/><Relationship Id="rId49" Type="http://schemas.openxmlformats.org/officeDocument/2006/relationships/queryTable" Target="../queryTables/queryTable1119.xml"/><Relationship Id="rId114" Type="http://schemas.openxmlformats.org/officeDocument/2006/relationships/queryTable" Target="../queryTables/queryTable1184.xml"/><Relationship Id="rId275" Type="http://schemas.openxmlformats.org/officeDocument/2006/relationships/queryTable" Target="../queryTables/queryTable1345.xml"/><Relationship Id="rId296" Type="http://schemas.openxmlformats.org/officeDocument/2006/relationships/queryTable" Target="../queryTables/queryTable1366.xml"/><Relationship Id="rId300" Type="http://schemas.openxmlformats.org/officeDocument/2006/relationships/queryTable" Target="../queryTables/queryTable1370.xml"/><Relationship Id="rId461" Type="http://schemas.openxmlformats.org/officeDocument/2006/relationships/queryTable" Target="../queryTables/queryTable1531.xml"/><Relationship Id="rId482" Type="http://schemas.openxmlformats.org/officeDocument/2006/relationships/queryTable" Target="../queryTables/queryTable1552.xml"/><Relationship Id="rId517" Type="http://schemas.openxmlformats.org/officeDocument/2006/relationships/queryTable" Target="../queryTables/queryTable1587.xml"/><Relationship Id="rId60" Type="http://schemas.openxmlformats.org/officeDocument/2006/relationships/queryTable" Target="../queryTables/queryTable1130.xml"/><Relationship Id="rId81" Type="http://schemas.openxmlformats.org/officeDocument/2006/relationships/queryTable" Target="../queryTables/queryTable1151.xml"/><Relationship Id="rId135" Type="http://schemas.openxmlformats.org/officeDocument/2006/relationships/queryTable" Target="../queryTables/queryTable1205.xml"/><Relationship Id="rId156" Type="http://schemas.openxmlformats.org/officeDocument/2006/relationships/queryTable" Target="../queryTables/queryTable1226.xml"/><Relationship Id="rId177" Type="http://schemas.openxmlformats.org/officeDocument/2006/relationships/queryTable" Target="../queryTables/queryTable1247.xml"/><Relationship Id="rId198" Type="http://schemas.openxmlformats.org/officeDocument/2006/relationships/queryTable" Target="../queryTables/queryTable1268.xml"/><Relationship Id="rId321" Type="http://schemas.openxmlformats.org/officeDocument/2006/relationships/queryTable" Target="../queryTables/queryTable1391.xml"/><Relationship Id="rId342" Type="http://schemas.openxmlformats.org/officeDocument/2006/relationships/queryTable" Target="../queryTables/queryTable1412.xml"/><Relationship Id="rId363" Type="http://schemas.openxmlformats.org/officeDocument/2006/relationships/queryTable" Target="../queryTables/queryTable1433.xml"/><Relationship Id="rId384" Type="http://schemas.openxmlformats.org/officeDocument/2006/relationships/queryTable" Target="../queryTables/queryTable1454.xml"/><Relationship Id="rId419" Type="http://schemas.openxmlformats.org/officeDocument/2006/relationships/queryTable" Target="../queryTables/queryTable1489.xml"/><Relationship Id="rId202" Type="http://schemas.openxmlformats.org/officeDocument/2006/relationships/queryTable" Target="../queryTables/queryTable1272.xml"/><Relationship Id="rId223" Type="http://schemas.openxmlformats.org/officeDocument/2006/relationships/queryTable" Target="../queryTables/queryTable1293.xml"/><Relationship Id="rId244" Type="http://schemas.openxmlformats.org/officeDocument/2006/relationships/queryTable" Target="../queryTables/queryTable1314.xml"/><Relationship Id="rId430" Type="http://schemas.openxmlformats.org/officeDocument/2006/relationships/queryTable" Target="../queryTables/queryTable1500.xml"/><Relationship Id="rId18" Type="http://schemas.openxmlformats.org/officeDocument/2006/relationships/queryTable" Target="../queryTables/queryTable1088.xml"/><Relationship Id="rId39" Type="http://schemas.openxmlformats.org/officeDocument/2006/relationships/queryTable" Target="../queryTables/queryTable1109.xml"/><Relationship Id="rId265" Type="http://schemas.openxmlformats.org/officeDocument/2006/relationships/queryTable" Target="../queryTables/queryTable1335.xml"/><Relationship Id="rId286" Type="http://schemas.openxmlformats.org/officeDocument/2006/relationships/queryTable" Target="../queryTables/queryTable1356.xml"/><Relationship Id="rId451" Type="http://schemas.openxmlformats.org/officeDocument/2006/relationships/queryTable" Target="../queryTables/queryTable1521.xml"/><Relationship Id="rId472" Type="http://schemas.openxmlformats.org/officeDocument/2006/relationships/queryTable" Target="../queryTables/queryTable1542.xml"/><Relationship Id="rId493" Type="http://schemas.openxmlformats.org/officeDocument/2006/relationships/queryTable" Target="../queryTables/queryTable1563.xml"/><Relationship Id="rId507" Type="http://schemas.openxmlformats.org/officeDocument/2006/relationships/queryTable" Target="../queryTables/queryTable1577.xml"/><Relationship Id="rId50" Type="http://schemas.openxmlformats.org/officeDocument/2006/relationships/queryTable" Target="../queryTables/queryTable1120.xml"/><Relationship Id="rId104" Type="http://schemas.openxmlformats.org/officeDocument/2006/relationships/queryTable" Target="../queryTables/queryTable1174.xml"/><Relationship Id="rId125" Type="http://schemas.openxmlformats.org/officeDocument/2006/relationships/queryTable" Target="../queryTables/queryTable1195.xml"/><Relationship Id="rId146" Type="http://schemas.openxmlformats.org/officeDocument/2006/relationships/queryTable" Target="../queryTables/queryTable1216.xml"/><Relationship Id="rId167" Type="http://schemas.openxmlformats.org/officeDocument/2006/relationships/queryTable" Target="../queryTables/queryTable1237.xml"/><Relationship Id="rId188" Type="http://schemas.openxmlformats.org/officeDocument/2006/relationships/queryTable" Target="../queryTables/queryTable1258.xml"/><Relationship Id="rId311" Type="http://schemas.openxmlformats.org/officeDocument/2006/relationships/queryTable" Target="../queryTables/queryTable1381.xml"/><Relationship Id="rId332" Type="http://schemas.openxmlformats.org/officeDocument/2006/relationships/queryTable" Target="../queryTables/queryTable1402.xml"/><Relationship Id="rId353" Type="http://schemas.openxmlformats.org/officeDocument/2006/relationships/queryTable" Target="../queryTables/queryTable1423.xml"/><Relationship Id="rId374" Type="http://schemas.openxmlformats.org/officeDocument/2006/relationships/queryTable" Target="../queryTables/queryTable1444.xml"/><Relationship Id="rId395" Type="http://schemas.openxmlformats.org/officeDocument/2006/relationships/queryTable" Target="../queryTables/queryTable1465.xml"/><Relationship Id="rId409" Type="http://schemas.openxmlformats.org/officeDocument/2006/relationships/queryTable" Target="../queryTables/queryTable1479.xml"/><Relationship Id="rId71" Type="http://schemas.openxmlformats.org/officeDocument/2006/relationships/queryTable" Target="../queryTables/queryTable1141.xml"/><Relationship Id="rId92" Type="http://schemas.openxmlformats.org/officeDocument/2006/relationships/queryTable" Target="../queryTables/queryTable1162.xml"/><Relationship Id="rId213" Type="http://schemas.openxmlformats.org/officeDocument/2006/relationships/queryTable" Target="../queryTables/queryTable1283.xml"/><Relationship Id="rId234" Type="http://schemas.openxmlformats.org/officeDocument/2006/relationships/queryTable" Target="../queryTables/queryTable1304.xml"/><Relationship Id="rId420" Type="http://schemas.openxmlformats.org/officeDocument/2006/relationships/queryTable" Target="../queryTables/queryTable1490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99.xml"/><Relationship Id="rId255" Type="http://schemas.openxmlformats.org/officeDocument/2006/relationships/queryTable" Target="../queryTables/queryTable1325.xml"/><Relationship Id="rId276" Type="http://schemas.openxmlformats.org/officeDocument/2006/relationships/queryTable" Target="../queryTables/queryTable1346.xml"/><Relationship Id="rId297" Type="http://schemas.openxmlformats.org/officeDocument/2006/relationships/queryTable" Target="../queryTables/queryTable1367.xml"/><Relationship Id="rId441" Type="http://schemas.openxmlformats.org/officeDocument/2006/relationships/queryTable" Target="../queryTables/queryTable1511.xml"/><Relationship Id="rId462" Type="http://schemas.openxmlformats.org/officeDocument/2006/relationships/queryTable" Target="../queryTables/queryTable1532.xml"/><Relationship Id="rId483" Type="http://schemas.openxmlformats.org/officeDocument/2006/relationships/queryTable" Target="../queryTables/queryTable1553.xml"/><Relationship Id="rId518" Type="http://schemas.openxmlformats.org/officeDocument/2006/relationships/queryTable" Target="../queryTables/queryTable1588.xml"/><Relationship Id="rId40" Type="http://schemas.openxmlformats.org/officeDocument/2006/relationships/queryTable" Target="../queryTables/queryTable1110.xml"/><Relationship Id="rId115" Type="http://schemas.openxmlformats.org/officeDocument/2006/relationships/queryTable" Target="../queryTables/queryTable1185.xml"/><Relationship Id="rId136" Type="http://schemas.openxmlformats.org/officeDocument/2006/relationships/queryTable" Target="../queryTables/queryTable1206.xml"/><Relationship Id="rId157" Type="http://schemas.openxmlformats.org/officeDocument/2006/relationships/queryTable" Target="../queryTables/queryTable1227.xml"/><Relationship Id="rId178" Type="http://schemas.openxmlformats.org/officeDocument/2006/relationships/queryTable" Target="../queryTables/queryTable1248.xml"/><Relationship Id="rId301" Type="http://schemas.openxmlformats.org/officeDocument/2006/relationships/queryTable" Target="../queryTables/queryTable1371.xml"/><Relationship Id="rId322" Type="http://schemas.openxmlformats.org/officeDocument/2006/relationships/queryTable" Target="../queryTables/queryTable1392.xml"/><Relationship Id="rId343" Type="http://schemas.openxmlformats.org/officeDocument/2006/relationships/queryTable" Target="../queryTables/queryTable1413.xml"/><Relationship Id="rId364" Type="http://schemas.openxmlformats.org/officeDocument/2006/relationships/queryTable" Target="../queryTables/queryTable1434.xml"/><Relationship Id="rId61" Type="http://schemas.openxmlformats.org/officeDocument/2006/relationships/queryTable" Target="../queryTables/queryTable1131.xml"/><Relationship Id="rId82" Type="http://schemas.openxmlformats.org/officeDocument/2006/relationships/queryTable" Target="../queryTables/queryTable1152.xml"/><Relationship Id="rId199" Type="http://schemas.openxmlformats.org/officeDocument/2006/relationships/queryTable" Target="../queryTables/queryTable1269.xml"/><Relationship Id="rId203" Type="http://schemas.openxmlformats.org/officeDocument/2006/relationships/queryTable" Target="../queryTables/queryTable1273.xml"/><Relationship Id="rId385" Type="http://schemas.openxmlformats.org/officeDocument/2006/relationships/queryTable" Target="../queryTables/queryTable1455.xml"/><Relationship Id="rId19" Type="http://schemas.openxmlformats.org/officeDocument/2006/relationships/queryTable" Target="../queryTables/queryTable1089.xml"/><Relationship Id="rId224" Type="http://schemas.openxmlformats.org/officeDocument/2006/relationships/queryTable" Target="../queryTables/queryTable1294.xml"/><Relationship Id="rId245" Type="http://schemas.openxmlformats.org/officeDocument/2006/relationships/queryTable" Target="../queryTables/queryTable1315.xml"/><Relationship Id="rId266" Type="http://schemas.openxmlformats.org/officeDocument/2006/relationships/queryTable" Target="../queryTables/queryTable1336.xml"/><Relationship Id="rId287" Type="http://schemas.openxmlformats.org/officeDocument/2006/relationships/queryTable" Target="../queryTables/queryTable1357.xml"/><Relationship Id="rId410" Type="http://schemas.openxmlformats.org/officeDocument/2006/relationships/queryTable" Target="../queryTables/queryTable1480.xml"/><Relationship Id="rId431" Type="http://schemas.openxmlformats.org/officeDocument/2006/relationships/queryTable" Target="../queryTables/queryTable1501.xml"/><Relationship Id="rId452" Type="http://schemas.openxmlformats.org/officeDocument/2006/relationships/queryTable" Target="../queryTables/queryTable1522.xml"/><Relationship Id="rId473" Type="http://schemas.openxmlformats.org/officeDocument/2006/relationships/queryTable" Target="../queryTables/queryTable1543.xml"/><Relationship Id="rId494" Type="http://schemas.openxmlformats.org/officeDocument/2006/relationships/queryTable" Target="../queryTables/queryTable1564.xml"/><Relationship Id="rId508" Type="http://schemas.openxmlformats.org/officeDocument/2006/relationships/queryTable" Target="../queryTables/queryTable1578.xml"/><Relationship Id="rId30" Type="http://schemas.openxmlformats.org/officeDocument/2006/relationships/queryTable" Target="../queryTables/queryTable1100.xml"/><Relationship Id="rId105" Type="http://schemas.openxmlformats.org/officeDocument/2006/relationships/queryTable" Target="../queryTables/queryTable1175.xml"/><Relationship Id="rId126" Type="http://schemas.openxmlformats.org/officeDocument/2006/relationships/queryTable" Target="../queryTables/queryTable1196.xml"/><Relationship Id="rId147" Type="http://schemas.openxmlformats.org/officeDocument/2006/relationships/queryTable" Target="../queryTables/queryTable1217.xml"/><Relationship Id="rId168" Type="http://schemas.openxmlformats.org/officeDocument/2006/relationships/queryTable" Target="../queryTables/queryTable1238.xml"/><Relationship Id="rId312" Type="http://schemas.openxmlformats.org/officeDocument/2006/relationships/queryTable" Target="../queryTables/queryTable1382.xml"/><Relationship Id="rId333" Type="http://schemas.openxmlformats.org/officeDocument/2006/relationships/queryTable" Target="../queryTables/queryTable1403.xml"/><Relationship Id="rId354" Type="http://schemas.openxmlformats.org/officeDocument/2006/relationships/queryTable" Target="../queryTables/queryTable1424.xml"/><Relationship Id="rId51" Type="http://schemas.openxmlformats.org/officeDocument/2006/relationships/queryTable" Target="../queryTables/queryTable1121.xml"/><Relationship Id="rId72" Type="http://schemas.openxmlformats.org/officeDocument/2006/relationships/queryTable" Target="../queryTables/queryTable1142.xml"/><Relationship Id="rId93" Type="http://schemas.openxmlformats.org/officeDocument/2006/relationships/queryTable" Target="../queryTables/queryTable1163.xml"/><Relationship Id="rId189" Type="http://schemas.openxmlformats.org/officeDocument/2006/relationships/queryTable" Target="../queryTables/queryTable1259.xml"/><Relationship Id="rId375" Type="http://schemas.openxmlformats.org/officeDocument/2006/relationships/queryTable" Target="../queryTables/queryTable1445.xml"/><Relationship Id="rId396" Type="http://schemas.openxmlformats.org/officeDocument/2006/relationships/queryTable" Target="../queryTables/queryTable1466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84.xml"/><Relationship Id="rId235" Type="http://schemas.openxmlformats.org/officeDocument/2006/relationships/queryTable" Target="../queryTables/queryTable1305.xml"/><Relationship Id="rId256" Type="http://schemas.openxmlformats.org/officeDocument/2006/relationships/queryTable" Target="../queryTables/queryTable1326.xml"/><Relationship Id="rId277" Type="http://schemas.openxmlformats.org/officeDocument/2006/relationships/queryTable" Target="../queryTables/queryTable1347.xml"/><Relationship Id="rId298" Type="http://schemas.openxmlformats.org/officeDocument/2006/relationships/queryTable" Target="../queryTables/queryTable1368.xml"/><Relationship Id="rId400" Type="http://schemas.openxmlformats.org/officeDocument/2006/relationships/queryTable" Target="../queryTables/queryTable1470.xml"/><Relationship Id="rId421" Type="http://schemas.openxmlformats.org/officeDocument/2006/relationships/queryTable" Target="../queryTables/queryTable1491.xml"/><Relationship Id="rId442" Type="http://schemas.openxmlformats.org/officeDocument/2006/relationships/queryTable" Target="../queryTables/queryTable1512.xml"/><Relationship Id="rId463" Type="http://schemas.openxmlformats.org/officeDocument/2006/relationships/queryTable" Target="../queryTables/queryTable1533.xml"/><Relationship Id="rId484" Type="http://schemas.openxmlformats.org/officeDocument/2006/relationships/queryTable" Target="../queryTables/queryTable1554.xml"/><Relationship Id="rId519" Type="http://schemas.openxmlformats.org/officeDocument/2006/relationships/queryTable" Target="../queryTables/queryTable1589.xml"/><Relationship Id="rId116" Type="http://schemas.openxmlformats.org/officeDocument/2006/relationships/queryTable" Target="../queryTables/queryTable1186.xml"/><Relationship Id="rId137" Type="http://schemas.openxmlformats.org/officeDocument/2006/relationships/queryTable" Target="../queryTables/queryTable1207.xml"/><Relationship Id="rId158" Type="http://schemas.openxmlformats.org/officeDocument/2006/relationships/queryTable" Target="../queryTables/queryTable1228.xml"/><Relationship Id="rId302" Type="http://schemas.openxmlformats.org/officeDocument/2006/relationships/queryTable" Target="../queryTables/queryTable1372.xml"/><Relationship Id="rId323" Type="http://schemas.openxmlformats.org/officeDocument/2006/relationships/queryTable" Target="../queryTables/queryTable1393.xml"/><Relationship Id="rId344" Type="http://schemas.openxmlformats.org/officeDocument/2006/relationships/queryTable" Target="../queryTables/queryTable1414.xml"/><Relationship Id="rId20" Type="http://schemas.openxmlformats.org/officeDocument/2006/relationships/queryTable" Target="../queryTables/queryTable1090.xml"/><Relationship Id="rId41" Type="http://schemas.openxmlformats.org/officeDocument/2006/relationships/queryTable" Target="../queryTables/queryTable1111.xml"/><Relationship Id="rId62" Type="http://schemas.openxmlformats.org/officeDocument/2006/relationships/queryTable" Target="../queryTables/queryTable1132.xml"/><Relationship Id="rId83" Type="http://schemas.openxmlformats.org/officeDocument/2006/relationships/queryTable" Target="../queryTables/queryTable1153.xml"/><Relationship Id="rId179" Type="http://schemas.openxmlformats.org/officeDocument/2006/relationships/queryTable" Target="../queryTables/queryTable1249.xml"/><Relationship Id="rId365" Type="http://schemas.openxmlformats.org/officeDocument/2006/relationships/queryTable" Target="../queryTables/queryTable1435.xml"/><Relationship Id="rId386" Type="http://schemas.openxmlformats.org/officeDocument/2006/relationships/queryTable" Target="../queryTables/queryTable1456.xml"/><Relationship Id="rId190" Type="http://schemas.openxmlformats.org/officeDocument/2006/relationships/queryTable" Target="../queryTables/queryTable1260.xml"/><Relationship Id="rId204" Type="http://schemas.openxmlformats.org/officeDocument/2006/relationships/queryTable" Target="../queryTables/queryTable1274.xml"/><Relationship Id="rId225" Type="http://schemas.openxmlformats.org/officeDocument/2006/relationships/queryTable" Target="../queryTables/queryTable1295.xml"/><Relationship Id="rId246" Type="http://schemas.openxmlformats.org/officeDocument/2006/relationships/queryTable" Target="../queryTables/queryTable1316.xml"/><Relationship Id="rId267" Type="http://schemas.openxmlformats.org/officeDocument/2006/relationships/queryTable" Target="../queryTables/queryTable1337.xml"/><Relationship Id="rId288" Type="http://schemas.openxmlformats.org/officeDocument/2006/relationships/queryTable" Target="../queryTables/queryTable1358.xml"/><Relationship Id="rId411" Type="http://schemas.openxmlformats.org/officeDocument/2006/relationships/queryTable" Target="../queryTables/queryTable1481.xml"/><Relationship Id="rId432" Type="http://schemas.openxmlformats.org/officeDocument/2006/relationships/queryTable" Target="../queryTables/queryTable1502.xml"/><Relationship Id="rId453" Type="http://schemas.openxmlformats.org/officeDocument/2006/relationships/queryTable" Target="../queryTables/queryTable1523.xml"/><Relationship Id="rId474" Type="http://schemas.openxmlformats.org/officeDocument/2006/relationships/queryTable" Target="../queryTables/queryTable1544.xml"/><Relationship Id="rId509" Type="http://schemas.openxmlformats.org/officeDocument/2006/relationships/queryTable" Target="../queryTables/queryTable1579.xml"/><Relationship Id="rId106" Type="http://schemas.openxmlformats.org/officeDocument/2006/relationships/queryTable" Target="../queryTables/queryTable1176.xml"/><Relationship Id="rId127" Type="http://schemas.openxmlformats.org/officeDocument/2006/relationships/queryTable" Target="../queryTables/queryTable1197.xml"/><Relationship Id="rId313" Type="http://schemas.openxmlformats.org/officeDocument/2006/relationships/queryTable" Target="../queryTables/queryTable1383.xml"/><Relationship Id="rId495" Type="http://schemas.openxmlformats.org/officeDocument/2006/relationships/queryTable" Target="../queryTables/queryTable1565.xml"/><Relationship Id="rId10" Type="http://schemas.openxmlformats.org/officeDocument/2006/relationships/queryTable" Target="../queryTables/queryTable1080.xml"/><Relationship Id="rId31" Type="http://schemas.openxmlformats.org/officeDocument/2006/relationships/queryTable" Target="../queryTables/queryTable1101.xml"/><Relationship Id="rId52" Type="http://schemas.openxmlformats.org/officeDocument/2006/relationships/queryTable" Target="../queryTables/queryTable1122.xml"/><Relationship Id="rId73" Type="http://schemas.openxmlformats.org/officeDocument/2006/relationships/queryTable" Target="../queryTables/queryTable1143.xml"/><Relationship Id="rId94" Type="http://schemas.openxmlformats.org/officeDocument/2006/relationships/queryTable" Target="../queryTables/queryTable1164.xml"/><Relationship Id="rId148" Type="http://schemas.openxmlformats.org/officeDocument/2006/relationships/queryTable" Target="../queryTables/queryTable1218.xml"/><Relationship Id="rId169" Type="http://schemas.openxmlformats.org/officeDocument/2006/relationships/queryTable" Target="../queryTables/queryTable1239.xml"/><Relationship Id="rId334" Type="http://schemas.openxmlformats.org/officeDocument/2006/relationships/queryTable" Target="../queryTables/queryTable1404.xml"/><Relationship Id="rId355" Type="http://schemas.openxmlformats.org/officeDocument/2006/relationships/queryTable" Target="../queryTables/queryTable1425.xml"/><Relationship Id="rId376" Type="http://schemas.openxmlformats.org/officeDocument/2006/relationships/queryTable" Target="../queryTables/queryTable1446.xml"/><Relationship Id="rId397" Type="http://schemas.openxmlformats.org/officeDocument/2006/relationships/queryTable" Target="../queryTables/queryTable1467.xml"/><Relationship Id="rId520" Type="http://schemas.openxmlformats.org/officeDocument/2006/relationships/queryTable" Target="../queryTables/queryTable1590.xml"/><Relationship Id="rId4" Type="http://schemas.openxmlformats.org/officeDocument/2006/relationships/queryTable" Target="../queryTables/queryTable1074.xml"/><Relationship Id="rId180" Type="http://schemas.openxmlformats.org/officeDocument/2006/relationships/queryTable" Target="../queryTables/queryTable1250.xml"/><Relationship Id="rId215" Type="http://schemas.openxmlformats.org/officeDocument/2006/relationships/queryTable" Target="../queryTables/queryTable1285.xml"/><Relationship Id="rId236" Type="http://schemas.openxmlformats.org/officeDocument/2006/relationships/queryTable" Target="../queryTables/queryTable1306.xml"/><Relationship Id="rId257" Type="http://schemas.openxmlformats.org/officeDocument/2006/relationships/queryTable" Target="../queryTables/queryTable1327.xml"/><Relationship Id="rId278" Type="http://schemas.openxmlformats.org/officeDocument/2006/relationships/queryTable" Target="../queryTables/queryTable1348.xml"/><Relationship Id="rId401" Type="http://schemas.openxmlformats.org/officeDocument/2006/relationships/queryTable" Target="../queryTables/queryTable1471.xml"/><Relationship Id="rId422" Type="http://schemas.openxmlformats.org/officeDocument/2006/relationships/queryTable" Target="../queryTables/queryTable1492.xml"/><Relationship Id="rId443" Type="http://schemas.openxmlformats.org/officeDocument/2006/relationships/queryTable" Target="../queryTables/queryTable1513.xml"/><Relationship Id="rId464" Type="http://schemas.openxmlformats.org/officeDocument/2006/relationships/queryTable" Target="../queryTables/queryTable1534.xml"/><Relationship Id="rId303" Type="http://schemas.openxmlformats.org/officeDocument/2006/relationships/queryTable" Target="../queryTables/queryTable1373.xml"/><Relationship Id="rId485" Type="http://schemas.openxmlformats.org/officeDocument/2006/relationships/queryTable" Target="../queryTables/queryTable1555.xml"/><Relationship Id="rId42" Type="http://schemas.openxmlformats.org/officeDocument/2006/relationships/queryTable" Target="../queryTables/queryTable1112.xml"/><Relationship Id="rId84" Type="http://schemas.openxmlformats.org/officeDocument/2006/relationships/queryTable" Target="../queryTables/queryTable1154.xml"/><Relationship Id="rId138" Type="http://schemas.openxmlformats.org/officeDocument/2006/relationships/queryTable" Target="../queryTables/queryTable1208.xml"/><Relationship Id="rId345" Type="http://schemas.openxmlformats.org/officeDocument/2006/relationships/queryTable" Target="../queryTables/queryTable1415.xml"/><Relationship Id="rId387" Type="http://schemas.openxmlformats.org/officeDocument/2006/relationships/queryTable" Target="../queryTables/queryTable1457.xml"/><Relationship Id="rId510" Type="http://schemas.openxmlformats.org/officeDocument/2006/relationships/queryTable" Target="../queryTables/queryTable1580.xml"/><Relationship Id="rId191" Type="http://schemas.openxmlformats.org/officeDocument/2006/relationships/queryTable" Target="../queryTables/queryTable1261.xml"/><Relationship Id="rId205" Type="http://schemas.openxmlformats.org/officeDocument/2006/relationships/queryTable" Target="../queryTables/queryTable1275.xml"/><Relationship Id="rId247" Type="http://schemas.openxmlformats.org/officeDocument/2006/relationships/queryTable" Target="../queryTables/queryTable1317.xml"/><Relationship Id="rId412" Type="http://schemas.openxmlformats.org/officeDocument/2006/relationships/queryTable" Target="../queryTables/queryTable1482.xml"/><Relationship Id="rId107" Type="http://schemas.openxmlformats.org/officeDocument/2006/relationships/queryTable" Target="../queryTables/queryTable1177.xml"/><Relationship Id="rId289" Type="http://schemas.openxmlformats.org/officeDocument/2006/relationships/queryTable" Target="../queryTables/queryTable1359.xml"/><Relationship Id="rId454" Type="http://schemas.openxmlformats.org/officeDocument/2006/relationships/queryTable" Target="../queryTables/queryTable1524.xml"/><Relationship Id="rId496" Type="http://schemas.openxmlformats.org/officeDocument/2006/relationships/queryTable" Target="../queryTables/queryTable1566.xml"/><Relationship Id="rId11" Type="http://schemas.openxmlformats.org/officeDocument/2006/relationships/queryTable" Target="../queryTables/queryTable1081.xml"/><Relationship Id="rId53" Type="http://schemas.openxmlformats.org/officeDocument/2006/relationships/queryTable" Target="../queryTables/queryTable1123.xml"/><Relationship Id="rId149" Type="http://schemas.openxmlformats.org/officeDocument/2006/relationships/queryTable" Target="../queryTables/queryTable1219.xml"/><Relationship Id="rId314" Type="http://schemas.openxmlformats.org/officeDocument/2006/relationships/queryTable" Target="../queryTables/queryTable1384.xml"/><Relationship Id="rId356" Type="http://schemas.openxmlformats.org/officeDocument/2006/relationships/queryTable" Target="../queryTables/queryTable1426.xml"/><Relationship Id="rId398" Type="http://schemas.openxmlformats.org/officeDocument/2006/relationships/queryTable" Target="../queryTables/queryTable1468.xml"/><Relationship Id="rId521" Type="http://schemas.openxmlformats.org/officeDocument/2006/relationships/queryTable" Target="../queryTables/queryTable1591.xml"/><Relationship Id="rId95" Type="http://schemas.openxmlformats.org/officeDocument/2006/relationships/queryTable" Target="../queryTables/queryTable1165.xml"/><Relationship Id="rId160" Type="http://schemas.openxmlformats.org/officeDocument/2006/relationships/queryTable" Target="../queryTables/queryTable1230.xml"/><Relationship Id="rId216" Type="http://schemas.openxmlformats.org/officeDocument/2006/relationships/queryTable" Target="../queryTables/queryTable1286.xml"/><Relationship Id="rId423" Type="http://schemas.openxmlformats.org/officeDocument/2006/relationships/queryTable" Target="../queryTables/queryTable1493.xml"/><Relationship Id="rId258" Type="http://schemas.openxmlformats.org/officeDocument/2006/relationships/queryTable" Target="../queryTables/queryTable1328.xml"/><Relationship Id="rId465" Type="http://schemas.openxmlformats.org/officeDocument/2006/relationships/queryTable" Target="../queryTables/queryTable1535.xml"/><Relationship Id="rId22" Type="http://schemas.openxmlformats.org/officeDocument/2006/relationships/queryTable" Target="../queryTables/queryTable1092.xml"/><Relationship Id="rId64" Type="http://schemas.openxmlformats.org/officeDocument/2006/relationships/queryTable" Target="../queryTables/queryTable1134.xml"/><Relationship Id="rId118" Type="http://schemas.openxmlformats.org/officeDocument/2006/relationships/queryTable" Target="../queryTables/queryTable1188.xml"/><Relationship Id="rId325" Type="http://schemas.openxmlformats.org/officeDocument/2006/relationships/queryTable" Target="../queryTables/queryTable1395.xml"/><Relationship Id="rId367" Type="http://schemas.openxmlformats.org/officeDocument/2006/relationships/queryTable" Target="../queryTables/queryTable1437.xml"/><Relationship Id="rId171" Type="http://schemas.openxmlformats.org/officeDocument/2006/relationships/queryTable" Target="../queryTables/queryTable1241.xml"/><Relationship Id="rId227" Type="http://schemas.openxmlformats.org/officeDocument/2006/relationships/queryTable" Target="../queryTables/queryTable1297.xml"/><Relationship Id="rId269" Type="http://schemas.openxmlformats.org/officeDocument/2006/relationships/queryTable" Target="../queryTables/queryTable1339.xml"/><Relationship Id="rId434" Type="http://schemas.openxmlformats.org/officeDocument/2006/relationships/queryTable" Target="../queryTables/queryTable1504.xml"/><Relationship Id="rId476" Type="http://schemas.openxmlformats.org/officeDocument/2006/relationships/queryTable" Target="../queryTables/queryTable1546.xml"/><Relationship Id="rId33" Type="http://schemas.openxmlformats.org/officeDocument/2006/relationships/queryTable" Target="../queryTables/queryTable1103.xml"/><Relationship Id="rId129" Type="http://schemas.openxmlformats.org/officeDocument/2006/relationships/queryTable" Target="../queryTables/queryTable1199.xml"/><Relationship Id="rId280" Type="http://schemas.openxmlformats.org/officeDocument/2006/relationships/queryTable" Target="../queryTables/queryTable1350.xml"/><Relationship Id="rId336" Type="http://schemas.openxmlformats.org/officeDocument/2006/relationships/queryTable" Target="../queryTables/queryTable1406.xml"/><Relationship Id="rId501" Type="http://schemas.openxmlformats.org/officeDocument/2006/relationships/queryTable" Target="../queryTables/queryTable1571.xml"/><Relationship Id="rId75" Type="http://schemas.openxmlformats.org/officeDocument/2006/relationships/queryTable" Target="../queryTables/queryTable1145.xml"/><Relationship Id="rId140" Type="http://schemas.openxmlformats.org/officeDocument/2006/relationships/queryTable" Target="../queryTables/queryTable1210.xml"/><Relationship Id="rId182" Type="http://schemas.openxmlformats.org/officeDocument/2006/relationships/queryTable" Target="../queryTables/queryTable1252.xml"/><Relationship Id="rId378" Type="http://schemas.openxmlformats.org/officeDocument/2006/relationships/queryTable" Target="../queryTables/queryTable1448.xml"/><Relationship Id="rId403" Type="http://schemas.openxmlformats.org/officeDocument/2006/relationships/queryTable" Target="../queryTables/queryTable1473.xml"/><Relationship Id="rId6" Type="http://schemas.openxmlformats.org/officeDocument/2006/relationships/queryTable" Target="../queryTables/queryTable1076.xml"/><Relationship Id="rId238" Type="http://schemas.openxmlformats.org/officeDocument/2006/relationships/queryTable" Target="../queryTables/queryTable1308.xml"/><Relationship Id="rId445" Type="http://schemas.openxmlformats.org/officeDocument/2006/relationships/queryTable" Target="../queryTables/queryTable1515.xml"/><Relationship Id="rId487" Type="http://schemas.openxmlformats.org/officeDocument/2006/relationships/queryTable" Target="../queryTables/queryTable1557.xml"/><Relationship Id="rId291" Type="http://schemas.openxmlformats.org/officeDocument/2006/relationships/queryTable" Target="../queryTables/queryTable1361.xml"/><Relationship Id="rId305" Type="http://schemas.openxmlformats.org/officeDocument/2006/relationships/queryTable" Target="../queryTables/queryTable1375.xml"/><Relationship Id="rId347" Type="http://schemas.openxmlformats.org/officeDocument/2006/relationships/queryTable" Target="../queryTables/queryTable1417.xml"/><Relationship Id="rId512" Type="http://schemas.openxmlformats.org/officeDocument/2006/relationships/queryTable" Target="../queryTables/queryTable1582.xml"/><Relationship Id="rId44" Type="http://schemas.openxmlformats.org/officeDocument/2006/relationships/queryTable" Target="../queryTables/queryTable1114.xml"/><Relationship Id="rId86" Type="http://schemas.openxmlformats.org/officeDocument/2006/relationships/queryTable" Target="../queryTables/queryTable1156.xml"/><Relationship Id="rId151" Type="http://schemas.openxmlformats.org/officeDocument/2006/relationships/queryTable" Target="../queryTables/queryTable1221.xml"/><Relationship Id="rId389" Type="http://schemas.openxmlformats.org/officeDocument/2006/relationships/queryTable" Target="../queryTables/queryTable1459.xml"/><Relationship Id="rId193" Type="http://schemas.openxmlformats.org/officeDocument/2006/relationships/queryTable" Target="../queryTables/queryTable1263.xml"/><Relationship Id="rId207" Type="http://schemas.openxmlformats.org/officeDocument/2006/relationships/queryTable" Target="../queryTables/queryTable1277.xml"/><Relationship Id="rId249" Type="http://schemas.openxmlformats.org/officeDocument/2006/relationships/queryTable" Target="../queryTables/queryTable1319.xml"/><Relationship Id="rId414" Type="http://schemas.openxmlformats.org/officeDocument/2006/relationships/queryTable" Target="../queryTables/queryTable1484.xml"/><Relationship Id="rId456" Type="http://schemas.openxmlformats.org/officeDocument/2006/relationships/queryTable" Target="../queryTables/queryTable1526.xml"/><Relationship Id="rId498" Type="http://schemas.openxmlformats.org/officeDocument/2006/relationships/queryTable" Target="../queryTables/queryTable1568.xml"/><Relationship Id="rId13" Type="http://schemas.openxmlformats.org/officeDocument/2006/relationships/queryTable" Target="../queryTables/queryTable1083.xml"/><Relationship Id="rId109" Type="http://schemas.openxmlformats.org/officeDocument/2006/relationships/queryTable" Target="../queryTables/queryTable1179.xml"/><Relationship Id="rId260" Type="http://schemas.openxmlformats.org/officeDocument/2006/relationships/queryTable" Target="../queryTables/queryTable1330.xml"/><Relationship Id="rId316" Type="http://schemas.openxmlformats.org/officeDocument/2006/relationships/queryTable" Target="../queryTables/queryTable1386.xml"/><Relationship Id="rId523" Type="http://schemas.openxmlformats.org/officeDocument/2006/relationships/queryTable" Target="../queryTables/queryTable1593.xml"/><Relationship Id="rId55" Type="http://schemas.openxmlformats.org/officeDocument/2006/relationships/queryTable" Target="../queryTables/queryTable1125.xml"/><Relationship Id="rId97" Type="http://schemas.openxmlformats.org/officeDocument/2006/relationships/queryTable" Target="../queryTables/queryTable1167.xml"/><Relationship Id="rId120" Type="http://schemas.openxmlformats.org/officeDocument/2006/relationships/queryTable" Target="../queryTables/queryTable1190.xml"/><Relationship Id="rId358" Type="http://schemas.openxmlformats.org/officeDocument/2006/relationships/queryTable" Target="../queryTables/queryTable1428.xml"/><Relationship Id="rId162" Type="http://schemas.openxmlformats.org/officeDocument/2006/relationships/queryTable" Target="../queryTables/queryTable1232.xml"/><Relationship Id="rId218" Type="http://schemas.openxmlformats.org/officeDocument/2006/relationships/queryTable" Target="../queryTables/queryTable1288.xml"/><Relationship Id="rId425" Type="http://schemas.openxmlformats.org/officeDocument/2006/relationships/queryTable" Target="../queryTables/queryTable1495.xml"/><Relationship Id="rId467" Type="http://schemas.openxmlformats.org/officeDocument/2006/relationships/queryTable" Target="../queryTables/queryTable1537.xml"/><Relationship Id="rId271" Type="http://schemas.openxmlformats.org/officeDocument/2006/relationships/queryTable" Target="../queryTables/queryTable1341.xml"/><Relationship Id="rId24" Type="http://schemas.openxmlformats.org/officeDocument/2006/relationships/queryTable" Target="../queryTables/queryTable1094.xml"/><Relationship Id="rId66" Type="http://schemas.openxmlformats.org/officeDocument/2006/relationships/queryTable" Target="../queryTables/queryTable1136.xml"/><Relationship Id="rId131" Type="http://schemas.openxmlformats.org/officeDocument/2006/relationships/queryTable" Target="../queryTables/queryTable1201.xml"/><Relationship Id="rId327" Type="http://schemas.openxmlformats.org/officeDocument/2006/relationships/queryTable" Target="../queryTables/queryTable1397.xml"/><Relationship Id="rId369" Type="http://schemas.openxmlformats.org/officeDocument/2006/relationships/queryTable" Target="../queryTables/queryTable1439.xml"/><Relationship Id="rId173" Type="http://schemas.openxmlformats.org/officeDocument/2006/relationships/queryTable" Target="../queryTables/queryTable1243.xml"/><Relationship Id="rId229" Type="http://schemas.openxmlformats.org/officeDocument/2006/relationships/queryTable" Target="../queryTables/queryTable1299.xml"/><Relationship Id="rId380" Type="http://schemas.openxmlformats.org/officeDocument/2006/relationships/queryTable" Target="../queryTables/queryTable1450.xml"/><Relationship Id="rId436" Type="http://schemas.openxmlformats.org/officeDocument/2006/relationships/queryTable" Target="../queryTables/queryTable1506.xml"/><Relationship Id="rId240" Type="http://schemas.openxmlformats.org/officeDocument/2006/relationships/queryTable" Target="../queryTables/queryTable1310.xml"/><Relationship Id="rId478" Type="http://schemas.openxmlformats.org/officeDocument/2006/relationships/queryTable" Target="../queryTables/queryTable1548.xml"/><Relationship Id="rId35" Type="http://schemas.openxmlformats.org/officeDocument/2006/relationships/queryTable" Target="../queryTables/queryTable1105.xml"/><Relationship Id="rId77" Type="http://schemas.openxmlformats.org/officeDocument/2006/relationships/queryTable" Target="../queryTables/queryTable1147.xml"/><Relationship Id="rId100" Type="http://schemas.openxmlformats.org/officeDocument/2006/relationships/queryTable" Target="../queryTables/queryTable1170.xml"/><Relationship Id="rId282" Type="http://schemas.openxmlformats.org/officeDocument/2006/relationships/queryTable" Target="../queryTables/queryTable1352.xml"/><Relationship Id="rId338" Type="http://schemas.openxmlformats.org/officeDocument/2006/relationships/queryTable" Target="../queryTables/queryTable1408.xml"/><Relationship Id="rId503" Type="http://schemas.openxmlformats.org/officeDocument/2006/relationships/queryTable" Target="../queryTables/queryTable157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707.xml"/><Relationship Id="rId299" Type="http://schemas.openxmlformats.org/officeDocument/2006/relationships/queryTable" Target="../queryTables/queryTable1889.xml"/><Relationship Id="rId21" Type="http://schemas.openxmlformats.org/officeDocument/2006/relationships/queryTable" Target="../queryTables/queryTable1611.xml"/><Relationship Id="rId63" Type="http://schemas.openxmlformats.org/officeDocument/2006/relationships/queryTable" Target="../queryTables/queryTable1653.xml"/><Relationship Id="rId159" Type="http://schemas.openxmlformats.org/officeDocument/2006/relationships/queryTable" Target="../queryTables/queryTable1749.xml"/><Relationship Id="rId324" Type="http://schemas.openxmlformats.org/officeDocument/2006/relationships/queryTable" Target="../queryTables/queryTable1914.xml"/><Relationship Id="rId366" Type="http://schemas.openxmlformats.org/officeDocument/2006/relationships/queryTable" Target="../queryTables/queryTable1956.xml"/><Relationship Id="rId531" Type="http://schemas.openxmlformats.org/officeDocument/2006/relationships/queryTable" Target="../queryTables/queryTable2121.xml"/><Relationship Id="rId170" Type="http://schemas.openxmlformats.org/officeDocument/2006/relationships/queryTable" Target="../queryTables/queryTable1760.xml"/><Relationship Id="rId226" Type="http://schemas.openxmlformats.org/officeDocument/2006/relationships/queryTable" Target="../queryTables/queryTable1816.xml"/><Relationship Id="rId433" Type="http://schemas.openxmlformats.org/officeDocument/2006/relationships/queryTable" Target="../queryTables/queryTable2023.xml"/><Relationship Id="rId268" Type="http://schemas.openxmlformats.org/officeDocument/2006/relationships/queryTable" Target="../queryTables/queryTable1858.xml"/><Relationship Id="rId475" Type="http://schemas.openxmlformats.org/officeDocument/2006/relationships/queryTable" Target="../queryTables/queryTable2065.xml"/><Relationship Id="rId32" Type="http://schemas.openxmlformats.org/officeDocument/2006/relationships/queryTable" Target="../queryTables/queryTable1622.xml"/><Relationship Id="rId74" Type="http://schemas.openxmlformats.org/officeDocument/2006/relationships/queryTable" Target="../queryTables/queryTable1664.xml"/><Relationship Id="rId128" Type="http://schemas.openxmlformats.org/officeDocument/2006/relationships/queryTable" Target="../queryTables/queryTable1718.xml"/><Relationship Id="rId335" Type="http://schemas.openxmlformats.org/officeDocument/2006/relationships/queryTable" Target="../queryTables/queryTable1925.xml"/><Relationship Id="rId377" Type="http://schemas.openxmlformats.org/officeDocument/2006/relationships/queryTable" Target="../queryTables/queryTable1967.xml"/><Relationship Id="rId500" Type="http://schemas.openxmlformats.org/officeDocument/2006/relationships/queryTable" Target="../queryTables/queryTable2090.xml"/><Relationship Id="rId542" Type="http://schemas.openxmlformats.org/officeDocument/2006/relationships/queryTable" Target="../queryTables/queryTable2132.xml"/><Relationship Id="rId5" Type="http://schemas.openxmlformats.org/officeDocument/2006/relationships/queryTable" Target="../queryTables/queryTable1595.xml"/><Relationship Id="rId181" Type="http://schemas.openxmlformats.org/officeDocument/2006/relationships/queryTable" Target="../queryTables/queryTable1771.xml"/><Relationship Id="rId237" Type="http://schemas.openxmlformats.org/officeDocument/2006/relationships/queryTable" Target="../queryTables/queryTable1827.xml"/><Relationship Id="rId402" Type="http://schemas.openxmlformats.org/officeDocument/2006/relationships/queryTable" Target="../queryTables/queryTable1992.xml"/><Relationship Id="rId279" Type="http://schemas.openxmlformats.org/officeDocument/2006/relationships/queryTable" Target="../queryTables/queryTable1869.xml"/><Relationship Id="rId444" Type="http://schemas.openxmlformats.org/officeDocument/2006/relationships/queryTable" Target="../queryTables/queryTable2034.xml"/><Relationship Id="rId486" Type="http://schemas.openxmlformats.org/officeDocument/2006/relationships/queryTable" Target="../queryTables/queryTable2076.xml"/><Relationship Id="rId43" Type="http://schemas.openxmlformats.org/officeDocument/2006/relationships/queryTable" Target="../queryTables/queryTable1633.xml"/><Relationship Id="rId139" Type="http://schemas.openxmlformats.org/officeDocument/2006/relationships/queryTable" Target="../queryTables/queryTable1729.xml"/><Relationship Id="rId290" Type="http://schemas.openxmlformats.org/officeDocument/2006/relationships/queryTable" Target="../queryTables/queryTable1880.xml"/><Relationship Id="rId304" Type="http://schemas.openxmlformats.org/officeDocument/2006/relationships/queryTable" Target="../queryTables/queryTable1894.xml"/><Relationship Id="rId346" Type="http://schemas.openxmlformats.org/officeDocument/2006/relationships/queryTable" Target="../queryTables/queryTable1936.xml"/><Relationship Id="rId388" Type="http://schemas.openxmlformats.org/officeDocument/2006/relationships/queryTable" Target="../queryTables/queryTable1978.xml"/><Relationship Id="rId511" Type="http://schemas.openxmlformats.org/officeDocument/2006/relationships/queryTable" Target="../queryTables/queryTable2101.xml"/><Relationship Id="rId553" Type="http://schemas.openxmlformats.org/officeDocument/2006/relationships/queryTable" Target="../queryTables/queryTable2143.xml"/><Relationship Id="rId85" Type="http://schemas.openxmlformats.org/officeDocument/2006/relationships/queryTable" Target="../queryTables/queryTable1675.xml"/><Relationship Id="rId150" Type="http://schemas.openxmlformats.org/officeDocument/2006/relationships/queryTable" Target="../queryTables/queryTable1740.xml"/><Relationship Id="rId192" Type="http://schemas.openxmlformats.org/officeDocument/2006/relationships/queryTable" Target="../queryTables/queryTable1782.xml"/><Relationship Id="rId206" Type="http://schemas.openxmlformats.org/officeDocument/2006/relationships/queryTable" Target="../queryTables/queryTable1796.xml"/><Relationship Id="rId413" Type="http://schemas.openxmlformats.org/officeDocument/2006/relationships/queryTable" Target="../queryTables/queryTable2003.xml"/><Relationship Id="rId248" Type="http://schemas.openxmlformats.org/officeDocument/2006/relationships/queryTable" Target="../queryTables/queryTable1838.xml"/><Relationship Id="rId455" Type="http://schemas.openxmlformats.org/officeDocument/2006/relationships/queryTable" Target="../queryTables/queryTable2045.xml"/><Relationship Id="rId497" Type="http://schemas.openxmlformats.org/officeDocument/2006/relationships/queryTable" Target="../queryTables/queryTable2087.xml"/><Relationship Id="rId12" Type="http://schemas.openxmlformats.org/officeDocument/2006/relationships/queryTable" Target="../queryTables/queryTable1602.xml"/><Relationship Id="rId108" Type="http://schemas.openxmlformats.org/officeDocument/2006/relationships/queryTable" Target="../queryTables/queryTable1698.xml"/><Relationship Id="rId315" Type="http://schemas.openxmlformats.org/officeDocument/2006/relationships/queryTable" Target="../queryTables/queryTable1905.xml"/><Relationship Id="rId357" Type="http://schemas.openxmlformats.org/officeDocument/2006/relationships/queryTable" Target="../queryTables/queryTable1947.xml"/><Relationship Id="rId522" Type="http://schemas.openxmlformats.org/officeDocument/2006/relationships/queryTable" Target="../queryTables/queryTable2112.xml"/><Relationship Id="rId54" Type="http://schemas.openxmlformats.org/officeDocument/2006/relationships/queryTable" Target="../queryTables/queryTable1644.xml"/><Relationship Id="rId96" Type="http://schemas.openxmlformats.org/officeDocument/2006/relationships/queryTable" Target="../queryTables/queryTable1686.xml"/><Relationship Id="rId161" Type="http://schemas.openxmlformats.org/officeDocument/2006/relationships/queryTable" Target="../queryTables/queryTable1751.xml"/><Relationship Id="rId217" Type="http://schemas.openxmlformats.org/officeDocument/2006/relationships/queryTable" Target="../queryTables/queryTable1807.xml"/><Relationship Id="rId399" Type="http://schemas.openxmlformats.org/officeDocument/2006/relationships/queryTable" Target="../queryTables/queryTable1989.xml"/><Relationship Id="rId259" Type="http://schemas.openxmlformats.org/officeDocument/2006/relationships/queryTable" Target="../queryTables/queryTable1849.xml"/><Relationship Id="rId424" Type="http://schemas.openxmlformats.org/officeDocument/2006/relationships/queryTable" Target="../queryTables/queryTable2014.xml"/><Relationship Id="rId466" Type="http://schemas.openxmlformats.org/officeDocument/2006/relationships/queryTable" Target="../queryTables/queryTable2056.xml"/><Relationship Id="rId23" Type="http://schemas.openxmlformats.org/officeDocument/2006/relationships/queryTable" Target="../queryTables/queryTable1613.xml"/><Relationship Id="rId119" Type="http://schemas.openxmlformats.org/officeDocument/2006/relationships/queryTable" Target="../queryTables/queryTable1709.xml"/><Relationship Id="rId270" Type="http://schemas.openxmlformats.org/officeDocument/2006/relationships/queryTable" Target="../queryTables/queryTable1860.xml"/><Relationship Id="rId326" Type="http://schemas.openxmlformats.org/officeDocument/2006/relationships/queryTable" Target="../queryTables/queryTable1916.xml"/><Relationship Id="rId533" Type="http://schemas.openxmlformats.org/officeDocument/2006/relationships/queryTable" Target="../queryTables/queryTable2123.xml"/><Relationship Id="rId65" Type="http://schemas.openxmlformats.org/officeDocument/2006/relationships/queryTable" Target="../queryTables/queryTable1655.xml"/><Relationship Id="rId130" Type="http://schemas.openxmlformats.org/officeDocument/2006/relationships/queryTable" Target="../queryTables/queryTable1720.xml"/><Relationship Id="rId368" Type="http://schemas.openxmlformats.org/officeDocument/2006/relationships/queryTable" Target="../queryTables/queryTable1958.xml"/><Relationship Id="rId172" Type="http://schemas.openxmlformats.org/officeDocument/2006/relationships/queryTable" Target="../queryTables/queryTable1762.xml"/><Relationship Id="rId228" Type="http://schemas.openxmlformats.org/officeDocument/2006/relationships/queryTable" Target="../queryTables/queryTable1818.xml"/><Relationship Id="rId435" Type="http://schemas.openxmlformats.org/officeDocument/2006/relationships/queryTable" Target="../queryTables/queryTable2025.xml"/><Relationship Id="rId477" Type="http://schemas.openxmlformats.org/officeDocument/2006/relationships/queryTable" Target="../queryTables/queryTable2067.xml"/><Relationship Id="rId281" Type="http://schemas.openxmlformats.org/officeDocument/2006/relationships/queryTable" Target="../queryTables/queryTable1871.xml"/><Relationship Id="rId337" Type="http://schemas.openxmlformats.org/officeDocument/2006/relationships/queryTable" Target="../queryTables/queryTable1927.xml"/><Relationship Id="rId502" Type="http://schemas.openxmlformats.org/officeDocument/2006/relationships/queryTable" Target="../queryTables/queryTable2092.xml"/><Relationship Id="rId34" Type="http://schemas.openxmlformats.org/officeDocument/2006/relationships/queryTable" Target="../queryTables/queryTable1624.xml"/><Relationship Id="rId76" Type="http://schemas.openxmlformats.org/officeDocument/2006/relationships/queryTable" Target="../queryTables/queryTable1666.xml"/><Relationship Id="rId141" Type="http://schemas.openxmlformats.org/officeDocument/2006/relationships/queryTable" Target="../queryTables/queryTable1731.xml"/><Relationship Id="rId379" Type="http://schemas.openxmlformats.org/officeDocument/2006/relationships/queryTable" Target="../queryTables/queryTable1969.xml"/><Relationship Id="rId544" Type="http://schemas.openxmlformats.org/officeDocument/2006/relationships/queryTable" Target="../queryTables/queryTable2134.xml"/><Relationship Id="rId7" Type="http://schemas.openxmlformats.org/officeDocument/2006/relationships/queryTable" Target="../queryTables/queryTable1597.xml"/><Relationship Id="rId183" Type="http://schemas.openxmlformats.org/officeDocument/2006/relationships/queryTable" Target="../queryTables/queryTable1773.xml"/><Relationship Id="rId239" Type="http://schemas.openxmlformats.org/officeDocument/2006/relationships/queryTable" Target="../queryTables/queryTable1829.xml"/><Relationship Id="rId390" Type="http://schemas.openxmlformats.org/officeDocument/2006/relationships/queryTable" Target="../queryTables/queryTable1980.xml"/><Relationship Id="rId404" Type="http://schemas.openxmlformats.org/officeDocument/2006/relationships/queryTable" Target="../queryTables/queryTable1994.xml"/><Relationship Id="rId446" Type="http://schemas.openxmlformats.org/officeDocument/2006/relationships/queryTable" Target="../queryTables/queryTable2036.xml"/><Relationship Id="rId250" Type="http://schemas.openxmlformats.org/officeDocument/2006/relationships/queryTable" Target="../queryTables/queryTable1840.xml"/><Relationship Id="rId292" Type="http://schemas.openxmlformats.org/officeDocument/2006/relationships/queryTable" Target="../queryTables/queryTable1882.xml"/><Relationship Id="rId306" Type="http://schemas.openxmlformats.org/officeDocument/2006/relationships/queryTable" Target="../queryTables/queryTable1896.xml"/><Relationship Id="rId488" Type="http://schemas.openxmlformats.org/officeDocument/2006/relationships/queryTable" Target="../queryTables/queryTable2078.xml"/><Relationship Id="rId45" Type="http://schemas.openxmlformats.org/officeDocument/2006/relationships/queryTable" Target="../queryTables/queryTable1635.xml"/><Relationship Id="rId87" Type="http://schemas.openxmlformats.org/officeDocument/2006/relationships/queryTable" Target="../queryTables/queryTable1677.xml"/><Relationship Id="rId110" Type="http://schemas.openxmlformats.org/officeDocument/2006/relationships/queryTable" Target="../queryTables/queryTable1700.xml"/><Relationship Id="rId348" Type="http://schemas.openxmlformats.org/officeDocument/2006/relationships/queryTable" Target="../queryTables/queryTable1938.xml"/><Relationship Id="rId513" Type="http://schemas.openxmlformats.org/officeDocument/2006/relationships/queryTable" Target="../queryTables/queryTable2103.xml"/><Relationship Id="rId152" Type="http://schemas.openxmlformats.org/officeDocument/2006/relationships/queryTable" Target="../queryTables/queryTable1742.xml"/><Relationship Id="rId194" Type="http://schemas.openxmlformats.org/officeDocument/2006/relationships/queryTable" Target="../queryTables/queryTable1784.xml"/><Relationship Id="rId208" Type="http://schemas.openxmlformats.org/officeDocument/2006/relationships/queryTable" Target="../queryTables/queryTable1798.xml"/><Relationship Id="rId415" Type="http://schemas.openxmlformats.org/officeDocument/2006/relationships/queryTable" Target="../queryTables/queryTable2005.xml"/><Relationship Id="rId457" Type="http://schemas.openxmlformats.org/officeDocument/2006/relationships/queryTable" Target="../queryTables/queryTable2047.xml"/><Relationship Id="rId261" Type="http://schemas.openxmlformats.org/officeDocument/2006/relationships/queryTable" Target="../queryTables/queryTable1851.xml"/><Relationship Id="rId499" Type="http://schemas.openxmlformats.org/officeDocument/2006/relationships/queryTable" Target="../queryTables/queryTable2089.xml"/><Relationship Id="rId14" Type="http://schemas.openxmlformats.org/officeDocument/2006/relationships/queryTable" Target="../queryTables/queryTable1604.xml"/><Relationship Id="rId56" Type="http://schemas.openxmlformats.org/officeDocument/2006/relationships/queryTable" Target="../queryTables/queryTable1646.xml"/><Relationship Id="rId317" Type="http://schemas.openxmlformats.org/officeDocument/2006/relationships/queryTable" Target="../queryTables/queryTable1907.xml"/><Relationship Id="rId359" Type="http://schemas.openxmlformats.org/officeDocument/2006/relationships/queryTable" Target="../queryTables/queryTable1949.xml"/><Relationship Id="rId524" Type="http://schemas.openxmlformats.org/officeDocument/2006/relationships/queryTable" Target="../queryTables/queryTable2114.xml"/><Relationship Id="rId98" Type="http://schemas.openxmlformats.org/officeDocument/2006/relationships/queryTable" Target="../queryTables/queryTable1688.xml"/><Relationship Id="rId121" Type="http://schemas.openxmlformats.org/officeDocument/2006/relationships/queryTable" Target="../queryTables/queryTable1711.xml"/><Relationship Id="rId163" Type="http://schemas.openxmlformats.org/officeDocument/2006/relationships/queryTable" Target="../queryTables/queryTable1753.xml"/><Relationship Id="rId219" Type="http://schemas.openxmlformats.org/officeDocument/2006/relationships/queryTable" Target="../queryTables/queryTable1809.xml"/><Relationship Id="rId370" Type="http://schemas.openxmlformats.org/officeDocument/2006/relationships/queryTable" Target="../queryTables/queryTable1960.xml"/><Relationship Id="rId426" Type="http://schemas.openxmlformats.org/officeDocument/2006/relationships/queryTable" Target="../queryTables/queryTable2016.xml"/><Relationship Id="rId230" Type="http://schemas.openxmlformats.org/officeDocument/2006/relationships/queryTable" Target="../queryTables/queryTable1820.xml"/><Relationship Id="rId468" Type="http://schemas.openxmlformats.org/officeDocument/2006/relationships/queryTable" Target="../queryTables/queryTable2058.xml"/><Relationship Id="rId25" Type="http://schemas.openxmlformats.org/officeDocument/2006/relationships/queryTable" Target="../queryTables/queryTable1615.xml"/><Relationship Id="rId67" Type="http://schemas.openxmlformats.org/officeDocument/2006/relationships/queryTable" Target="../queryTables/queryTable1657.xml"/><Relationship Id="rId272" Type="http://schemas.openxmlformats.org/officeDocument/2006/relationships/queryTable" Target="../queryTables/queryTable1862.xml"/><Relationship Id="rId328" Type="http://schemas.openxmlformats.org/officeDocument/2006/relationships/queryTable" Target="../queryTables/queryTable1918.xml"/><Relationship Id="rId535" Type="http://schemas.openxmlformats.org/officeDocument/2006/relationships/queryTable" Target="../queryTables/queryTable2125.xml"/><Relationship Id="rId132" Type="http://schemas.openxmlformats.org/officeDocument/2006/relationships/queryTable" Target="../queryTables/queryTable1722.xml"/><Relationship Id="rId174" Type="http://schemas.openxmlformats.org/officeDocument/2006/relationships/queryTable" Target="../queryTables/queryTable1764.xml"/><Relationship Id="rId381" Type="http://schemas.openxmlformats.org/officeDocument/2006/relationships/queryTable" Target="../queryTables/queryTable1971.xml"/><Relationship Id="rId241" Type="http://schemas.openxmlformats.org/officeDocument/2006/relationships/queryTable" Target="../queryTables/queryTable1831.xml"/><Relationship Id="rId437" Type="http://schemas.openxmlformats.org/officeDocument/2006/relationships/queryTable" Target="../queryTables/queryTable2027.xml"/><Relationship Id="rId479" Type="http://schemas.openxmlformats.org/officeDocument/2006/relationships/queryTable" Target="../queryTables/queryTable2069.xml"/><Relationship Id="rId15" Type="http://schemas.openxmlformats.org/officeDocument/2006/relationships/queryTable" Target="../queryTables/queryTable1605.xml"/><Relationship Id="rId36" Type="http://schemas.openxmlformats.org/officeDocument/2006/relationships/queryTable" Target="../queryTables/queryTable1626.xml"/><Relationship Id="rId57" Type="http://schemas.openxmlformats.org/officeDocument/2006/relationships/queryTable" Target="../queryTables/queryTable1647.xml"/><Relationship Id="rId262" Type="http://schemas.openxmlformats.org/officeDocument/2006/relationships/queryTable" Target="../queryTables/queryTable1852.xml"/><Relationship Id="rId283" Type="http://schemas.openxmlformats.org/officeDocument/2006/relationships/queryTable" Target="../queryTables/queryTable1873.xml"/><Relationship Id="rId318" Type="http://schemas.openxmlformats.org/officeDocument/2006/relationships/queryTable" Target="../queryTables/queryTable1908.xml"/><Relationship Id="rId339" Type="http://schemas.openxmlformats.org/officeDocument/2006/relationships/queryTable" Target="../queryTables/queryTable1929.xml"/><Relationship Id="rId490" Type="http://schemas.openxmlformats.org/officeDocument/2006/relationships/queryTable" Target="../queryTables/queryTable2080.xml"/><Relationship Id="rId504" Type="http://schemas.openxmlformats.org/officeDocument/2006/relationships/queryTable" Target="../queryTables/queryTable2094.xml"/><Relationship Id="rId525" Type="http://schemas.openxmlformats.org/officeDocument/2006/relationships/queryTable" Target="../queryTables/queryTable2115.xml"/><Relationship Id="rId546" Type="http://schemas.openxmlformats.org/officeDocument/2006/relationships/queryTable" Target="../queryTables/queryTable2136.xml"/><Relationship Id="rId78" Type="http://schemas.openxmlformats.org/officeDocument/2006/relationships/queryTable" Target="../queryTables/queryTable1668.xml"/><Relationship Id="rId99" Type="http://schemas.openxmlformats.org/officeDocument/2006/relationships/queryTable" Target="../queryTables/queryTable1689.xml"/><Relationship Id="rId101" Type="http://schemas.openxmlformats.org/officeDocument/2006/relationships/queryTable" Target="../queryTables/queryTable1691.xml"/><Relationship Id="rId122" Type="http://schemas.openxmlformats.org/officeDocument/2006/relationships/queryTable" Target="../queryTables/queryTable1712.xml"/><Relationship Id="rId143" Type="http://schemas.openxmlformats.org/officeDocument/2006/relationships/queryTable" Target="../queryTables/queryTable1733.xml"/><Relationship Id="rId164" Type="http://schemas.openxmlformats.org/officeDocument/2006/relationships/queryTable" Target="../queryTables/queryTable1754.xml"/><Relationship Id="rId185" Type="http://schemas.openxmlformats.org/officeDocument/2006/relationships/queryTable" Target="../queryTables/queryTable1775.xml"/><Relationship Id="rId350" Type="http://schemas.openxmlformats.org/officeDocument/2006/relationships/queryTable" Target="../queryTables/queryTable1940.xml"/><Relationship Id="rId371" Type="http://schemas.openxmlformats.org/officeDocument/2006/relationships/queryTable" Target="../queryTables/queryTable1961.xml"/><Relationship Id="rId406" Type="http://schemas.openxmlformats.org/officeDocument/2006/relationships/queryTable" Target="../queryTables/queryTable1996.xml"/><Relationship Id="rId9" Type="http://schemas.openxmlformats.org/officeDocument/2006/relationships/queryTable" Target="../queryTables/queryTable1599.xml"/><Relationship Id="rId210" Type="http://schemas.openxmlformats.org/officeDocument/2006/relationships/queryTable" Target="../queryTables/queryTable1800.xml"/><Relationship Id="rId392" Type="http://schemas.openxmlformats.org/officeDocument/2006/relationships/queryTable" Target="../queryTables/queryTable1982.xml"/><Relationship Id="rId427" Type="http://schemas.openxmlformats.org/officeDocument/2006/relationships/queryTable" Target="../queryTables/queryTable2017.xml"/><Relationship Id="rId448" Type="http://schemas.openxmlformats.org/officeDocument/2006/relationships/queryTable" Target="../queryTables/queryTable2038.xml"/><Relationship Id="rId469" Type="http://schemas.openxmlformats.org/officeDocument/2006/relationships/queryTable" Target="../queryTables/queryTable2059.xml"/><Relationship Id="rId26" Type="http://schemas.openxmlformats.org/officeDocument/2006/relationships/queryTable" Target="../queryTables/queryTable1616.xml"/><Relationship Id="rId231" Type="http://schemas.openxmlformats.org/officeDocument/2006/relationships/queryTable" Target="../queryTables/queryTable1821.xml"/><Relationship Id="rId252" Type="http://schemas.openxmlformats.org/officeDocument/2006/relationships/queryTable" Target="../queryTables/queryTable1842.xml"/><Relationship Id="rId273" Type="http://schemas.openxmlformats.org/officeDocument/2006/relationships/queryTable" Target="../queryTables/queryTable1863.xml"/><Relationship Id="rId294" Type="http://schemas.openxmlformats.org/officeDocument/2006/relationships/queryTable" Target="../queryTables/queryTable1884.xml"/><Relationship Id="rId308" Type="http://schemas.openxmlformats.org/officeDocument/2006/relationships/queryTable" Target="../queryTables/queryTable1898.xml"/><Relationship Id="rId329" Type="http://schemas.openxmlformats.org/officeDocument/2006/relationships/queryTable" Target="../queryTables/queryTable1919.xml"/><Relationship Id="rId480" Type="http://schemas.openxmlformats.org/officeDocument/2006/relationships/queryTable" Target="../queryTables/queryTable2070.xml"/><Relationship Id="rId515" Type="http://schemas.openxmlformats.org/officeDocument/2006/relationships/queryTable" Target="../queryTables/queryTable2105.xml"/><Relationship Id="rId536" Type="http://schemas.openxmlformats.org/officeDocument/2006/relationships/queryTable" Target="../queryTables/queryTable2126.xml"/><Relationship Id="rId47" Type="http://schemas.openxmlformats.org/officeDocument/2006/relationships/queryTable" Target="../queryTables/queryTable1637.xml"/><Relationship Id="rId68" Type="http://schemas.openxmlformats.org/officeDocument/2006/relationships/queryTable" Target="../queryTables/queryTable1658.xml"/><Relationship Id="rId89" Type="http://schemas.openxmlformats.org/officeDocument/2006/relationships/queryTable" Target="../queryTables/queryTable1679.xml"/><Relationship Id="rId112" Type="http://schemas.openxmlformats.org/officeDocument/2006/relationships/queryTable" Target="../queryTables/queryTable1702.xml"/><Relationship Id="rId133" Type="http://schemas.openxmlformats.org/officeDocument/2006/relationships/queryTable" Target="../queryTables/queryTable1723.xml"/><Relationship Id="rId154" Type="http://schemas.openxmlformats.org/officeDocument/2006/relationships/queryTable" Target="../queryTables/queryTable1744.xml"/><Relationship Id="rId175" Type="http://schemas.openxmlformats.org/officeDocument/2006/relationships/queryTable" Target="../queryTables/queryTable1765.xml"/><Relationship Id="rId340" Type="http://schemas.openxmlformats.org/officeDocument/2006/relationships/queryTable" Target="../queryTables/queryTable1930.xml"/><Relationship Id="rId361" Type="http://schemas.openxmlformats.org/officeDocument/2006/relationships/queryTable" Target="../queryTables/queryTable1951.xml"/><Relationship Id="rId196" Type="http://schemas.openxmlformats.org/officeDocument/2006/relationships/queryTable" Target="../queryTables/queryTable1786.xml"/><Relationship Id="rId200" Type="http://schemas.openxmlformats.org/officeDocument/2006/relationships/queryTable" Target="../queryTables/queryTable1790.xml"/><Relationship Id="rId382" Type="http://schemas.openxmlformats.org/officeDocument/2006/relationships/queryTable" Target="../queryTables/queryTable1972.xml"/><Relationship Id="rId417" Type="http://schemas.openxmlformats.org/officeDocument/2006/relationships/queryTable" Target="../queryTables/queryTable2007.xml"/><Relationship Id="rId438" Type="http://schemas.openxmlformats.org/officeDocument/2006/relationships/queryTable" Target="../queryTables/queryTable2028.xml"/><Relationship Id="rId459" Type="http://schemas.openxmlformats.org/officeDocument/2006/relationships/queryTable" Target="../queryTables/queryTable2049.xml"/><Relationship Id="rId16" Type="http://schemas.openxmlformats.org/officeDocument/2006/relationships/queryTable" Target="../queryTables/queryTable1606.xml"/><Relationship Id="rId221" Type="http://schemas.openxmlformats.org/officeDocument/2006/relationships/queryTable" Target="../queryTables/queryTable1811.xml"/><Relationship Id="rId242" Type="http://schemas.openxmlformats.org/officeDocument/2006/relationships/queryTable" Target="../queryTables/queryTable1832.xml"/><Relationship Id="rId263" Type="http://schemas.openxmlformats.org/officeDocument/2006/relationships/queryTable" Target="../queryTables/queryTable1853.xml"/><Relationship Id="rId284" Type="http://schemas.openxmlformats.org/officeDocument/2006/relationships/queryTable" Target="../queryTables/queryTable1874.xml"/><Relationship Id="rId319" Type="http://schemas.openxmlformats.org/officeDocument/2006/relationships/queryTable" Target="../queryTables/queryTable1909.xml"/><Relationship Id="rId470" Type="http://schemas.openxmlformats.org/officeDocument/2006/relationships/queryTable" Target="../queryTables/queryTable2060.xml"/><Relationship Id="rId491" Type="http://schemas.openxmlformats.org/officeDocument/2006/relationships/queryTable" Target="../queryTables/queryTable2081.xml"/><Relationship Id="rId505" Type="http://schemas.openxmlformats.org/officeDocument/2006/relationships/queryTable" Target="../queryTables/queryTable2095.xml"/><Relationship Id="rId526" Type="http://schemas.openxmlformats.org/officeDocument/2006/relationships/queryTable" Target="../queryTables/queryTable2116.xml"/><Relationship Id="rId37" Type="http://schemas.openxmlformats.org/officeDocument/2006/relationships/queryTable" Target="../queryTables/queryTable1627.xml"/><Relationship Id="rId58" Type="http://schemas.openxmlformats.org/officeDocument/2006/relationships/queryTable" Target="../queryTables/queryTable1648.xml"/><Relationship Id="rId79" Type="http://schemas.openxmlformats.org/officeDocument/2006/relationships/queryTable" Target="../queryTables/queryTable1669.xml"/><Relationship Id="rId102" Type="http://schemas.openxmlformats.org/officeDocument/2006/relationships/queryTable" Target="../queryTables/queryTable1692.xml"/><Relationship Id="rId123" Type="http://schemas.openxmlformats.org/officeDocument/2006/relationships/queryTable" Target="../queryTables/queryTable1713.xml"/><Relationship Id="rId144" Type="http://schemas.openxmlformats.org/officeDocument/2006/relationships/queryTable" Target="../queryTables/queryTable1734.xml"/><Relationship Id="rId330" Type="http://schemas.openxmlformats.org/officeDocument/2006/relationships/queryTable" Target="../queryTables/queryTable1920.xml"/><Relationship Id="rId547" Type="http://schemas.openxmlformats.org/officeDocument/2006/relationships/queryTable" Target="../queryTables/queryTable2137.xml"/><Relationship Id="rId90" Type="http://schemas.openxmlformats.org/officeDocument/2006/relationships/queryTable" Target="../queryTables/queryTable1680.xml"/><Relationship Id="rId165" Type="http://schemas.openxmlformats.org/officeDocument/2006/relationships/queryTable" Target="../queryTables/queryTable1755.xml"/><Relationship Id="rId186" Type="http://schemas.openxmlformats.org/officeDocument/2006/relationships/queryTable" Target="../queryTables/queryTable1776.xml"/><Relationship Id="rId351" Type="http://schemas.openxmlformats.org/officeDocument/2006/relationships/queryTable" Target="../queryTables/queryTable1941.xml"/><Relationship Id="rId372" Type="http://schemas.openxmlformats.org/officeDocument/2006/relationships/queryTable" Target="../queryTables/queryTable1962.xml"/><Relationship Id="rId393" Type="http://schemas.openxmlformats.org/officeDocument/2006/relationships/queryTable" Target="../queryTables/queryTable1983.xml"/><Relationship Id="rId407" Type="http://schemas.openxmlformats.org/officeDocument/2006/relationships/queryTable" Target="../queryTables/queryTable1997.xml"/><Relationship Id="rId428" Type="http://schemas.openxmlformats.org/officeDocument/2006/relationships/queryTable" Target="../queryTables/queryTable2018.xml"/><Relationship Id="rId449" Type="http://schemas.openxmlformats.org/officeDocument/2006/relationships/queryTable" Target="../queryTables/queryTable2039.xml"/><Relationship Id="rId211" Type="http://schemas.openxmlformats.org/officeDocument/2006/relationships/queryTable" Target="../queryTables/queryTable1801.xml"/><Relationship Id="rId232" Type="http://schemas.openxmlformats.org/officeDocument/2006/relationships/queryTable" Target="../queryTables/queryTable1822.xml"/><Relationship Id="rId253" Type="http://schemas.openxmlformats.org/officeDocument/2006/relationships/queryTable" Target="../queryTables/queryTable1843.xml"/><Relationship Id="rId274" Type="http://schemas.openxmlformats.org/officeDocument/2006/relationships/queryTable" Target="../queryTables/queryTable1864.xml"/><Relationship Id="rId295" Type="http://schemas.openxmlformats.org/officeDocument/2006/relationships/queryTable" Target="../queryTables/queryTable1885.xml"/><Relationship Id="rId309" Type="http://schemas.openxmlformats.org/officeDocument/2006/relationships/queryTable" Target="../queryTables/queryTable1899.xml"/><Relationship Id="rId460" Type="http://schemas.openxmlformats.org/officeDocument/2006/relationships/queryTable" Target="../queryTables/queryTable2050.xml"/><Relationship Id="rId481" Type="http://schemas.openxmlformats.org/officeDocument/2006/relationships/queryTable" Target="../queryTables/queryTable2071.xml"/><Relationship Id="rId516" Type="http://schemas.openxmlformats.org/officeDocument/2006/relationships/queryTable" Target="../queryTables/queryTable2106.xml"/><Relationship Id="rId27" Type="http://schemas.openxmlformats.org/officeDocument/2006/relationships/queryTable" Target="../queryTables/queryTable1617.xml"/><Relationship Id="rId48" Type="http://schemas.openxmlformats.org/officeDocument/2006/relationships/queryTable" Target="../queryTables/queryTable1638.xml"/><Relationship Id="rId69" Type="http://schemas.openxmlformats.org/officeDocument/2006/relationships/queryTable" Target="../queryTables/queryTable1659.xml"/><Relationship Id="rId113" Type="http://schemas.openxmlformats.org/officeDocument/2006/relationships/queryTable" Target="../queryTables/queryTable1703.xml"/><Relationship Id="rId134" Type="http://schemas.openxmlformats.org/officeDocument/2006/relationships/queryTable" Target="../queryTables/queryTable1724.xml"/><Relationship Id="rId320" Type="http://schemas.openxmlformats.org/officeDocument/2006/relationships/queryTable" Target="../queryTables/queryTable1910.xml"/><Relationship Id="rId537" Type="http://schemas.openxmlformats.org/officeDocument/2006/relationships/queryTable" Target="../queryTables/queryTable2127.xml"/><Relationship Id="rId80" Type="http://schemas.openxmlformats.org/officeDocument/2006/relationships/queryTable" Target="../queryTables/queryTable1670.xml"/><Relationship Id="rId155" Type="http://schemas.openxmlformats.org/officeDocument/2006/relationships/queryTable" Target="../queryTables/queryTable1745.xml"/><Relationship Id="rId176" Type="http://schemas.openxmlformats.org/officeDocument/2006/relationships/queryTable" Target="../queryTables/queryTable1766.xml"/><Relationship Id="rId197" Type="http://schemas.openxmlformats.org/officeDocument/2006/relationships/queryTable" Target="../queryTables/queryTable1787.xml"/><Relationship Id="rId341" Type="http://schemas.openxmlformats.org/officeDocument/2006/relationships/queryTable" Target="../queryTables/queryTable1931.xml"/><Relationship Id="rId362" Type="http://schemas.openxmlformats.org/officeDocument/2006/relationships/queryTable" Target="../queryTables/queryTable1952.xml"/><Relationship Id="rId383" Type="http://schemas.openxmlformats.org/officeDocument/2006/relationships/queryTable" Target="../queryTables/queryTable1973.xml"/><Relationship Id="rId418" Type="http://schemas.openxmlformats.org/officeDocument/2006/relationships/queryTable" Target="../queryTables/queryTable2008.xml"/><Relationship Id="rId439" Type="http://schemas.openxmlformats.org/officeDocument/2006/relationships/queryTable" Target="../queryTables/queryTable2029.xml"/><Relationship Id="rId201" Type="http://schemas.openxmlformats.org/officeDocument/2006/relationships/queryTable" Target="../queryTables/queryTable1791.xml"/><Relationship Id="rId222" Type="http://schemas.openxmlformats.org/officeDocument/2006/relationships/queryTable" Target="../queryTables/queryTable1812.xml"/><Relationship Id="rId243" Type="http://schemas.openxmlformats.org/officeDocument/2006/relationships/queryTable" Target="../queryTables/queryTable1833.xml"/><Relationship Id="rId264" Type="http://schemas.openxmlformats.org/officeDocument/2006/relationships/queryTable" Target="../queryTables/queryTable1854.xml"/><Relationship Id="rId285" Type="http://schemas.openxmlformats.org/officeDocument/2006/relationships/queryTable" Target="../queryTables/queryTable1875.xml"/><Relationship Id="rId450" Type="http://schemas.openxmlformats.org/officeDocument/2006/relationships/queryTable" Target="../queryTables/queryTable2040.xml"/><Relationship Id="rId471" Type="http://schemas.openxmlformats.org/officeDocument/2006/relationships/queryTable" Target="../queryTables/queryTable2061.xml"/><Relationship Id="rId506" Type="http://schemas.openxmlformats.org/officeDocument/2006/relationships/queryTable" Target="../queryTables/queryTable2096.xml"/><Relationship Id="rId17" Type="http://schemas.openxmlformats.org/officeDocument/2006/relationships/queryTable" Target="../queryTables/queryTable1607.xml"/><Relationship Id="rId38" Type="http://schemas.openxmlformats.org/officeDocument/2006/relationships/queryTable" Target="../queryTables/queryTable1628.xml"/><Relationship Id="rId59" Type="http://schemas.openxmlformats.org/officeDocument/2006/relationships/queryTable" Target="../queryTables/queryTable1649.xml"/><Relationship Id="rId103" Type="http://schemas.openxmlformats.org/officeDocument/2006/relationships/queryTable" Target="../queryTables/queryTable1693.xml"/><Relationship Id="rId124" Type="http://schemas.openxmlformats.org/officeDocument/2006/relationships/queryTable" Target="../queryTables/queryTable1714.xml"/><Relationship Id="rId310" Type="http://schemas.openxmlformats.org/officeDocument/2006/relationships/queryTable" Target="../queryTables/queryTable1900.xml"/><Relationship Id="rId492" Type="http://schemas.openxmlformats.org/officeDocument/2006/relationships/queryTable" Target="../queryTables/queryTable2082.xml"/><Relationship Id="rId527" Type="http://schemas.openxmlformats.org/officeDocument/2006/relationships/queryTable" Target="../queryTables/queryTable2117.xml"/><Relationship Id="rId548" Type="http://schemas.openxmlformats.org/officeDocument/2006/relationships/queryTable" Target="../queryTables/queryTable2138.xml"/><Relationship Id="rId70" Type="http://schemas.openxmlformats.org/officeDocument/2006/relationships/queryTable" Target="../queryTables/queryTable1660.xml"/><Relationship Id="rId91" Type="http://schemas.openxmlformats.org/officeDocument/2006/relationships/queryTable" Target="../queryTables/queryTable1681.xml"/><Relationship Id="rId145" Type="http://schemas.openxmlformats.org/officeDocument/2006/relationships/queryTable" Target="../queryTables/queryTable1735.xml"/><Relationship Id="rId166" Type="http://schemas.openxmlformats.org/officeDocument/2006/relationships/queryTable" Target="../queryTables/queryTable1756.xml"/><Relationship Id="rId187" Type="http://schemas.openxmlformats.org/officeDocument/2006/relationships/queryTable" Target="../queryTables/queryTable1777.xml"/><Relationship Id="rId331" Type="http://schemas.openxmlformats.org/officeDocument/2006/relationships/queryTable" Target="../queryTables/queryTable1921.xml"/><Relationship Id="rId352" Type="http://schemas.openxmlformats.org/officeDocument/2006/relationships/queryTable" Target="../queryTables/queryTable1942.xml"/><Relationship Id="rId373" Type="http://schemas.openxmlformats.org/officeDocument/2006/relationships/queryTable" Target="../queryTables/queryTable1963.xml"/><Relationship Id="rId394" Type="http://schemas.openxmlformats.org/officeDocument/2006/relationships/queryTable" Target="../queryTables/queryTable1984.xml"/><Relationship Id="rId408" Type="http://schemas.openxmlformats.org/officeDocument/2006/relationships/queryTable" Target="../queryTables/queryTable1998.xml"/><Relationship Id="rId429" Type="http://schemas.openxmlformats.org/officeDocument/2006/relationships/queryTable" Target="../queryTables/queryTable2019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802.xml"/><Relationship Id="rId233" Type="http://schemas.openxmlformats.org/officeDocument/2006/relationships/queryTable" Target="../queryTables/queryTable1823.xml"/><Relationship Id="rId254" Type="http://schemas.openxmlformats.org/officeDocument/2006/relationships/queryTable" Target="../queryTables/queryTable1844.xml"/><Relationship Id="rId440" Type="http://schemas.openxmlformats.org/officeDocument/2006/relationships/queryTable" Target="../queryTables/queryTable2030.xml"/><Relationship Id="rId28" Type="http://schemas.openxmlformats.org/officeDocument/2006/relationships/queryTable" Target="../queryTables/queryTable1618.xml"/><Relationship Id="rId49" Type="http://schemas.openxmlformats.org/officeDocument/2006/relationships/queryTable" Target="../queryTables/queryTable1639.xml"/><Relationship Id="rId114" Type="http://schemas.openxmlformats.org/officeDocument/2006/relationships/queryTable" Target="../queryTables/queryTable1704.xml"/><Relationship Id="rId275" Type="http://schemas.openxmlformats.org/officeDocument/2006/relationships/queryTable" Target="../queryTables/queryTable1865.xml"/><Relationship Id="rId296" Type="http://schemas.openxmlformats.org/officeDocument/2006/relationships/queryTable" Target="../queryTables/queryTable1886.xml"/><Relationship Id="rId300" Type="http://schemas.openxmlformats.org/officeDocument/2006/relationships/queryTable" Target="../queryTables/queryTable1890.xml"/><Relationship Id="rId461" Type="http://schemas.openxmlformats.org/officeDocument/2006/relationships/queryTable" Target="../queryTables/queryTable2051.xml"/><Relationship Id="rId482" Type="http://schemas.openxmlformats.org/officeDocument/2006/relationships/queryTable" Target="../queryTables/queryTable2072.xml"/><Relationship Id="rId517" Type="http://schemas.openxmlformats.org/officeDocument/2006/relationships/queryTable" Target="../queryTables/queryTable2107.xml"/><Relationship Id="rId538" Type="http://schemas.openxmlformats.org/officeDocument/2006/relationships/queryTable" Target="../queryTables/queryTable2128.xml"/><Relationship Id="rId60" Type="http://schemas.openxmlformats.org/officeDocument/2006/relationships/queryTable" Target="../queryTables/queryTable1650.xml"/><Relationship Id="rId81" Type="http://schemas.openxmlformats.org/officeDocument/2006/relationships/queryTable" Target="../queryTables/queryTable1671.xml"/><Relationship Id="rId135" Type="http://schemas.openxmlformats.org/officeDocument/2006/relationships/queryTable" Target="../queryTables/queryTable1725.xml"/><Relationship Id="rId156" Type="http://schemas.openxmlformats.org/officeDocument/2006/relationships/queryTable" Target="../queryTables/queryTable1746.xml"/><Relationship Id="rId177" Type="http://schemas.openxmlformats.org/officeDocument/2006/relationships/queryTable" Target="../queryTables/queryTable1767.xml"/><Relationship Id="rId198" Type="http://schemas.openxmlformats.org/officeDocument/2006/relationships/queryTable" Target="../queryTables/queryTable1788.xml"/><Relationship Id="rId321" Type="http://schemas.openxmlformats.org/officeDocument/2006/relationships/queryTable" Target="../queryTables/queryTable1911.xml"/><Relationship Id="rId342" Type="http://schemas.openxmlformats.org/officeDocument/2006/relationships/queryTable" Target="../queryTables/queryTable1932.xml"/><Relationship Id="rId363" Type="http://schemas.openxmlformats.org/officeDocument/2006/relationships/queryTable" Target="../queryTables/queryTable1953.xml"/><Relationship Id="rId384" Type="http://schemas.openxmlformats.org/officeDocument/2006/relationships/queryTable" Target="../queryTables/queryTable1974.xml"/><Relationship Id="rId419" Type="http://schemas.openxmlformats.org/officeDocument/2006/relationships/queryTable" Target="../queryTables/queryTable2009.xml"/><Relationship Id="rId202" Type="http://schemas.openxmlformats.org/officeDocument/2006/relationships/queryTable" Target="../queryTables/queryTable1792.xml"/><Relationship Id="rId223" Type="http://schemas.openxmlformats.org/officeDocument/2006/relationships/queryTable" Target="../queryTables/queryTable1813.xml"/><Relationship Id="rId244" Type="http://schemas.openxmlformats.org/officeDocument/2006/relationships/queryTable" Target="../queryTables/queryTable1834.xml"/><Relationship Id="rId430" Type="http://schemas.openxmlformats.org/officeDocument/2006/relationships/queryTable" Target="../queryTables/queryTable2020.xml"/><Relationship Id="rId18" Type="http://schemas.openxmlformats.org/officeDocument/2006/relationships/queryTable" Target="../queryTables/queryTable1608.xml"/><Relationship Id="rId39" Type="http://schemas.openxmlformats.org/officeDocument/2006/relationships/queryTable" Target="../queryTables/queryTable1629.xml"/><Relationship Id="rId265" Type="http://schemas.openxmlformats.org/officeDocument/2006/relationships/queryTable" Target="../queryTables/queryTable1855.xml"/><Relationship Id="rId286" Type="http://schemas.openxmlformats.org/officeDocument/2006/relationships/queryTable" Target="../queryTables/queryTable1876.xml"/><Relationship Id="rId451" Type="http://schemas.openxmlformats.org/officeDocument/2006/relationships/queryTable" Target="../queryTables/queryTable2041.xml"/><Relationship Id="rId472" Type="http://schemas.openxmlformats.org/officeDocument/2006/relationships/queryTable" Target="../queryTables/queryTable2062.xml"/><Relationship Id="rId493" Type="http://schemas.openxmlformats.org/officeDocument/2006/relationships/queryTable" Target="../queryTables/queryTable2083.xml"/><Relationship Id="rId507" Type="http://schemas.openxmlformats.org/officeDocument/2006/relationships/queryTable" Target="../queryTables/queryTable2097.xml"/><Relationship Id="rId528" Type="http://schemas.openxmlformats.org/officeDocument/2006/relationships/queryTable" Target="../queryTables/queryTable2118.xml"/><Relationship Id="rId549" Type="http://schemas.openxmlformats.org/officeDocument/2006/relationships/queryTable" Target="../queryTables/queryTable2139.xml"/><Relationship Id="rId50" Type="http://schemas.openxmlformats.org/officeDocument/2006/relationships/queryTable" Target="../queryTables/queryTable1640.xml"/><Relationship Id="rId104" Type="http://schemas.openxmlformats.org/officeDocument/2006/relationships/queryTable" Target="../queryTables/queryTable1694.xml"/><Relationship Id="rId125" Type="http://schemas.openxmlformats.org/officeDocument/2006/relationships/queryTable" Target="../queryTables/queryTable1715.xml"/><Relationship Id="rId146" Type="http://schemas.openxmlformats.org/officeDocument/2006/relationships/queryTable" Target="../queryTables/queryTable1736.xml"/><Relationship Id="rId167" Type="http://schemas.openxmlformats.org/officeDocument/2006/relationships/queryTable" Target="../queryTables/queryTable1757.xml"/><Relationship Id="rId188" Type="http://schemas.openxmlformats.org/officeDocument/2006/relationships/queryTable" Target="../queryTables/queryTable1778.xml"/><Relationship Id="rId311" Type="http://schemas.openxmlformats.org/officeDocument/2006/relationships/queryTable" Target="../queryTables/queryTable1901.xml"/><Relationship Id="rId332" Type="http://schemas.openxmlformats.org/officeDocument/2006/relationships/queryTable" Target="../queryTables/queryTable1922.xml"/><Relationship Id="rId353" Type="http://schemas.openxmlformats.org/officeDocument/2006/relationships/queryTable" Target="../queryTables/queryTable1943.xml"/><Relationship Id="rId374" Type="http://schemas.openxmlformats.org/officeDocument/2006/relationships/queryTable" Target="../queryTables/queryTable1964.xml"/><Relationship Id="rId395" Type="http://schemas.openxmlformats.org/officeDocument/2006/relationships/queryTable" Target="../queryTables/queryTable1985.xml"/><Relationship Id="rId409" Type="http://schemas.openxmlformats.org/officeDocument/2006/relationships/queryTable" Target="../queryTables/queryTable1999.xml"/><Relationship Id="rId71" Type="http://schemas.openxmlformats.org/officeDocument/2006/relationships/queryTable" Target="../queryTables/queryTable1661.xml"/><Relationship Id="rId92" Type="http://schemas.openxmlformats.org/officeDocument/2006/relationships/queryTable" Target="../queryTables/queryTable1682.xml"/><Relationship Id="rId213" Type="http://schemas.openxmlformats.org/officeDocument/2006/relationships/queryTable" Target="../queryTables/queryTable1803.xml"/><Relationship Id="rId234" Type="http://schemas.openxmlformats.org/officeDocument/2006/relationships/queryTable" Target="../queryTables/queryTable1824.xml"/><Relationship Id="rId420" Type="http://schemas.openxmlformats.org/officeDocument/2006/relationships/queryTable" Target="../queryTables/queryTable2010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619.xml"/><Relationship Id="rId255" Type="http://schemas.openxmlformats.org/officeDocument/2006/relationships/queryTable" Target="../queryTables/queryTable1845.xml"/><Relationship Id="rId276" Type="http://schemas.openxmlformats.org/officeDocument/2006/relationships/queryTable" Target="../queryTables/queryTable1866.xml"/><Relationship Id="rId297" Type="http://schemas.openxmlformats.org/officeDocument/2006/relationships/queryTable" Target="../queryTables/queryTable1887.xml"/><Relationship Id="rId441" Type="http://schemas.openxmlformats.org/officeDocument/2006/relationships/queryTable" Target="../queryTables/queryTable2031.xml"/><Relationship Id="rId462" Type="http://schemas.openxmlformats.org/officeDocument/2006/relationships/queryTable" Target="../queryTables/queryTable2052.xml"/><Relationship Id="rId483" Type="http://schemas.openxmlformats.org/officeDocument/2006/relationships/queryTable" Target="../queryTables/queryTable2073.xml"/><Relationship Id="rId518" Type="http://schemas.openxmlformats.org/officeDocument/2006/relationships/queryTable" Target="../queryTables/queryTable2108.xml"/><Relationship Id="rId539" Type="http://schemas.openxmlformats.org/officeDocument/2006/relationships/queryTable" Target="../queryTables/queryTable2129.xml"/><Relationship Id="rId40" Type="http://schemas.openxmlformats.org/officeDocument/2006/relationships/queryTable" Target="../queryTables/queryTable1630.xml"/><Relationship Id="rId115" Type="http://schemas.openxmlformats.org/officeDocument/2006/relationships/queryTable" Target="../queryTables/queryTable1705.xml"/><Relationship Id="rId136" Type="http://schemas.openxmlformats.org/officeDocument/2006/relationships/queryTable" Target="../queryTables/queryTable1726.xml"/><Relationship Id="rId157" Type="http://schemas.openxmlformats.org/officeDocument/2006/relationships/queryTable" Target="../queryTables/queryTable1747.xml"/><Relationship Id="rId178" Type="http://schemas.openxmlformats.org/officeDocument/2006/relationships/queryTable" Target="../queryTables/queryTable1768.xml"/><Relationship Id="rId301" Type="http://schemas.openxmlformats.org/officeDocument/2006/relationships/queryTable" Target="../queryTables/queryTable1891.xml"/><Relationship Id="rId322" Type="http://schemas.openxmlformats.org/officeDocument/2006/relationships/queryTable" Target="../queryTables/queryTable1912.xml"/><Relationship Id="rId343" Type="http://schemas.openxmlformats.org/officeDocument/2006/relationships/queryTable" Target="../queryTables/queryTable1933.xml"/><Relationship Id="rId364" Type="http://schemas.openxmlformats.org/officeDocument/2006/relationships/queryTable" Target="../queryTables/queryTable1954.xml"/><Relationship Id="rId550" Type="http://schemas.openxmlformats.org/officeDocument/2006/relationships/queryTable" Target="../queryTables/queryTable2140.xml"/><Relationship Id="rId61" Type="http://schemas.openxmlformats.org/officeDocument/2006/relationships/queryTable" Target="../queryTables/queryTable1651.xml"/><Relationship Id="rId82" Type="http://schemas.openxmlformats.org/officeDocument/2006/relationships/queryTable" Target="../queryTables/queryTable1672.xml"/><Relationship Id="rId199" Type="http://schemas.openxmlformats.org/officeDocument/2006/relationships/queryTable" Target="../queryTables/queryTable1789.xml"/><Relationship Id="rId203" Type="http://schemas.openxmlformats.org/officeDocument/2006/relationships/queryTable" Target="../queryTables/queryTable1793.xml"/><Relationship Id="rId385" Type="http://schemas.openxmlformats.org/officeDocument/2006/relationships/queryTable" Target="../queryTables/queryTable1975.xml"/><Relationship Id="rId19" Type="http://schemas.openxmlformats.org/officeDocument/2006/relationships/queryTable" Target="../queryTables/queryTable1609.xml"/><Relationship Id="rId224" Type="http://schemas.openxmlformats.org/officeDocument/2006/relationships/queryTable" Target="../queryTables/queryTable1814.xml"/><Relationship Id="rId245" Type="http://schemas.openxmlformats.org/officeDocument/2006/relationships/queryTable" Target="../queryTables/queryTable1835.xml"/><Relationship Id="rId266" Type="http://schemas.openxmlformats.org/officeDocument/2006/relationships/queryTable" Target="../queryTables/queryTable1856.xml"/><Relationship Id="rId287" Type="http://schemas.openxmlformats.org/officeDocument/2006/relationships/queryTable" Target="../queryTables/queryTable1877.xml"/><Relationship Id="rId410" Type="http://schemas.openxmlformats.org/officeDocument/2006/relationships/queryTable" Target="../queryTables/queryTable2000.xml"/><Relationship Id="rId431" Type="http://schemas.openxmlformats.org/officeDocument/2006/relationships/queryTable" Target="../queryTables/queryTable2021.xml"/><Relationship Id="rId452" Type="http://schemas.openxmlformats.org/officeDocument/2006/relationships/queryTable" Target="../queryTables/queryTable2042.xml"/><Relationship Id="rId473" Type="http://schemas.openxmlformats.org/officeDocument/2006/relationships/queryTable" Target="../queryTables/queryTable2063.xml"/><Relationship Id="rId494" Type="http://schemas.openxmlformats.org/officeDocument/2006/relationships/queryTable" Target="../queryTables/queryTable2084.xml"/><Relationship Id="rId508" Type="http://schemas.openxmlformats.org/officeDocument/2006/relationships/queryTable" Target="../queryTables/queryTable2098.xml"/><Relationship Id="rId529" Type="http://schemas.openxmlformats.org/officeDocument/2006/relationships/queryTable" Target="../queryTables/queryTable2119.xml"/><Relationship Id="rId30" Type="http://schemas.openxmlformats.org/officeDocument/2006/relationships/queryTable" Target="../queryTables/queryTable1620.xml"/><Relationship Id="rId105" Type="http://schemas.openxmlformats.org/officeDocument/2006/relationships/queryTable" Target="../queryTables/queryTable1695.xml"/><Relationship Id="rId126" Type="http://schemas.openxmlformats.org/officeDocument/2006/relationships/queryTable" Target="../queryTables/queryTable1716.xml"/><Relationship Id="rId147" Type="http://schemas.openxmlformats.org/officeDocument/2006/relationships/queryTable" Target="../queryTables/queryTable1737.xml"/><Relationship Id="rId168" Type="http://schemas.openxmlformats.org/officeDocument/2006/relationships/queryTable" Target="../queryTables/queryTable1758.xml"/><Relationship Id="rId312" Type="http://schemas.openxmlformats.org/officeDocument/2006/relationships/queryTable" Target="../queryTables/queryTable1902.xml"/><Relationship Id="rId333" Type="http://schemas.openxmlformats.org/officeDocument/2006/relationships/queryTable" Target="../queryTables/queryTable1923.xml"/><Relationship Id="rId354" Type="http://schemas.openxmlformats.org/officeDocument/2006/relationships/queryTable" Target="../queryTables/queryTable1944.xml"/><Relationship Id="rId540" Type="http://schemas.openxmlformats.org/officeDocument/2006/relationships/queryTable" Target="../queryTables/queryTable2130.xml"/><Relationship Id="rId51" Type="http://schemas.openxmlformats.org/officeDocument/2006/relationships/queryTable" Target="../queryTables/queryTable1641.xml"/><Relationship Id="rId72" Type="http://schemas.openxmlformats.org/officeDocument/2006/relationships/queryTable" Target="../queryTables/queryTable1662.xml"/><Relationship Id="rId93" Type="http://schemas.openxmlformats.org/officeDocument/2006/relationships/queryTable" Target="../queryTables/queryTable1683.xml"/><Relationship Id="rId189" Type="http://schemas.openxmlformats.org/officeDocument/2006/relationships/queryTable" Target="../queryTables/queryTable1779.xml"/><Relationship Id="rId375" Type="http://schemas.openxmlformats.org/officeDocument/2006/relationships/queryTable" Target="../queryTables/queryTable1965.xml"/><Relationship Id="rId396" Type="http://schemas.openxmlformats.org/officeDocument/2006/relationships/queryTable" Target="../queryTables/queryTable1986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804.xml"/><Relationship Id="rId235" Type="http://schemas.openxmlformats.org/officeDocument/2006/relationships/queryTable" Target="../queryTables/queryTable1825.xml"/><Relationship Id="rId256" Type="http://schemas.openxmlformats.org/officeDocument/2006/relationships/queryTable" Target="../queryTables/queryTable1846.xml"/><Relationship Id="rId277" Type="http://schemas.openxmlformats.org/officeDocument/2006/relationships/queryTable" Target="../queryTables/queryTable1867.xml"/><Relationship Id="rId298" Type="http://schemas.openxmlformats.org/officeDocument/2006/relationships/queryTable" Target="../queryTables/queryTable1888.xml"/><Relationship Id="rId400" Type="http://schemas.openxmlformats.org/officeDocument/2006/relationships/queryTable" Target="../queryTables/queryTable1990.xml"/><Relationship Id="rId421" Type="http://schemas.openxmlformats.org/officeDocument/2006/relationships/queryTable" Target="../queryTables/queryTable2011.xml"/><Relationship Id="rId442" Type="http://schemas.openxmlformats.org/officeDocument/2006/relationships/queryTable" Target="../queryTables/queryTable2032.xml"/><Relationship Id="rId463" Type="http://schemas.openxmlformats.org/officeDocument/2006/relationships/queryTable" Target="../queryTables/queryTable2053.xml"/><Relationship Id="rId484" Type="http://schemas.openxmlformats.org/officeDocument/2006/relationships/queryTable" Target="../queryTables/queryTable2074.xml"/><Relationship Id="rId519" Type="http://schemas.openxmlformats.org/officeDocument/2006/relationships/queryTable" Target="../queryTables/queryTable2109.xml"/><Relationship Id="rId116" Type="http://schemas.openxmlformats.org/officeDocument/2006/relationships/queryTable" Target="../queryTables/queryTable1706.xml"/><Relationship Id="rId137" Type="http://schemas.openxmlformats.org/officeDocument/2006/relationships/queryTable" Target="../queryTables/queryTable1727.xml"/><Relationship Id="rId158" Type="http://schemas.openxmlformats.org/officeDocument/2006/relationships/queryTable" Target="../queryTables/queryTable1748.xml"/><Relationship Id="rId302" Type="http://schemas.openxmlformats.org/officeDocument/2006/relationships/queryTable" Target="../queryTables/queryTable1892.xml"/><Relationship Id="rId323" Type="http://schemas.openxmlformats.org/officeDocument/2006/relationships/queryTable" Target="../queryTables/queryTable1913.xml"/><Relationship Id="rId344" Type="http://schemas.openxmlformats.org/officeDocument/2006/relationships/queryTable" Target="../queryTables/queryTable1934.xml"/><Relationship Id="rId530" Type="http://schemas.openxmlformats.org/officeDocument/2006/relationships/queryTable" Target="../queryTables/queryTable2120.xml"/><Relationship Id="rId20" Type="http://schemas.openxmlformats.org/officeDocument/2006/relationships/queryTable" Target="../queryTables/queryTable1610.xml"/><Relationship Id="rId41" Type="http://schemas.openxmlformats.org/officeDocument/2006/relationships/queryTable" Target="../queryTables/queryTable1631.xml"/><Relationship Id="rId62" Type="http://schemas.openxmlformats.org/officeDocument/2006/relationships/queryTable" Target="../queryTables/queryTable1652.xml"/><Relationship Id="rId83" Type="http://schemas.openxmlformats.org/officeDocument/2006/relationships/queryTable" Target="../queryTables/queryTable1673.xml"/><Relationship Id="rId179" Type="http://schemas.openxmlformats.org/officeDocument/2006/relationships/queryTable" Target="../queryTables/queryTable1769.xml"/><Relationship Id="rId365" Type="http://schemas.openxmlformats.org/officeDocument/2006/relationships/queryTable" Target="../queryTables/queryTable1955.xml"/><Relationship Id="rId386" Type="http://schemas.openxmlformats.org/officeDocument/2006/relationships/queryTable" Target="../queryTables/queryTable1976.xml"/><Relationship Id="rId551" Type="http://schemas.openxmlformats.org/officeDocument/2006/relationships/queryTable" Target="../queryTables/queryTable2141.xml"/><Relationship Id="rId190" Type="http://schemas.openxmlformats.org/officeDocument/2006/relationships/queryTable" Target="../queryTables/queryTable1780.xml"/><Relationship Id="rId204" Type="http://schemas.openxmlformats.org/officeDocument/2006/relationships/queryTable" Target="../queryTables/queryTable1794.xml"/><Relationship Id="rId225" Type="http://schemas.openxmlformats.org/officeDocument/2006/relationships/queryTable" Target="../queryTables/queryTable1815.xml"/><Relationship Id="rId246" Type="http://schemas.openxmlformats.org/officeDocument/2006/relationships/queryTable" Target="../queryTables/queryTable1836.xml"/><Relationship Id="rId267" Type="http://schemas.openxmlformats.org/officeDocument/2006/relationships/queryTable" Target="../queryTables/queryTable1857.xml"/><Relationship Id="rId288" Type="http://schemas.openxmlformats.org/officeDocument/2006/relationships/queryTable" Target="../queryTables/queryTable1878.xml"/><Relationship Id="rId411" Type="http://schemas.openxmlformats.org/officeDocument/2006/relationships/queryTable" Target="../queryTables/queryTable2001.xml"/><Relationship Id="rId432" Type="http://schemas.openxmlformats.org/officeDocument/2006/relationships/queryTable" Target="../queryTables/queryTable2022.xml"/><Relationship Id="rId453" Type="http://schemas.openxmlformats.org/officeDocument/2006/relationships/queryTable" Target="../queryTables/queryTable2043.xml"/><Relationship Id="rId474" Type="http://schemas.openxmlformats.org/officeDocument/2006/relationships/queryTable" Target="../queryTables/queryTable2064.xml"/><Relationship Id="rId509" Type="http://schemas.openxmlformats.org/officeDocument/2006/relationships/queryTable" Target="../queryTables/queryTable2099.xml"/><Relationship Id="rId106" Type="http://schemas.openxmlformats.org/officeDocument/2006/relationships/queryTable" Target="../queryTables/queryTable1696.xml"/><Relationship Id="rId127" Type="http://schemas.openxmlformats.org/officeDocument/2006/relationships/queryTable" Target="../queryTables/queryTable1717.xml"/><Relationship Id="rId313" Type="http://schemas.openxmlformats.org/officeDocument/2006/relationships/queryTable" Target="../queryTables/queryTable1903.xml"/><Relationship Id="rId495" Type="http://schemas.openxmlformats.org/officeDocument/2006/relationships/queryTable" Target="../queryTables/queryTable2085.xml"/><Relationship Id="rId10" Type="http://schemas.openxmlformats.org/officeDocument/2006/relationships/queryTable" Target="../queryTables/queryTable1600.xml"/><Relationship Id="rId31" Type="http://schemas.openxmlformats.org/officeDocument/2006/relationships/queryTable" Target="../queryTables/queryTable1621.xml"/><Relationship Id="rId52" Type="http://schemas.openxmlformats.org/officeDocument/2006/relationships/queryTable" Target="../queryTables/queryTable1642.xml"/><Relationship Id="rId73" Type="http://schemas.openxmlformats.org/officeDocument/2006/relationships/queryTable" Target="../queryTables/queryTable1663.xml"/><Relationship Id="rId94" Type="http://schemas.openxmlformats.org/officeDocument/2006/relationships/queryTable" Target="../queryTables/queryTable1684.xml"/><Relationship Id="rId148" Type="http://schemas.openxmlformats.org/officeDocument/2006/relationships/queryTable" Target="../queryTables/queryTable1738.xml"/><Relationship Id="rId169" Type="http://schemas.openxmlformats.org/officeDocument/2006/relationships/queryTable" Target="../queryTables/queryTable1759.xml"/><Relationship Id="rId334" Type="http://schemas.openxmlformats.org/officeDocument/2006/relationships/queryTable" Target="../queryTables/queryTable1924.xml"/><Relationship Id="rId355" Type="http://schemas.openxmlformats.org/officeDocument/2006/relationships/queryTable" Target="../queryTables/queryTable1945.xml"/><Relationship Id="rId376" Type="http://schemas.openxmlformats.org/officeDocument/2006/relationships/queryTable" Target="../queryTables/queryTable1966.xml"/><Relationship Id="rId397" Type="http://schemas.openxmlformats.org/officeDocument/2006/relationships/queryTable" Target="../queryTables/queryTable1987.xml"/><Relationship Id="rId520" Type="http://schemas.openxmlformats.org/officeDocument/2006/relationships/queryTable" Target="../queryTables/queryTable2110.xml"/><Relationship Id="rId541" Type="http://schemas.openxmlformats.org/officeDocument/2006/relationships/queryTable" Target="../queryTables/queryTable2131.xml"/><Relationship Id="rId4" Type="http://schemas.openxmlformats.org/officeDocument/2006/relationships/queryTable" Target="../queryTables/queryTable1594.xml"/><Relationship Id="rId180" Type="http://schemas.openxmlformats.org/officeDocument/2006/relationships/queryTable" Target="../queryTables/queryTable1770.xml"/><Relationship Id="rId215" Type="http://schemas.openxmlformats.org/officeDocument/2006/relationships/queryTable" Target="../queryTables/queryTable1805.xml"/><Relationship Id="rId236" Type="http://schemas.openxmlformats.org/officeDocument/2006/relationships/queryTable" Target="../queryTables/queryTable1826.xml"/><Relationship Id="rId257" Type="http://schemas.openxmlformats.org/officeDocument/2006/relationships/queryTable" Target="../queryTables/queryTable1847.xml"/><Relationship Id="rId278" Type="http://schemas.openxmlformats.org/officeDocument/2006/relationships/queryTable" Target="../queryTables/queryTable1868.xml"/><Relationship Id="rId401" Type="http://schemas.openxmlformats.org/officeDocument/2006/relationships/queryTable" Target="../queryTables/queryTable1991.xml"/><Relationship Id="rId422" Type="http://schemas.openxmlformats.org/officeDocument/2006/relationships/queryTable" Target="../queryTables/queryTable2012.xml"/><Relationship Id="rId443" Type="http://schemas.openxmlformats.org/officeDocument/2006/relationships/queryTable" Target="../queryTables/queryTable2033.xml"/><Relationship Id="rId464" Type="http://schemas.openxmlformats.org/officeDocument/2006/relationships/queryTable" Target="../queryTables/queryTable2054.xml"/><Relationship Id="rId303" Type="http://schemas.openxmlformats.org/officeDocument/2006/relationships/queryTable" Target="../queryTables/queryTable1893.xml"/><Relationship Id="rId485" Type="http://schemas.openxmlformats.org/officeDocument/2006/relationships/queryTable" Target="../queryTables/queryTable2075.xml"/><Relationship Id="rId42" Type="http://schemas.openxmlformats.org/officeDocument/2006/relationships/queryTable" Target="../queryTables/queryTable1632.xml"/><Relationship Id="rId84" Type="http://schemas.openxmlformats.org/officeDocument/2006/relationships/queryTable" Target="../queryTables/queryTable1674.xml"/><Relationship Id="rId138" Type="http://schemas.openxmlformats.org/officeDocument/2006/relationships/queryTable" Target="../queryTables/queryTable1728.xml"/><Relationship Id="rId345" Type="http://schemas.openxmlformats.org/officeDocument/2006/relationships/queryTable" Target="../queryTables/queryTable1935.xml"/><Relationship Id="rId387" Type="http://schemas.openxmlformats.org/officeDocument/2006/relationships/queryTable" Target="../queryTables/queryTable1977.xml"/><Relationship Id="rId510" Type="http://schemas.openxmlformats.org/officeDocument/2006/relationships/queryTable" Target="../queryTables/queryTable2100.xml"/><Relationship Id="rId552" Type="http://schemas.openxmlformats.org/officeDocument/2006/relationships/queryTable" Target="../queryTables/queryTable2142.xml"/><Relationship Id="rId191" Type="http://schemas.openxmlformats.org/officeDocument/2006/relationships/queryTable" Target="../queryTables/queryTable1781.xml"/><Relationship Id="rId205" Type="http://schemas.openxmlformats.org/officeDocument/2006/relationships/queryTable" Target="../queryTables/queryTable1795.xml"/><Relationship Id="rId247" Type="http://schemas.openxmlformats.org/officeDocument/2006/relationships/queryTable" Target="../queryTables/queryTable1837.xml"/><Relationship Id="rId412" Type="http://schemas.openxmlformats.org/officeDocument/2006/relationships/queryTable" Target="../queryTables/queryTable2002.xml"/><Relationship Id="rId107" Type="http://schemas.openxmlformats.org/officeDocument/2006/relationships/queryTable" Target="../queryTables/queryTable1697.xml"/><Relationship Id="rId289" Type="http://schemas.openxmlformats.org/officeDocument/2006/relationships/queryTable" Target="../queryTables/queryTable1879.xml"/><Relationship Id="rId454" Type="http://schemas.openxmlformats.org/officeDocument/2006/relationships/queryTable" Target="../queryTables/queryTable2044.xml"/><Relationship Id="rId496" Type="http://schemas.openxmlformats.org/officeDocument/2006/relationships/queryTable" Target="../queryTables/queryTable2086.xml"/><Relationship Id="rId11" Type="http://schemas.openxmlformats.org/officeDocument/2006/relationships/queryTable" Target="../queryTables/queryTable1601.xml"/><Relationship Id="rId53" Type="http://schemas.openxmlformats.org/officeDocument/2006/relationships/queryTable" Target="../queryTables/queryTable1643.xml"/><Relationship Id="rId149" Type="http://schemas.openxmlformats.org/officeDocument/2006/relationships/queryTable" Target="../queryTables/queryTable1739.xml"/><Relationship Id="rId314" Type="http://schemas.openxmlformats.org/officeDocument/2006/relationships/queryTable" Target="../queryTables/queryTable1904.xml"/><Relationship Id="rId356" Type="http://schemas.openxmlformats.org/officeDocument/2006/relationships/queryTable" Target="../queryTables/queryTable1946.xml"/><Relationship Id="rId398" Type="http://schemas.openxmlformats.org/officeDocument/2006/relationships/queryTable" Target="../queryTables/queryTable1988.xml"/><Relationship Id="rId521" Type="http://schemas.openxmlformats.org/officeDocument/2006/relationships/queryTable" Target="../queryTables/queryTable2111.xml"/><Relationship Id="rId95" Type="http://schemas.openxmlformats.org/officeDocument/2006/relationships/queryTable" Target="../queryTables/queryTable1685.xml"/><Relationship Id="rId160" Type="http://schemas.openxmlformats.org/officeDocument/2006/relationships/queryTable" Target="../queryTables/queryTable1750.xml"/><Relationship Id="rId216" Type="http://schemas.openxmlformats.org/officeDocument/2006/relationships/queryTable" Target="../queryTables/queryTable1806.xml"/><Relationship Id="rId423" Type="http://schemas.openxmlformats.org/officeDocument/2006/relationships/queryTable" Target="../queryTables/queryTable2013.xml"/><Relationship Id="rId258" Type="http://schemas.openxmlformats.org/officeDocument/2006/relationships/queryTable" Target="../queryTables/queryTable1848.xml"/><Relationship Id="rId465" Type="http://schemas.openxmlformats.org/officeDocument/2006/relationships/queryTable" Target="../queryTables/queryTable2055.xml"/><Relationship Id="rId22" Type="http://schemas.openxmlformats.org/officeDocument/2006/relationships/queryTable" Target="../queryTables/queryTable1612.xml"/><Relationship Id="rId64" Type="http://schemas.openxmlformats.org/officeDocument/2006/relationships/queryTable" Target="../queryTables/queryTable1654.xml"/><Relationship Id="rId118" Type="http://schemas.openxmlformats.org/officeDocument/2006/relationships/queryTable" Target="../queryTables/queryTable1708.xml"/><Relationship Id="rId325" Type="http://schemas.openxmlformats.org/officeDocument/2006/relationships/queryTable" Target="../queryTables/queryTable1915.xml"/><Relationship Id="rId367" Type="http://schemas.openxmlformats.org/officeDocument/2006/relationships/queryTable" Target="../queryTables/queryTable1957.xml"/><Relationship Id="rId532" Type="http://schemas.openxmlformats.org/officeDocument/2006/relationships/queryTable" Target="../queryTables/queryTable2122.xml"/><Relationship Id="rId171" Type="http://schemas.openxmlformats.org/officeDocument/2006/relationships/queryTable" Target="../queryTables/queryTable1761.xml"/><Relationship Id="rId227" Type="http://schemas.openxmlformats.org/officeDocument/2006/relationships/queryTable" Target="../queryTables/queryTable1817.xml"/><Relationship Id="rId269" Type="http://schemas.openxmlformats.org/officeDocument/2006/relationships/queryTable" Target="../queryTables/queryTable1859.xml"/><Relationship Id="rId434" Type="http://schemas.openxmlformats.org/officeDocument/2006/relationships/queryTable" Target="../queryTables/queryTable2024.xml"/><Relationship Id="rId476" Type="http://schemas.openxmlformats.org/officeDocument/2006/relationships/queryTable" Target="../queryTables/queryTable2066.xml"/><Relationship Id="rId33" Type="http://schemas.openxmlformats.org/officeDocument/2006/relationships/queryTable" Target="../queryTables/queryTable1623.xml"/><Relationship Id="rId129" Type="http://schemas.openxmlformats.org/officeDocument/2006/relationships/queryTable" Target="../queryTables/queryTable1719.xml"/><Relationship Id="rId280" Type="http://schemas.openxmlformats.org/officeDocument/2006/relationships/queryTable" Target="../queryTables/queryTable1870.xml"/><Relationship Id="rId336" Type="http://schemas.openxmlformats.org/officeDocument/2006/relationships/queryTable" Target="../queryTables/queryTable1926.xml"/><Relationship Id="rId501" Type="http://schemas.openxmlformats.org/officeDocument/2006/relationships/queryTable" Target="../queryTables/queryTable2091.xml"/><Relationship Id="rId543" Type="http://schemas.openxmlformats.org/officeDocument/2006/relationships/queryTable" Target="../queryTables/queryTable2133.xml"/><Relationship Id="rId75" Type="http://schemas.openxmlformats.org/officeDocument/2006/relationships/queryTable" Target="../queryTables/queryTable1665.xml"/><Relationship Id="rId140" Type="http://schemas.openxmlformats.org/officeDocument/2006/relationships/queryTable" Target="../queryTables/queryTable1730.xml"/><Relationship Id="rId182" Type="http://schemas.openxmlformats.org/officeDocument/2006/relationships/queryTable" Target="../queryTables/queryTable1772.xml"/><Relationship Id="rId378" Type="http://schemas.openxmlformats.org/officeDocument/2006/relationships/queryTable" Target="../queryTables/queryTable1968.xml"/><Relationship Id="rId403" Type="http://schemas.openxmlformats.org/officeDocument/2006/relationships/queryTable" Target="../queryTables/queryTable1993.xml"/><Relationship Id="rId6" Type="http://schemas.openxmlformats.org/officeDocument/2006/relationships/queryTable" Target="../queryTables/queryTable1596.xml"/><Relationship Id="rId238" Type="http://schemas.openxmlformats.org/officeDocument/2006/relationships/queryTable" Target="../queryTables/queryTable1828.xml"/><Relationship Id="rId445" Type="http://schemas.openxmlformats.org/officeDocument/2006/relationships/queryTable" Target="../queryTables/queryTable2035.xml"/><Relationship Id="rId487" Type="http://schemas.openxmlformats.org/officeDocument/2006/relationships/queryTable" Target="../queryTables/queryTable2077.xml"/><Relationship Id="rId291" Type="http://schemas.openxmlformats.org/officeDocument/2006/relationships/queryTable" Target="../queryTables/queryTable1881.xml"/><Relationship Id="rId305" Type="http://schemas.openxmlformats.org/officeDocument/2006/relationships/queryTable" Target="../queryTables/queryTable1895.xml"/><Relationship Id="rId347" Type="http://schemas.openxmlformats.org/officeDocument/2006/relationships/queryTable" Target="../queryTables/queryTable1937.xml"/><Relationship Id="rId512" Type="http://schemas.openxmlformats.org/officeDocument/2006/relationships/queryTable" Target="../queryTables/queryTable2102.xml"/><Relationship Id="rId44" Type="http://schemas.openxmlformats.org/officeDocument/2006/relationships/queryTable" Target="../queryTables/queryTable1634.xml"/><Relationship Id="rId86" Type="http://schemas.openxmlformats.org/officeDocument/2006/relationships/queryTable" Target="../queryTables/queryTable1676.xml"/><Relationship Id="rId151" Type="http://schemas.openxmlformats.org/officeDocument/2006/relationships/queryTable" Target="../queryTables/queryTable1741.xml"/><Relationship Id="rId389" Type="http://schemas.openxmlformats.org/officeDocument/2006/relationships/queryTable" Target="../queryTables/queryTable1979.xml"/><Relationship Id="rId554" Type="http://schemas.openxmlformats.org/officeDocument/2006/relationships/queryTable" Target="../queryTables/queryTable2144.xml"/><Relationship Id="rId193" Type="http://schemas.openxmlformats.org/officeDocument/2006/relationships/queryTable" Target="../queryTables/queryTable1783.xml"/><Relationship Id="rId207" Type="http://schemas.openxmlformats.org/officeDocument/2006/relationships/queryTable" Target="../queryTables/queryTable1797.xml"/><Relationship Id="rId249" Type="http://schemas.openxmlformats.org/officeDocument/2006/relationships/queryTable" Target="../queryTables/queryTable1839.xml"/><Relationship Id="rId414" Type="http://schemas.openxmlformats.org/officeDocument/2006/relationships/queryTable" Target="../queryTables/queryTable2004.xml"/><Relationship Id="rId456" Type="http://schemas.openxmlformats.org/officeDocument/2006/relationships/queryTable" Target="../queryTables/queryTable2046.xml"/><Relationship Id="rId498" Type="http://schemas.openxmlformats.org/officeDocument/2006/relationships/queryTable" Target="../queryTables/queryTable2088.xml"/><Relationship Id="rId13" Type="http://schemas.openxmlformats.org/officeDocument/2006/relationships/queryTable" Target="../queryTables/queryTable1603.xml"/><Relationship Id="rId109" Type="http://schemas.openxmlformats.org/officeDocument/2006/relationships/queryTable" Target="../queryTables/queryTable1699.xml"/><Relationship Id="rId260" Type="http://schemas.openxmlformats.org/officeDocument/2006/relationships/queryTable" Target="../queryTables/queryTable1850.xml"/><Relationship Id="rId316" Type="http://schemas.openxmlformats.org/officeDocument/2006/relationships/queryTable" Target="../queryTables/queryTable1906.xml"/><Relationship Id="rId523" Type="http://schemas.openxmlformats.org/officeDocument/2006/relationships/queryTable" Target="../queryTables/queryTable2113.xml"/><Relationship Id="rId55" Type="http://schemas.openxmlformats.org/officeDocument/2006/relationships/queryTable" Target="../queryTables/queryTable1645.xml"/><Relationship Id="rId97" Type="http://schemas.openxmlformats.org/officeDocument/2006/relationships/queryTable" Target="../queryTables/queryTable1687.xml"/><Relationship Id="rId120" Type="http://schemas.openxmlformats.org/officeDocument/2006/relationships/queryTable" Target="../queryTables/queryTable1710.xml"/><Relationship Id="rId358" Type="http://schemas.openxmlformats.org/officeDocument/2006/relationships/queryTable" Target="../queryTables/queryTable1948.xml"/><Relationship Id="rId162" Type="http://schemas.openxmlformats.org/officeDocument/2006/relationships/queryTable" Target="../queryTables/queryTable1752.xml"/><Relationship Id="rId218" Type="http://schemas.openxmlformats.org/officeDocument/2006/relationships/queryTable" Target="../queryTables/queryTable1808.xml"/><Relationship Id="rId425" Type="http://schemas.openxmlformats.org/officeDocument/2006/relationships/queryTable" Target="../queryTables/queryTable2015.xml"/><Relationship Id="rId467" Type="http://schemas.openxmlformats.org/officeDocument/2006/relationships/queryTable" Target="../queryTables/queryTable2057.xml"/><Relationship Id="rId271" Type="http://schemas.openxmlformats.org/officeDocument/2006/relationships/queryTable" Target="../queryTables/queryTable1861.xml"/><Relationship Id="rId24" Type="http://schemas.openxmlformats.org/officeDocument/2006/relationships/queryTable" Target="../queryTables/queryTable1614.xml"/><Relationship Id="rId66" Type="http://schemas.openxmlformats.org/officeDocument/2006/relationships/queryTable" Target="../queryTables/queryTable1656.xml"/><Relationship Id="rId131" Type="http://schemas.openxmlformats.org/officeDocument/2006/relationships/queryTable" Target="../queryTables/queryTable1721.xml"/><Relationship Id="rId327" Type="http://schemas.openxmlformats.org/officeDocument/2006/relationships/queryTable" Target="../queryTables/queryTable1917.xml"/><Relationship Id="rId369" Type="http://schemas.openxmlformats.org/officeDocument/2006/relationships/queryTable" Target="../queryTables/queryTable1959.xml"/><Relationship Id="rId534" Type="http://schemas.openxmlformats.org/officeDocument/2006/relationships/queryTable" Target="../queryTables/queryTable2124.xml"/><Relationship Id="rId173" Type="http://schemas.openxmlformats.org/officeDocument/2006/relationships/queryTable" Target="../queryTables/queryTable1763.xml"/><Relationship Id="rId229" Type="http://schemas.openxmlformats.org/officeDocument/2006/relationships/queryTable" Target="../queryTables/queryTable1819.xml"/><Relationship Id="rId380" Type="http://schemas.openxmlformats.org/officeDocument/2006/relationships/queryTable" Target="../queryTables/queryTable1970.xml"/><Relationship Id="rId436" Type="http://schemas.openxmlformats.org/officeDocument/2006/relationships/queryTable" Target="../queryTables/queryTable2026.xml"/><Relationship Id="rId240" Type="http://schemas.openxmlformats.org/officeDocument/2006/relationships/queryTable" Target="../queryTables/queryTable1830.xml"/><Relationship Id="rId478" Type="http://schemas.openxmlformats.org/officeDocument/2006/relationships/queryTable" Target="../queryTables/queryTable2068.xml"/><Relationship Id="rId35" Type="http://schemas.openxmlformats.org/officeDocument/2006/relationships/queryTable" Target="../queryTables/queryTable1625.xml"/><Relationship Id="rId77" Type="http://schemas.openxmlformats.org/officeDocument/2006/relationships/queryTable" Target="../queryTables/queryTable1667.xml"/><Relationship Id="rId100" Type="http://schemas.openxmlformats.org/officeDocument/2006/relationships/queryTable" Target="../queryTables/queryTable1690.xml"/><Relationship Id="rId282" Type="http://schemas.openxmlformats.org/officeDocument/2006/relationships/queryTable" Target="../queryTables/queryTable1872.xml"/><Relationship Id="rId338" Type="http://schemas.openxmlformats.org/officeDocument/2006/relationships/queryTable" Target="../queryTables/queryTable1928.xml"/><Relationship Id="rId503" Type="http://schemas.openxmlformats.org/officeDocument/2006/relationships/queryTable" Target="../queryTables/queryTable2093.xml"/><Relationship Id="rId545" Type="http://schemas.openxmlformats.org/officeDocument/2006/relationships/queryTable" Target="../queryTables/queryTable2135.xml"/><Relationship Id="rId8" Type="http://schemas.openxmlformats.org/officeDocument/2006/relationships/queryTable" Target="../queryTables/queryTable1598.xml"/><Relationship Id="rId142" Type="http://schemas.openxmlformats.org/officeDocument/2006/relationships/queryTable" Target="../queryTables/queryTable1732.xml"/><Relationship Id="rId184" Type="http://schemas.openxmlformats.org/officeDocument/2006/relationships/queryTable" Target="../queryTables/queryTable1774.xml"/><Relationship Id="rId391" Type="http://schemas.openxmlformats.org/officeDocument/2006/relationships/queryTable" Target="../queryTables/queryTable1981.xml"/><Relationship Id="rId405" Type="http://schemas.openxmlformats.org/officeDocument/2006/relationships/queryTable" Target="../queryTables/queryTable1995.xml"/><Relationship Id="rId447" Type="http://schemas.openxmlformats.org/officeDocument/2006/relationships/queryTable" Target="../queryTables/queryTable2037.xml"/><Relationship Id="rId251" Type="http://schemas.openxmlformats.org/officeDocument/2006/relationships/queryTable" Target="../queryTables/queryTable1841.xml"/><Relationship Id="rId489" Type="http://schemas.openxmlformats.org/officeDocument/2006/relationships/queryTable" Target="../queryTables/queryTable2079.xml"/><Relationship Id="rId46" Type="http://schemas.openxmlformats.org/officeDocument/2006/relationships/queryTable" Target="../queryTables/queryTable1636.xml"/><Relationship Id="rId293" Type="http://schemas.openxmlformats.org/officeDocument/2006/relationships/queryTable" Target="../queryTables/queryTable1883.xml"/><Relationship Id="rId307" Type="http://schemas.openxmlformats.org/officeDocument/2006/relationships/queryTable" Target="../queryTables/queryTable1897.xml"/><Relationship Id="rId349" Type="http://schemas.openxmlformats.org/officeDocument/2006/relationships/queryTable" Target="../queryTables/queryTable1939.xml"/><Relationship Id="rId514" Type="http://schemas.openxmlformats.org/officeDocument/2006/relationships/queryTable" Target="../queryTables/queryTable2104.xml"/><Relationship Id="rId88" Type="http://schemas.openxmlformats.org/officeDocument/2006/relationships/queryTable" Target="../queryTables/queryTable1678.xml"/><Relationship Id="rId111" Type="http://schemas.openxmlformats.org/officeDocument/2006/relationships/queryTable" Target="../queryTables/queryTable1701.xml"/><Relationship Id="rId153" Type="http://schemas.openxmlformats.org/officeDocument/2006/relationships/queryTable" Target="../queryTables/queryTable1743.xml"/><Relationship Id="rId195" Type="http://schemas.openxmlformats.org/officeDocument/2006/relationships/queryTable" Target="../queryTables/queryTable1785.xml"/><Relationship Id="rId209" Type="http://schemas.openxmlformats.org/officeDocument/2006/relationships/queryTable" Target="../queryTables/queryTable1799.xml"/><Relationship Id="rId360" Type="http://schemas.openxmlformats.org/officeDocument/2006/relationships/queryTable" Target="../queryTables/queryTable1950.xml"/><Relationship Id="rId416" Type="http://schemas.openxmlformats.org/officeDocument/2006/relationships/queryTable" Target="../queryTables/queryTable2006.xml"/><Relationship Id="rId220" Type="http://schemas.openxmlformats.org/officeDocument/2006/relationships/queryTable" Target="../queryTables/queryTable1810.xml"/><Relationship Id="rId458" Type="http://schemas.openxmlformats.org/officeDocument/2006/relationships/queryTable" Target="../queryTables/queryTable204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5423&amp;idioma=pt-br" TargetMode="External"/><Relationship Id="rId299" Type="http://schemas.openxmlformats.org/officeDocument/2006/relationships/hyperlink" Target="http://www.bmfbovespa.com.br/cias-listadas/empresas-listadas/ResumoEmpresaPrincipal.aspx?codigoCvm=4146&amp;idioma=pt-br" TargetMode="External"/><Relationship Id="rId21" Type="http://schemas.openxmlformats.org/officeDocument/2006/relationships/hyperlink" Target="http://www.bmfbovespa.com.br/Cias-Listadas/Empresas-Listadas/ResumoEmpresaPrincipal.aspx?codigoCvm=1228&amp;idioma=pt-BR" TargetMode="External"/><Relationship Id="rId63" Type="http://schemas.openxmlformats.org/officeDocument/2006/relationships/hyperlink" Target="http://www.bmfbovespa.com.br/cias-listadas/empresas-listadas/ResumoEmpresaPrincipal.aspx?codigoCvm=23159&amp;idioma=pt-br" TargetMode="External"/><Relationship Id="rId159" Type="http://schemas.openxmlformats.org/officeDocument/2006/relationships/hyperlink" Target="http://www.bmfbovespa.com.br/cias-listadas/empresas-listadas/ResumoEmpresaPrincipal.aspx?codigoCvm=14320&amp;idioma=pt-br" TargetMode="External"/><Relationship Id="rId324" Type="http://schemas.openxmlformats.org/officeDocument/2006/relationships/hyperlink" Target="http://www.bmfbovespa.com.br/cias-listadas/empresas-listadas/ResumoEmpresaPrincipal.aspx?codigoCvm=22438&amp;idioma=pt-br" TargetMode="External"/><Relationship Id="rId366" Type="http://schemas.openxmlformats.org/officeDocument/2006/relationships/hyperlink" Target="http://www.bmfbovespa.com.br/cias-listadas/empresas-listadas/ResumoEmpresaPrincipal.aspx?codigoCvm=4782&amp;idioma=pt-br" TargetMode="External"/><Relationship Id="rId170" Type="http://schemas.openxmlformats.org/officeDocument/2006/relationships/hyperlink" Target="http://www.bmfbovespa.com.br/cias-listadas/empresas-listadas/ResumoEmpresaPrincipal.aspx?codigoCvm=8648&amp;idioma=pt-br" TargetMode="External"/><Relationship Id="rId226" Type="http://schemas.openxmlformats.org/officeDocument/2006/relationships/hyperlink" Target="http://www.bmfbovespa.com.br/cias-listadas/empresas-listadas/ResumoEmpresaPrincipal.aspx?codigoCvm=20141&amp;idioma=pt-br" TargetMode="External"/><Relationship Id="rId433" Type="http://schemas.openxmlformats.org/officeDocument/2006/relationships/hyperlink" Target="http://www.bmfbovespa.com.br/cias-listadas/empresas-listadas/ResumoEmpresaPrincipal.aspx?codigoCvm=22381&amp;idioma=pt-br" TargetMode="External"/><Relationship Id="rId268" Type="http://schemas.openxmlformats.org/officeDocument/2006/relationships/hyperlink" Target="http://www.bmfbovespa.com.br/cias-listadas/empresas-listadas/ResumoEmpresaPrincipal.aspx?codigoCvm=1694&amp;idioma=pt-br" TargetMode="External"/><Relationship Id="rId32" Type="http://schemas.openxmlformats.org/officeDocument/2006/relationships/hyperlink" Target="http://www.bmfbovespa.com.br/cias-listadas/empresas-listadas/ResumoEmpresaPrincipal.aspx?codigoCvm=21792&amp;idioma=pt-br" TargetMode="External"/><Relationship Id="rId74" Type="http://schemas.openxmlformats.org/officeDocument/2006/relationships/hyperlink" Target="http://www.bmfbovespa.com.br/cias-listadas/empresas-listadas/ResumoEmpresaPrincipal.aspx?codigoCvm=11231&amp;idioma=pt-br" TargetMode="External"/><Relationship Id="rId128" Type="http://schemas.openxmlformats.org/officeDocument/2006/relationships/hyperlink" Target="http://www.bmfbovespa.com.br/cias-listadas/empresas-listadas/ResumoEmpresaPrincipal.aspx?codigoCvm=1325&amp;idioma=pt-br" TargetMode="External"/><Relationship Id="rId335" Type="http://schemas.openxmlformats.org/officeDocument/2006/relationships/hyperlink" Target="http://www.bmfbovespa.com.br/cias-listadas/empresas-listadas/ResumoEmpresaPrincipal.aspx?codigoCvm=22055&amp;idioma=pt-br" TargetMode="External"/><Relationship Id="rId377" Type="http://schemas.openxmlformats.org/officeDocument/2006/relationships/hyperlink" Target="http://www.bmfbovespa.com.br/cias-listadas/empresas-listadas/ResumoEmpresaPrincipal.aspx?codigoCvm=19100&amp;idioma=pt-br" TargetMode="External"/><Relationship Id="rId5" Type="http://schemas.openxmlformats.org/officeDocument/2006/relationships/hyperlink" Target="http://www.bmfbovespa.com.br/Cias-Listadas/Empresas-Listadas/ResumoEmpresaPrincipal.aspx?codigoCvm=1210&amp;idioma=pt-BR" TargetMode="External"/><Relationship Id="rId181" Type="http://schemas.openxmlformats.org/officeDocument/2006/relationships/hyperlink" Target="http://www.bmfbovespa.com.br/cias-listadas/empresas-listadas/ResumoEmpresaPrincipal.aspx?codigoCvm=21334&amp;idioma=pt-br" TargetMode="External"/><Relationship Id="rId237" Type="http://schemas.openxmlformats.org/officeDocument/2006/relationships/hyperlink" Target="http://www.bmfbovespa.com.br/cias-listadas/empresas-listadas/ResumoEmpresaPrincipal.aspx?codigoCvm=22500&amp;idioma=pt-br" TargetMode="External"/><Relationship Id="rId402" Type="http://schemas.openxmlformats.org/officeDocument/2006/relationships/hyperlink" Target="http://www.bmfbovespa.com.br/cias-listadas/empresas-listadas/ResumoEmpresaPrincipal.aspx?codigoCvm=22020&amp;idioma=pt-br" TargetMode="External"/><Relationship Id="rId279" Type="http://schemas.openxmlformats.org/officeDocument/2006/relationships/hyperlink" Target="http://www.bmfbovespa.com.br/cias-listadas/empresas-listadas/ResumoEmpresaPrincipal.aspx?codigoCvm=14761&amp;idioma=pt-br" TargetMode="External"/><Relationship Id="rId444" Type="http://schemas.openxmlformats.org/officeDocument/2006/relationships/hyperlink" Target="http://www.bmfbovespa.com.br/cias-listadas/empresas-listadas/ResumoEmpresaPrincipal.aspx?codigoCvm=14109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139" Type="http://schemas.openxmlformats.org/officeDocument/2006/relationships/hyperlink" Target="http://www.bmfbovespa.com.br/cias-listadas/empresas-listadas/ResumoEmpresaPrincipal.aspx?codigoCvm=20729&amp;idioma=pt-br" TargetMode="External"/><Relationship Id="rId290" Type="http://schemas.openxmlformats.org/officeDocument/2006/relationships/hyperlink" Target="http://www.bmfbovespa.com.br/cias-listadas/empresas-listadas/ResumoEmpresaPrincipal.aspx?codigoCvm=3158&amp;idioma=pt-br" TargetMode="External"/><Relationship Id="rId304" Type="http://schemas.openxmlformats.org/officeDocument/2006/relationships/hyperlink" Target="http://www.bmfbovespa.com.br/cias-listadas/empresas-listadas/ResumoEmpresaPrincipal.aspx?codigoCvm=20966&amp;idioma=pt-br" TargetMode="External"/><Relationship Id="rId346" Type="http://schemas.openxmlformats.org/officeDocument/2006/relationships/hyperlink" Target="http://www.bmfbovespa.com.br/cias-listadas/empresas-listadas/ResumoEmpresaPrincipal.aspx?codigoCvm=20770&amp;idioma=pt-br" TargetMode="External"/><Relationship Id="rId388" Type="http://schemas.openxmlformats.org/officeDocument/2006/relationships/hyperlink" Target="http://www.bmfbovespa.com.br/cias-listadas/empresas-listadas/ResumoEmpresaPrincipal.aspx?codigoCvm=3174&amp;idioma=pt-br" TargetMode="External"/><Relationship Id="rId85" Type="http://schemas.openxmlformats.org/officeDocument/2006/relationships/hyperlink" Target="http://www.bmfbovespa.com.br/Cias-Listadas/Empresas-Listadas/ResumoEmpresaPrincipal.aspx?codigoCvm=20958&amp;idioma=pt-br" TargetMode="External"/><Relationship Id="rId150" Type="http://schemas.openxmlformats.org/officeDocument/2006/relationships/hyperlink" Target="http://www.bmfbovespa.com.br/cias-listadas/empresas-listadas/ResumoEmpresaPrincipal.aspx?codigoCvm=20362&amp;idioma=pt-br" TargetMode="External"/><Relationship Id="rId192" Type="http://schemas.openxmlformats.org/officeDocument/2006/relationships/hyperlink" Target="http://www.bmfbovespa.com.br/cias-listadas/empresas-listadas/ResumoEmpresaPrincipal.aspx?codigoCvm=12793&amp;idioma=pt-br" TargetMode="External"/><Relationship Id="rId206" Type="http://schemas.openxmlformats.org/officeDocument/2006/relationships/hyperlink" Target="http://www.bmfbovespa.com.br/cias-listadas/empresas-listadas/ResumoEmpresaPrincipal.aspx?codigoCvm=21121&amp;idioma=pt-br" TargetMode="External"/><Relationship Id="rId413" Type="http://schemas.openxmlformats.org/officeDocument/2006/relationships/hyperlink" Target="http://www.bmfbovespa.com.br/cias-listadas/empresas-listadas/ResumoEmpresaPrincipal.aspx?codigoCvm=1562&amp;idioma=pt-br" TargetMode="External"/><Relationship Id="rId248" Type="http://schemas.openxmlformats.org/officeDocument/2006/relationships/hyperlink" Target="http://www.bmfbovespa.com.br/cias-listadas/empresas-listadas/ResumoEmpresaPrincipal.aspx?codigoCvm=1570&amp;idioma=pt-br" TargetMode="External"/><Relationship Id="rId455" Type="http://schemas.openxmlformats.org/officeDocument/2006/relationships/hyperlink" Target="http://www.bmfbovespa.com.br/Cias-Listadas/Empresas-Listadas/ResumoEmpresaPrincipal.aspx?codigoCvm=18139&amp;idioma=pt-BR" TargetMode="External"/><Relationship Id="rId12" Type="http://schemas.openxmlformats.org/officeDocument/2006/relationships/hyperlink" Target="http://www.bmfbovespa.com.br/Cias-Listadas/Empresas-Listadas/ResumoEmpresaPrincipal.aspx?codigoCvm=14206&amp;idioma=pt-BR" TargetMode="External"/><Relationship Id="rId108" Type="http://schemas.openxmlformats.org/officeDocument/2006/relationships/hyperlink" Target="http://www.bmfbovespa.com.br/cias-listadas/empresas-listadas/ResumoEmpresaPrincipal.aspx?codigoCvm=17485&amp;idioma=pt-br" TargetMode="External"/><Relationship Id="rId315" Type="http://schemas.openxmlformats.org/officeDocument/2006/relationships/hyperlink" Target="http://www.bmfbovespa.com.br/cias-listadas/empresas-listadas/ResumoEmpresaPrincipal.aspx?codigoCvm=5312&amp;idioma=pt-br" TargetMode="External"/><Relationship Id="rId357" Type="http://schemas.openxmlformats.org/officeDocument/2006/relationships/hyperlink" Target="http://www.bmfbovespa.com.br/cias-listadas/empresas-listadas/ResumoEmpresaPrincipal.aspx?codigoCvm=20435&amp;idioma=pt-br" TargetMode="External"/><Relationship Id="rId54" Type="http://schemas.openxmlformats.org/officeDocument/2006/relationships/hyperlink" Target="http://www.bmfbovespa.com.br/cias-listadas/empresas-listadas/ResumoEmpresaPrincipal.aspx?codigoCvm=18724&amp;idioma=pt-br" TargetMode="External"/><Relationship Id="rId96" Type="http://schemas.openxmlformats.org/officeDocument/2006/relationships/hyperlink" Target="http://www.bmfbovespa.com.br/Cias-Listadas/Empresas-Listadas/ResumoEmpresaPrincipal.aspx?codigoCvm=15253&amp;idioma=pt-br" TargetMode="External"/><Relationship Id="rId161" Type="http://schemas.openxmlformats.org/officeDocument/2006/relationships/hyperlink" Target="http://www.bmfbovespa.com.br/cias-listadas/empresas-listadas/ResumoEmpresaPrincipal.aspx?codigoCvm=3980&amp;idioma=pt-br" TargetMode="External"/><Relationship Id="rId217" Type="http://schemas.openxmlformats.org/officeDocument/2006/relationships/hyperlink" Target="http://www.bmfbovespa.com.br/cias-listadas/empresas-listadas/ResumoEmpresaPrincipal.aspx?codigoCvm=4863&amp;idioma=pt-br" TargetMode="External"/><Relationship Id="rId399" Type="http://schemas.openxmlformats.org/officeDocument/2006/relationships/hyperlink" Target="http://www.bmfbovespa.com.br/cias-listadas/empresas-listadas/ResumoEmpresaPrincipal.aspx?codigoCvm=20710&amp;idioma=pt-br" TargetMode="External"/><Relationship Id="rId259" Type="http://schemas.openxmlformats.org/officeDocument/2006/relationships/hyperlink" Target="http://www.bmfbovespa.com.br/cias-listadas/empresas-listadas/ResumoEmpresaPrincipal.aspx?codigoCvm=22845&amp;idioma=pt-br" TargetMode="External"/><Relationship Id="rId424" Type="http://schemas.openxmlformats.org/officeDocument/2006/relationships/hyperlink" Target="http://www.bmfbovespa.com.br/cias-listadas/empresas-listadas/ResumoEmpresaPrincipal.aspx?codigoCvm=7595&amp;idioma=pt-br" TargetMode="External"/><Relationship Id="rId466" Type="http://schemas.openxmlformats.org/officeDocument/2006/relationships/hyperlink" Target="http://www.bmfbovespa.com.br/Cias-Listadas/Empresas-Listadas/ResumoEmpresaPrincipal.aspx?codigoCvm=18961&amp;idioma=pt-BR" TargetMode="External"/><Relationship Id="rId23" Type="http://schemas.openxmlformats.org/officeDocument/2006/relationships/hyperlink" Target="http://www.bmfbovespa.com.br/Cias-Listadas/Empresas-Listadas/ResumoEmpresaPrincipal.aspx?codigoCvm=19763&amp;idioma=pt-BR" TargetMode="External"/><Relationship Id="rId119" Type="http://schemas.openxmlformats.org/officeDocument/2006/relationships/hyperlink" Target="http://www.bmfbovespa.com.br/cias-listadas/empresas-listadas/ResumoEmpresaPrincipal.aspx?codigoCvm=8672&amp;idioma=pt-br" TargetMode="External"/><Relationship Id="rId270" Type="http://schemas.openxmlformats.org/officeDocument/2006/relationships/hyperlink" Target="http://www.bmfbovespa.com.br/cias-listadas/empresas-listadas/ResumoEmpresaPrincipal.aspx?codigoCvm=14346&amp;idioma=pt-br" TargetMode="External"/><Relationship Id="rId326" Type="http://schemas.openxmlformats.org/officeDocument/2006/relationships/hyperlink" Target="http://www.bmfbovespa.com.br/cias-listadas/empresas-listadas/ResumoEmpresaPrincipal.aspx?codigoCvm=21440&amp;idioma=pt-br" TargetMode="External"/><Relationship Id="rId44" Type="http://schemas.openxmlformats.org/officeDocument/2006/relationships/hyperlink" Target="http://www.bmfbovespa.com.br/cias-listadas/empresas-listadas/ResumoEmpresaPrincipal.aspx?codigoCvm=94&amp;idioma=pt-br" TargetMode="External"/><Relationship Id="rId65" Type="http://schemas.openxmlformats.org/officeDocument/2006/relationships/hyperlink" Target="http://www.bmfbovespa.com.br/cias-listadas/empresas-listadas/ResumoEmpresaPrincipal.aspx?codigoCvm=3115&amp;idioma=pt-br" TargetMode="External"/><Relationship Id="rId86" Type="http://schemas.openxmlformats.org/officeDocument/2006/relationships/hyperlink" Target="http://www.bmfbovespa.com.br/Cias-Listadas/Empresas-Listadas/ResumoEmpresaPrincipal.aspx?codigoCvm=20958&amp;idioma=pt-br" TargetMode="External"/><Relationship Id="rId130" Type="http://schemas.openxmlformats.org/officeDocument/2006/relationships/hyperlink" Target="http://www.bmfbovespa.com.br/cias-listadas/empresas-listadas/ResumoEmpresaPrincipal.aspx?codigoCvm=21199&amp;idioma=pt-br" TargetMode="External"/><Relationship Id="rId151" Type="http://schemas.openxmlformats.org/officeDocument/2006/relationships/hyperlink" Target="http://www.bmfbovespa.com.br/cias-listadas/empresas-listadas/ResumoEmpresaPrincipal.aspx?codigoCvm=20168&amp;idioma=pt-br" TargetMode="External"/><Relationship Id="rId368" Type="http://schemas.openxmlformats.org/officeDocument/2006/relationships/hyperlink" Target="http://www.bmfbovespa.com.br/cias-listadas/empresas-listadas/ResumoEmpresaPrincipal.aspx?codigoCvm=4782&amp;idioma=pt-br" TargetMode="External"/><Relationship Id="rId389" Type="http://schemas.openxmlformats.org/officeDocument/2006/relationships/hyperlink" Target="http://www.bmfbovespa.com.br/cias-listadas/empresas-listadas/ResumoEmpresaPrincipal.aspx?codigoCvm=3174&amp;idioma=pt-br" TargetMode="External"/><Relationship Id="rId172" Type="http://schemas.openxmlformats.org/officeDocument/2006/relationships/hyperlink" Target="http://www.bmfbovespa.com.br/cias-listadas/empresas-listadas/ResumoEmpresaPrincipal.aspx?codigoCvm=9393&amp;idioma=pt-br" TargetMode="External"/><Relationship Id="rId193" Type="http://schemas.openxmlformats.org/officeDocument/2006/relationships/hyperlink" Target="http://www.bmfbovespa.com.br/cias-listadas/empresas-listadas/ResumoEmpresaPrincipal.aspx?codigoCvm=12653&amp;idioma=pt-br" TargetMode="External"/><Relationship Id="rId207" Type="http://schemas.openxmlformats.org/officeDocument/2006/relationships/hyperlink" Target="http://www.bmfbovespa.com.br/cias-listadas/empresas-listadas/ResumoEmpresaPrincipal.aspx?codigoCvm=21121&amp;idioma=pt-br" TargetMode="External"/><Relationship Id="rId228" Type="http://schemas.openxmlformats.org/officeDocument/2006/relationships/hyperlink" Target="http://www.bmfbovespa.com.br/cias-listadas/empresas-listadas/ResumoEmpresaPrincipal.aspx?codigoCvm=19550&amp;idioma=pt-br" TargetMode="External"/><Relationship Id="rId249" Type="http://schemas.openxmlformats.org/officeDocument/2006/relationships/hyperlink" Target="http://www.bmfbovespa.com.br/cias-listadas/empresas-listadas/ResumoEmpresaPrincipal.aspx?codigoCvm=1570&amp;idioma=pt-br" TargetMode="External"/><Relationship Id="rId414" Type="http://schemas.openxmlformats.org/officeDocument/2006/relationships/hyperlink" Target="http://www.bmfbovespa.com.br/cias-listadas/empresas-listadas/ResumoEmpresaPrincipal.aspx?codigoCvm=1562&amp;idioma=pt-br" TargetMode="External"/><Relationship Id="rId435" Type="http://schemas.openxmlformats.org/officeDocument/2006/relationships/hyperlink" Target="http://www.bmfbovespa.com.br/cias-listadas/empresas-listadas/ResumoEmpresaPrincipal.aspx?codigoCvm=5150&amp;idioma=pt-br" TargetMode="External"/><Relationship Id="rId456" Type="http://schemas.openxmlformats.org/officeDocument/2006/relationships/hyperlink" Target="http://www.bmfbovespa.com.br/Cias-Listadas/Empresas-Listadas/ResumoEmpresaPrincipal.aspx?codigoCvm=17485&amp;idioma=pt-BR" TargetMode="External"/><Relationship Id="rId13" Type="http://schemas.openxmlformats.org/officeDocument/2006/relationships/hyperlink" Target="http://www.bmfbovespa.com.br/Cias-Listadas/Empresas-Listadas/ResumoEmpresaPrincipal.aspx?codigoCvm=4707&amp;idioma=pt-br" TargetMode="External"/><Relationship Id="rId109" Type="http://schemas.openxmlformats.org/officeDocument/2006/relationships/hyperlink" Target="http://www.bmfbovespa.com.br/cias-listadas/empresas-listadas/ResumoEmpresaPrincipal.aspx?codigoCvm=16861&amp;idioma=pt-br" TargetMode="External"/><Relationship Id="rId260" Type="http://schemas.openxmlformats.org/officeDocument/2006/relationships/hyperlink" Target="http://www.bmfbovespa.com.br/cias-listadas/empresas-listadas/ResumoEmpresaPrincipal.aspx?codigoCvm=20354&amp;idioma=pt-br" TargetMode="External"/><Relationship Id="rId281" Type="http://schemas.openxmlformats.org/officeDocument/2006/relationships/hyperlink" Target="http://www.bmfbovespa.com.br/cias-listadas/empresas-listadas/ResumoEmpresaPrincipal.aspx?codigoCvm=3077&amp;idioma=pt-br" TargetMode="External"/><Relationship Id="rId316" Type="http://schemas.openxmlformats.org/officeDocument/2006/relationships/hyperlink" Target="http://www.bmfbovespa.com.br/cias-listadas/empresas-listadas/ResumoEmpresaPrincipal.aspx?codigoCvm=22519&amp;idioma=pt-br" TargetMode="External"/><Relationship Id="rId337" Type="http://schemas.openxmlformats.org/officeDocument/2006/relationships/hyperlink" Target="http://www.bmfbovespa.com.br/cias-listadas/empresas-listadas/ResumoEmpresaPrincipal.aspx?codigoCvm=10960&amp;idioma=pt-br" TargetMode="External"/><Relationship Id="rId34" Type="http://schemas.openxmlformats.org/officeDocument/2006/relationships/hyperlink" Target="http://www.bmfbovespa.com.br/cias-listadas/empresas-listadas/ResumoEmpresaPrincipal.aspx?codigoCvm=21610&amp;idioma=pt-br" TargetMode="External"/><Relationship Id="rId55" Type="http://schemas.openxmlformats.org/officeDocument/2006/relationships/hyperlink" Target="http://www.bmfbovespa.com.br/cias-listadas/empresas-listadas/ResumoEmpresaPrincipal.aspx?codigoCvm=11312&amp;idioma=pt-br" TargetMode="External"/><Relationship Id="rId76" Type="http://schemas.openxmlformats.org/officeDocument/2006/relationships/hyperlink" Target="http://www.bmfbovespa.com.br/cias-listadas/empresas-listadas/ResumoEmpresaPrincipal.aspx?codigoCvm=13412&amp;idioma=pt-br" TargetMode="External"/><Relationship Id="rId97" Type="http://schemas.openxmlformats.org/officeDocument/2006/relationships/hyperlink" Target="http://www.bmfbovespa.com.br/cias-listadas/empresas-listadas/ResumoEmpresaPrincipal.aspx?codigoCvm=18350&amp;idioma=pt-br" TargetMode="External"/><Relationship Id="rId120" Type="http://schemas.openxmlformats.org/officeDocument/2006/relationships/hyperlink" Target="http://www.bmfbovespa.com.br/cias-listadas/empresas-listadas/ResumoEmpresaPrincipal.aspx?codigoCvm=8672&amp;idioma=pt-br" TargetMode="External"/><Relationship Id="rId141" Type="http://schemas.openxmlformats.org/officeDocument/2006/relationships/hyperlink" Target="http://www.bmfbovespa.com.br/cias-listadas/empresas-listadas/ResumoEmpresaPrincipal.aspx?codigoCvm=7617&amp;idioma=pt-br" TargetMode="External"/><Relationship Id="rId358" Type="http://schemas.openxmlformats.org/officeDocument/2006/relationships/hyperlink" Target="http://www.bmfbovespa.com.br/cias-listadas/empresas-listadas/ResumoEmpresaPrincipal.aspx?codigoCvm=21130&amp;idioma=pt-br" TargetMode="External"/><Relationship Id="rId379" Type="http://schemas.openxmlformats.org/officeDocument/2006/relationships/hyperlink" Target="http://www.bmfbovespa.com.br/cias-listadas/empresas-listadas/ResumoEmpresaPrincipal.aspx?codigoCvm=20044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3980&amp;idioma=pt-br" TargetMode="External"/><Relationship Id="rId183" Type="http://schemas.openxmlformats.org/officeDocument/2006/relationships/hyperlink" Target="http://www.bmfbovespa.com.br/cias-listadas/empresas-listadas/ResumoEmpresaPrincipal.aspx?codigoCvm=4170&amp;idioma=pt-br" TargetMode="External"/><Relationship Id="rId218" Type="http://schemas.openxmlformats.org/officeDocument/2006/relationships/hyperlink" Target="http://www.bmfbovespa.com.br/cias-listadas/empresas-listadas/ResumoEmpresaPrincipal.aspx?codigoCvm=4863&amp;idioma=pt-br" TargetMode="External"/><Relationship Id="rId239" Type="http://schemas.openxmlformats.org/officeDocument/2006/relationships/hyperlink" Target="http://www.bmfbovespa.com.br/cias-listadas/empresas-listadas/ResumoEmpresaPrincipal.aspx?codigoCvm=9342&amp;idioma=pt-br" TargetMode="External"/><Relationship Id="rId390" Type="http://schemas.openxmlformats.org/officeDocument/2006/relationships/hyperlink" Target="http://www.bmfbovespa.com.br/cias-listadas/empresas-listadas/ResumoEmpresaPrincipal.aspx?codigoCvm=21482&amp;idioma=pt-br" TargetMode="External"/><Relationship Id="rId404" Type="http://schemas.openxmlformats.org/officeDocument/2006/relationships/hyperlink" Target="http://www.bmfbovespa.com.br/cias-listadas/empresas-listadas/ResumoEmpresaPrincipal.aspx?codigoCvm=11070&amp;idioma=pt-br" TargetMode="External"/><Relationship Id="rId425" Type="http://schemas.openxmlformats.org/officeDocument/2006/relationships/hyperlink" Target="http://www.bmfbovespa.com.br/cias-listadas/empresas-listadas/ResumoEmpresaPrincipal.aspx?codigoCvm=7595&amp;idioma=pt-br" TargetMode="External"/><Relationship Id="rId446" Type="http://schemas.openxmlformats.org/officeDocument/2006/relationships/hyperlink" Target="http://www.bmfbovespa.com.br/cias-listadas/empresas-listadas/ResumoEmpresaPrincipal.aspx?codigoCvm=12572&amp;idioma=pt-br" TargetMode="External"/><Relationship Id="rId467" Type="http://schemas.openxmlformats.org/officeDocument/2006/relationships/table" Target="../tables/table8.xml"/><Relationship Id="rId250" Type="http://schemas.openxmlformats.org/officeDocument/2006/relationships/hyperlink" Target="http://www.bmfbovespa.com.br/cias-listadas/empresas-listadas/ResumoEmpresaPrincipal.aspx?codigoCvm=20931&amp;idioma=pt-br" TargetMode="External"/><Relationship Id="rId271" Type="http://schemas.openxmlformats.org/officeDocument/2006/relationships/hyperlink" Target="http://www.bmfbovespa.com.br/cias-listadas/empresas-listadas/ResumoEmpresaPrincipal.aspx?codigoCvm=14346&amp;idioma=pt-br" TargetMode="External"/><Relationship Id="rId292" Type="http://schemas.openxmlformats.org/officeDocument/2006/relationships/hyperlink" Target="http://www.bmfbovespa.com.br/cias-listadas/empresas-listadas/ResumoEmpresaPrincipal.aspx?codigoCvm=4081&amp;idioma=pt-br" TargetMode="External"/><Relationship Id="rId306" Type="http://schemas.openxmlformats.org/officeDocument/2006/relationships/hyperlink" Target="http://www.bmfbovespa.com.br/cias-listadas/empresas-listadas/ResumoEmpresaPrincipal.aspx?codigoCvm=11215&amp;idioma=pt-br" TargetMode="External"/><Relationship Id="rId24" Type="http://schemas.openxmlformats.org/officeDocument/2006/relationships/hyperlink" Target="http://www.bmfbovespa.com.br/Cias-Listadas/Empresas-Listadas/ResumoEmpresaPrincipal.aspx?codigoCvm=14451&amp;idioma=pt-br" TargetMode="External"/><Relationship Id="rId45" Type="http://schemas.openxmlformats.org/officeDocument/2006/relationships/hyperlink" Target="http://www.bmfbovespa.com.br/cias-listadas/empresas-listadas/ResumoEmpresaPrincipal.aspx?codigoCvm=20842&amp;idioma=pt-br" TargetMode="External"/><Relationship Id="rId66" Type="http://schemas.openxmlformats.org/officeDocument/2006/relationships/hyperlink" Target="http://www.bmfbovespa.com.br/Cias-Listadas/Empresas-Listadas/ResumoEmpresaPrincipal.aspx?codigoCvm=9954&amp;idioma=pt-BR" TargetMode="External"/><Relationship Id="rId87" Type="http://schemas.openxmlformats.org/officeDocument/2006/relationships/hyperlink" Target="http://www.bmfbovespa.com.br/Cias-Listadas/Empresas-Listadas/ResumoEmpresaPrincipal.aspx?codigoCvm=906&amp;idioma=pt-br" TargetMode="External"/><Relationship Id="rId110" Type="http://schemas.openxmlformats.org/officeDocument/2006/relationships/hyperlink" Target="http://www.bmfbovespa.com.br/cias-listadas/empresas-listadas/ResumoEmpresaPrincipal.aspx?codigoCvm=16861&amp;idioma=pt-br" TargetMode="External"/><Relationship Id="rId131" Type="http://schemas.openxmlformats.org/officeDocument/2006/relationships/hyperlink" Target="http://www.bmfbovespa.com.br/cias-listadas/empresas-listadas/ResumoEmpresaPrincipal.aspx?codigoCvm=20532&amp;idioma=pt-br" TargetMode="External"/><Relationship Id="rId327" Type="http://schemas.openxmlformats.org/officeDocument/2006/relationships/hyperlink" Target="http://www.bmfbovespa.com.br/cias-listadas/empresas-listadas/ResumoEmpresaPrincipal.aspx?codigoCvm=22349&amp;idioma=pt-br" TargetMode="External"/><Relationship Id="rId348" Type="http://schemas.openxmlformats.org/officeDocument/2006/relationships/hyperlink" Target="http://www.bmfbovespa.com.br/cias-listadas/empresas-listadas/ResumoEmpresaPrincipal.aspx?codigoCvm=20877&amp;idioma=pt-br" TargetMode="External"/><Relationship Id="rId369" Type="http://schemas.openxmlformats.org/officeDocument/2006/relationships/hyperlink" Target="http://www.bmfbovespa.com.br/cias-listadas/empresas-listadas/ResumoEmpresaPrincipal.aspx?codigoCvm=10880&amp;idioma=pt-br" TargetMode="External"/><Relationship Id="rId152" Type="http://schemas.openxmlformats.org/officeDocument/2006/relationships/hyperlink" Target="http://www.bmfbovespa.com.br/cias-listadas/empresas-listadas/ResumoEmpresaPrincipal.aspx?codigoCvm=9989&amp;idioma=pt-br" TargetMode="External"/><Relationship Id="rId173" Type="http://schemas.openxmlformats.org/officeDocument/2006/relationships/hyperlink" Target="http://www.bmfbovespa.com.br/cias-listadas/empresas-listadas/ResumoEmpresaPrincipal.aspx?codigoCvm=11398&amp;idioma=pt-br" TargetMode="External"/><Relationship Id="rId194" Type="http://schemas.openxmlformats.org/officeDocument/2006/relationships/hyperlink" Target="http://www.bmfbovespa.com.br/cias-listadas/empresas-listadas/ResumoEmpresaPrincipal.aspx?codigoCvm=12653&amp;idioma=pt-br" TargetMode="External"/><Relationship Id="rId208" Type="http://schemas.openxmlformats.org/officeDocument/2006/relationships/hyperlink" Target="http://www.bmfbovespa.com.br/cias-listadas/empresas-listadas/ResumoEmpresaPrincipal.aspx?codigoCvm=15458&amp;idioma=pt-br" TargetMode="External"/><Relationship Id="rId229" Type="http://schemas.openxmlformats.org/officeDocument/2006/relationships/hyperlink" Target="http://www.bmfbovespa.com.br/cias-listadas/empresas-listadas/ResumoEmpresaPrincipal.aspx?codigoCvm=12190&amp;idioma=pt-br" TargetMode="External"/><Relationship Id="rId380" Type="http://schemas.openxmlformats.org/officeDocument/2006/relationships/hyperlink" Target="http://www.bmfbovespa.com.br/cias-listadas/empresas-listadas/ResumoEmpresaPrincipal.aspx?codigoCvm=18597&amp;idioma=pt-br" TargetMode="External"/><Relationship Id="rId415" Type="http://schemas.openxmlformats.org/officeDocument/2006/relationships/hyperlink" Target="http://www.bmfbovespa.com.br/cias-listadas/empresas-listadas/ResumoEmpresaPrincipal.aspx?codigoCvm=13773&amp;idioma=pt-br" TargetMode="External"/><Relationship Id="rId436" Type="http://schemas.openxmlformats.org/officeDocument/2006/relationships/hyperlink" Target="http://www.bmfbovespa.com.br/cias-listadas/empresas-listadas/ResumoEmpresaPrincipal.aspx?codigoCvm=11932&amp;idioma=pt-br" TargetMode="External"/><Relationship Id="rId457" Type="http://schemas.openxmlformats.org/officeDocument/2006/relationships/hyperlink" Target="http://www.bmfbovespa.com.br/Cias-Listadas/Empresas-Listadas/ResumoEmpresaPrincipal.aspx?codigoCvm=17485&amp;idioma=pt-BR" TargetMode="External"/><Relationship Id="rId240" Type="http://schemas.openxmlformats.org/officeDocument/2006/relationships/hyperlink" Target="http://www.bmfbovespa.com.br/cias-listadas/empresas-listadas/ResumoEmpresaPrincipal.aspx?codigoCvm=20346&amp;idioma=pt-br" TargetMode="External"/><Relationship Id="rId261" Type="http://schemas.openxmlformats.org/officeDocument/2006/relationships/hyperlink" Target="http://www.bmfbovespa.com.br/cias-listadas/empresas-listadas/ResumoEmpresaPrincipal.aspx?codigoCvm=19658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2217&amp;idioma=pt-br" TargetMode="External"/><Relationship Id="rId56" Type="http://schemas.openxmlformats.org/officeDocument/2006/relationships/hyperlink" Target="http://www.bmfbovespa.com.br/cias-listadas/empresas-listadas/ResumoEmpresaPrincipal.aspx?codigoCvm=11312&amp;idioma=pt-br" TargetMode="External"/><Relationship Id="rId77" Type="http://schemas.openxmlformats.org/officeDocument/2006/relationships/hyperlink" Target="http://www.bmfbovespa.com.br/cias-listadas/empresas-listadas/ResumoEmpresaPrincipal.aspx?codigoCvm=18465&amp;idioma=pt-br" TargetMode="External"/><Relationship Id="rId100" Type="http://schemas.openxmlformats.org/officeDocument/2006/relationships/hyperlink" Target="http://www.bmfbovespa.com.br/cias-listadas/empresas-listadas/ResumoEmpresaPrincipal.aspx?codigoCvm=14524&amp;idioma=pt-br" TargetMode="External"/><Relationship Id="rId282" Type="http://schemas.openxmlformats.org/officeDocument/2006/relationships/hyperlink" Target="http://www.bmfbovespa.com.br/cias-listadas/empresas-listadas/ResumoEmpresaPrincipal.aspx?codigoCvm=14133&amp;idioma=pt-br" TargetMode="External"/><Relationship Id="rId317" Type="http://schemas.openxmlformats.org/officeDocument/2006/relationships/hyperlink" Target="http://www.bmfbovespa.com.br/cias-listadas/empresas-listadas/ResumoEmpresaPrincipal.aspx?codigoCvm=14621&amp;idioma=pt-br" TargetMode="External"/><Relationship Id="rId338" Type="http://schemas.openxmlformats.org/officeDocument/2006/relationships/hyperlink" Target="http://www.bmfbovespa.com.br/cias-listadas/empresas-listadas/ResumoEmpresaPrincipal.aspx?codigoCvm=10960&amp;idioma=pt-br" TargetMode="External"/><Relationship Id="rId359" Type="http://schemas.openxmlformats.org/officeDocument/2006/relationships/hyperlink" Target="http://www.bmfbovespa.com.br/cias-listadas/empresas-listadas/ResumoEmpresaPrincipal.aspx?codigoCvm=20702&amp;idioma=pt-br" TargetMode="External"/><Relationship Id="rId8" Type="http://schemas.openxmlformats.org/officeDocument/2006/relationships/hyperlink" Target="http://www.bmfbovespa.com.br/cias-listadas/empresas-listadas/ResumoEmpresaPrincipal.aspx?codigoCvm=4820&amp;idioma=pt-br" TargetMode="External"/><Relationship Id="rId98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21" Type="http://schemas.openxmlformats.org/officeDocument/2006/relationships/hyperlink" Target="http://www.bmfbovespa.com.br/cias-listadas/empresas-listadas/ResumoEmpresaPrincipal.aspx?codigoCvm=12262&amp;idioma=pt-br" TargetMode="External"/><Relationship Id="rId142" Type="http://schemas.openxmlformats.org/officeDocument/2006/relationships/hyperlink" Target="http://www.bmfbovespa.com.br/cias-listadas/empresas-listadas/ResumoEmpresaPrincipal.aspx?codigoCvm=18414&amp;idioma=pt-br" TargetMode="External"/><Relationship Id="rId163" Type="http://schemas.openxmlformats.org/officeDocument/2006/relationships/hyperlink" Target="http://www.bmfbovespa.com.br/cias-listadas/empresas-listadas/ResumoEmpresaPrincipal.aspx?codigoCvm=8656&amp;idioma=pt-br" TargetMode="External"/><Relationship Id="rId184" Type="http://schemas.openxmlformats.org/officeDocument/2006/relationships/hyperlink" Target="http://www.bmfbovespa.com.br/cias-listadas/empresas-listadas/ResumoEmpresaPrincipal.aspx?codigoCvm=17914&amp;idioma=pt-br" TargetMode="External"/><Relationship Id="rId219" Type="http://schemas.openxmlformats.org/officeDocument/2006/relationships/hyperlink" Target="http://www.bmfbovespa.com.br/cias-listadas/empresas-listadas/ResumoEmpresaPrincipal.aspx?codigoCvm=21008&amp;idioma=pt-br" TargetMode="External"/><Relationship Id="rId370" Type="http://schemas.openxmlformats.org/officeDocument/2006/relationships/hyperlink" Target="http://www.bmfbovespa.com.br/cias-listadas/empresas-listadas/ResumoEmpresaPrincipal.aspx?codigoCvm=10880&amp;idioma=pt-br" TargetMode="External"/><Relationship Id="rId391" Type="http://schemas.openxmlformats.org/officeDocument/2006/relationships/hyperlink" Target="http://www.bmfbovespa.com.br/cias-listadas/empresas-listadas/ResumoEmpresaPrincipal.aspx?codigoCvm=17892&amp;idioma=pt-br" TargetMode="External"/><Relationship Id="rId405" Type="http://schemas.openxmlformats.org/officeDocument/2006/relationships/hyperlink" Target="http://www.bmfbovespa.com.br/cias-listadas/empresas-listadas/ResumoEmpresaPrincipal.aspx?codigoCvm=11070&amp;idioma=pt-br" TargetMode="External"/><Relationship Id="rId426" Type="http://schemas.openxmlformats.org/officeDocument/2006/relationships/hyperlink" Target="http://www.bmfbovespa.com.br/cias-listadas/empresas-listadas/ResumoEmpresaPrincipal.aspx?codigoCvm=7870&amp;idioma=pt-br" TargetMode="External"/><Relationship Id="rId447" Type="http://schemas.openxmlformats.org/officeDocument/2006/relationships/hyperlink" Target="http://www.bmfbovespa.com.br/cias-listadas/empresas-listadas/ResumoEmpresaPrincipal.aspx?codigoCvm=12572&amp;idioma=pt-br" TargetMode="External"/><Relationship Id="rId230" Type="http://schemas.openxmlformats.org/officeDocument/2006/relationships/hyperlink" Target="http://www.bmfbovespa.com.br/cias-listadas/empresas-listadas/ResumoEmpresaPrincipal.aspx?codigoCvm=12190&amp;idioma=pt-br" TargetMode="External"/><Relationship Id="rId251" Type="http://schemas.openxmlformats.org/officeDocument/2006/relationships/hyperlink" Target="http://www.bmfbovespa.com.br/cias-listadas/empresas-listadas/ResumoEmpresaPrincipal.aspx?codigoCvm=20788&amp;idioma=pt-br" TargetMode="External"/><Relationship Id="rId25" Type="http://schemas.openxmlformats.org/officeDocument/2006/relationships/hyperlink" Target="http://www.bmfbovespa.com.br/Cias-Listadas/Empresas-Listadas/ResumoEmpresaPrincipal.aspx?codigoCvm=14451&amp;idioma=pt-br" TargetMode="External"/><Relationship Id="rId46" Type="http://schemas.openxmlformats.org/officeDocument/2006/relationships/hyperlink" Target="http://www.bmfbovespa.com.br/cias-listadas/empresas-listadas/ResumoEmpresaPrincipal.aspx?codigoCvm=5770&amp;idioma=pt-br" TargetMode="External"/><Relationship Id="rId67" Type="http://schemas.openxmlformats.org/officeDocument/2006/relationships/hyperlink" Target="http://www.bmfbovespa.com.br/Cias-Listadas/Empresas-Listadas/ResumoEmpresaPrincipal.aspx?codigoCvm=9954&amp;idioma=pt-BR" TargetMode="External"/><Relationship Id="rId272" Type="http://schemas.openxmlformats.org/officeDocument/2006/relationships/hyperlink" Target="http://www.bmfbovespa.com.br/cias-listadas/empresas-listadas/ResumoEmpresaPrincipal.aspx?codigoCvm=1970&amp;idioma=pt-br" TargetMode="External"/><Relationship Id="rId293" Type="http://schemas.openxmlformats.org/officeDocument/2006/relationships/hyperlink" Target="http://www.bmfbovespa.com.br/cias-listadas/empresas-listadas/ResumoEmpresaPrincipal.aspx?codigoCvm=4081&amp;idioma=pt-br" TargetMode="External"/><Relationship Id="rId307" Type="http://schemas.openxmlformats.org/officeDocument/2006/relationships/hyperlink" Target="http://www.bmfbovespa.com.br/cias-listadas/empresas-listadas/ResumoEmpresaPrincipal.aspx?codigoCvm=11215&amp;idioma=pt-br" TargetMode="External"/><Relationship Id="rId328" Type="http://schemas.openxmlformats.org/officeDocument/2006/relationships/hyperlink" Target="http://www.bmfbovespa.com.br/cias-listadas/empresas-listadas/ResumoEmpresaPrincipal.aspx?codigoCvm=4537&amp;idioma=pt-br" TargetMode="External"/><Relationship Id="rId349" Type="http://schemas.openxmlformats.org/officeDocument/2006/relationships/hyperlink" Target="http://www.bmfbovespa.com.br/cias-listadas/empresas-listadas/ResumoEmpresaPrincipal.aspx?codigoCvm=20605&amp;idioma=pt-br" TargetMode="External"/><Relationship Id="rId88" Type="http://schemas.openxmlformats.org/officeDocument/2006/relationships/hyperlink" Target="http://www.bmfbovespa.com.br/Cias-Listadas/Empresas-Listadas/ResumoEmpresaPrincipal.aspx?codigoCvm=906&amp;idioma=pt-br" TargetMode="External"/><Relationship Id="rId111" Type="http://schemas.openxmlformats.org/officeDocument/2006/relationships/hyperlink" Target="http://www.bmfbovespa.com.br/cias-listadas/empresas-listadas/ResumoEmpresaPrincipal.aspx?codigoCvm=19445&amp;idioma=pt-br" TargetMode="External"/><Relationship Id="rId132" Type="http://schemas.openxmlformats.org/officeDocument/2006/relationships/hyperlink" Target="http://www.bmfbovespa.com.br/cias-listadas/empresas-listadas/ResumoEmpresaPrincipal.aspx?codigoCvm=20532&amp;idioma=pt-br" TargetMode="External"/><Relationship Id="rId153" Type="http://schemas.openxmlformats.org/officeDocument/2006/relationships/hyperlink" Target="http://www.bmfbovespa.com.br/cias-listadas/empresas-listadas/ResumoEmpresaPrincipal.aspx?codigoCvm=9989&amp;idioma=pt-br" TargetMode="External"/><Relationship Id="rId174" Type="http://schemas.openxmlformats.org/officeDocument/2006/relationships/hyperlink" Target="http://www.bmfbovespa.com.br/cias-listadas/empresas-listadas/ResumoEmpresaPrincipal.aspx?codigoCvm=11398&amp;idioma=pt-br" TargetMode="External"/><Relationship Id="rId195" Type="http://schemas.openxmlformats.org/officeDocument/2006/relationships/hyperlink" Target="http://www.bmfbovespa.com.br/cias-listadas/empresas-listadas/ResumoEmpresaPrincipal.aspx?codigoCvm=12653&amp;idioma=pt-br" TargetMode="External"/><Relationship Id="rId209" Type="http://schemas.openxmlformats.org/officeDocument/2006/relationships/hyperlink" Target="http://www.bmfbovespa.com.br/cias-listadas/empresas-listadas/ResumoEmpresaPrincipal.aspx?codigoCvm=15458&amp;idioma=pt-br" TargetMode="External"/><Relationship Id="rId360" Type="http://schemas.openxmlformats.org/officeDocument/2006/relationships/hyperlink" Target="http://www.bmfbovespa.com.br/cias-listadas/empresas-listadas/ResumoEmpresaPrincipal.aspx?codigoCvm=11975&amp;idioma=pt-br" TargetMode="External"/><Relationship Id="rId381" Type="http://schemas.openxmlformats.org/officeDocument/2006/relationships/hyperlink" Target="http://www.bmfbovespa.com.br/cias-listadas/empresas-listadas/ResumoEmpresaPrincipal.aspx?codigoCvm=18597&amp;idioma=pt-br" TargetMode="External"/><Relationship Id="rId416" Type="http://schemas.openxmlformats.org/officeDocument/2006/relationships/hyperlink" Target="http://www.bmfbovespa.com.br/cias-listadas/empresas-listadas/ResumoEmpresaPrincipal.aspx?codigoCvm=13366&amp;idioma=pt-br" TargetMode="External"/><Relationship Id="rId220" Type="http://schemas.openxmlformats.org/officeDocument/2006/relationships/hyperlink" Target="http://www.bmfbovespa.com.br/cias-listadas/empresas-listadas/ResumoEmpresaPrincipal.aspx?codigoCvm=20982&amp;idioma=pt-br" TargetMode="External"/><Relationship Id="rId241" Type="http://schemas.openxmlformats.org/officeDocument/2006/relationships/hyperlink" Target="http://www.bmfbovespa.com.br/cias-listadas/empresas-listadas/ResumoEmpresaPrincipal.aspx?codigoCvm=14826&amp;idioma=pt-br" TargetMode="External"/><Relationship Id="rId437" Type="http://schemas.openxmlformats.org/officeDocument/2006/relationships/hyperlink" Target="http://www.bmfbovespa.com.br/Cias-Listadas/Empresas-Listadas/ResumoEmpresaPrincipal.aspx?codigoCvm=6211&amp;idioma=pt-BR" TargetMode="External"/><Relationship Id="rId458" Type="http://schemas.openxmlformats.org/officeDocument/2006/relationships/hyperlink" Target="http://www.bmfbovespa.com.br/Cias-Listadas/Empresas-Listadas/ResumoEmpresaPrincipal.aspx?codigoCvm=20150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3891&amp;idioma=pt-br" TargetMode="External"/><Relationship Id="rId57" Type="http://schemas.openxmlformats.org/officeDocument/2006/relationships/hyperlink" Target="http://www.bmfbovespa.com.br/cias-listadas/empresas-listadas/ResumoEmpresaPrincipal.aspx?codigoCvm=20575&amp;idioma=pt-br" TargetMode="External"/><Relationship Id="rId262" Type="http://schemas.openxmlformats.org/officeDocument/2006/relationships/hyperlink" Target="http://www.bmfbovespa.com.br/cias-listadas/empresas-listadas/ResumoEmpresaPrincipal.aspx?codigoCvm=20745&amp;idioma=pt-br" TargetMode="External"/><Relationship Id="rId283" Type="http://schemas.openxmlformats.org/officeDocument/2006/relationships/hyperlink" Target="http://www.bmfbovespa.com.br/cias-listadas/empresas-listadas/ResumoEmpresaPrincipal.aspx?codigoCvm=14133&amp;idioma=pt-br" TargetMode="External"/><Relationship Id="rId318" Type="http://schemas.openxmlformats.org/officeDocument/2006/relationships/hyperlink" Target="http://www.bmfbovespa.com.br/cias-listadas/empresas-listadas/ResumoEmpresaPrincipal.aspx?codigoCvm=14621&amp;idioma=pt-br" TargetMode="External"/><Relationship Id="rId339" Type="http://schemas.openxmlformats.org/officeDocument/2006/relationships/hyperlink" Target="http://www.bmfbovespa.com.br/cias-listadas/empresas-listadas/ResumoEmpresaPrincipal.aspx?codigoCvm=20265&amp;idioma=pt-br" TargetMode="External"/><Relationship Id="rId78" Type="http://schemas.openxmlformats.org/officeDocument/2006/relationships/hyperlink" Target="http://www.bmfbovespa.com.br/cias-listadas/empresas-listadas/ResumoEmpresaPrincipal.aspx?codigoCvm=17639&amp;idioma=pt-br" TargetMode="External"/><Relationship Id="rId99" Type="http://schemas.openxmlformats.org/officeDocument/2006/relationships/hyperlink" Target="http://www.bmfbovespa.com.br/cias-listadas/empresas-listadas/ResumoEmpresaPrincipal.aspx?codigoCvm=21393&amp;idioma=pt-br" TargetMode="External"/><Relationship Id="rId101" Type="http://schemas.openxmlformats.org/officeDocument/2006/relationships/hyperlink" Target="http://www.bmfbovespa.com.br/cias-listadas/empresas-listadas/ResumoEmpresaPrincipal.aspx?codigoCvm=14362&amp;idioma=pt-br" TargetMode="External"/><Relationship Id="rId122" Type="http://schemas.openxmlformats.org/officeDocument/2006/relationships/hyperlink" Target="http://www.bmfbovespa.com.br/cias-listadas/empresas-listadas/ResumoEmpresaPrincipal.aspx?codigoCvm=12262&amp;idioma=pt-br" TargetMode="External"/><Relationship Id="rId143" Type="http://schemas.openxmlformats.org/officeDocument/2006/relationships/hyperlink" Target="http://www.bmfbovespa.com.br/cias-listadas/empresas-listadas/ResumoEmpresaPrincipal.aspx?codigoCvm=23035&amp;idioma=pt-br" TargetMode="External"/><Relationship Id="rId164" Type="http://schemas.openxmlformats.org/officeDocument/2006/relationships/hyperlink" Target="http://www.bmfbovespa.com.br/cias-listadas/empresas-listadas/ResumoEmpresaPrincipal.aspx?codigoCvm=8656&amp;idioma=pt-br" TargetMode="External"/><Relationship Id="rId185" Type="http://schemas.openxmlformats.org/officeDocument/2006/relationships/hyperlink" Target="http://www.bmfbovespa.com.br/cias-listadas/empresas-listadas/ResumoEmpresaPrincipal.aspx?codigoCvm=12696&amp;idioma=pt-br" TargetMode="External"/><Relationship Id="rId350" Type="http://schemas.openxmlformats.org/officeDocument/2006/relationships/hyperlink" Target="http://www.bmfbovespa.com.br/cias-listadas/empresas-listadas/ResumoEmpresaPrincipal.aspx?codigoCvm=7811&amp;idioma=pt-br" TargetMode="External"/><Relationship Id="rId371" Type="http://schemas.openxmlformats.org/officeDocument/2006/relationships/hyperlink" Target="http://www.bmfbovespa.com.br/cias-listadas/empresas-listadas/ResumoEmpresaPrincipal.aspx?codigoCvm=10880&amp;idioma=pt-br" TargetMode="External"/><Relationship Id="rId406" Type="http://schemas.openxmlformats.org/officeDocument/2006/relationships/hyperlink" Target="http://www.bmfbovespa.com.br/cias-listadas/empresas-listadas/ResumoEmpresaPrincipal.aspx?codigoCvm=20613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3298&amp;idioma=pt-br" TargetMode="External"/><Relationship Id="rId392" Type="http://schemas.openxmlformats.org/officeDocument/2006/relationships/hyperlink" Target="http://www.bmfbovespa.com.br/cias-listadas/empresas-listadas/ResumoEmpresaPrincipal.aspx?codigoCvm=17892&amp;idioma=pt-br" TargetMode="External"/><Relationship Id="rId427" Type="http://schemas.openxmlformats.org/officeDocument/2006/relationships/hyperlink" Target="http://www.bmfbovespa.com.br/cias-listadas/empresas-listadas/ResumoEmpresaPrincipal.aspx?codigoCvm=14664&amp;idioma=pt-br" TargetMode="External"/><Relationship Id="rId448" Type="http://schemas.openxmlformats.org/officeDocument/2006/relationships/hyperlink" Target="http://www.bmfbovespa.com.br/cias-listadas/empresas-listadas/ResumoEmpresaPrincipal.aspx?codigoCvm=6343&amp;idioma=pt-br" TargetMode="External"/><Relationship Id="rId26" Type="http://schemas.openxmlformats.org/officeDocument/2006/relationships/hyperlink" Target="http://www.bmfbovespa.com.br/Cias-Listadas/Empresas-Listadas/ResumoEmpresaPrincipal.aspx?codigoCvm=14451&amp;idioma=pt-br" TargetMode="External"/><Relationship Id="rId231" Type="http://schemas.openxmlformats.org/officeDocument/2006/relationships/hyperlink" Target="http://www.bmfbovespa.com.br/cias-listadas/empresas-listadas/ResumoEmpresaPrincipal.aspx?codigoCvm=4057&amp;idioma=pt-br" TargetMode="External"/><Relationship Id="rId252" Type="http://schemas.openxmlformats.org/officeDocument/2006/relationships/hyperlink" Target="http://www.bmfbovespa.com.br/cias-listadas/empresas-listadas/ResumoEmpresaPrincipal.aspx?codigoCvm=3336&amp;idioma=pt-br" TargetMode="External"/><Relationship Id="rId273" Type="http://schemas.openxmlformats.org/officeDocument/2006/relationships/hyperlink" Target="http://www.bmfbovespa.com.br/cias-listadas/empresas-listadas/ResumoEmpresaPrincipal.aspx?codigoCvm=1970&amp;idioma=pt-br" TargetMode="External"/><Relationship Id="rId294" Type="http://schemas.openxmlformats.org/officeDocument/2006/relationships/hyperlink" Target="http://www.bmfbovespa.com.br/cias-listadas/empresas-listadas/ResumoEmpresaPrincipal.aspx?codigoCvm=4081&amp;idioma=pt-br" TargetMode="External"/><Relationship Id="rId308" Type="http://schemas.openxmlformats.org/officeDocument/2006/relationships/hyperlink" Target="http://www.bmfbovespa.com.br/cias-listadas/empresas-listadas/ResumoEmpresaPrincipal.aspx?codigoCvm=11215&amp;idioma=pt-br" TargetMode="External"/><Relationship Id="rId329" Type="http://schemas.openxmlformats.org/officeDocument/2006/relationships/hyperlink" Target="http://www.bmfbovespa.com.br/cias-listadas/empresas-listadas/ResumoEmpresaPrincipal.aspx?codigoCvm=4537&amp;idioma=pt-br" TargetMode="External"/><Relationship Id="rId47" Type="http://schemas.openxmlformats.org/officeDocument/2006/relationships/hyperlink" Target="http://www.bmfbovespa.com.br/cias-listadas/empresas-listadas/ResumoEmpresaPrincipal.aspx?codigoCvm=21091&amp;idioma=pt-br" TargetMode="External"/><Relationship Id="rId68" Type="http://schemas.openxmlformats.org/officeDocument/2006/relationships/hyperlink" Target="http://www.bmfbovespa.com.br/Cias-Listadas/Empresas-Listadas/ResumoEmpresaPrincipal.aspx?codigoCvm=9954&amp;idioma=pt-BR" TargetMode="External"/><Relationship Id="rId89" Type="http://schemas.openxmlformats.org/officeDocument/2006/relationships/hyperlink" Target="http://www.bmfbovespa.com.br/Cias-Listadas/Empresas-Listadas/ResumoEmpresaPrincipal.aspx?codigoCvm=922&amp;idioma=pt-br" TargetMode="External"/><Relationship Id="rId112" Type="http://schemas.openxmlformats.org/officeDocument/2006/relationships/hyperlink" Target="http://www.bmfbovespa.com.br/cias-listadas/empresas-listadas/ResumoEmpresaPrincipal.aspx?codigoCvm=18627&amp;idioma=pt-br" TargetMode="External"/><Relationship Id="rId133" Type="http://schemas.openxmlformats.org/officeDocument/2006/relationships/hyperlink" Target="http://www.bmfbovespa.com.br/cias-listadas/empresas-listadas/ResumoEmpresaPrincipal.aspx?codigoCvm=20532&amp;idioma=pt-br" TargetMode="External"/><Relationship Id="rId154" Type="http://schemas.openxmlformats.org/officeDocument/2006/relationships/hyperlink" Target="http://www.bmfbovespa.com.br/cias-listadas/empresas-listadas/ResumoEmpresaPrincipal.aspx?codigoCvm=21342&amp;idioma=pt-br" TargetMode="External"/><Relationship Id="rId175" Type="http://schemas.openxmlformats.org/officeDocument/2006/relationships/hyperlink" Target="http://www.bmfbovespa.com.br/cias-listadas/empresas-listadas/ResumoEmpresaPrincipal.aspx?codigoCvm=11398&amp;idioma=pt-br" TargetMode="External"/><Relationship Id="rId340" Type="http://schemas.openxmlformats.org/officeDocument/2006/relationships/hyperlink" Target="http://www.bmfbovespa.com.br/cias-listadas/empresas-listadas/ResumoEmpresaPrincipal.aspx?codigoCvm=4723&amp;idioma=pt-br" TargetMode="External"/><Relationship Id="rId361" Type="http://schemas.openxmlformats.org/officeDocument/2006/relationships/hyperlink" Target="http://www.bmfbovespa.com.br/cias-listadas/empresas-listadas/ResumoEmpresaPrincipal.aspx?codigoCvm=11975&amp;idioma=pt-br" TargetMode="External"/><Relationship Id="rId196" Type="http://schemas.openxmlformats.org/officeDocument/2006/relationships/hyperlink" Target="http://www.bmfbovespa.com.br/cias-listadas/empresas-listadas/ResumoEmpresaPrincipal.aspx?codigoCvm=13986&amp;idioma=pt-br" TargetMode="External"/><Relationship Id="rId200" Type="http://schemas.openxmlformats.org/officeDocument/2006/relationships/hyperlink" Target="http://www.bmfbovespa.com.br/cias-listadas/empresas-listadas/ResumoEmpresaPrincipal.aspx?codigoCvm=13412&amp;idioma=pt-br" TargetMode="External"/><Relationship Id="rId382" Type="http://schemas.openxmlformats.org/officeDocument/2006/relationships/hyperlink" Target="http://www.bmfbovespa.com.br/cias-listadas/empresas-listadas/ResumoEmpresaPrincipal.aspx?codigoCvm=22012&amp;idioma=pt-br" TargetMode="External"/><Relationship Id="rId417" Type="http://schemas.openxmlformats.org/officeDocument/2006/relationships/hyperlink" Target="http://www.bmfbovespa.com.br/cias-listadas/empresas-listadas/ResumoEmpresaPrincipal.aspx?codigoCvm=13366&amp;idioma=pt-br" TargetMode="External"/><Relationship Id="rId438" Type="http://schemas.openxmlformats.org/officeDocument/2006/relationships/hyperlink" Target="http://www.bmfbovespa.com.br/cias-listadas/empresas-listadas/ResumoEmpresaPrincipal.aspx?codigoCvm=8575&amp;idioma=pt-br" TargetMode="External"/><Relationship Id="rId459" Type="http://schemas.openxmlformats.org/officeDocument/2006/relationships/hyperlink" Target="http://www.bmfbovespa.com.br/Cias-Listadas/Empresas-Listadas/ResumoEmpresaPrincipal.aspx?codigoCvm=20150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9917&amp;idioma=pt-br" TargetMode="External"/><Relationship Id="rId242" Type="http://schemas.openxmlformats.org/officeDocument/2006/relationships/hyperlink" Target="http://www.bmfbovespa.com.br/cias-listadas/empresas-listadas/ResumoEmpresaPrincipal.aspx?codigoCvm=14826&amp;idioma=pt-br" TargetMode="External"/><Relationship Id="rId263" Type="http://schemas.openxmlformats.org/officeDocument/2006/relationships/hyperlink" Target="http://www.bmfbovespa.com.br/cias-listadas/empresas-listadas/ResumoEmpresaPrincipal.aspx?codigoCvm=23310&amp;idioma=pt-br" TargetMode="External"/><Relationship Id="rId284" Type="http://schemas.openxmlformats.org/officeDocument/2006/relationships/hyperlink" Target="http://www.bmfbovespa.com.br/cias-listadas/empresas-listadas/ResumoEmpresaPrincipal.aspx?codigoCvm=8427&amp;idioma=pt-br" TargetMode="External"/><Relationship Id="rId319" Type="http://schemas.openxmlformats.org/officeDocument/2006/relationships/hyperlink" Target="http://www.bmfbovespa.com.br/cias-listadas/empresas-listadas/ResumoEmpresaPrincipal.aspx?codigoCvm=22551&amp;idioma=pt-br" TargetMode="External"/><Relationship Id="rId37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16292&amp;idioma=pt-br" TargetMode="External"/><Relationship Id="rId79" Type="http://schemas.openxmlformats.org/officeDocument/2006/relationships/hyperlink" Target="http://www.bmfbovespa.com.br/cias-listadas/empresas-listadas/ResumoEmpresaPrincipal.aspx?codigoCvm=20516&amp;idioma=pt-br" TargetMode="External"/><Relationship Id="rId102" Type="http://schemas.openxmlformats.org/officeDocument/2006/relationships/hyperlink" Target="http://www.bmfbovespa.com.br/cias-listadas/empresas-listadas/ResumoEmpresaPrincipal.aspx?codigoCvm=16608&amp;idioma=pt-br" TargetMode="External"/><Relationship Id="rId123" Type="http://schemas.openxmlformats.org/officeDocument/2006/relationships/hyperlink" Target="http://www.bmfbovespa.com.br/cias-listadas/empresas-listadas/ResumoEmpresaPrincipal.aspx?codigoCvm=20796&amp;idioma=pt-br" TargetMode="External"/><Relationship Id="rId144" Type="http://schemas.openxmlformats.org/officeDocument/2006/relationships/hyperlink" Target="http://www.bmfbovespa.com.br/cias-listadas/empresas-listadas/ResumoEmpresaPrincipal.aspx?codigoCvm=11258&amp;idioma=pt-br" TargetMode="External"/><Relationship Id="rId330" Type="http://schemas.openxmlformats.org/officeDocument/2006/relationships/hyperlink" Target="http://www.bmfbovespa.com.br/cias-listadas/empresas-listadas/ResumoEmpresaPrincipal.aspx?codigoCvm=4669&amp;idioma=pt-br" TargetMode="External"/><Relationship Id="rId90" Type="http://schemas.openxmlformats.org/officeDocument/2006/relationships/hyperlink" Target="http://www.bmfbovespa.com.br/Cias-Listadas/Empresas-Listadas/ResumoEmpresaPrincipal.aspx?codigoCvm=1155&amp;idioma=pt-BR" TargetMode="External"/><Relationship Id="rId165" Type="http://schemas.openxmlformats.org/officeDocument/2006/relationships/hyperlink" Target="http://www.bmfbovespa.com.br/cias-listadas/empresas-listadas/ResumoEmpresaPrincipal.aspx?codigoCvm=6017&amp;idioma=pt-br" TargetMode="External"/><Relationship Id="rId186" Type="http://schemas.openxmlformats.org/officeDocument/2006/relationships/hyperlink" Target="http://www.bmfbovespa.com.br/cias-listadas/empresas-listadas/ResumoEmpresaPrincipal.aspx?codigoCvm=12696&amp;idioma=pt-br" TargetMode="External"/><Relationship Id="rId351" Type="http://schemas.openxmlformats.org/officeDocument/2006/relationships/hyperlink" Target="http://www.bmfbovespa.com.br/cias-listadas/empresas-listadas/ResumoEmpresaPrincipal.aspx?codigoCvm=20915&amp;idioma=pt-br" TargetMode="External"/><Relationship Id="rId372" Type="http://schemas.openxmlformats.org/officeDocument/2006/relationships/hyperlink" Target="http://www.bmfbovespa.com.br/cias-listadas/empresas-listadas/ResumoEmpresaPrincipal.aspx?codigoCvm=11207&amp;idioma=pt-br" TargetMode="External"/><Relationship Id="rId393" Type="http://schemas.openxmlformats.org/officeDocument/2006/relationships/hyperlink" Target="http://www.bmfbovespa.com.br/cias-listadas/empresas-listadas/ResumoEmpresaPrincipal.aspx?codigoCvm=17892&amp;idioma=pt-br" TargetMode="External"/><Relationship Id="rId407" Type="http://schemas.openxmlformats.org/officeDocument/2006/relationships/hyperlink" Target="http://www.bmfbovespa.com.br/cias-listadas/empresas-listadas/ResumoEmpresaPrincipal.aspx?codigoCvm=6173&amp;idioma=pt-br" TargetMode="External"/><Relationship Id="rId428" Type="http://schemas.openxmlformats.org/officeDocument/2006/relationships/hyperlink" Target="http://www.bmfbovespa.com.br/cias-listadas/empresas-listadas/ResumoEmpresaPrincipal.aspx?codigoCvm=14664&amp;idioma=pt-br" TargetMode="External"/><Relationship Id="rId449" Type="http://schemas.openxmlformats.org/officeDocument/2006/relationships/hyperlink" Target="http://www.bmfbovespa.com.br/cias-listadas/empresas-listadas/ResumoEmpresaPrincipal.aspx?codigoCvm=11991&amp;idioma=pt-br" TargetMode="External"/><Relationship Id="rId211" Type="http://schemas.openxmlformats.org/officeDocument/2006/relationships/hyperlink" Target="http://www.bmfbovespa.com.br/cias-listadas/empresas-listadas/ResumoEmpresaPrincipal.aspx?codigoCvm=3298&amp;idioma=pt-br" TargetMode="External"/><Relationship Id="rId232" Type="http://schemas.openxmlformats.org/officeDocument/2006/relationships/hyperlink" Target="http://www.bmfbovespa.com.br/cias-listadas/empresas-listadas/ResumoEmpresaPrincipal.aspx?codigoCvm=8087&amp;idioma=pt-br" TargetMode="External"/><Relationship Id="rId253" Type="http://schemas.openxmlformats.org/officeDocument/2006/relationships/hyperlink" Target="http://www.bmfbovespa.com.br/cias-listadas/empresas-listadas/ResumoEmpresaPrincipal.aspx?codigoCvm=3336&amp;idioma=pt-br" TargetMode="External"/><Relationship Id="rId274" Type="http://schemas.openxmlformats.org/officeDocument/2006/relationships/hyperlink" Target="http://www.bmfbovespa.com.br/cias-listadas/empresas-listadas/ResumoEmpresaPrincipal.aspx?codigoCvm=22470&amp;idioma=pt-br" TargetMode="External"/><Relationship Id="rId295" Type="http://schemas.openxmlformats.org/officeDocument/2006/relationships/hyperlink" Target="http://www.bmfbovespa.com.br/cias-listadas/empresas-listadas/ResumoEmpresaPrincipal.aspx?codigoCvm=5207&amp;idioma=pt-br" TargetMode="External"/><Relationship Id="rId309" Type="http://schemas.openxmlformats.org/officeDocument/2006/relationships/hyperlink" Target="http://www.bmfbovespa.com.br/cias-listadas/empresas-listadas/ResumoEmpresaPrincipal.aspx?codigoCvm=10456&amp;idioma=pt-br" TargetMode="External"/><Relationship Id="rId460" Type="http://schemas.openxmlformats.org/officeDocument/2006/relationships/hyperlink" Target="http://www.bmfbovespa.com.br/Cias-Listadas/Empresas-Listadas/ResumoEmpresaPrincipal.aspx?codigoCvm=20150&amp;idioma=pt-BR" TargetMode="External"/><Relationship Id="rId27" Type="http://schemas.openxmlformats.org/officeDocument/2006/relationships/hyperlink" Target="http://www.bmfbovespa.com.br/cias-listadas/empresas-listadas/ResumoEmpresaPrincipal.aspx?codigoCvm=8540&amp;idioma=pt-br" TargetMode="External"/><Relationship Id="rId48" Type="http://schemas.openxmlformats.org/officeDocument/2006/relationships/hyperlink" Target="http://www.bmfbovespa.com.br/cias-listadas/empresas-listadas/ResumoEmpresaPrincipal.aspx?codigoCvm=2577" TargetMode="External"/><Relationship Id="rId69" Type="http://schemas.openxmlformats.org/officeDocument/2006/relationships/hyperlink" Target="http://www.bmfbovespa.com.br/Cias-Listadas/Empresas-Listadas/ResumoEmpresaPrincipal.aspx?codigoCvm=20567&amp;idioma=pt-br" TargetMode="External"/><Relationship Id="rId113" Type="http://schemas.openxmlformats.org/officeDocument/2006/relationships/hyperlink" Target="http://www.bmfbovespa.com.br/cias-listadas/empresas-listadas/ResumoEmpresaPrincipal.aspx?codigoCvm=18627&amp;idioma=pt-br" TargetMode="External"/><Relationship Id="rId134" Type="http://schemas.openxmlformats.org/officeDocument/2006/relationships/hyperlink" Target="http://www.bmfbovespa.com.br/cias-listadas/empresas-listadas/ResumoEmpresaPrincipal.aspx?codigoCvm=20680&amp;idioma=pt-br" TargetMode="External"/><Relationship Id="rId320" Type="http://schemas.openxmlformats.org/officeDocument/2006/relationships/hyperlink" Target="http://www.bmfbovespa.com.br/cias-listadas/empresas-listadas/ResumoEmpresaPrincipal.aspx?codigoCvm=22551&amp;idioma=pt-br" TargetMode="External"/><Relationship Id="rId80" Type="http://schemas.openxmlformats.org/officeDocument/2006/relationships/hyperlink" Target="http://www.bmfbovespa.com.br/cias-listadas/empresas-listadas/ResumoEmpresaPrincipal.aspx?codigoCvm=21121&amp;idioma=pt-br" TargetMode="External"/><Relationship Id="rId155" Type="http://schemas.openxmlformats.org/officeDocument/2006/relationships/hyperlink" Target="http://www.bmfbovespa.com.br/cias-listadas/empresas-listadas/ResumoEmpresaPrincipal.aspx?codigoCvm=3069&amp;idioma=pt-br" TargetMode="External"/><Relationship Id="rId176" Type="http://schemas.openxmlformats.org/officeDocument/2006/relationships/hyperlink" Target="http://www.bmfbovespa.com.br/cias-listadas/empresas-listadas/ResumoEmpresaPrincipal.aspx?codigoCvm=4359&amp;idioma=pt-br" TargetMode="External"/><Relationship Id="rId197" Type="http://schemas.openxmlformats.org/officeDocument/2006/relationships/hyperlink" Target="http://www.bmfbovespa.com.br/cias-listadas/empresas-listadas/ResumoEmpresaPrincipal.aspx?codigoCvm=13986&amp;idioma=pt-br" TargetMode="External"/><Relationship Id="rId341" Type="http://schemas.openxmlformats.org/officeDocument/2006/relationships/hyperlink" Target="http://www.bmfbovespa.com.br/cias-listadas/empresas-listadas/ResumoEmpresaPrincipal.aspx?codigoCvm=4723&amp;idioma=pt-br" TargetMode="External"/><Relationship Id="rId362" Type="http://schemas.openxmlformats.org/officeDocument/2006/relationships/hyperlink" Target="http://www.bmfbovespa.com.br/cias-listadas/empresas-listadas/ResumoEmpresaPrincipal.aspx?codigoCvm=4774&amp;idioma=pt-br" TargetMode="External"/><Relationship Id="rId383" Type="http://schemas.openxmlformats.org/officeDocument/2006/relationships/hyperlink" Target="http://www.bmfbovespa.com.br/cias-listadas/empresas-listadas/ResumoEmpresaPrincipal.aspx?codigoCvm=20028&amp;idioma=pt-br" TargetMode="External"/><Relationship Id="rId418" Type="http://schemas.openxmlformats.org/officeDocument/2006/relationships/hyperlink" Target="http://www.bmfbovespa.com.br/cias-listadas/empresas-listadas/ResumoEmpresaPrincipal.aspx?codigoCvm=2488&amp;idioma=pt-br" TargetMode="External"/><Relationship Id="rId439" Type="http://schemas.openxmlformats.org/officeDocument/2006/relationships/hyperlink" Target="http://www.bmfbovespa.com.br/cias-listadas/empresas-listadas/ResumoEmpresaPrincipal.aspx?codigoCvm=8451&amp;idioma=pt-br" TargetMode="External"/><Relationship Id="rId201" Type="http://schemas.openxmlformats.org/officeDocument/2006/relationships/hyperlink" Target="http://www.bmfbovespa.com.br/cias-listadas/empresas-listadas/ResumoEmpresaPrincipal.aspx?codigoCvm=8605&amp;idioma=pt-br" TargetMode="External"/><Relationship Id="rId222" Type="http://schemas.openxmlformats.org/officeDocument/2006/relationships/hyperlink" Target="http://www.bmfbovespa.com.br/cias-listadas/empresas-listadas/ResumoEmpresaPrincipal.aspx?codigoCvm=19623&amp;idioma=pt-br" TargetMode="External"/><Relationship Id="rId243" Type="http://schemas.openxmlformats.org/officeDocument/2006/relationships/hyperlink" Target="http://www.bmfbovespa.com.br/cias-listadas/empresas-listadas/ResumoEmpresaPrincipal.aspx?codigoCvm=23264&amp;idioma=pt-br" TargetMode="External"/><Relationship Id="rId264" Type="http://schemas.openxmlformats.org/officeDocument/2006/relationships/hyperlink" Target="http://www.bmfbovespa.com.br/cias-listadas/empresas-listadas/ResumoEmpresaPrincipal.aspx?codigoCvm=9415&amp;idioma=pt-br" TargetMode="External"/><Relationship Id="rId285" Type="http://schemas.openxmlformats.org/officeDocument/2006/relationships/hyperlink" Target="http://www.bmfbovespa.com.br/cias-listadas/empresas-listadas/ResumoEmpresaPrincipal.aspx?codigoCvm=8427&amp;idioma=pt-br" TargetMode="External"/><Relationship Id="rId450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8540&amp;idioma=pt-br" TargetMode="External"/><Relationship Id="rId59" Type="http://schemas.openxmlformats.org/officeDocument/2006/relationships/hyperlink" Target="http://www.bmfbovespa.com.br/cias-listadas/empresas-listadas/ResumoEmpresaPrincipal.aspx?codigoCvm=2909&amp;idioma=pt-br" TargetMode="External"/><Relationship Id="rId103" Type="http://schemas.openxmlformats.org/officeDocument/2006/relationships/hyperlink" Target="http://www.bmfbovespa.com.br/cias-listadas/empresas-listadas/ResumoEmpresaPrincipal.aspx?codigoCvm=18660&amp;idioma=pt-br" TargetMode="External"/><Relationship Id="rId124" Type="http://schemas.openxmlformats.org/officeDocument/2006/relationships/hyperlink" Target="http://www.bmfbovespa.com.br/cias-listadas/empresas-listadas/ResumoEmpresaPrincipal.aspx?codigoCvm=20796&amp;idioma=pt-br" TargetMode="External"/><Relationship Id="rId310" Type="http://schemas.openxmlformats.org/officeDocument/2006/relationships/hyperlink" Target="http://www.bmfbovespa.com.br/cias-listadas/empresas-listadas/ResumoEmpresaPrincipal.aspx?codigoCvm=10456&amp;idioma=pt-br" TargetMode="External"/><Relationship Id="rId70" Type="http://schemas.openxmlformats.org/officeDocument/2006/relationships/hyperlink" Target="http://www.bmfbovespa.com.br/Cias-Listadas/Empresas-Listadas/ResumoEmpresaPrincipal.aspx?codigoCvm=14443&amp;idioma=pt-BR" TargetMode="External"/><Relationship Id="rId91" Type="http://schemas.openxmlformats.org/officeDocument/2006/relationships/hyperlink" Target="http://www.bmfbovespa.com.br/Cias-Listadas/Empresas-Listadas/ResumoEmpresaPrincipal.aspx?codigoCvm=1155&amp;idioma=pt-BR" TargetMode="External"/><Relationship Id="rId145" Type="http://schemas.openxmlformats.org/officeDocument/2006/relationships/hyperlink" Target="http://www.bmfbovespa.com.br/cias-listadas/empresas-listadas/ResumoEmpresaPrincipal.aspx?codigoCvm=11258&amp;idioma=pt-br" TargetMode="External"/><Relationship Id="rId166" Type="http://schemas.openxmlformats.org/officeDocument/2006/relationships/hyperlink" Target="http://www.bmfbovespa.com.br/cias-listadas/empresas-listadas/ResumoEmpresaPrincipal.aspx?codigoCvm=6017&amp;idioma=pt-br" TargetMode="External"/><Relationship Id="rId187" Type="http://schemas.openxmlformats.org/officeDocument/2006/relationships/hyperlink" Target="http://www.bmfbovespa.com.br/cias-listadas/empresas-listadas/ResumoEmpresaPrincipal.aspx?codigoCvm=12696&amp;idioma=pt-br" TargetMode="External"/><Relationship Id="rId331" Type="http://schemas.openxmlformats.org/officeDocument/2006/relationships/hyperlink" Target="http://www.bmfbovespa.com.br/cias-listadas/empresas-listadas/ResumoEmpresaPrincipal.aspx?codigoCvm=4669&amp;idioma=pt-br" TargetMode="External"/><Relationship Id="rId352" Type="http://schemas.openxmlformats.org/officeDocument/2006/relationships/hyperlink" Target="http://www.bmfbovespa.com.br/cias-listadas/empresas-listadas/ResumoEmpresaPrincipal.aspx?codigoCvm=20478&amp;idioma=pt-br" TargetMode="External"/><Relationship Id="rId373" Type="http://schemas.openxmlformats.org/officeDocument/2006/relationships/hyperlink" Target="http://www.bmfbovespa.com.br/cias-listadas/empresas-listadas/ResumoEmpresaPrincipal.aspx?codigoCvm=11207&amp;idioma=pt-br" TargetMode="External"/><Relationship Id="rId394" Type="http://schemas.openxmlformats.org/officeDocument/2006/relationships/hyperlink" Target="http://www.bmfbovespa.com.br/cias-listadas/empresas-listadas/ResumoEmpresaPrincipal.aspx?codigoCvm=19569&amp;idioma=pt-br" TargetMode="External"/><Relationship Id="rId408" Type="http://schemas.openxmlformats.org/officeDocument/2006/relationships/hyperlink" Target="http://www.bmfbovespa.com.br/cias-listadas/empresas-listadas/ResumoEmpresaPrincipal.aspx?codigoCvm=6173&amp;idioma=pt-br" TargetMode="External"/><Relationship Id="rId429" Type="http://schemas.openxmlformats.org/officeDocument/2006/relationships/hyperlink" Target="http://www.bmfbovespa.com.br/cias-listadas/empresas-listadas/ResumoEmpresaPrincipal.aspx?codigoCvm=541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182&amp;idioma=pt-br" TargetMode="External"/><Relationship Id="rId233" Type="http://schemas.openxmlformats.org/officeDocument/2006/relationships/hyperlink" Target="http://www.bmfbovespa.com.br/cias-listadas/empresas-listadas/ResumoEmpresaPrincipal.aspx?codigoCvm=8087&amp;idioma=pt-br" TargetMode="External"/><Relationship Id="rId254" Type="http://schemas.openxmlformats.org/officeDocument/2006/relationships/hyperlink" Target="http://www.bmfbovespa.com.br/cias-listadas/empresas-listadas/ResumoEmpresaPrincipal.aspx?codigoCvm=3336&amp;idioma=pt-br" TargetMode="External"/><Relationship Id="rId440" Type="http://schemas.openxmlformats.org/officeDocument/2006/relationships/hyperlink" Target="http://www.bmfbovespa.com.br/cias-listadas/empresas-listadas/ResumoEmpresaPrincipal.aspx?codigoCvm=8451&amp;idioma=pt-br" TargetMode="External"/><Relationship Id="rId28" Type="http://schemas.openxmlformats.org/officeDocument/2006/relationships/hyperlink" Target="http://www.bmfbovespa.com.br/cias-listadas/empresas-listadas/ResumoEmpresaPrincipal.aspx?codigoCvm=2577" TargetMode="External"/><Relationship Id="rId49" Type="http://schemas.openxmlformats.org/officeDocument/2006/relationships/hyperlink" Target="http://www.bmfbovespa.com.br/cias-listadas/empresas-listadas/ResumoEmpresaPrincipal.aspx?codigoCvm=22691&amp;idioma=pt-br" TargetMode="External"/><Relationship Id="rId114" Type="http://schemas.openxmlformats.org/officeDocument/2006/relationships/hyperlink" Target="http://www.bmfbovespa.com.br/cias-listadas/empresas-listadas/ResumoEmpresaPrincipal.aspx?codigoCvm=15636&amp;idioma=pt-br" TargetMode="External"/><Relationship Id="rId275" Type="http://schemas.openxmlformats.org/officeDocument/2006/relationships/hyperlink" Target="http://www.bmfbovespa.com.br/cias-listadas/empresas-listadas/ResumoEmpresaPrincipal.aspx?codigoCvm=6505&amp;idioma=pt-br" TargetMode="External"/><Relationship Id="rId296" Type="http://schemas.openxmlformats.org/officeDocument/2006/relationships/hyperlink" Target="http://www.bmfbovespa.com.br/cias-listadas/empresas-listadas/ResumoEmpresaPrincipal.aspx?codigoCvm=5207&amp;idioma=pt-br" TargetMode="External"/><Relationship Id="rId300" Type="http://schemas.openxmlformats.org/officeDocument/2006/relationships/hyperlink" Target="http://www.bmfbovespa.com.br/cias-listadas/empresas-listadas/ResumoEmpresaPrincipal.aspx?codigoCvm=4146&amp;idioma=pt-br" TargetMode="External"/><Relationship Id="rId461" Type="http://schemas.openxmlformats.org/officeDocument/2006/relationships/hyperlink" Target="http://www.bmfbovespa.com.br/cias-listadas/empresas-listadas/ResumoEmpresaPrincipal.aspx?codigoCvm=18309&amp;idioma=pt-br" TargetMode="External"/><Relationship Id="rId60" Type="http://schemas.openxmlformats.org/officeDocument/2006/relationships/hyperlink" Target="http://www.bmfbovespa.com.br/cias-listadas/empresas-listadas/ResumoEmpresaPrincipal.aspx?codigoCvm=2909&amp;idioma=pt-br" TargetMode="External"/><Relationship Id="rId81" Type="http://schemas.openxmlformats.org/officeDocument/2006/relationships/hyperlink" Target="http://www.bmfbovespa.com.br/cias-listadas/empresas-listadas/ResumoEmpresaPrincipal.aspx?codigoCvm=22365&amp;idioma=pt-br" TargetMode="External"/><Relationship Id="rId135" Type="http://schemas.openxmlformats.org/officeDocument/2006/relationships/hyperlink" Target="http://www.bmfbovespa.com.br/cias-listadas/empresas-listadas/ResumoEmpresaPrincipal.aspx?codigoCvm=20680&amp;idioma=pt-br" TargetMode="External"/><Relationship Id="rId156" Type="http://schemas.openxmlformats.org/officeDocument/2006/relationships/hyperlink" Target="http://www.bmfbovespa.com.br/cias-listadas/empresas-listadas/ResumoEmpresaPrincipal.aspx?codigoCvm=3069&amp;idioma=pt-br" TargetMode="External"/><Relationship Id="rId177" Type="http://schemas.openxmlformats.org/officeDocument/2006/relationships/hyperlink" Target="http://www.bmfbovespa.com.br/cias-listadas/empresas-listadas/ResumoEmpresaPrincipal.aspx?codigoCvm=4359&amp;idioma=pt-br" TargetMode="External"/><Relationship Id="rId198" Type="http://schemas.openxmlformats.org/officeDocument/2006/relationships/hyperlink" Target="http://www.bmfbovespa.com.br/cias-listadas/empresas-listadas/ResumoEmpresaPrincipal.aspx?codigoCvm=13986&amp;idioma=pt-br" TargetMode="External"/><Relationship Id="rId321" Type="http://schemas.openxmlformats.org/officeDocument/2006/relationships/hyperlink" Target="http://www.bmfbovespa.com.br/cias-listadas/empresas-listadas/ResumoEmpresaPrincipal.aspx?codigoCvm=22551&amp;idioma=pt-br" TargetMode="External"/><Relationship Id="rId342" Type="http://schemas.openxmlformats.org/officeDocument/2006/relationships/hyperlink" Target="http://www.bmfbovespa.com.br/cias-listadas/empresas-listadas/ResumoEmpresaPrincipal.aspx?codigoCvm=20630&amp;idioma=pt-br" TargetMode="External"/><Relationship Id="rId363" Type="http://schemas.openxmlformats.org/officeDocument/2006/relationships/hyperlink" Target="http://www.bmfbovespa.com.br/cias-listadas/empresas-listadas/ResumoEmpresaPrincipal.aspx?codigoCvm=4774&amp;idioma=pt-br" TargetMode="External"/><Relationship Id="rId384" Type="http://schemas.openxmlformats.org/officeDocument/2006/relationships/hyperlink" Target="http://www.bmfbovespa.com.br/cias-listadas/empresas-listadas/ResumoEmpresaPrincipal.aspx?codigoCvm=19771&amp;idioma=pt-br" TargetMode="External"/><Relationship Id="rId419" Type="http://schemas.openxmlformats.org/officeDocument/2006/relationships/hyperlink" Target="http://www.bmfbovespa.com.br/cias-listadas/empresas-listadas/ResumoEmpresaPrincipal.aspx?codigoCvm=2488&amp;idioma=pt-br" TargetMode="External"/><Relationship Id="rId202" Type="http://schemas.openxmlformats.org/officeDocument/2006/relationships/hyperlink" Target="http://www.bmfbovespa.com.br/cias-listadas/empresas-listadas/ResumoEmpresaPrincipal.aspx?codigoCvm=8605&amp;idioma=pt-br" TargetMode="External"/><Relationship Id="rId223" Type="http://schemas.openxmlformats.org/officeDocument/2006/relationships/hyperlink" Target="http://www.bmfbovespa.com.br/cias-listadas/empresas-listadas/ResumoEmpresaPrincipal.aspx?codigoCvm=21881&amp;idioma=pt-br" TargetMode="External"/><Relationship Id="rId244" Type="http://schemas.openxmlformats.org/officeDocument/2006/relationships/hyperlink" Target="http://www.bmfbovespa.com.br/cias-listadas/empresas-listadas/ResumoEmpresaPrincipal.aspx?codigoCvm=22772&amp;idioma=pt-br" TargetMode="External"/><Relationship Id="rId430" Type="http://schemas.openxmlformats.org/officeDocument/2006/relationships/hyperlink" Target="http://www.bmfbovespa.com.br/cias-listadas/empresas-listadas/ResumoEmpresaPrincipal.aspx?codigoCvm=20087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20982&amp;idioma=pt-br" TargetMode="External"/><Relationship Id="rId265" Type="http://schemas.openxmlformats.org/officeDocument/2006/relationships/hyperlink" Target="http://www.bmfbovespa.com.br/cias-listadas/empresas-listadas/ResumoEmpresaPrincipal.aspx?codigoCvm=9415&amp;idioma=pt-br" TargetMode="External"/><Relationship Id="rId286" Type="http://schemas.openxmlformats.org/officeDocument/2006/relationships/hyperlink" Target="http://www.bmfbovespa.com.br/cias-listadas/empresas-listadas/ResumoEmpresaPrincipal.aspx?codigoCvm=9040&amp;idioma=pt-br" TargetMode="External"/><Relationship Id="rId451" Type="http://schemas.openxmlformats.org/officeDocument/2006/relationships/hyperlink" Target="http://www.bmfbovespa.com.br/Cias-Listadas/Empresas-Listadas/ResumoEmpresaPrincipal.aspx?codigoCvm=18350&amp;idioma=pt-BR" TargetMode="External"/><Relationship Id="rId50" Type="http://schemas.openxmlformats.org/officeDocument/2006/relationships/hyperlink" Target="http://www.bmfbovespa.com.br/cias-listadas/empresas-listadas/ResumoEmpresaPrincipal.aspx?codigoCvm=701&amp;idioma=pt-br" TargetMode="External"/><Relationship Id="rId104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25" Type="http://schemas.openxmlformats.org/officeDocument/2006/relationships/hyperlink" Target="http://www.bmfbovespa.com.br/cias-listadas/empresas-listadas/ResumoEmpresaPrincipal.aspx?codigoCvm=20885&amp;idioma=pt-br" TargetMode="External"/><Relationship Id="rId146" Type="http://schemas.openxmlformats.org/officeDocument/2006/relationships/hyperlink" Target="http://www.bmfbovespa.com.br/cias-listadas/empresas-listadas/ResumoEmpresaPrincipal.aspx?codigoCvm=22799&amp;idioma=pt-br" TargetMode="External"/><Relationship Id="rId167" Type="http://schemas.openxmlformats.org/officeDocument/2006/relationships/hyperlink" Target="http://www.bmfbovespa.com.br/cias-listadas/empresas-listadas/ResumoEmpresaPrincipal.aspx?codigoCvm=8397&amp;idioma=pt-br" TargetMode="External"/><Relationship Id="rId188" Type="http://schemas.openxmlformats.org/officeDocument/2006/relationships/hyperlink" Target="http://www.bmfbovespa.com.br/cias-listadas/empresas-listadas/ResumoEmpresaPrincipal.aspx?codigoCvm=2429&amp;idioma=pt-br" TargetMode="External"/><Relationship Id="rId311" Type="http://schemas.openxmlformats.org/officeDocument/2006/relationships/hyperlink" Target="http://www.bmfbovespa.com.br/cias-listadas/empresas-listadas/ResumoEmpresaPrincipal.aspx?codigoCvm=2100&amp;idioma=pt-br" TargetMode="External"/><Relationship Id="rId332" Type="http://schemas.openxmlformats.org/officeDocument/2006/relationships/hyperlink" Target="http://www.bmfbovespa.com.br/cias-listadas/empresas-listadas/ResumoEmpresaPrincipal.aspx?codigoCvm=8117&amp;idioma=pt-br" TargetMode="External"/><Relationship Id="rId353" Type="http://schemas.openxmlformats.org/officeDocument/2006/relationships/hyperlink" Target="http://www.bmfbovespa.com.br/cias-listadas/empresas-listadas/ResumoEmpresaPrincipal.aspx?codigoCvm=20451&amp;idioma=pt-br" TargetMode="External"/><Relationship Id="rId374" Type="http://schemas.openxmlformats.org/officeDocument/2006/relationships/hyperlink" Target="http://www.bmfbovespa.com.br/cias-listadas/empresas-listadas/ResumoEmpresaPrincipal.aspx?codigoCvm=21180&amp;idioma=pt-br" TargetMode="External"/><Relationship Id="rId395" Type="http://schemas.openxmlformats.org/officeDocument/2006/relationships/hyperlink" Target="http://www.bmfbovespa.com.br/cias-listadas/empresas-listadas/ResumoEmpresaPrincipal.aspx?codigoCvm=19569&amp;idioma=pt-br" TargetMode="External"/><Relationship Id="rId409" Type="http://schemas.openxmlformats.org/officeDocument/2006/relationships/hyperlink" Target="http://www.bmfbovespa.com.br/cias-listadas/empresas-listadas/ResumoEmpresaPrincipal.aspx?codigoCvm=5380&amp;idioma=pt-br" TargetMode="External"/><Relationship Id="rId71" Type="http://schemas.openxmlformats.org/officeDocument/2006/relationships/hyperlink" Target="http://www.bmfbovespa.com.br/cias-listadas/empresas-listadas/ResumoEmpresaPrincipal.aspx?codigoCvm=21717&amp;idioma=pt-br" TargetMode="External"/><Relationship Id="rId92" Type="http://schemas.openxmlformats.org/officeDocument/2006/relationships/hyperlink" Target="http://www.bmfbovespa.com.br/Cias-Listadas/Empresas-Listadas/ResumoEmpresaPrincipal.aspx?codigoCvm=1120&amp;idioma=pt-BR" TargetMode="External"/><Relationship Id="rId213" Type="http://schemas.openxmlformats.org/officeDocument/2006/relationships/hyperlink" Target="http://www.bmfbovespa.com.br/cias-listadas/empresas-listadas/ResumoEmpresaPrincipal.aspx?codigoCvm=3182&amp;idioma=pt-br" TargetMode="External"/><Relationship Id="rId234" Type="http://schemas.openxmlformats.org/officeDocument/2006/relationships/hyperlink" Target="http://www.bmfbovespa.com.br/cias-listadas/empresas-listadas/ResumoEmpresaPrincipal.aspx?codigoCvm=20990&amp;idioma=pt-br" TargetMode="External"/><Relationship Id="rId420" Type="http://schemas.openxmlformats.org/officeDocument/2006/relationships/hyperlink" Target="http://www.bmfbovespa.com.br/cias-listadas/empresas-listadas/ResumoEmpresaPrincipal.aspx?codigoCvm=5762&amp;idioma=pt-br" TargetMode="External"/><Relationship Id="rId2" Type="http://schemas.openxmlformats.org/officeDocument/2006/relationships/hyperlink" Target="http://www.bmfbovespa.com.br/Cias-Listadas/Empresas-Listadas/ResumoEmpresaPrincipal.aspx?codigoCvm=20567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255" Type="http://schemas.openxmlformats.org/officeDocument/2006/relationships/hyperlink" Target="http://www.bmfbovespa.com.br/cias-listadas/empresas-listadas/ResumoEmpresaPrincipal.aspx?codigoCvm=22136&amp;idioma=pt-br" TargetMode="External"/><Relationship Id="rId276" Type="http://schemas.openxmlformats.org/officeDocument/2006/relationships/hyperlink" Target="http://www.bmfbovespa.com.br/cias-listadas/empresas-listadas/ResumoEmpresaPrincipal.aspx?codigoCvm=6505&amp;idioma=pt-br" TargetMode="External"/><Relationship Id="rId297" Type="http://schemas.openxmlformats.org/officeDocument/2006/relationships/hyperlink" Target="http://www.bmfbovespa.com.br/cias-listadas/empresas-listadas/ResumoEmpresaPrincipal.aspx?codigoCvm=16497&amp;idioma=pt-br" TargetMode="External"/><Relationship Id="rId441" Type="http://schemas.openxmlformats.org/officeDocument/2006/relationships/hyperlink" Target="http://www.bmfbovespa.com.br/cias-listadas/empresas-listadas/ResumoEmpresaPrincipal.aspx?codigoCvm=13439&amp;idioma=pt-br" TargetMode="External"/><Relationship Id="rId462" Type="http://schemas.openxmlformats.org/officeDocument/2006/relationships/hyperlink" Target="http://www.bmfbovespa.com.br/cias-listadas/empresas-listadas/ResumoEmpresaPrincipal.aspx?codigoCvm=18309&amp;idioma=pt-br" TargetMode="External"/><Relationship Id="rId40" Type="http://schemas.openxmlformats.org/officeDocument/2006/relationships/hyperlink" Target="http://www.bmfbovespa.com.br/cias-listadas/empresas-listadas/ResumoEmpresaPrincipal.aspx?codigoCvm=20494&amp;idioma=pt-br" TargetMode="External"/><Relationship Id="rId115" Type="http://schemas.openxmlformats.org/officeDocument/2006/relationships/hyperlink" Target="http://www.bmfbovespa.com.br/cias-listadas/empresas-listadas/ResumoEmpresaPrincipal.aspx?codigoCvm=15636&amp;idioma=pt-br" TargetMode="External"/><Relationship Id="rId136" Type="http://schemas.openxmlformats.org/officeDocument/2006/relationships/hyperlink" Target="http://www.bmfbovespa.com.br/cias-listadas/empresas-listadas/ResumoEmpresaPrincipal.aspx?codigoCvm=19348&amp;idioma=pt-br" TargetMode="External"/><Relationship Id="rId157" Type="http://schemas.openxmlformats.org/officeDocument/2006/relationships/hyperlink" Target="http://www.bmfbovespa.com.br/cias-listadas/empresas-listadas/ResumoEmpresaPrincipal.aspx?codigoCvm=4030&amp;idioma=pt-br" TargetMode="External"/><Relationship Id="rId178" Type="http://schemas.openxmlformats.org/officeDocument/2006/relationships/hyperlink" Target="http://www.bmfbovespa.com.br/cias-listadas/empresas-listadas/ResumoEmpresaPrincipal.aspx?codigoCvm=16632&amp;idioma=pt-br" TargetMode="External"/><Relationship Id="rId301" Type="http://schemas.openxmlformats.org/officeDocument/2006/relationships/hyperlink" Target="http://www.bmfbovespa.com.br/cias-listadas/empresas-listadas/ResumoEmpresaPrincipal.aspx?codigoCvm=9539&amp;idioma=pt-br" TargetMode="External"/><Relationship Id="rId322" Type="http://schemas.openxmlformats.org/officeDocument/2006/relationships/hyperlink" Target="http://www.bmfbovespa.com.br/cias-listadas/empresas-listadas/ResumoEmpresaPrincipal.aspx?codigoCvm=10472&amp;idioma=pt-br" TargetMode="External"/><Relationship Id="rId343" Type="http://schemas.openxmlformats.org/officeDocument/2006/relationships/hyperlink" Target="http://www.bmfbovespa.com.br/cias-listadas/empresas-listadas/ResumoEmpresaPrincipal.aspx?codigoCvm=14460&amp;idioma=pt-br" TargetMode="External"/><Relationship Id="rId364" Type="http://schemas.openxmlformats.org/officeDocument/2006/relationships/hyperlink" Target="http://www.bmfbovespa.com.br/cias-listadas/empresas-listadas/ResumoEmpresaPrincipal.aspx?codigoCvm=13030&amp;idioma=pt-br" TargetMode="External"/><Relationship Id="rId61" Type="http://schemas.openxmlformats.org/officeDocument/2006/relationships/hyperlink" Target="http://www.bmfbovespa.com.br/cias-listadas/empresas-listadas/ResumoEmpresaPrincipal.aspx?codigoCvm=19836&amp;idioma=pt-br" TargetMode="External"/><Relationship Id="rId82" Type="http://schemas.openxmlformats.org/officeDocument/2006/relationships/hyperlink" Target="http://www.bmfbovespa.com.br/cias-listadas/empresas-listadas/ResumoEmpresaPrincipal.aspx?codigoCvm=4170&amp;idioma=pt-br" TargetMode="External"/><Relationship Id="rId199" Type="http://schemas.openxmlformats.org/officeDocument/2006/relationships/hyperlink" Target="http://www.bmfbovespa.com.br/cias-listadas/empresas-listadas/ResumoEmpresaPrincipal.aspx?codigoCvm=5770&amp;idioma=pt-br" TargetMode="External"/><Relationship Id="rId203" Type="http://schemas.openxmlformats.org/officeDocument/2006/relationships/hyperlink" Target="http://www.bmfbovespa.com.br/cias-listadas/empresas-listadas/ResumoEmpresaPrincipal.aspx?codigoCvm=18708&amp;idioma=pt-br" TargetMode="External"/><Relationship Id="rId385" Type="http://schemas.openxmlformats.org/officeDocument/2006/relationships/hyperlink" Target="http://www.bmfbovespa.com.br/cias-listadas/empresas-listadas/ResumoEmpresaPrincipal.aspx?codigoCvm=18821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20125&amp;idioma=pt-br" TargetMode="External"/><Relationship Id="rId245" Type="http://schemas.openxmlformats.org/officeDocument/2006/relationships/hyperlink" Target="http://www.bmfbovespa.com.br/cias-listadas/empresas-listadas/ResumoEmpresaPrincipal.aspx?codigoCvm=18490&amp;idioma=pt-br" TargetMode="External"/><Relationship Id="rId266" Type="http://schemas.openxmlformats.org/officeDocument/2006/relationships/hyperlink" Target="http://www.bmfbovespa.com.br/cias-listadas/empresas-listadas/ResumoEmpresaPrincipal.aspx?codigoCvm=9415&amp;idioma=pt-br" TargetMode="External"/><Relationship Id="rId287" Type="http://schemas.openxmlformats.org/officeDocument/2006/relationships/hyperlink" Target="http://www.bmfbovespa.com.br/cias-listadas/empresas-listadas/ResumoEmpresaPrincipal.aspx?codigoCvm=9040&amp;idioma=pt-br" TargetMode="External"/><Relationship Id="rId410" Type="http://schemas.openxmlformats.org/officeDocument/2006/relationships/hyperlink" Target="http://www.bmfbovespa.com.br/cias-listadas/empresas-listadas/ResumoEmpresaPrincipal.aspx?codigoCvm=5380&amp;idioma=pt-br" TargetMode="External"/><Relationship Id="rId431" Type="http://schemas.openxmlformats.org/officeDocument/2006/relationships/hyperlink" Target="http://www.bmfbovespa.com.br/cias-listadas/empresas-listadas/ResumoEmpresaPrincipal.aspx?codigoCvm=4448&amp;idioma=pt-br" TargetMode="External"/><Relationship Id="rId452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94&amp;idioma=pt-br" TargetMode="External"/><Relationship Id="rId105" Type="http://schemas.openxmlformats.org/officeDocument/2006/relationships/hyperlink" Target="http://www.bmfbovespa.com.br/cias-listadas/empresas-listadas/ResumoEmpresaPrincipal.aspx?codigoCvm=21237&amp;idioma=pt-br" TargetMode="External"/><Relationship Id="rId126" Type="http://schemas.openxmlformats.org/officeDocument/2006/relationships/hyperlink" Target="http://www.bmfbovespa.com.br/cias-listadas/empresas-listadas/ResumoEmpresaPrincipal.aspx?codigoCvm=20885&amp;idioma=pt-br" TargetMode="External"/><Relationship Id="rId147" Type="http://schemas.openxmlformats.org/officeDocument/2006/relationships/hyperlink" Target="http://www.bmfbovespa.com.br/cias-listadas/empresas-listadas/ResumoEmpresaPrincipal.aspx?codigoCvm=19992&amp;idioma=pt-br" TargetMode="External"/><Relationship Id="rId168" Type="http://schemas.openxmlformats.org/officeDocument/2006/relationships/hyperlink" Target="http://www.bmfbovespa.com.br/cias-listadas/empresas-listadas/ResumoEmpresaPrincipal.aspx?codigoCvm=8397&amp;idioma=pt-br" TargetMode="External"/><Relationship Id="rId312" Type="http://schemas.openxmlformats.org/officeDocument/2006/relationships/hyperlink" Target="http://www.bmfbovespa.com.br/cias-listadas/empresas-listadas/ResumoEmpresaPrincipal.aspx?codigoCvm=2100&amp;idioma=pt-br" TargetMode="External"/><Relationship Id="rId333" Type="http://schemas.openxmlformats.org/officeDocument/2006/relationships/hyperlink" Target="http://www.bmfbovespa.com.br/cias-listadas/empresas-listadas/ResumoEmpresaPrincipal.aspx?codigoCvm=8117&amp;idioma=pt-br" TargetMode="External"/><Relationship Id="rId354" Type="http://schemas.openxmlformats.org/officeDocument/2006/relationships/hyperlink" Target="http://www.bmfbovespa.com.br/cias-listadas/empresas-listadas/ResumoEmpresaPrincipal.aspx?codigoCvm=16306&amp;idioma=pt-br" TargetMode="External"/><Relationship Id="rId51" Type="http://schemas.openxmlformats.org/officeDocument/2006/relationships/hyperlink" Target="http://www.bmfbovespa.com.br/cias-listadas/empresas-listadas/ResumoEmpresaPrincipal.aspx?codigoCvm=8893&amp;idioma=pt-br" TargetMode="External"/><Relationship Id="rId72" Type="http://schemas.openxmlformats.org/officeDocument/2006/relationships/hyperlink" Target="http://www.bmfbovespa.com.br/cias-listadas/empresas-listadas/ResumoEmpresaPrincipal.aspx?codigoCvm=13781&amp;idioma=pt-br" TargetMode="External"/><Relationship Id="rId93" Type="http://schemas.openxmlformats.org/officeDocument/2006/relationships/hyperlink" Target="http://www.bmfbovespa.com.br/Cias-Listadas/Empresas-Listadas/ResumoEmpresaPrincipal.aspx?codigoCvm=1120&amp;idioma=pt-BR" TargetMode="External"/><Relationship Id="rId189" Type="http://schemas.openxmlformats.org/officeDocument/2006/relationships/hyperlink" Target="http://www.bmfbovespa.com.br/cias-listadas/empresas-listadas/ResumoEmpresaPrincipal.aspx?codigoCvm=2429&amp;idioma=pt-br" TargetMode="External"/><Relationship Id="rId375" Type="http://schemas.openxmlformats.org/officeDocument/2006/relationships/hyperlink" Target="http://www.bmfbovespa.com.br/cias-listadas/empresas-listadas/ResumoEmpresaPrincipal.aspx?codigoCvm=20370&amp;idioma=pt-br" TargetMode="External"/><Relationship Id="rId396" Type="http://schemas.openxmlformats.org/officeDocument/2006/relationships/hyperlink" Target="http://www.bmfbovespa.com.br/cias-listadas/empresas-listadas/ResumoEmpresaPrincipal.aspx?codigoCvm=17450&amp;idioma=pt-br" TargetMode="External"/><Relationship Id="rId3" Type="http://schemas.openxmlformats.org/officeDocument/2006/relationships/hyperlink" Target="http://www.bmfbovespa.com.br/Cias-Listadas/Empresas-Listadas/ResumoEmpresaPrincipal.aspx?codigoCvm=1309&amp;idioma=pt-BR" TargetMode="External"/><Relationship Id="rId214" Type="http://schemas.openxmlformats.org/officeDocument/2006/relationships/hyperlink" Target="http://www.bmfbovespa.com.br/cias-listadas/empresas-listadas/ResumoEmpresaPrincipal.aspx?codigoCvm=12319&amp;idioma=pt-br" TargetMode="External"/><Relationship Id="rId235" Type="http://schemas.openxmlformats.org/officeDocument/2006/relationships/hyperlink" Target="http://www.bmfbovespa.com.br/cias-listadas/empresas-listadas/ResumoEmpresaPrincipal.aspx?codigoCvm=21431&amp;idioma=pt-br" TargetMode="External"/><Relationship Id="rId256" Type="http://schemas.openxmlformats.org/officeDocument/2006/relationships/hyperlink" Target="http://www.bmfbovespa.com.br/cias-listadas/empresas-listadas/ResumoEmpresaPrincipal.aspx?codigoCvm=13285&amp;idioma=pt-br" TargetMode="External"/><Relationship Id="rId277" Type="http://schemas.openxmlformats.org/officeDocument/2006/relationships/hyperlink" Target="http://www.bmfbovespa.com.br/cias-listadas/empresas-listadas/ResumoEmpresaPrincipal.aspx?codigoCvm=6505&amp;idioma=pt-br" TargetMode="External"/><Relationship Id="rId298" Type="http://schemas.openxmlformats.org/officeDocument/2006/relationships/hyperlink" Target="http://www.bmfbovespa.com.br/cias-listadas/empresas-listadas/ResumoEmpresaPrincipal.aspx?codigoCvm=16497&amp;idioma=pt-br" TargetMode="External"/><Relationship Id="rId400" Type="http://schemas.openxmlformats.org/officeDocument/2006/relationships/hyperlink" Target="http://www.bmfbovespa.com.br/cias-listadas/empresas-listadas/ResumoEmpresaPrincipal.aspx?codigoCvm=8192&amp;idioma=pt-br" TargetMode="External"/><Relationship Id="rId421" Type="http://schemas.openxmlformats.org/officeDocument/2006/relationships/hyperlink" Target="http://www.bmfbovespa.com.br/cias-listadas/empresas-listadas/ResumoEmpresaPrincipal.aspx?codigoCvm=1520&amp;idioma=pt-br" TargetMode="External"/><Relationship Id="rId442" Type="http://schemas.openxmlformats.org/officeDocument/2006/relationships/hyperlink" Target="http://www.bmfbovespa.com.br/cias-listadas/empresas-listadas/ResumoEmpresaPrincipal.aspx?codigoCvm=13439&amp;idioma=pt-br" TargetMode="External"/><Relationship Id="rId463" Type="http://schemas.openxmlformats.org/officeDocument/2006/relationships/hyperlink" Target="http://www.bmfbovespa.com.br/cias-listadas/empresas-listadas/ResumoEmpresaPrincipal.aspx?codigoCvm=18309&amp;idioma=pt-br" TargetMode="External"/><Relationship Id="rId116" Type="http://schemas.openxmlformats.org/officeDocument/2006/relationships/hyperlink" Target="http://www.bmfbovespa.com.br/cias-listadas/empresas-listadas/ResumoEmpresaPrincipal.aspx?codigoCvm=16616&amp;idioma=pt-br" TargetMode="External"/><Relationship Id="rId137" Type="http://schemas.openxmlformats.org/officeDocument/2006/relationships/hyperlink" Target="http://www.bmfbovespa.com.br/cias-listadas/empresas-listadas/ResumoEmpresaPrincipal.aspx?codigoCvm=19348&amp;idioma=pt-br" TargetMode="External"/><Relationship Id="rId158" Type="http://schemas.openxmlformats.org/officeDocument/2006/relationships/hyperlink" Target="http://www.bmfbovespa.com.br/cias-listadas/empresas-listadas/ResumoEmpresaPrincipal.aspx?codigoCvm=14320&amp;idioma=pt-br" TargetMode="External"/><Relationship Id="rId302" Type="http://schemas.openxmlformats.org/officeDocument/2006/relationships/hyperlink" Target="http://www.bmfbovespa.com.br/cias-listadas/empresas-listadas/ResumoEmpresaPrincipal.aspx?codigoCvm=9539&amp;idioma=pt-br" TargetMode="External"/><Relationship Id="rId323" Type="http://schemas.openxmlformats.org/officeDocument/2006/relationships/hyperlink" Target="http://www.bmfbovespa.com.br/cias-listadas/empresas-listadas/ResumoEmpresaPrincipal.aspx?codigoCvm=10472&amp;idioma=pt-br" TargetMode="External"/><Relationship Id="rId344" Type="http://schemas.openxmlformats.org/officeDocument/2006/relationships/hyperlink" Target="http://www.bmfbovespa.com.br/cias-listadas/empresas-listadas/ResumoEmpresaPrincipal.aspx?codigoCvm=21350&amp;idioma=pt-br" TargetMode="External"/><Relationship Id="rId20" Type="http://schemas.openxmlformats.org/officeDocument/2006/relationships/hyperlink" Target="http://www.bmfbovespa.com.br/Cias-Listadas/Empresas-Listadas/ResumoEmpresaPrincipal.aspx?codigoCvm=1228&amp;idioma=pt-BR" TargetMode="External"/><Relationship Id="rId41" Type="http://schemas.openxmlformats.org/officeDocument/2006/relationships/hyperlink" Target="http://www.bmfbovespa.com.br/cias-listadas/empresas-listadas/ResumoEmpresaPrincipal.aspx?codigoCvm=21040&amp;idioma=pt-br" TargetMode="External"/><Relationship Id="rId62" Type="http://schemas.openxmlformats.org/officeDocument/2006/relationships/hyperlink" Target="http://www.bmfbovespa.com.br/cias-listadas/empresas-listadas/ResumoEmpresaPrincipal.aspx?codigoCvm=4820&amp;idioma=pt-br" TargetMode="External"/><Relationship Id="rId83" Type="http://schemas.openxmlformats.org/officeDocument/2006/relationships/hyperlink" Target="http://www.bmfbovespa.com.br/cias-listadas/empresas-listadas/ResumoEmpresaPrincipal.aspx?codigoCvm=17671&amp;idioma=pt-br" TargetMode="External"/><Relationship Id="rId179" Type="http://schemas.openxmlformats.org/officeDocument/2006/relationships/hyperlink" Target="http://www.bmfbovespa.com.br/cias-listadas/empresas-listadas/ResumoEmpresaPrincipal.aspx?codigoCvm=14559&amp;idioma=pt-br" TargetMode="External"/><Relationship Id="rId365" Type="http://schemas.openxmlformats.org/officeDocument/2006/relationships/hyperlink" Target="http://www.bmfbovespa.com.br/cias-listadas/empresas-listadas/ResumoEmpresaPrincipal.aspx?codigoCvm=13030&amp;idioma=pt-br" TargetMode="External"/><Relationship Id="rId386" Type="http://schemas.openxmlformats.org/officeDocument/2006/relationships/hyperlink" Target="http://www.bmfbovespa.com.br/cias-listadas/empresas-listadas/ResumoEmpresaPrincipal.aspx?codigoCvm=19330&amp;idioma=pt-br" TargetMode="External"/><Relationship Id="rId190" Type="http://schemas.openxmlformats.org/officeDocument/2006/relationships/hyperlink" Target="http://www.bmfbovespa.com.br/cias-listadas/empresas-listadas/ResumoEmpresaPrincipal.aspx?codigoCvm=3654&amp;idioma=pt-br" TargetMode="External"/><Relationship Id="rId204" Type="http://schemas.openxmlformats.org/officeDocument/2006/relationships/hyperlink" Target="http://www.bmfbovespa.com.br/cias-listadas/empresas-listadas/ResumoEmpresaPrincipal.aspx?codigoCvm=18708&amp;idioma=pt-br" TargetMode="External"/><Relationship Id="rId225" Type="http://schemas.openxmlformats.org/officeDocument/2006/relationships/hyperlink" Target="http://www.bmfbovespa.com.br/cias-listadas/empresas-listadas/ResumoEmpresaPrincipal.aspx?codigoCvm=22497&amp;idioma=pt-br" TargetMode="External"/><Relationship Id="rId246" Type="http://schemas.openxmlformats.org/officeDocument/2006/relationships/hyperlink" Target="http://www.bmfbovespa.com.br/cias-listadas/empresas-listadas/ResumoEmpresaPrincipal.aspx?codigoCvm=18490&amp;idioma=pt-br" TargetMode="External"/><Relationship Id="rId267" Type="http://schemas.openxmlformats.org/officeDocument/2006/relationships/hyperlink" Target="http://www.bmfbovespa.com.br/cias-listadas/empresas-listadas/ResumoEmpresaPrincipal.aspx?codigoCvm=22454&amp;idioma=pt-br" TargetMode="External"/><Relationship Id="rId288" Type="http://schemas.openxmlformats.org/officeDocument/2006/relationships/hyperlink" Target="http://www.bmfbovespa.com.br/cias-listadas/empresas-listadas/ResumoEmpresaPrincipal.aspx?codigoCvm=6629&amp;idioma=pt-br" TargetMode="External"/><Relationship Id="rId411" Type="http://schemas.openxmlformats.org/officeDocument/2006/relationships/hyperlink" Target="http://www.bmfbovespa.com.br/cias-listadas/empresas-listadas/ResumoEmpresaPrincipal.aspx?codigoCvm=8753&amp;idioma=pt-br" TargetMode="External"/><Relationship Id="rId432" Type="http://schemas.openxmlformats.org/officeDocument/2006/relationships/hyperlink" Target="http://www.bmfbovespa.com.br/cias-listadas/empresas-listadas/ResumoEmpresaPrincipal.aspx?codigoCvm=4448&amp;idioma=pt-br" TargetMode="External"/><Relationship Id="rId453" Type="http://schemas.openxmlformats.org/officeDocument/2006/relationships/hyperlink" Target="http://www.bmfbovespa.com.br/Cias-Listadas/Empresas-Listadas/ResumoEmpresaPrincipal.aspx?codigoCvm=18139&amp;idioma=pt-BR" TargetMode="External"/><Relationship Id="rId106" Type="http://schemas.openxmlformats.org/officeDocument/2006/relationships/hyperlink" Target="http://www.bmfbovespa.com.br/cias-listadas/empresas-listadas/ResumoEmpresaPrincipal.aspx?codigoCvm=20010&amp;idioma=pt-br" TargetMode="External"/><Relationship Id="rId127" Type="http://schemas.openxmlformats.org/officeDocument/2006/relationships/hyperlink" Target="http://www.bmfbovespa.com.br/cias-listadas/empresas-listadas/ResumoEmpresaPrincipal.aspx?codigoCvm=1325&amp;idioma=pt-br" TargetMode="External"/><Relationship Id="rId313" Type="http://schemas.openxmlformats.org/officeDocument/2006/relationships/hyperlink" Target="http://www.bmfbovespa.com.br/cias-listadas/empresas-listadas/ResumoEmpresaPrincipal.aspx?codigoCvm=19615&amp;idioma=pt-br" TargetMode="External"/><Relationship Id="rId10" Type="http://schemas.openxmlformats.org/officeDocument/2006/relationships/hyperlink" Target="http://www.bmfbovespa.com.br/Cias-Listadas/Empresas-Listadas/ResumoEmpresaPrincipal.aspx?codigoCvm=1384&amp;idioma=pt-br" TargetMode="External"/><Relationship Id="rId31" Type="http://schemas.openxmlformats.org/officeDocument/2006/relationships/hyperlink" Target="http://www.bmfbovespa.com.br/Cias-Listadas/Empresas-Listadas/ResumoEmpresaPrincipal.aspx?codigoCvm=17647&amp;idioma=pt-BR" TargetMode="External"/><Relationship Id="rId52" Type="http://schemas.openxmlformats.org/officeDocument/2006/relationships/hyperlink" Target="http://www.bmfbovespa.com.br/cias-listadas/empresas-listadas/ResumoEmpresaPrincipal.aspx?codigoCvm=3298&amp;idioma=pt-br" TargetMode="External"/><Relationship Id="rId73" Type="http://schemas.openxmlformats.org/officeDocument/2006/relationships/hyperlink" Target="http://www.bmfbovespa.com.br/cias-listadas/empresas-listadas/ResumoEmpresaPrincipal.aspx?codigoCvm=22357&amp;idioma=pt-br" TargetMode="External"/><Relationship Id="rId94" Type="http://schemas.openxmlformats.org/officeDocument/2006/relationships/hyperlink" Target="http://www.bmfbovespa.com.br/Cias-Listadas/Empresas-Listadas/ResumoEmpresaPrincipal.aspx?codigoCvm=21113&amp;idioma=pt-BR" TargetMode="External"/><Relationship Id="rId148" Type="http://schemas.openxmlformats.org/officeDocument/2006/relationships/hyperlink" Target="http://www.bmfbovespa.com.br/cias-listadas/empresas-listadas/ResumoEmpresaPrincipal.aspx?codigoCvm=20656&amp;idioma=pt-br" TargetMode="External"/><Relationship Id="rId169" Type="http://schemas.openxmlformats.org/officeDocument/2006/relationships/hyperlink" Target="http://www.bmfbovespa.com.br/cias-listadas/empresas-listadas/ResumoEmpresaPrincipal.aspx?codigoCvm=8648&amp;idioma=pt-br" TargetMode="External"/><Relationship Id="rId334" Type="http://schemas.openxmlformats.org/officeDocument/2006/relationships/hyperlink" Target="http://www.bmfbovespa.com.br/cias-listadas/empresas-listadas/ResumoEmpresaPrincipal.aspx?codigoCvm=8133&amp;idioma=pt-br" TargetMode="External"/><Relationship Id="rId355" Type="http://schemas.openxmlformats.org/officeDocument/2006/relationships/hyperlink" Target="http://www.bmfbovespa.com.br/cias-listadas/empresas-listadas/ResumoEmpresaPrincipal.aspx?codigoCvm=10596&amp;idioma=pt-br" TargetMode="External"/><Relationship Id="rId376" Type="http://schemas.openxmlformats.org/officeDocument/2006/relationships/hyperlink" Target="http://www.bmfbovespa.com.br/cias-listadas/empresas-listadas/ResumoEmpresaPrincipal.aspx?codigoCvm=19100&amp;idioma=pt-br" TargetMode="External"/><Relationship Id="rId397" Type="http://schemas.openxmlformats.org/officeDocument/2006/relationships/hyperlink" Target="http://www.bmfbovespa.com.br/cias-listadas/empresas-listadas/ResumoEmpresaPrincipal.aspx?codigoCvm=153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20621&amp;idioma=pt-br" TargetMode="External"/><Relationship Id="rId215" Type="http://schemas.openxmlformats.org/officeDocument/2006/relationships/hyperlink" Target="http://www.bmfbovespa.com.br/cias-listadas/empresas-listadas/ResumoEmpresaPrincipal.aspx?codigoCvm=12319&amp;idioma=pt-br" TargetMode="External"/><Relationship Id="rId236" Type="http://schemas.openxmlformats.org/officeDocument/2006/relationships/hyperlink" Target="http://www.bmfbovespa.com.br/cias-listadas/empresas-listadas/ResumoEmpresaPrincipal.aspx?codigoCvm=5258&amp;idioma=pt-br" TargetMode="External"/><Relationship Id="rId257" Type="http://schemas.openxmlformats.org/officeDocument/2006/relationships/hyperlink" Target="http://www.bmfbovespa.com.br/cias-listadas/empresas-listadas/ResumoEmpresaPrincipal.aspx?codigoCvm=13285&amp;idioma=pt-br" TargetMode="External"/><Relationship Id="rId278" Type="http://schemas.openxmlformats.org/officeDocument/2006/relationships/hyperlink" Target="http://www.bmfbovespa.com.br/cias-listadas/empresas-listadas/ResumoEmpresaPrincipal.aspx?codigoCvm=6815&amp;idioma=pt-br" TargetMode="External"/><Relationship Id="rId401" Type="http://schemas.openxmlformats.org/officeDocument/2006/relationships/hyperlink" Target="http://www.bmfbovespa.com.br/cias-listadas/empresas-listadas/ResumoEmpresaPrincipal.aspx?codigoCvm=8192&amp;idioma=pt-br" TargetMode="External"/><Relationship Id="rId422" Type="http://schemas.openxmlformats.org/officeDocument/2006/relationships/hyperlink" Target="http://www.bmfbovespa.com.br/cias-listadas/empresas-listadas/ResumoEmpresaPrincipal.aspx?codigoCvm=1520&amp;idioma=pt-br" TargetMode="External"/><Relationship Id="rId443" Type="http://schemas.openxmlformats.org/officeDocument/2006/relationships/hyperlink" Target="http://www.bmfbovespa.com.br/cias-listadas/empresas-listadas/ResumoEmpresaPrincipal.aspx?codigoCvm=13471&amp;idioma=pt-br" TargetMode="External"/><Relationship Id="rId464" Type="http://schemas.openxmlformats.org/officeDocument/2006/relationships/hyperlink" Target="http://www.bmfbovespa.com.br/cias-listadas/empresas-listadas/ResumoEmpresaPrincipal.aspx?codigoCvm=18309&amp;idioma=pt-br" TargetMode="External"/><Relationship Id="rId303" Type="http://schemas.openxmlformats.org/officeDocument/2006/relationships/hyperlink" Target="http://www.bmfbovespa.com.br/cias-listadas/empresas-listadas/ResumoEmpresaPrincipal.aspx?codigoCvm=11800&amp;idioma=pt-br" TargetMode="External"/><Relationship Id="rId42" Type="http://schemas.openxmlformats.org/officeDocument/2006/relationships/hyperlink" Target="http://www.bmfbovespa.com.br/cias-listadas/empresas-listadas/ResumoEmpresaPrincipal.aspx?codigoCvm=19925&amp;idioma=pt-br" TargetMode="External"/><Relationship Id="rId84" Type="http://schemas.openxmlformats.org/officeDocument/2006/relationships/hyperlink" Target="http://www.bmfbovespa.com.br/cias-listadas/empresas-listadas/ResumoEmpresaPrincipal.aspx?codigoCvm=17671&amp;idioma=pt-br" TargetMode="External"/><Relationship Id="rId138" Type="http://schemas.openxmlformats.org/officeDocument/2006/relationships/hyperlink" Target="http://www.bmfbovespa.com.br/cias-listadas/empresas-listadas/ResumoEmpresaPrincipal.aspx?codigoCvm=20729&amp;idioma=pt-br" TargetMode="External"/><Relationship Id="rId345" Type="http://schemas.openxmlformats.org/officeDocument/2006/relationships/hyperlink" Target="http://www.bmfbovespa.com.br/cias-listadas/empresas-listadas/ResumoEmpresaPrincipal.aspx?codigoCvm=20524&amp;idioma=pt-br" TargetMode="External"/><Relationship Id="rId387" Type="http://schemas.openxmlformats.org/officeDocument/2006/relationships/hyperlink" Target="http://www.bmfbovespa.com.br/cias-listadas/empresas-listadas/ResumoEmpresaPrincipal.aspx?codigoCvm=19453&amp;idioma=pt-br" TargetMode="External"/><Relationship Id="rId191" Type="http://schemas.openxmlformats.org/officeDocument/2006/relationships/hyperlink" Target="http://www.bmfbovespa.com.br/cias-listadas/empresas-listadas/ResumoEmpresaPrincipal.aspx?codigoCvm=3654&amp;idioma=pt-br" TargetMode="External"/><Relationship Id="rId205" Type="http://schemas.openxmlformats.org/officeDocument/2006/relationships/hyperlink" Target="http://www.bmfbovespa.com.br/cias-listadas/empresas-listadas/ResumoEmpresaPrincipal.aspx?codigoCvm=16659&amp;idioma=pt-br" TargetMode="External"/><Relationship Id="rId247" Type="http://schemas.openxmlformats.org/officeDocument/2006/relationships/hyperlink" Target="http://www.bmfbovespa.com.br/cias-listadas/empresas-listadas/ResumoEmpresaPrincipal.aspx?codigoCvm=13765&amp;idioma=pt-br" TargetMode="External"/><Relationship Id="rId412" Type="http://schemas.openxmlformats.org/officeDocument/2006/relationships/hyperlink" Target="http://www.bmfbovespa.com.br/cias-listadas/empresas-listadas/ResumoEmpresaPrincipal.aspx?codigoCvm=8753&amp;idioma=pt-br" TargetMode="External"/><Relationship Id="rId107" Type="http://schemas.openxmlformats.org/officeDocument/2006/relationships/hyperlink" Target="http://www.bmfbovespa.com.br/Cias-Listadas/Empresas-Listadas/ResumoEmpresaPrincipal.aspx?codigoCvm=22128&amp;idioma=pt-BR" TargetMode="External"/><Relationship Id="rId289" Type="http://schemas.openxmlformats.org/officeDocument/2006/relationships/hyperlink" Target="http://www.bmfbovespa.com.br/cias-listadas/empresas-listadas/ResumoEmpresaPrincipal.aspx?codigoCvm=6629&amp;idioma=pt-br" TargetMode="External"/><Relationship Id="rId454" Type="http://schemas.openxmlformats.org/officeDocument/2006/relationships/hyperlink" Target="http://www.bmfbovespa.com.br/Cias-Listadas/Empresas-Listadas/ResumoEmpresaPrincipal.aspx?codigoCvm=18139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18724&amp;idioma=pt-br" TargetMode="External"/><Relationship Id="rId149" Type="http://schemas.openxmlformats.org/officeDocument/2006/relationships/hyperlink" Target="http://www.bmfbovespa.com.br/cias-listadas/empresas-listadas/ResumoEmpresaPrincipal.aspx?codigoCvm=12530&amp;idioma=pt-br" TargetMode="External"/><Relationship Id="rId314" Type="http://schemas.openxmlformats.org/officeDocument/2006/relationships/hyperlink" Target="http://www.bmfbovespa.com.br/cias-listadas/empresas-listadas/ResumoEmpresaPrincipal.aspx?codigoCvm=11762&amp;idioma=pt-br" TargetMode="External"/><Relationship Id="rId356" Type="http://schemas.openxmlformats.org/officeDocument/2006/relationships/hyperlink" Target="http://www.bmfbovespa.com.br/cias-listadas/empresas-listadas/ResumoEmpresaPrincipal.aspx?codigoCvm=10596&amp;idioma=pt-br" TargetMode="External"/><Relationship Id="rId398" Type="http://schemas.openxmlformats.org/officeDocument/2006/relationships/hyperlink" Target="http://www.bmfbovespa.com.br/cias-listadas/empresas-listadas/ResumoEmpresaPrincipal.aspx?codigoCvm=15369&amp;idioma=pt-br" TargetMode="External"/><Relationship Id="rId95" Type="http://schemas.openxmlformats.org/officeDocument/2006/relationships/hyperlink" Target="http://www.bmfbovespa.com.br/Cias-Listadas/Empresas-Listadas/ResumoEmpresaPrincipal.aspx?codigoCvm=21113&amp;idioma=pt-BR" TargetMode="External"/><Relationship Id="rId160" Type="http://schemas.openxmlformats.org/officeDocument/2006/relationships/hyperlink" Target="http://www.bmfbovespa.com.br/cias-listadas/empresas-listadas/ResumoEmpresaPrincipal.aspx?codigoCvm=14320&amp;idioma=pt-br" TargetMode="External"/><Relationship Id="rId216" Type="http://schemas.openxmlformats.org/officeDocument/2006/relationships/hyperlink" Target="http://www.bmfbovespa.com.br/cias-listadas/empresas-listadas/ResumoEmpresaPrincipal.aspx?codigoCvm=20036&amp;idioma=pt-br" TargetMode="External"/><Relationship Id="rId423" Type="http://schemas.openxmlformats.org/officeDocument/2006/relationships/hyperlink" Target="http://www.bmfbovespa.com.br/cias-listadas/empresas-listadas/ResumoEmpresaPrincipal.aspx?codigoCvm=7510&amp;idioma=pt-br" TargetMode="External"/><Relationship Id="rId258" Type="http://schemas.openxmlformats.org/officeDocument/2006/relationships/hyperlink" Target="http://www.bmfbovespa.com.br/cias-listadas/empresas-listadas/ResumoEmpresaPrincipal.aspx?codigoCvm=20338&amp;idioma=pt-br" TargetMode="External"/><Relationship Id="rId465" Type="http://schemas.openxmlformats.org/officeDocument/2006/relationships/hyperlink" Target="http://www.bmfbovespa.com.br/Cias-Listadas/Empresas-Listadas/ResumoEmpresaPrincipal.aspx?codigoCvm=14206&amp;idioma=pt-BR" TargetMode="External"/><Relationship Id="rId22" Type="http://schemas.openxmlformats.org/officeDocument/2006/relationships/hyperlink" Target="http://www.bmfbovespa.com.br/Cias-Listadas/Empresas-Listadas/ResumoEmpresaPrincipal.aspx?codigoCvm=19879&amp;idioma=pt-BR" TargetMode="External"/><Relationship Id="rId64" Type="http://schemas.openxmlformats.org/officeDocument/2006/relationships/hyperlink" Target="http://www.bmfbovespa.com.br/cias-listadas/empresas-listadas/ResumoEmpresaPrincipal.aspx?codigoCvm=3115&amp;idioma=pt-br" TargetMode="External"/><Relationship Id="rId118" Type="http://schemas.openxmlformats.org/officeDocument/2006/relationships/hyperlink" Target="http://www.bmfbovespa.com.br/Cias-Listadas/Empresas-Listadas/ResumoEmpresaPrincipal.aspx?codigoCvm=17647&amp;idioma=pt-BR" TargetMode="External"/><Relationship Id="rId325" Type="http://schemas.openxmlformats.org/officeDocument/2006/relationships/hyperlink" Target="http://www.bmfbovespa.com.br/cias-listadas/empresas-listadas/ResumoEmpresaPrincipal.aspx?codigoCvm=19739&amp;idioma=pt-br" TargetMode="External"/><Relationship Id="rId367" Type="http://schemas.openxmlformats.org/officeDocument/2006/relationships/hyperlink" Target="http://www.bmfbovespa.com.br/cias-listadas/empresas-listadas/ResumoEmpresaPrincipal.aspx?codigoCvm=4782&amp;idioma=pt-br" TargetMode="External"/><Relationship Id="rId171" Type="http://schemas.openxmlformats.org/officeDocument/2006/relationships/hyperlink" Target="http://www.bmfbovespa.com.br/cias-listadas/empresas-listadas/ResumoEmpresaPrincipal.aspx?codigoCvm=11231&amp;idioma=pt-br" TargetMode="External"/><Relationship Id="rId227" Type="http://schemas.openxmlformats.org/officeDocument/2006/relationships/hyperlink" Target="http://www.bmfbovespa.com.br/cias-listadas/empresas-listadas/ResumoEmpresaPrincipal.aspx?codigoCvm=19305&amp;idioma=pt-br" TargetMode="External"/><Relationship Id="rId269" Type="http://schemas.openxmlformats.org/officeDocument/2006/relationships/hyperlink" Target="http://www.bmfbovespa.com.br/cias-listadas/empresas-listadas/ResumoEmpresaPrincipal.aspx?codigoCvm=22780&amp;idioma=pt-br" TargetMode="External"/><Relationship Id="rId434" Type="http://schemas.openxmlformats.org/officeDocument/2006/relationships/hyperlink" Target="http://www.bmfbovespa.com.br/cias-listadas/empresas-listadas/ResumoEmpresaPrincipal.aspx?codigoCvm=5150&amp;idioma=pt-br" TargetMode="External"/><Relationship Id="rId33" Type="http://schemas.openxmlformats.org/officeDocument/2006/relationships/hyperlink" Target="http://www.bmfbovespa.com.br/cias-listadas/empresas-listadas/ResumoEmpresaPrincipal.aspx?codigoCvm=21733&amp;idioma=pt-br" TargetMode="External"/><Relationship Id="rId129" Type="http://schemas.openxmlformats.org/officeDocument/2006/relationships/hyperlink" Target="http://www.bmfbovespa.com.br/cias-listadas/empresas-listadas/ResumoEmpresaPrincipal.aspx?codigoCvm=21199&amp;idioma=pt-br" TargetMode="External"/><Relationship Id="rId280" Type="http://schemas.openxmlformats.org/officeDocument/2006/relationships/hyperlink" Target="http://www.bmfbovespa.com.br/cias-listadas/empresas-listadas/ResumoEmpresaPrincipal.aspx?codigoCvm=3077&amp;idioma=pt-br" TargetMode="External"/><Relationship Id="rId336" Type="http://schemas.openxmlformats.org/officeDocument/2006/relationships/hyperlink" Target="http://www.bmfbovespa.com.br/cias-listadas/empresas-listadas/ResumoEmpresaPrincipal.aspx?codigoCvm=10960&amp;idioma=pt-br" TargetMode="External"/><Relationship Id="rId75" Type="http://schemas.openxmlformats.org/officeDocument/2006/relationships/hyperlink" Target="http://www.bmfbovespa.com.br/cias-listadas/empresas-listadas/ResumoEmpresaPrincipal.aspx?codigoCvm=20974&amp;idioma=pt-br" TargetMode="External"/><Relationship Id="rId140" Type="http://schemas.openxmlformats.org/officeDocument/2006/relationships/hyperlink" Target="http://www.bmfbovespa.com.br/cias-listadas/empresas-listadas/ResumoEmpresaPrincipal.aspx?codigoCvm=7617&amp;idioma=pt-br" TargetMode="External"/><Relationship Id="rId182" Type="http://schemas.openxmlformats.org/officeDocument/2006/relationships/hyperlink" Target="http://www.bmfbovespa.com.br/cias-listadas/empresas-listadas/ResumoEmpresaPrincipal.aspx?codigoCvm=20184&amp;idioma=pt-br" TargetMode="External"/><Relationship Id="rId378" Type="http://schemas.openxmlformats.org/officeDocument/2006/relationships/hyperlink" Target="http://www.bmfbovespa.com.br/cias-listadas/empresas-listadas/ResumoEmpresaPrincipal.aspx?codigoCvm=19100&amp;idioma=pt-br" TargetMode="External"/><Relationship Id="rId403" Type="http://schemas.openxmlformats.org/officeDocument/2006/relationships/hyperlink" Target="http://www.bmfbovespa.com.br/cias-listadas/empresas-listadas/ResumoEmpresaPrincipal.aspx?codigoCvm=208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9342&amp;idioma=pt-br" TargetMode="External"/><Relationship Id="rId445" Type="http://schemas.openxmlformats.org/officeDocument/2006/relationships/hyperlink" Target="http://www.bmfbovespa.com.br/cias-listadas/empresas-listadas/ResumoEmpresaPrincipal.aspx?codigoCvm=14109&amp;idioma=pt-br" TargetMode="External"/><Relationship Id="rId291" Type="http://schemas.openxmlformats.org/officeDocument/2006/relationships/hyperlink" Target="http://www.bmfbovespa.com.br/cias-listadas/empresas-listadas/ResumoEmpresaPrincipal.aspx?codigoCvm=3158&amp;idioma=pt-br" TargetMode="External"/><Relationship Id="rId305" Type="http://schemas.openxmlformats.org/officeDocument/2006/relationships/hyperlink" Target="http://www.bmfbovespa.com.br/cias-listadas/empresas-listadas/ResumoEmpresaPrincipal.aspx?codigoCvm=11215&amp;idioma=pt-br" TargetMode="External"/><Relationship Id="rId347" Type="http://schemas.openxmlformats.org/officeDocument/2006/relationships/hyperlink" Target="http://www.bmfbovespa.com.br/cias-listadas/empresas-listadas/ResumoEmpresaPrincipal.aspx?codigoCvm=16101&amp;idioma=pt-br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1"/>
  <sheetViews>
    <sheetView topLeftCell="A55" workbookViewId="0">
      <pane xSplit="5" topLeftCell="AL1" activePane="topRight" state="frozen"/>
      <selection pane="topRight" activeCell="AT52" sqref="AT52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0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6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19.140625" style="84" bestFit="1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30" width="16.57031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9.140625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373</v>
      </c>
      <c r="D1" s="16" t="s">
        <v>63</v>
      </c>
      <c r="E1" s="5" t="s">
        <v>399</v>
      </c>
      <c r="F1" s="56" t="s">
        <v>405</v>
      </c>
      <c r="G1" s="80" t="s">
        <v>427</v>
      </c>
      <c r="H1" s="18" t="s">
        <v>400</v>
      </c>
      <c r="I1" s="23" t="s">
        <v>401</v>
      </c>
      <c r="J1" s="18" t="s">
        <v>415</v>
      </c>
      <c r="K1" s="18" t="s">
        <v>428</v>
      </c>
      <c r="L1" s="18" t="s">
        <v>429</v>
      </c>
      <c r="M1" s="47" t="s">
        <v>1292</v>
      </c>
      <c r="N1" s="47" t="s">
        <v>1284</v>
      </c>
      <c r="O1" s="47" t="s">
        <v>1285</v>
      </c>
      <c r="P1" s="72" t="s">
        <v>3</v>
      </c>
      <c r="Q1" s="72" t="s">
        <v>53</v>
      </c>
      <c r="R1" s="72" t="s">
        <v>1282</v>
      </c>
      <c r="S1" s="47" t="s">
        <v>1283</v>
      </c>
      <c r="T1" s="119" t="s">
        <v>1286</v>
      </c>
      <c r="U1" s="119" t="s">
        <v>1289</v>
      </c>
      <c r="V1" s="18" t="s">
        <v>1287</v>
      </c>
      <c r="W1" s="18" t="s">
        <v>1290</v>
      </c>
      <c r="X1" s="18" t="s">
        <v>1288</v>
      </c>
      <c r="Y1" s="18" t="s">
        <v>1291</v>
      </c>
      <c r="Z1" s="5" t="s">
        <v>410</v>
      </c>
      <c r="AA1" s="5" t="s">
        <v>408</v>
      </c>
      <c r="AB1" s="72" t="s">
        <v>409</v>
      </c>
      <c r="AC1" s="72" t="s">
        <v>419</v>
      </c>
      <c r="AD1" s="56" t="s">
        <v>4</v>
      </c>
      <c r="AE1" s="5" t="s">
        <v>421</v>
      </c>
      <c r="AF1" s="76" t="s">
        <v>84</v>
      </c>
      <c r="AG1" s="76" t="s">
        <v>411</v>
      </c>
      <c r="AH1" s="76" t="s">
        <v>402</v>
      </c>
      <c r="AI1" s="76" t="s">
        <v>403</v>
      </c>
      <c r="AJ1" s="76" t="s">
        <v>420</v>
      </c>
      <c r="AK1" s="5" t="s">
        <v>412</v>
      </c>
      <c r="AL1" s="5" t="s">
        <v>303</v>
      </c>
      <c r="AM1" s="5" t="s">
        <v>5</v>
      </c>
      <c r="AN1" s="12" t="s">
        <v>6</v>
      </c>
      <c r="AO1" s="23" t="s">
        <v>7</v>
      </c>
      <c r="AP1" s="34" t="s">
        <v>52</v>
      </c>
      <c r="AQ1" s="76" t="s">
        <v>417</v>
      </c>
      <c r="AR1" s="76" t="s">
        <v>416</v>
      </c>
      <c r="AS1" s="3" t="s">
        <v>8</v>
      </c>
      <c r="AT1" s="3" t="s">
        <v>291</v>
      </c>
      <c r="AU1" s="18" t="s">
        <v>398</v>
      </c>
      <c r="AV1" s="3" t="s">
        <v>41</v>
      </c>
      <c r="AW1" s="5" t="s">
        <v>60</v>
      </c>
      <c r="AX1" s="5" t="s">
        <v>233</v>
      </c>
      <c r="AY1" s="5" t="s">
        <v>234</v>
      </c>
      <c r="AZ1" s="3" t="s">
        <v>529</v>
      </c>
      <c r="BA1" s="3" t="s">
        <v>824</v>
      </c>
      <c r="BB1" s="3" t="s">
        <v>1086</v>
      </c>
      <c r="BH1" s="5">
        <v>775</v>
      </c>
    </row>
    <row r="2" spans="1:60" ht="11.25" customHeight="1">
      <c r="A2" s="4" t="s">
        <v>14</v>
      </c>
      <c r="B2" s="57" t="s">
        <v>422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0">
        <v>0.25</v>
      </c>
      <c r="H2" s="16"/>
      <c r="J2" s="18"/>
      <c r="K2" s="86"/>
      <c r="L2" s="86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21">
        <f>IF(Tabela3[[#This Row],[Passivo Circulante]]&gt;0,Tabela3[[#This Row],[Ativo Circulante]]/Tabela3[[#This Row],[Passivo Circulante]],0)</f>
        <v>0</v>
      </c>
      <c r="U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2.2435702141443779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6">
        <f>Tabela3[[#This Row],[Lucro Líquido]]/Tabela3[[#This Row],[Total Ações]]</f>
        <v>1.8220347308972211</v>
      </c>
      <c r="AG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79">
        <f>MAX(Tabela3[[#This Row],[Cotação 1]:[Cotação 5]])</f>
        <v>0</v>
      </c>
      <c r="AO2" s="80">
        <f>[Cotação]/[VPA]</f>
        <v>0</v>
      </c>
      <c r="AP2" s="34">
        <f>IF(Tabela3[[#This Row],[Lucro/Ação]]&gt;0,Tabela3[[#This Row],[Cotação]]/(Tabela3[[#This Row],[Lucro/Ação]]/[Ref]*4),0)</f>
        <v>0</v>
      </c>
      <c r="AQ2" s="76">
        <f>[Lucro Distribuir]/[Total Ações]</f>
        <v>1.7309329943523599</v>
      </c>
      <c r="AR2" s="76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customHeight="1">
      <c r="A3" s="3" t="s">
        <v>974</v>
      </c>
      <c r="B3" s="58" t="s">
        <v>976</v>
      </c>
      <c r="C3" s="16" t="str">
        <f>LEFT([PAPEL],LEN([PAPEL])-(LEN([PAPEL])-4))</f>
        <v>ABRE</v>
      </c>
      <c r="D3" s="16">
        <v>4</v>
      </c>
      <c r="E3" s="5">
        <v>852449068.54999995</v>
      </c>
      <c r="F3" s="56">
        <v>135799807</v>
      </c>
      <c r="G3" s="80">
        <v>0.25</v>
      </c>
      <c r="H3" s="86"/>
      <c r="J3" s="18"/>
      <c r="K3" s="16"/>
      <c r="L3" s="86"/>
      <c r="M3" s="54">
        <v>1629667000</v>
      </c>
      <c r="N3" s="54">
        <v>132016000</v>
      </c>
      <c r="O3" s="54">
        <v>48059000</v>
      </c>
      <c r="P3" s="90">
        <v>1576691000</v>
      </c>
      <c r="Q3" s="73">
        <v>72705000</v>
      </c>
      <c r="R3" s="73">
        <f>IF(Tabela3[[#This Row],[Ativo || Passivo]]&gt;0,Tabela3[[#This Row],[Ativo || Passivo]]-Tabela3[[#This Row],[Patrimônio Líquido]],0)</f>
        <v>52976000</v>
      </c>
      <c r="S3" s="73">
        <f>Tabela3[[#This Row],[Cotação]]*Tabela3[[#This Row],[Total Ações]]</f>
        <v>0</v>
      </c>
      <c r="T3" s="37">
        <f>IF(Tabela3[[#This Row],[Passivo Circulante]]&gt;0,Tabela3[[#This Row],[Ativo Circulante]]/Tabela3[[#This Row],[Passivo Circulante]],0)</f>
        <v>2.7469568655194658</v>
      </c>
      <c r="U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" s="18">
        <f>IF(Tabela3[[#This Row],[Lucro Líquido]]&gt;0,Tabela3[[#This Row],[Lucro Líquido]]/Tabela3[[#This Row],[Patrimônio Líquido]],0)/Tabela3[[#This Row],[Ref]]*4</f>
        <v>4.6112396151179909E-2</v>
      </c>
      <c r="W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" s="18">
        <f>IF(Tabela3[[#This Row],[Dívida]]&gt;0,Tabela3[[#This Row],[Dívida]]/Tabela3[[#This Row],[Patrimônio Líquido]],0)</f>
        <v>3.3599481445635196E-2</v>
      </c>
      <c r="Y3" s="18">
        <f>SUMPRODUCT(N([Dívida / PL]&gt;0),N(RIGHT([PAPEL],LEN([PAPEL])-(LEN([PAPEL])-1))="3"),[Dívida / PL])/SUMPRODUCT(N([Dívida / PL]&gt;0),N(RIGHT([PAPEL],LEN([PAPEL])-(LEN([PAPEL])-1))="3"))</f>
        <v>2.2435702141443779</v>
      </c>
      <c r="Z3" s="7">
        <f>Tabela3[[#This Row],[Capital Social]]*20%</f>
        <v>170489813.71000001</v>
      </c>
      <c r="AA3" s="47">
        <f>IF(([Lucro Líquido]*5%)&gt;[Teto R. Legal],[Teto R. Legal],[Lucro Líquido]*5%)</f>
        <v>3635250</v>
      </c>
      <c r="AB3" s="47">
        <f>IF([Lucro Líquido]&lt;0,0,[Lucro Líquido]-[Reserva Legal])</f>
        <v>69069750</v>
      </c>
      <c r="AC3" s="47">
        <f>Tabela3[[#This Row],[Lucro Distribuir]]*[%Div]</f>
        <v>17267437.5</v>
      </c>
      <c r="AD3" s="56">
        <f>SUMPRODUCT(N([Nome]=Tabela3[[#This Row],[Nome]]),[Ações])</f>
        <v>261257651</v>
      </c>
      <c r="AE3" s="84">
        <f>[Capital Social]/[Total Ações]</f>
        <v>3.2628673850780352</v>
      </c>
      <c r="AF3" s="84">
        <f>Tabela3[[#This Row],[Lucro Líquido]]/Tabela3[[#This Row],[Total Ações]]</f>
        <v>0.27828850072605149</v>
      </c>
      <c r="AG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3" s="7">
        <f>[Div Base]*[Ações]</f>
        <v>8975487.1136178244</v>
      </c>
      <c r="AL3" s="113">
        <f>SUMPRODUCT(N([Nome]=Tabela3[[#This Row],[Nome]]),[Div Base]*[Ações])</f>
        <v>17267437.5</v>
      </c>
      <c r="AM3" s="5">
        <f>[Patrimônio Líquido]/[Total Ações]</f>
        <v>6.0350041193626138</v>
      </c>
      <c r="AN3" s="52">
        <f>MAX(Tabela3[[#This Row],[Cotação 1]:[Cotação 5]])</f>
        <v>0</v>
      </c>
      <c r="AO3" s="53">
        <f>[Cotação]/[VPA]</f>
        <v>0</v>
      </c>
      <c r="AP3" s="37">
        <f>IF(Tabela3[[#This Row],[Lucro/Ação]]&gt;0,Tabela3[[#This Row],[Cotação]]/(Tabela3[[#This Row],[Lucro/Ação]]/[Ref]*4),0)</f>
        <v>0</v>
      </c>
      <c r="AQ3" s="84">
        <f>[Lucro Distribuir]/[Total Ações]</f>
        <v>0.26437407568974891</v>
      </c>
      <c r="AR3" s="84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3" s="10" t="str">
        <f>IF(AND([% A.A.]&gt;=5%,SUMPRODUCT(N([Nome]=Tabela3[[#This Row],[Nome]]),[PL])&gt;0,[Rentabilidade s/ PL]&gt;=[Rentabilidade s/ PL Média]),"Sim","Não")</f>
        <v>Não</v>
      </c>
      <c r="AT3" s="22">
        <f>IF([Cotação]&gt;0,Tabela3[[#This Row],[Lucro]]/Tabela3[[#This Row],[Cotação]],0)</f>
        <v>0</v>
      </c>
      <c r="AU3" s="22">
        <f>((1+Tabela3[[#This Row],[% Yield]])^(1/(3*Tabela3[[#This Row],[Ref]])))^(12)-1</f>
        <v>0</v>
      </c>
      <c r="AV3" s="10">
        <f>IF([Cotação]&gt;0,($BH$1/Tabela3[[#This Row],[Cotação]]-MOD($BH$1/Tabela3[[#This Row],[Cotação]],100)),)</f>
        <v>0</v>
      </c>
      <c r="AW3" s="7">
        <f>Tabela3[[#This Row],[Ativos]]*[Lucro]</f>
        <v>0</v>
      </c>
      <c r="AX3" s="7">
        <f>SUMPRODUCT(N(Tabela1[Código]=Tabela3[[#This Row],[PAPEL]]),Tabela1[Fechamento])</f>
        <v>0</v>
      </c>
      <c r="AY3" s="7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customHeight="1">
      <c r="A4" s="3" t="s">
        <v>974</v>
      </c>
      <c r="B4" s="58" t="s">
        <v>977</v>
      </c>
      <c r="C4" s="16" t="str">
        <f>LEFT([PAPEL],LEN([PAPEL])-(LEN([PAPEL])-4))</f>
        <v>ABRE</v>
      </c>
      <c r="D4" s="16">
        <v>4</v>
      </c>
      <c r="E4" s="5">
        <v>852449068.54999995</v>
      </c>
      <c r="F4" s="56">
        <v>125457844</v>
      </c>
      <c r="G4" s="80">
        <v>0.25</v>
      </c>
      <c r="H4" s="86"/>
      <c r="J4" s="18"/>
      <c r="K4" s="16"/>
      <c r="L4" s="86"/>
      <c r="M4" s="54">
        <v>1629667000</v>
      </c>
      <c r="N4" s="54">
        <v>132016000</v>
      </c>
      <c r="O4" s="54">
        <v>48059000</v>
      </c>
      <c r="P4" s="90">
        <v>1576691000</v>
      </c>
      <c r="Q4" s="73">
        <v>72705000</v>
      </c>
      <c r="R4" s="73">
        <f>IF(Tabela3[[#This Row],[Ativo || Passivo]]&gt;0,Tabela3[[#This Row],[Ativo || Passivo]]-Tabela3[[#This Row],[Patrimônio Líquido]],0)</f>
        <v>52976000</v>
      </c>
      <c r="S4" s="73">
        <f>Tabela3[[#This Row],[Cotação]]*Tabela3[[#This Row],[Total Ações]]</f>
        <v>0</v>
      </c>
      <c r="T4" s="37">
        <f>IF(Tabela3[[#This Row],[Passivo Circulante]]&gt;0,Tabela3[[#This Row],[Ativo Circulante]]/Tabela3[[#This Row],[Passivo Circulante]],0)</f>
        <v>2.7469568655194658</v>
      </c>
      <c r="U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" s="18">
        <f>IF(Tabela3[[#This Row],[Lucro Líquido]]&gt;0,Tabela3[[#This Row],[Lucro Líquido]]/Tabela3[[#This Row],[Patrimônio Líquido]],0)/Tabela3[[#This Row],[Ref]]*4</f>
        <v>4.6112396151179909E-2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" s="18">
        <f>IF(Tabela3[[#This Row],[Dívida]]&gt;0,Tabela3[[#This Row],[Dívida]]/Tabela3[[#This Row],[Patrimônio Líquido]],0)</f>
        <v>3.3599481445635196E-2</v>
      </c>
      <c r="Y4" s="18">
        <f>SUMPRODUCT(N([Dívida / PL]&gt;0),N(RIGHT([PAPEL],LEN([PAPEL])-(LEN([PAPEL])-1))="3"),[Dívida / PL])/SUMPRODUCT(N([Dívida / PL]&gt;0),N(RIGHT([PAPEL],LEN([PAPEL])-(LEN([PAPEL])-1))="3"))</f>
        <v>2.2435702141443779</v>
      </c>
      <c r="Z4" s="7">
        <f>Tabela3[[#This Row],[Capital Social]]*20%</f>
        <v>170489813.71000001</v>
      </c>
      <c r="AA4" s="47">
        <f>IF(([Lucro Líquido]*5%)&gt;[Teto R. Legal],[Teto R. Legal],[Lucro Líquido]*5%)</f>
        <v>3635250</v>
      </c>
      <c r="AB4" s="47">
        <f>IF([Lucro Líquido]&lt;0,0,[Lucro Líquido]-[Reserva Legal])</f>
        <v>69069750</v>
      </c>
      <c r="AC4" s="47">
        <f>Tabela3[[#This Row],[Lucro Distribuir]]*[%Div]</f>
        <v>17267437.5</v>
      </c>
      <c r="AD4" s="56">
        <f>SUMPRODUCT(N([Nome]=Tabela3[[#This Row],[Nome]]),[Ações])</f>
        <v>261257651</v>
      </c>
      <c r="AE4" s="84">
        <f>[Capital Social]/[Total Ações]</f>
        <v>3.2628673850780352</v>
      </c>
      <c r="AF4" s="84">
        <f>Tabela3[[#This Row],[Lucro Líquido]]/Tabela3[[#This Row],[Total Ações]]</f>
        <v>0.27828850072605149</v>
      </c>
      <c r="AG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4" s="7">
        <f>[Div Base]*[Ações]</f>
        <v>8291950.3863821775</v>
      </c>
      <c r="AL4" s="113">
        <f>SUMPRODUCT(N([Nome]=Tabela3[[#This Row],[Nome]]),[Div Base]*[Ações])</f>
        <v>17267437.5</v>
      </c>
      <c r="AM4" s="5">
        <f>[Patrimônio Líquido]/[Total Ações]</f>
        <v>6.0350041193626138</v>
      </c>
      <c r="AN4" s="52">
        <f>MAX(Tabela3[[#This Row],[Cotação 1]:[Cotação 5]])</f>
        <v>0</v>
      </c>
      <c r="AO4" s="53">
        <f>[Cotação]/[VPA]</f>
        <v>0</v>
      </c>
      <c r="AP4" s="37">
        <f>IF(Tabela3[[#This Row],[Lucro/Ação]]&gt;0,Tabela3[[#This Row],[Cotação]]/(Tabela3[[#This Row],[Lucro/Ação]]/[Ref]*4),0)</f>
        <v>0</v>
      </c>
      <c r="AQ4" s="84">
        <f>[Lucro Distribuir]/[Total Ações]</f>
        <v>0.26437407568974891</v>
      </c>
      <c r="AR4" s="84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0</v>
      </c>
      <c r="AU4" s="22">
        <f>((1+Tabela3[[#This Row],[% Yield]])^(1/(3*Tabela3[[#This Row],[Ref]])))^(12)-1</f>
        <v>0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0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customHeight="1">
      <c r="A5" s="3" t="s">
        <v>269</v>
      </c>
      <c r="B5" s="58" t="s">
        <v>805</v>
      </c>
      <c r="C5" s="16" t="str">
        <f>LEFT([PAPEL],LEN([PAPEL])-(LEN([PAPEL])-4))</f>
        <v>BAUH</v>
      </c>
      <c r="D5" s="16">
        <v>3</v>
      </c>
      <c r="E5" s="5">
        <v>14000000</v>
      </c>
      <c r="F5" s="56">
        <v>2846929</v>
      </c>
      <c r="G5" s="80">
        <v>0.25</v>
      </c>
      <c r="H5" s="86"/>
      <c r="J5" s="18"/>
      <c r="K5" s="16"/>
      <c r="L5" s="86"/>
      <c r="M5" s="54">
        <v>44793000</v>
      </c>
      <c r="N5" s="54">
        <v>26562000</v>
      </c>
      <c r="O5" s="54">
        <v>24428000</v>
      </c>
      <c r="P5" s="90">
        <v>14950000</v>
      </c>
      <c r="Q5" s="73">
        <v>6719000</v>
      </c>
      <c r="R5" s="73">
        <f>IF(Tabela3[[#This Row],[Ativo || Passivo]]&gt;0,Tabela3[[#This Row],[Ativo || Passivo]]-Tabela3[[#This Row],[Patrimônio Líquido]],0)</f>
        <v>29843000</v>
      </c>
      <c r="S5" s="73">
        <f>Tabela3[[#This Row],[Cotação]]*Tabela3[[#This Row],[Total Ações]]</f>
        <v>0</v>
      </c>
      <c r="T5" s="37">
        <f>IF(Tabela3[[#This Row],[Passivo Circulante]]&gt;0,Tabela3[[#This Row],[Ativo Circulante]]/Tabela3[[#This Row],[Passivo Circulante]],0)</f>
        <v>1.0873587686261668</v>
      </c>
      <c r="U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" s="18">
        <f>IF(Tabela3[[#This Row],[Lucro Líquido]]&gt;0,Tabela3[[#This Row],[Lucro Líquido]]/Tabela3[[#This Row],[Patrimônio Líquido]],0)/Tabela3[[#This Row],[Ref]]*4</f>
        <v>0.5992419175027871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" s="18">
        <f>IF(Tabela3[[#This Row],[Dívida]]&gt;0,Tabela3[[#This Row],[Dívida]]/Tabela3[[#This Row],[Patrimônio Líquido]],0)</f>
        <v>1.9961872909698997</v>
      </c>
      <c r="Y5" s="18">
        <f>SUMPRODUCT(N([Dívida / PL]&gt;0),N(RIGHT([PAPEL],LEN([PAPEL])-(LEN([PAPEL])-1))="3"),[Dívida / PL])/SUMPRODUCT(N([Dívida / PL]&gt;0),N(RIGHT([PAPEL],LEN([PAPEL])-(LEN([PAPEL])-1))="3"))</f>
        <v>2.2435702141443779</v>
      </c>
      <c r="Z5" s="7">
        <f>Tabela3[[#This Row],[Capital Social]]*20%</f>
        <v>2800000</v>
      </c>
      <c r="AA5" s="47">
        <f>IF(([Lucro Líquido]*5%)&gt;[Teto R. Legal],[Teto R. Legal],[Lucro Líquido]*5%)</f>
        <v>335950</v>
      </c>
      <c r="AB5" s="47">
        <f>IF([Lucro Líquido]&lt;0,0,[Lucro Líquido]-[Reserva Legal])</f>
        <v>6383050</v>
      </c>
      <c r="AC5" s="47">
        <f>Tabela3[[#This Row],[Lucro Distribuir]]*[%Div]</f>
        <v>1595762.5</v>
      </c>
      <c r="AD5" s="56">
        <f>SUMPRODUCT(N([Nome]=Tabela3[[#This Row],[Nome]]),[Ações])</f>
        <v>5222222</v>
      </c>
      <c r="AE5" s="84">
        <f>[Capital Social]/[Total Ações]</f>
        <v>2.6808511779085609</v>
      </c>
      <c r="AF5" s="84">
        <f>Tabela3[[#This Row],[Lucro Líquido]]/Tabela3[[#This Row],[Total Ações]]</f>
        <v>1.2866170760262585</v>
      </c>
      <c r="AG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5" s="7">
        <f>[Div Base]*[Ações]</f>
        <v>842873.36537905468</v>
      </c>
      <c r="AL5" s="7">
        <f>SUMPRODUCT(N([Nome]=Tabela3[[#This Row],[Nome]]),[Div Base]*[Ações])</f>
        <v>1616436.1511581638</v>
      </c>
      <c r="AM5" s="5">
        <f>[Patrimônio Líquido]/[Total Ações]</f>
        <v>2.8627660792666418</v>
      </c>
      <c r="AN5" s="52">
        <f>MAX(Tabela3[[#This Row],[Cotação 1]:[Cotação 5]])</f>
        <v>0</v>
      </c>
      <c r="AO5" s="53">
        <f>[Cotação]/[VPA]</f>
        <v>0</v>
      </c>
      <c r="AP5" s="37">
        <f>IF(Tabela3[[#This Row],[Lucro/Ação]]&gt;0,Tabela3[[#This Row],[Cotação]]/(Tabela3[[#This Row],[Lucro/Ação]]/[Ref]*4),0)</f>
        <v>0</v>
      </c>
      <c r="AQ5" s="84">
        <f>[Lucro Distribuir]/[Total Ações]</f>
        <v>1.2222862222249455</v>
      </c>
      <c r="AR5" s="84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0</v>
      </c>
      <c r="AU5" s="22">
        <f>((1+Tabela3[[#This Row],[% Yield]])^(1/(3*Tabela3[[#This Row],[Ref]])))^(12)-1</f>
        <v>0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0</v>
      </c>
      <c r="BB5" s="7">
        <f>SUMPRODUCT(N(Tabela17683[Código]=Tabela3[[#This Row],[PAPEL]]),Tabela17683[Fechamento])</f>
        <v>0</v>
      </c>
    </row>
    <row r="6" spans="1:60" ht="11.25" customHeight="1">
      <c r="A6" s="3" t="s">
        <v>761</v>
      </c>
      <c r="B6" s="58" t="s">
        <v>762</v>
      </c>
      <c r="C6" s="16" t="str">
        <f>LEFT([PAPEL],LEN([PAPEL])-(LEN([PAPEL])-4))</f>
        <v>BOBR</v>
      </c>
      <c r="D6" s="16">
        <v>3</v>
      </c>
      <c r="E6" s="5">
        <v>795142427.63999999</v>
      </c>
      <c r="F6" s="56">
        <v>20000000</v>
      </c>
      <c r="G6" s="80">
        <v>0.25</v>
      </c>
      <c r="H6" s="86"/>
      <c r="J6" s="18"/>
      <c r="K6" s="16"/>
      <c r="L6" s="86"/>
      <c r="M6" s="54"/>
      <c r="N6" s="54"/>
      <c r="O6" s="54"/>
      <c r="P6" s="90">
        <v>-37030000</v>
      </c>
      <c r="Q6" s="73">
        <v>-45486000</v>
      </c>
      <c r="R6" s="73">
        <f>IF(Tabela3[[#This Row],[Ativo || Passivo]]&gt;0,Tabela3[[#This Row],[Ativo || Passivo]]-Tabela3[[#This Row],[Patrimônio Líquido]],0)</f>
        <v>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0</v>
      </c>
      <c r="U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" s="18">
        <f>IF(Tabela3[[#This Row],[Lucro Líquido]]&gt;0,Tabela3[[#This Row],[Lucro Líquido]]/Tabela3[[#This Row],[Patrimônio Líquido]],0)/Tabela3[[#This Row],[Ref]]*4</f>
        <v>0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" s="18">
        <f>IF(Tabela3[[#This Row],[Dívida]]&gt;0,Tabela3[[#This Row],[Dívida]]/Tabela3[[#This Row],[Patrimônio Líquido]],0)</f>
        <v>0</v>
      </c>
      <c r="Y6" s="18">
        <f>SUMPRODUCT(N([Dívida / PL]&gt;0),N(RIGHT([PAPEL],LEN([PAPEL])-(LEN([PAPEL])-1))="3"),[Dívida / PL])/SUMPRODUCT(N([Dívida / PL]&gt;0),N(RIGHT([PAPEL],LEN([PAPEL])-(LEN([PAPEL])-1))="3"))</f>
        <v>2.2435702141443779</v>
      </c>
      <c r="Z6" s="7">
        <f>Tabela3[[#This Row],[Capital Social]]*20%</f>
        <v>159028485.528</v>
      </c>
      <c r="AA6" s="47">
        <f>IF(([Lucro Líquido]*5%)&gt;[Teto R. Legal],[Teto R. Legal],[Lucro Líquido]*5%)</f>
        <v>-2274300</v>
      </c>
      <c r="AB6" s="47">
        <f>IF([Lucro Líquido]&lt;0,0,[Lucro Líquido]-[Reserva Legal])</f>
        <v>0</v>
      </c>
      <c r="AC6" s="47">
        <f>Tabela3[[#This Row],[Lucro Distribuir]]*[%Div]</f>
        <v>0</v>
      </c>
      <c r="AD6" s="56">
        <f>SUMPRODUCT(N([Nome]=Tabela3[[#This Row],[Nome]]),[Ações])</f>
        <v>54064588</v>
      </c>
      <c r="AE6" s="84">
        <f>[Capital Social]/[Total Ações]</f>
        <v>14.70726878821309</v>
      </c>
      <c r="AF6" s="84">
        <f>Tabela3[[#This Row],[Lucro Líquido]]/Tabela3[[#This Row],[Total Ações]]</f>
        <v>-0.841327043868345</v>
      </c>
      <c r="AG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" s="7">
        <f>[Div Base]*[Ações]</f>
        <v>0</v>
      </c>
      <c r="AL6" s="7">
        <f>SUMPRODUCT(N([Nome]=Tabela3[[#This Row],[Nome]]),[Div Base]*[Ações])</f>
        <v>0</v>
      </c>
      <c r="AM6" s="5">
        <f>[Patrimônio Líquido]/[Total Ações]</f>
        <v>-0.68492152386327254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4">
        <f>[Lucro Distribuir]/[Total Ações]</f>
        <v>0</v>
      </c>
      <c r="AR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customHeight="1">
      <c r="A7" s="4" t="s">
        <v>14</v>
      </c>
      <c r="B7" s="57" t="s">
        <v>543</v>
      </c>
      <c r="C7" s="15" t="str">
        <f>LEFT([PAPEL],LEN([PAPEL])-(LEN([PAPEL])-4))</f>
        <v>BPMN</v>
      </c>
      <c r="D7" s="15">
        <v>4</v>
      </c>
      <c r="E7" s="6">
        <v>2867020093.0500002</v>
      </c>
      <c r="F7" s="8">
        <v>292463400</v>
      </c>
      <c r="G7" s="85">
        <v>0.25</v>
      </c>
      <c r="H7" s="15"/>
      <c r="I7" s="19"/>
      <c r="J7" s="19"/>
      <c r="K7" s="87"/>
      <c r="L7" s="87"/>
      <c r="M7" s="55"/>
      <c r="N7" s="55"/>
      <c r="O7" s="55"/>
      <c r="P7" s="91">
        <v>2308053000</v>
      </c>
      <c r="Q7" s="92">
        <v>-229048000</v>
      </c>
      <c r="R7" s="92">
        <f>IF(Tabela3[[#This Row],[Ativo || Passivo]]&gt;0,Tabela3[[#This Row],[Ativo || Passivo]]-Tabela3[[#This Row],[Patrimônio Líquido]],0)</f>
        <v>0</v>
      </c>
      <c r="S7" s="92">
        <f>Tabela3[[#This Row],[Cotação]]*Tabela3[[#This Row],[Total Ações]]</f>
        <v>0</v>
      </c>
      <c r="T7" s="40">
        <f>IF(Tabela3[[#This Row],[Passivo Circulante]]&gt;0,Tabela3[[#This Row],[Ativo Circulante]]/Tabela3[[#This Row],[Passivo Circulante]],0)</f>
        <v>0</v>
      </c>
      <c r="U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" s="19">
        <f>IF(Tabela3[[#This Row],[Lucro Líquido]]&gt;0,Tabela3[[#This Row],[Lucro Líquido]]/Tabela3[[#This Row],[Patrimônio Líquido]],0)/Tabela3[[#This Row],[Ref]]*4</f>
        <v>0</v>
      </c>
      <c r="W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" s="19">
        <f>IF(Tabela3[[#This Row],[Dívida]]&gt;0,Tabela3[[#This Row],[Dívida]]/Tabela3[[#This Row],[Patrimônio Líquido]],0)</f>
        <v>0</v>
      </c>
      <c r="Y7" s="19">
        <f>SUMPRODUCT(N([Dívida / PL]&gt;0),N(RIGHT([PAPEL],LEN([PAPEL])-(LEN([PAPEL])-1))="3"),[Dívida / PL])/SUMPRODUCT(N([Dívida / PL]&gt;0),N(RIGHT([PAPEL],LEN([PAPEL])-(LEN([PAPEL])-1))="3"))</f>
        <v>2.2435702141443779</v>
      </c>
      <c r="Z7" s="13">
        <f>Tabela3[[#This Row],[Capital Social]]*20%</f>
        <v>573404018.61000001</v>
      </c>
      <c r="AA7" s="13">
        <f>IF(([Lucro Líquido]*5%)&gt;[Teto R. Legal],[Teto R. Legal],[Lucro Líquido]*5%)</f>
        <v>-11452400</v>
      </c>
      <c r="AB7" s="13">
        <f>IF([Lucro Líquido]&lt;0,0,[Lucro Líquido]-[Reserva Legal])</f>
        <v>0</v>
      </c>
      <c r="AC7" s="13">
        <f>Tabela3[[#This Row],[Lucro Distribuir]]*[%Div]</f>
        <v>0</v>
      </c>
      <c r="AD7" s="56">
        <f>SUMPRODUCT(N([Nome]=Tabela3[[#This Row],[Nome]]),[Ações])</f>
        <v>535076075</v>
      </c>
      <c r="AE7" s="6">
        <f>[Capital Social]/[Total Ações]</f>
        <v>5.3581541522857288</v>
      </c>
      <c r="AF7" s="77">
        <f>Tabela3[[#This Row],[Lucro Líquido]]/Tabela3[[#This Row],[Total Ações]]</f>
        <v>-0.42806623338559846</v>
      </c>
      <c r="AG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" s="13">
        <f>[Div Base]*[Ações]</f>
        <v>0</v>
      </c>
      <c r="AL7" s="13">
        <f>SUMPRODUCT(N([Nome]=Tabela3[[#This Row],[Nome]]),[Div Base]*[Ações])</f>
        <v>0</v>
      </c>
      <c r="AM7" s="6">
        <f>[Patrimônio Líquido]/[Total Ações]</f>
        <v>4.3135043928099384</v>
      </c>
      <c r="AN7" s="48">
        <f>MAX(Tabela3[[#This Row],[Cotação 1]:[Cotação 5]])</f>
        <v>0</v>
      </c>
      <c r="AO7" s="44">
        <f>[Cotação]/[VPA]</f>
        <v>0</v>
      </c>
      <c r="AP7" s="40">
        <f>IF(Tabela3[[#This Row],[Lucro/Ação]]&gt;0,Tabela3[[#This Row],[Cotação]]/(Tabela3[[#This Row],[Lucro/Ação]]/[Ref]*4),0)</f>
        <v>0</v>
      </c>
      <c r="AQ7" s="77">
        <f>[Lucro Distribuir]/[Total Ações]</f>
        <v>0</v>
      </c>
      <c r="AR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" s="14" t="str">
        <f>IF(AND([% A.A.]&gt;=5%,SUMPRODUCT(N([Nome]=Tabela3[[#This Row],[Nome]]),[PL])&gt;0,[Rentabilidade s/ PL]&gt;=[Rentabilidade s/ PL Média]),"Sim","Não")</f>
        <v>Não</v>
      </c>
      <c r="AT7" s="42">
        <f>IF([Cotação]&gt;0,Tabela3[[#This Row],[Lucro]]/Tabela3[[#This Row],[Cotação]],0)</f>
        <v>0</v>
      </c>
      <c r="AU7" s="42">
        <f>((1+Tabela3[[#This Row],[% Yield]])^(1/(3*Tabela3[[#This Row],[Ref]])))^(12)-1</f>
        <v>0</v>
      </c>
      <c r="AV7" s="14">
        <f>IF([Cotação]&gt;0,($BH$1/Tabela3[[#This Row],[Cotação]]-MOD($BH$1/Tabela3[[#This Row],[Cotação]],100)),)</f>
        <v>0</v>
      </c>
      <c r="AW7" s="17">
        <f>Tabela3[[#This Row],[Ativos]]*[Lucro]</f>
        <v>0</v>
      </c>
      <c r="AX7" s="17">
        <f>SUMPRODUCT(N(Tabela1[Código]=Tabela3[[#This Row],[PAPEL]]),Tabela1[Fechamento])</f>
        <v>0</v>
      </c>
      <c r="AY7" s="17">
        <f>SUMPRODUCT(N(Tabela17[Código]=Tabela3[[#This Row],[PAPEL]]),Tabela17[Fechamento])</f>
        <v>0</v>
      </c>
      <c r="AZ7" s="17">
        <f>SUMPRODUCT(N(Tabela176[Código]=Tabela3[[#This Row],[PAPEL]]),Tabela176[Fechamento])</f>
        <v>0</v>
      </c>
      <c r="BA7" s="1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customHeight="1">
      <c r="A8" s="4" t="s">
        <v>14</v>
      </c>
      <c r="B8" s="57" t="s">
        <v>544</v>
      </c>
      <c r="C8" s="15" t="str">
        <f>LEFT([PAPEL],LEN([PAPEL])-(LEN([PAPEL])-4))</f>
        <v>BPMN</v>
      </c>
      <c r="D8" s="15">
        <v>4</v>
      </c>
      <c r="E8" s="6">
        <v>2867020093.0500002</v>
      </c>
      <c r="F8" s="8">
        <v>242612675</v>
      </c>
      <c r="G8" s="85">
        <v>0.25</v>
      </c>
      <c r="H8" s="15"/>
      <c r="I8" s="19"/>
      <c r="J8" s="19"/>
      <c r="K8" s="87"/>
      <c r="L8" s="87"/>
      <c r="M8" s="55"/>
      <c r="N8" s="55"/>
      <c r="O8" s="55"/>
      <c r="P8" s="91">
        <v>2308053000</v>
      </c>
      <c r="Q8" s="92">
        <v>-229048000</v>
      </c>
      <c r="R8" s="92">
        <f>IF(Tabela3[[#This Row],[Ativo || Passivo]]&gt;0,Tabela3[[#This Row],[Ativo || Passivo]]-Tabela3[[#This Row],[Patrimônio Líquido]],0)</f>
        <v>0</v>
      </c>
      <c r="S8" s="92">
        <f>Tabela3[[#This Row],[Cotação]]*Tabela3[[#This Row],[Total Ações]]</f>
        <v>0</v>
      </c>
      <c r="T8" s="40">
        <f>IF(Tabela3[[#This Row],[Passivo Circulante]]&gt;0,Tabela3[[#This Row],[Ativo Circulante]]/Tabela3[[#This Row],[Passivo Circulante]],0)</f>
        <v>0</v>
      </c>
      <c r="U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" s="19">
        <f>IF(Tabela3[[#This Row],[Lucro Líquido]]&gt;0,Tabela3[[#This Row],[Lucro Líquido]]/Tabela3[[#This Row],[Patrimônio Líquido]],0)/Tabela3[[#This Row],[Ref]]*4</f>
        <v>0</v>
      </c>
      <c r="W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" s="19">
        <f>IF(Tabela3[[#This Row],[Dívida]]&gt;0,Tabela3[[#This Row],[Dívida]]/Tabela3[[#This Row],[Patrimônio Líquido]],0)</f>
        <v>0</v>
      </c>
      <c r="Y8" s="19">
        <f>SUMPRODUCT(N([Dívida / PL]&gt;0),N(RIGHT([PAPEL],LEN([PAPEL])-(LEN([PAPEL])-1))="3"),[Dívida / PL])/SUMPRODUCT(N([Dívida / PL]&gt;0),N(RIGHT([PAPEL],LEN([PAPEL])-(LEN([PAPEL])-1))="3"))</f>
        <v>2.2435702141443779</v>
      </c>
      <c r="Z8" s="13">
        <f>Tabela3[[#This Row],[Capital Social]]*20%</f>
        <v>573404018.61000001</v>
      </c>
      <c r="AA8" s="13">
        <f>IF(([Lucro Líquido]*5%)&gt;[Teto R. Legal],[Teto R. Legal],[Lucro Líquido]*5%)</f>
        <v>-11452400</v>
      </c>
      <c r="AB8" s="13">
        <f>IF([Lucro Líquido]&lt;0,0,[Lucro Líquido]-[Reserva Legal])</f>
        <v>0</v>
      </c>
      <c r="AC8" s="13">
        <f>Tabela3[[#This Row],[Lucro Distribuir]]*[%Div]</f>
        <v>0</v>
      </c>
      <c r="AD8" s="56">
        <f>SUMPRODUCT(N([Nome]=Tabela3[[#This Row],[Nome]]),[Ações])</f>
        <v>535076075</v>
      </c>
      <c r="AE8" s="6">
        <f>[Capital Social]/[Total Ações]</f>
        <v>5.3581541522857288</v>
      </c>
      <c r="AF8" s="77">
        <f>Tabela3[[#This Row],[Lucro Líquido]]/Tabela3[[#This Row],[Total Ações]]</f>
        <v>-0.42806623338559846</v>
      </c>
      <c r="AG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" s="13">
        <f>[Div Base]*[Ações]</f>
        <v>0</v>
      </c>
      <c r="AL8" s="13">
        <f>SUMPRODUCT(N([Nome]=Tabela3[[#This Row],[Nome]]),[Div Base]*[Ações])</f>
        <v>0</v>
      </c>
      <c r="AM8" s="6">
        <f>[Patrimônio Líquido]/[Total Ações]</f>
        <v>4.3135043928099384</v>
      </c>
      <c r="AN8" s="48">
        <f>MAX(Tabela3[[#This Row],[Cotação 1]:[Cotação 5]])</f>
        <v>0</v>
      </c>
      <c r="AO8" s="44">
        <f>[Cotação]/[VPA]</f>
        <v>0</v>
      </c>
      <c r="AP8" s="40">
        <f>IF(Tabela3[[#This Row],[Lucro/Ação]]&gt;0,Tabela3[[#This Row],[Cotação]]/(Tabela3[[#This Row],[Lucro/Ação]]/[Ref]*4),0)</f>
        <v>0</v>
      </c>
      <c r="AQ8" s="77">
        <f>[Lucro Distribuir]/[Total Ações]</f>
        <v>0</v>
      </c>
      <c r="AR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0</v>
      </c>
      <c r="AU8" s="42">
        <f>((1+Tabela3[[#This Row],[% Yield]])^(1/(3*Tabela3[[#This Row],[Ref]])))^(12)-1</f>
        <v>0</v>
      </c>
      <c r="AV8" s="14">
        <f>IF([Cotação]&gt;0,($BH$1/Tabela3[[#This Row],[Cotação]]-MOD($BH$1/Tabela3[[#This Row],[Cotação]],100)),)</f>
        <v>0</v>
      </c>
      <c r="AW8" s="17">
        <f>Tabela3[[#This Row],[Ativos]]*[Lucro]</f>
        <v>0</v>
      </c>
      <c r="AX8" s="17">
        <f>SUMPRODUCT(N(Tabela1[Código]=Tabela3[[#This Row],[PAPEL]]),Tabela1[Fechamento])</f>
        <v>0</v>
      </c>
      <c r="AY8" s="17">
        <f>SUMPRODUCT(N(Tabela17[Código]=Tabela3[[#This Row],[PAPEL]]),Tabela17[Fechamento])</f>
        <v>0</v>
      </c>
      <c r="AZ8" s="17">
        <f>SUMPRODUCT(N(Tabela176[Código]=Tabela3[[#This Row],[PAPEL]]),Tabela176[Fechamento])</f>
        <v>0</v>
      </c>
      <c r="BA8" s="1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t="11.25" customHeight="1">
      <c r="A9" s="3" t="s">
        <v>957</v>
      </c>
      <c r="B9" s="58" t="s">
        <v>958</v>
      </c>
      <c r="C9" s="16" t="str">
        <f>LEFT([PAPEL],LEN([PAPEL])-(LEN([PAPEL])-4))</f>
        <v>CAMB</v>
      </c>
      <c r="D9" s="16">
        <v>3</v>
      </c>
      <c r="E9" s="5">
        <v>32340000</v>
      </c>
      <c r="F9" s="56">
        <v>13087267</v>
      </c>
      <c r="G9" s="80">
        <v>0.25</v>
      </c>
      <c r="H9" s="86"/>
      <c r="J9" s="18"/>
      <c r="K9" s="16"/>
      <c r="L9" s="86"/>
      <c r="M9" s="54"/>
      <c r="N9" s="54"/>
      <c r="O9" s="54"/>
      <c r="P9" s="90">
        <v>29017000</v>
      </c>
      <c r="Q9" s="73">
        <v>1159000</v>
      </c>
      <c r="R9" s="73">
        <f>IF(Tabela3[[#This Row],[Ativo || Passivo]]&gt;0,Tabela3[[#This Row],[Ativo || Passivo]]-Tabela3[[#This Row],[Patrimônio Líquido]],0)</f>
        <v>0</v>
      </c>
      <c r="S9" s="73">
        <f>Tabela3[[#This Row],[Cotação]]*Tabela3[[#This Row],[Total Ações]]</f>
        <v>0</v>
      </c>
      <c r="T9" s="37">
        <f>IF(Tabela3[[#This Row],[Passivo Circulante]]&gt;0,Tabela3[[#This Row],[Ativo Circulante]]/Tabela3[[#This Row],[Passivo Circulante]],0)</f>
        <v>0</v>
      </c>
      <c r="U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" s="18">
        <f>IF(Tabela3[[#This Row],[Lucro Líquido]]&gt;0,Tabela3[[#This Row],[Lucro Líquido]]/Tabela3[[#This Row],[Patrimônio Líquido]],0)/Tabela3[[#This Row],[Ref]]*4</f>
        <v>5.3256137206924681E-2</v>
      </c>
      <c r="W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" s="18">
        <f>IF(Tabela3[[#This Row],[Dívida]]&gt;0,Tabela3[[#This Row],[Dívida]]/Tabela3[[#This Row],[Patrimônio Líquido]],0)</f>
        <v>0</v>
      </c>
      <c r="Y9" s="18">
        <f>SUMPRODUCT(N([Dívida / PL]&gt;0),N(RIGHT([PAPEL],LEN([PAPEL])-(LEN([PAPEL])-1))="3"),[Dívida / PL])/SUMPRODUCT(N([Dívida / PL]&gt;0),N(RIGHT([PAPEL],LEN([PAPEL])-(LEN([PAPEL])-1))="3"))</f>
        <v>2.2435702141443779</v>
      </c>
      <c r="Z9" s="7">
        <f>Tabela3[[#This Row],[Capital Social]]*20%</f>
        <v>6468000</v>
      </c>
      <c r="AA9" s="47">
        <f>IF(([Lucro Líquido]*5%)&gt;[Teto R. Legal],[Teto R. Legal],[Lucro Líquido]*5%)</f>
        <v>57950</v>
      </c>
      <c r="AB9" s="47">
        <f>IF([Lucro Líquido]&lt;0,0,[Lucro Líquido]-[Reserva Legal])</f>
        <v>1101050</v>
      </c>
      <c r="AC9" s="47">
        <f>Tabela3[[#This Row],[Lucro Distribuir]]*[%Div]</f>
        <v>275262.5</v>
      </c>
      <c r="AD9" s="56">
        <f>SUMPRODUCT(N([Nome]=Tabela3[[#This Row],[Nome]]),[Ações])</f>
        <v>38552249</v>
      </c>
      <c r="AE9" s="84">
        <f>[Capital Social]/[Total Ações]</f>
        <v>0.83886156680509094</v>
      </c>
      <c r="AF9" s="84">
        <f>Tabela3[[#This Row],[Lucro Líquido]]/Tabela3[[#This Row],[Total Ações]]</f>
        <v>3.0063096967442807E-2</v>
      </c>
      <c r="AG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" s="7">
        <f>[Div Base]*[Ações]</f>
        <v>93442.897004205908</v>
      </c>
      <c r="AL9" s="7">
        <f>SUMPRODUCT(N([Nome]=Tabela3[[#This Row],[Nome]]),[Div Base]*[Ações])</f>
        <v>275262.5</v>
      </c>
      <c r="AM9" s="5">
        <f>[Patrimônio Líquido]/[Total Ações]</f>
        <v>0.75266685479231055</v>
      </c>
      <c r="AN9" s="52">
        <f>MAX(Tabela3[[#This Row],[Cotação 1]:[Cotação 5]])</f>
        <v>0</v>
      </c>
      <c r="AO9" s="53">
        <f>[Cotação]/[VPA]</f>
        <v>0</v>
      </c>
      <c r="AP9" s="37">
        <f>IF(Tabela3[[#This Row],[Lucro/Ação]]&gt;0,Tabela3[[#This Row],[Cotação]]/(Tabela3[[#This Row],[Lucro/Ação]]/[Ref]*4),0)</f>
        <v>0</v>
      </c>
      <c r="AQ9" s="84">
        <f>[Lucro Distribuir]/[Total Ações]</f>
        <v>2.8559942119070668E-2</v>
      </c>
      <c r="AR9" s="84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" s="10" t="str">
        <f>IF(AND([% A.A.]&gt;=5%,SUMPRODUCT(N([Nome]=Tabela3[[#This Row],[Nome]]),[PL])&gt;0,[Rentabilidade s/ PL]&gt;=[Rentabilidade s/ PL Média]),"Sim","Não")</f>
        <v>Não</v>
      </c>
      <c r="AT9" s="22">
        <f>IF([Cotação]&gt;0,Tabela3[[#This Row],[Lucro]]/Tabela3[[#This Row],[Cotação]],0)</f>
        <v>0</v>
      </c>
      <c r="AU9" s="22">
        <f>((1+Tabela3[[#This Row],[% Yield]])^(1/(3*Tabela3[[#This Row],[Ref]])))^(12)-1</f>
        <v>0</v>
      </c>
      <c r="AV9" s="10">
        <f>IF([Cotação]&gt;0,($BH$1/Tabela3[[#This Row],[Cotação]]-MOD($BH$1/Tabela3[[#This Row],[Cotação]],100)),)</f>
        <v>0</v>
      </c>
      <c r="AW9" s="7">
        <f>Tabela3[[#This Row],[Ativos]]*[Lucro]</f>
        <v>0</v>
      </c>
      <c r="AX9" s="7">
        <f>SUMPRODUCT(N(Tabela1[Código]=Tabela3[[#This Row],[PAPEL]]),Tabela1[Fechamento])</f>
        <v>0</v>
      </c>
      <c r="AY9" s="7">
        <f>SUMPRODUCT(N(Tabela17[Código]=Tabela3[[#This Row],[PAPEL]]),Tabela17[Fechamento])</f>
        <v>0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customHeight="1">
      <c r="A10" s="4" t="s">
        <v>37</v>
      </c>
      <c r="B10" s="57" t="s">
        <v>503</v>
      </c>
      <c r="C10" s="82" t="str">
        <f>LEFT([PAPEL],LEN([PAPEL])-(LEN([PAPEL])-4))</f>
        <v>CASN</v>
      </c>
      <c r="D10" s="16">
        <v>3</v>
      </c>
      <c r="E10" s="6">
        <v>842266637.82000005</v>
      </c>
      <c r="F10" s="56">
        <v>357547216</v>
      </c>
      <c r="G10" s="80">
        <v>0.25</v>
      </c>
      <c r="H10" s="16"/>
      <c r="J10" s="18">
        <v>0.1</v>
      </c>
      <c r="K10" s="86"/>
      <c r="L10" s="86"/>
      <c r="M10" s="54"/>
      <c r="N10" s="54"/>
      <c r="O10" s="54"/>
      <c r="P10" s="6">
        <v>1255450000</v>
      </c>
      <c r="Q10" s="6">
        <v>19870000</v>
      </c>
      <c r="R10" s="6">
        <f>IF(Tabela3[[#This Row],[Ativo || Passivo]]&gt;0,Tabela3[[#This Row],[Ativo || Passivo]]-Tabela3[[#This Row],[Patrimônio Líquido]],0)</f>
        <v>0</v>
      </c>
      <c r="S10" s="6">
        <f>Tabela3[[#This Row],[Cotação]]*Tabela3[[#This Row],[Total Ações]]</f>
        <v>0</v>
      </c>
      <c r="T10" s="121">
        <f>IF(Tabela3[[#This Row],[Passivo Circulante]]&gt;0,Tabela3[[#This Row],[Ativo Circulante]]/Tabela3[[#This Row],[Passivo Circulante]],0)</f>
        <v>0</v>
      </c>
      <c r="U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" s="19">
        <f>IF(Tabela3[[#This Row],[Lucro Líquido]]&gt;0,Tabela3[[#This Row],[Lucro Líquido]]/Tabela3[[#This Row],[Patrimônio Líquido]],0)/Tabela3[[#This Row],[Ref]]*4</f>
        <v>2.1102659073107918E-2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" s="19">
        <f>IF(Tabela3[[#This Row],[Dívida]]&gt;0,Tabela3[[#This Row],[Dívida]]/Tabela3[[#This Row],[Patrimônio Líquido]],0)</f>
        <v>0</v>
      </c>
      <c r="Y10" s="19">
        <f>SUMPRODUCT(N([Dívida / PL]&gt;0),N(RIGHT([PAPEL],LEN([PAPEL])-(LEN([PAPEL])-1))="3"),[Dívida / PL])/SUMPRODUCT(N([Dívida / PL]&gt;0),N(RIGHT([PAPEL],LEN([PAPEL])-(LEN([PAPEL])-1))="3"))</f>
        <v>2.2435702141443779</v>
      </c>
      <c r="Z10" s="5">
        <f>Tabela3[[#This Row],[Capital Social]]*20%</f>
        <v>168453327.56400001</v>
      </c>
      <c r="AA10" s="5">
        <f>IF(([Lucro Líquido]*5%)&gt;[Teto R. Legal],[Teto R. Legal],[Lucro Líquido]*5%)</f>
        <v>993500</v>
      </c>
      <c r="AB10" s="5">
        <f>IF([Lucro Líquido]&lt;0,0,[Lucro Líquido]-[Reserva Legal])</f>
        <v>18876500</v>
      </c>
      <c r="AC10" s="5">
        <f>Tabela3[[#This Row],[Lucro Distribuir]]*[%Div]</f>
        <v>4719125</v>
      </c>
      <c r="AD10" s="21">
        <f>SUMPRODUCT(N([Nome]=Tabela3[[#This Row],[Nome]]),[Ações])</f>
        <v>715094432</v>
      </c>
      <c r="AE10" s="5">
        <f>[Capital Social]/[Total Ações]</f>
        <v>1.1778397371439748</v>
      </c>
      <c r="AF10" s="76">
        <f>Tabela3[[#This Row],[Lucro Líquido]]/Tabela3[[#This Row],[Total Ações]]</f>
        <v>2.7786539946097637E-2</v>
      </c>
      <c r="AG1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" s="5">
        <f>[Div Base]*[Ações]</f>
        <v>2514762.2954128627</v>
      </c>
      <c r="AL10" s="5">
        <f>SUMPRODUCT(N([Nome]=Tabela3[[#This Row],[Nome]]),[Div Base]*[Ações])</f>
        <v>4800909.8335655006</v>
      </c>
      <c r="AM10" s="5">
        <f>[Patrimônio Líquido]/[Total Ações]</f>
        <v>1.7556422534136022</v>
      </c>
      <c r="AN10" s="52">
        <f>MAX(Tabela3[[#This Row],[Cotação 1]:[Cotação 5]])</f>
        <v>0</v>
      </c>
      <c r="AO10" s="53">
        <f>[Cotação]/[VPA]</f>
        <v>0</v>
      </c>
      <c r="AP10" s="37">
        <f>IF(Tabela3[[#This Row],[Lucro/Ação]]&gt;0,Tabela3[[#This Row],[Cotação]]/(Tabela3[[#This Row],[Lucro/Ação]]/[Ref]*4),0)</f>
        <v>0</v>
      </c>
      <c r="AQ10" s="76">
        <f>[Lucro Distribuir]/[Total Ações]</f>
        <v>2.6397212948792756E-2</v>
      </c>
      <c r="AR10" s="76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" s="16" t="str">
        <f>IF(AND([% A.A.]&gt;=5%,SUMPRODUCT(N([Nome]=Tabela3[[#This Row],[Nome]]),[PL])&gt;0,[Rentabilidade s/ PL]&gt;=[Rentabilidade s/ PL Média]),"Sim","Não")</f>
        <v>Não</v>
      </c>
      <c r="AT10" s="22">
        <f>IF([Cotação]&gt;0,Tabela3[[#This Row],[Lucro]]/Tabela3[[#This Row],[Cotação]],0)</f>
        <v>0</v>
      </c>
      <c r="AU10" s="18">
        <f>((1+Tabela3[[#This Row],[% Yield]])^(1/(3*Tabela3[[#This Row],[Ref]])))^(12)-1</f>
        <v>0</v>
      </c>
      <c r="AV10" s="10">
        <f>IF([Cotação]&gt;0,($BH$1/Tabela3[[#This Row],[Cotação]]-MOD($BH$1/Tabela3[[#This Row],[Cotação]],100)),)</f>
        <v>0</v>
      </c>
      <c r="AW10" s="7">
        <f>Tabela3[[#This Row],[Ativos]]*[Lucro]</f>
        <v>0</v>
      </c>
      <c r="AX10" s="47">
        <f>SUMPRODUCT(N(Tabela1[Código]=Tabela3[[#This Row],[PAPEL]]),Tabela1[Fechamento])</f>
        <v>0</v>
      </c>
      <c r="AY10" s="54">
        <f>SUMPRODUCT(N(Tabela17[Código]=Tabela3[[#This Row],[PAPEL]]),Tabela17[Fechamento])</f>
        <v>0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customHeight="1">
      <c r="A11" s="3" t="s">
        <v>802</v>
      </c>
      <c r="B11" s="114" t="s">
        <v>798</v>
      </c>
      <c r="C11" s="16" t="str">
        <f>LEFT([PAPEL],LEN([PAPEL])-(LEN([PAPEL])-4))</f>
        <v>CLAN</v>
      </c>
      <c r="D11" s="16">
        <v>2</v>
      </c>
      <c r="E11" s="5">
        <v>1000070000</v>
      </c>
      <c r="F11" s="56">
        <v>70759470</v>
      </c>
      <c r="G11" s="80">
        <v>0.25</v>
      </c>
      <c r="H11" s="86"/>
      <c r="J11" s="18"/>
      <c r="K11" s="16"/>
      <c r="L11" s="86"/>
      <c r="M11" s="54"/>
      <c r="N11" s="54"/>
      <c r="O11" s="54"/>
      <c r="P11" s="90">
        <v>979640000</v>
      </c>
      <c r="Q11" s="73">
        <v>-43203000</v>
      </c>
      <c r="R11" s="73">
        <f>IF(Tabela3[[#This Row],[Ativo || Passivo]]&gt;0,Tabela3[[#This Row],[Ativo || Passivo]]-Tabela3[[#This Row],[Patrimônio Líquido]],0)</f>
        <v>0</v>
      </c>
      <c r="S11" s="73">
        <f>Tabela3[[#This Row],[Cotação]]*Tabela3[[#This Row],[Total Ações]]</f>
        <v>0</v>
      </c>
      <c r="T11" s="37">
        <f>IF(Tabela3[[#This Row],[Passivo Circulante]]&gt;0,Tabela3[[#This Row],[Ativo Circulante]]/Tabela3[[#This Row],[Passivo Circulante]],0)</f>
        <v>0</v>
      </c>
      <c r="U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" s="18">
        <f>IF(Tabela3[[#This Row],[Lucro Líquido]]&gt;0,Tabela3[[#This Row],[Lucro Líquido]]/Tabela3[[#This Row],[Patrimônio Líquido]],0)/Tabela3[[#This Row],[Ref]]*4</f>
        <v>0</v>
      </c>
      <c r="W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" s="18">
        <f>IF(Tabela3[[#This Row],[Dívida]]&gt;0,Tabela3[[#This Row],[Dívida]]/Tabela3[[#This Row],[Patrimônio Líquido]],0)</f>
        <v>0</v>
      </c>
      <c r="Y11" s="18">
        <f>SUMPRODUCT(N([Dívida / PL]&gt;0),N(RIGHT([PAPEL],LEN([PAPEL])-(LEN([PAPEL])-1))="3"),[Dívida / PL])/SUMPRODUCT(N([Dívida / PL]&gt;0),N(RIGHT([PAPEL],LEN([PAPEL])-(LEN([PAPEL])-1))="3"))</f>
        <v>2.2435702141443779</v>
      </c>
      <c r="Z11" s="7">
        <f>Tabela3[[#This Row],[Capital Social]]*20%</f>
        <v>200014000</v>
      </c>
      <c r="AA11" s="47">
        <f>IF(([Lucro Líquido]*5%)&gt;[Teto R. Legal],[Teto R. Legal],[Lucro Líquido]*5%)</f>
        <v>-2160150</v>
      </c>
      <c r="AB11" s="47">
        <f>IF([Lucro Líquido]&lt;0,0,[Lucro Líquido]-[Reserva Legal])</f>
        <v>0</v>
      </c>
      <c r="AC11" s="47">
        <f>Tabela3[[#This Row],[Lucro Distribuir]]*[%Div]</f>
        <v>0</v>
      </c>
      <c r="AD11" s="56">
        <f>SUMPRODUCT(N([Nome]=Tabela3[[#This Row],[Nome]]),[Ações])</f>
        <v>158703348</v>
      </c>
      <c r="AE11" s="84">
        <f>[Capital Social]/[Total Ações]</f>
        <v>6.3015053721487968</v>
      </c>
      <c r="AF11" s="84">
        <f>Tabela3[[#This Row],[Lucro Líquido]]/Tabela3[[#This Row],[Total Ações]]</f>
        <v>-0.27222488085128488</v>
      </c>
      <c r="AG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" s="7">
        <f>[Div Base]*[Ações]</f>
        <v>0</v>
      </c>
      <c r="AL11" s="7">
        <f>SUMPRODUCT(N([Nome]=Tabela3[[#This Row],[Nome]]),[Div Base]*[Ações])</f>
        <v>0</v>
      </c>
      <c r="AM11" s="5">
        <f>[Patrimônio Líquido]/[Total Ações]</f>
        <v>6.1727746285478489</v>
      </c>
      <c r="AN11" s="52">
        <f>MAX(Tabela3[[#This Row],[Cotação 1]:[Cotação 5]])</f>
        <v>0</v>
      </c>
      <c r="AO11" s="53">
        <f>[Cotação]/[VPA]</f>
        <v>0</v>
      </c>
      <c r="AP11" s="37">
        <f>IF(Tabela3[[#This Row],[Lucro/Ação]]&gt;0,Tabela3[[#This Row],[Cotação]]/(Tabela3[[#This Row],[Lucro/Ação]]/[Ref]*4),0)</f>
        <v>0</v>
      </c>
      <c r="AQ11" s="84">
        <f>[Lucro Distribuir]/[Total Ações]</f>
        <v>0</v>
      </c>
      <c r="AR1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" s="10" t="str">
        <f>IF(AND([% A.A.]&gt;=5%,SUMPRODUCT(N([Nome]=Tabela3[[#This Row],[Nome]]),[PL])&gt;0,[Rentabilidade s/ PL]&gt;=[Rentabilidade s/ PL Média]),"Sim","Não")</f>
        <v>Não</v>
      </c>
      <c r="AT11" s="22">
        <f>IF([Cotação]&gt;0,Tabela3[[#This Row],[Lucro]]/Tabela3[[#This Row],[Cotação]],0)</f>
        <v>0</v>
      </c>
      <c r="AU11" s="22">
        <f>((1+Tabela3[[#This Row],[% Yield]])^(1/(3*Tabela3[[#This Row],[Ref]])))^(12)-1</f>
        <v>0</v>
      </c>
      <c r="AV11" s="10">
        <f>IF([Cotação]&gt;0,($BH$1/Tabela3[[#This Row],[Cotação]]-MOD($BH$1/Tabela3[[#This Row],[Cotação]],100)),)</f>
        <v>0</v>
      </c>
      <c r="AW11" s="7">
        <f>Tabela3[[#This Row],[Ativos]]*[Lucro]</f>
        <v>0</v>
      </c>
      <c r="AX11" s="7">
        <f>SUMPRODUCT(N(Tabela1[Código]=Tabela3[[#This Row],[PAPEL]]),Tabela1[Fechamento])</f>
        <v>0</v>
      </c>
      <c r="AY11" s="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customHeight="1">
      <c r="A12" s="3" t="s">
        <v>335</v>
      </c>
      <c r="B12" s="57" t="s">
        <v>705</v>
      </c>
      <c r="C12" s="15" t="str">
        <f>LEFT([PAPEL],LEN([PAPEL])-(LEN([PAPEL])-4))</f>
        <v>CORR</v>
      </c>
      <c r="D12" s="15">
        <v>3</v>
      </c>
      <c r="E12" s="6">
        <v>10000</v>
      </c>
      <c r="F12" s="8">
        <v>7815</v>
      </c>
      <c r="G12" s="80">
        <v>0.25</v>
      </c>
      <c r="H12" s="15"/>
      <c r="I12" s="19"/>
      <c r="J12" s="19"/>
      <c r="K12" s="87"/>
      <c r="L12" s="87"/>
      <c r="M12" s="55"/>
      <c r="N12" s="55"/>
      <c r="O12" s="55"/>
      <c r="P12" s="91">
        <v>7227000</v>
      </c>
      <c r="Q12" s="92">
        <v>-199000</v>
      </c>
      <c r="R12" s="92">
        <f>IF(Tabela3[[#This Row],[Ativo || Passivo]]&gt;0,Tabela3[[#This Row],[Ativo || Passivo]]-Tabela3[[#This Row],[Patrimônio Líquido]],0)</f>
        <v>0</v>
      </c>
      <c r="S12" s="92">
        <f>Tabela3[[#This Row],[Cotação]]*Tabela3[[#This Row],[Total Ações]]</f>
        <v>0</v>
      </c>
      <c r="T12" s="40">
        <f>IF(Tabela3[[#This Row],[Passivo Circulante]]&gt;0,Tabela3[[#This Row],[Ativo Circulante]]/Tabela3[[#This Row],[Passivo Circulante]],0)</f>
        <v>0</v>
      </c>
      <c r="U1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" s="19">
        <f>IF(Tabela3[[#This Row],[Lucro Líquido]]&gt;0,Tabela3[[#This Row],[Lucro Líquido]]/Tabela3[[#This Row],[Patrimônio Líquido]],0)/Tabela3[[#This Row],[Ref]]*4</f>
        <v>0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" s="19">
        <f>IF(Tabela3[[#This Row],[Dívida]]&gt;0,Tabela3[[#This Row],[Dívida]]/Tabela3[[#This Row],[Patrimônio Líquido]],0)</f>
        <v>0</v>
      </c>
      <c r="Y12" s="19">
        <f>SUMPRODUCT(N([Dívida / PL]&gt;0),N(RIGHT([PAPEL],LEN([PAPEL])-(LEN([PAPEL])-1))="3"),[Dívida / PL])/SUMPRODUCT(N([Dívida / PL]&gt;0),N(RIGHT([PAPEL],LEN([PAPEL])-(LEN([PAPEL])-1))="3"))</f>
        <v>2.2435702141443779</v>
      </c>
      <c r="Z12" s="13">
        <f>Tabela3[[#This Row],[Capital Social]]*20%</f>
        <v>2000</v>
      </c>
      <c r="AA12" s="13">
        <f>IF(([Lucro Líquido]*5%)&gt;[Teto R. Legal],[Teto R. Legal],[Lucro Líquido]*5%)</f>
        <v>-9950</v>
      </c>
      <c r="AB12" s="13">
        <f>IF([Lucro Líquido]&lt;0,0,[Lucro Líquido]-[Reserva Legal])</f>
        <v>0</v>
      </c>
      <c r="AC12" s="13">
        <f>Tabela3[[#This Row],[Lucro Distribuir]]*[%Div]</f>
        <v>0</v>
      </c>
      <c r="AD12" s="21">
        <f>SUMPRODUCT(N([Nome]=Tabela3[[#This Row],[Nome]]),[Ações])</f>
        <v>23153</v>
      </c>
      <c r="AE12" s="6">
        <f>[Capital Social]/[Total Ações]</f>
        <v>0.431909471774716</v>
      </c>
      <c r="AF12" s="77">
        <f>Tabela3[[#This Row],[Lucro Líquido]]/Tabela3[[#This Row],[Total Ações]]</f>
        <v>-8.5949984883168487</v>
      </c>
      <c r="AG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" s="13">
        <f>[Div Base]*[Ações]</f>
        <v>0</v>
      </c>
      <c r="AL12" s="13">
        <f>SUMPRODUCT(N([Nome]=Tabela3[[#This Row],[Nome]]),[Div Base]*[Ações])</f>
        <v>0</v>
      </c>
      <c r="AM12" s="6">
        <f>[Patrimônio Líquido]/[Total Ações]</f>
        <v>312.14097525158729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7">
        <f>[Lucro Distribuir]/[Total Ações]</f>
        <v>0</v>
      </c>
      <c r="AR1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17">
        <f>SUMPRODUCT(N(Tabela176[Código]=Tabela3[[#This Row],[PAPEL]]),Tabela176[Fechamento])</f>
        <v>0</v>
      </c>
      <c r="BA12" s="1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customHeight="1">
      <c r="A13" s="3" t="s">
        <v>876</v>
      </c>
      <c r="B13" s="58" t="s">
        <v>919</v>
      </c>
      <c r="C13" s="16" t="str">
        <f>LEFT([PAPEL],LEN([PAPEL])-(LEN([PAPEL])-4))</f>
        <v>CTSA</v>
      </c>
      <c r="D13" s="16">
        <v>3</v>
      </c>
      <c r="E13" s="5">
        <v>101921764.5</v>
      </c>
      <c r="F13" s="56">
        <v>1277</v>
      </c>
      <c r="G13" s="80">
        <v>0.25</v>
      </c>
      <c r="H13" s="86"/>
      <c r="J13" s="18">
        <v>0.1</v>
      </c>
      <c r="K13" s="16"/>
      <c r="L13" s="86"/>
      <c r="M13" s="54"/>
      <c r="N13" s="54"/>
      <c r="O13" s="54"/>
      <c r="P13" s="90">
        <v>277004000</v>
      </c>
      <c r="Q13" s="73">
        <v>31976000</v>
      </c>
      <c r="R13" s="73">
        <f>IF(Tabela3[[#This Row],[Ativo || Passivo]]&gt;0,Tabela3[[#This Row],[Ativo || Passivo]]-Tabela3[[#This Row],[Patrimônio Líquido]],0)</f>
        <v>0</v>
      </c>
      <c r="S13" s="73">
        <f>Tabela3[[#This Row],[Cotação]]*Tabela3[[#This Row],[Total Ações]]</f>
        <v>0</v>
      </c>
      <c r="T13" s="37">
        <f>IF(Tabela3[[#This Row],[Passivo Circulante]]&gt;0,Tabela3[[#This Row],[Ativo Circulante]]/Tabela3[[#This Row],[Passivo Circulante]],0)</f>
        <v>0</v>
      </c>
      <c r="U1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" s="18">
        <f>IF(Tabela3[[#This Row],[Lucro Líquido]]&gt;0,Tabela3[[#This Row],[Lucro Líquido]]/Tabela3[[#This Row],[Patrimônio Líquido]],0)/Tabela3[[#This Row],[Ref]]*4</f>
        <v>0.15391354156137335</v>
      </c>
      <c r="W1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" s="18">
        <f>IF(Tabela3[[#This Row],[Dívida]]&gt;0,Tabela3[[#This Row],[Dívida]]/Tabela3[[#This Row],[Patrimônio Líquido]],0)</f>
        <v>0</v>
      </c>
      <c r="Y13" s="18">
        <f>SUMPRODUCT(N([Dívida / PL]&gt;0),N(RIGHT([PAPEL],LEN([PAPEL])-(LEN([PAPEL])-1))="3"),[Dívida / PL])/SUMPRODUCT(N([Dívida / PL]&gt;0),N(RIGHT([PAPEL],LEN([PAPEL])-(LEN([PAPEL])-1))="3"))</f>
        <v>2.2435702141443779</v>
      </c>
      <c r="Z13" s="7">
        <f>Tabela3[[#This Row],[Capital Social]]*20%</f>
        <v>20384352.900000002</v>
      </c>
      <c r="AA13" s="47">
        <f>IF(([Lucro Líquido]*5%)&gt;[Teto R. Legal],[Teto R. Legal],[Lucro Líquido]*5%)</f>
        <v>1598800</v>
      </c>
      <c r="AB13" s="47">
        <f>IF([Lucro Líquido]&lt;0,0,[Lucro Líquido]-[Reserva Legal])</f>
        <v>30377200</v>
      </c>
      <c r="AC13" s="47">
        <f>Tabela3[[#This Row],[Lucro Distribuir]]*[%Div]</f>
        <v>7594300</v>
      </c>
      <c r="AD13" s="56">
        <f>SUMPRODUCT(N([Nome]=Tabela3[[#This Row],[Nome]]),[Ações])</f>
        <v>39299180</v>
      </c>
      <c r="AE13" s="84">
        <f>[Capital Social]/[Total Ações]</f>
        <v>2.5934832355280695</v>
      </c>
      <c r="AF13" s="84">
        <f>Tabela3[[#This Row],[Lucro Líquido]]/Tabela3[[#This Row],[Total Ações]]</f>
        <v>0.8136556538838724</v>
      </c>
      <c r="AG1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3" s="7">
        <f>[Div Base]*[Ações]</f>
        <v>263.00294563778715</v>
      </c>
      <c r="AL13" s="7">
        <f>SUMPRODUCT(N([Nome]=Tabela3[[#This Row],[Nome]]),[Div Base]*[Ações])</f>
        <v>7358036.3582738405</v>
      </c>
      <c r="AM13" s="5">
        <f>[Patrimônio Líquido]/[Total Ações]</f>
        <v>7.0485949070693081</v>
      </c>
      <c r="AN13" s="52">
        <f>MAX(Tabela3[[#This Row],[Cotação 1]:[Cotação 5]])</f>
        <v>0</v>
      </c>
      <c r="AO13" s="53">
        <f>[Cotação]/[VPA]</f>
        <v>0</v>
      </c>
      <c r="AP13" s="37">
        <f>IF(Tabela3[[#This Row],[Lucro/Ação]]&gt;0,Tabela3[[#This Row],[Cotação]]/(Tabela3[[#This Row],[Lucro/Ação]]/[Ref]*4),0)</f>
        <v>0</v>
      </c>
      <c r="AQ13" s="84">
        <f>[Lucro Distribuir]/[Total Ações]</f>
        <v>0.77297287118967872</v>
      </c>
      <c r="AR13" s="84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3" s="10" t="str">
        <f>IF(AND([% A.A.]&gt;=5%,SUMPRODUCT(N([Nome]=Tabela3[[#This Row],[Nome]]),[PL])&gt;0,[Rentabilidade s/ PL]&gt;=[Rentabilidade s/ PL Média]),"Sim","Não")</f>
        <v>Não</v>
      </c>
      <c r="AT13" s="22">
        <f>IF([Cotação]&gt;0,Tabela3[[#This Row],[Lucro]]/Tabela3[[#This Row],[Cotação]],0)</f>
        <v>0</v>
      </c>
      <c r="AU13" s="22">
        <f>((1+Tabela3[[#This Row],[% Yield]])^(1/(3*Tabela3[[#This Row],[Ref]])))^(12)-1</f>
        <v>0</v>
      </c>
      <c r="AV13" s="10">
        <f>IF([Cotação]&gt;0,($BH$1/Tabela3[[#This Row],[Cotação]]-MOD($BH$1/Tabela3[[#This Row],[Cotação]],100)),)</f>
        <v>0</v>
      </c>
      <c r="AW13" s="7">
        <f>Tabela3[[#This Row],[Ativos]]*[Lucro]</f>
        <v>0</v>
      </c>
      <c r="AX13" s="7">
        <f>SUMPRODUCT(N(Tabela1[Código]=Tabela3[[#This Row],[PAPEL]]),Tabela1[Fechamento])</f>
        <v>0</v>
      </c>
      <c r="AY13" s="7">
        <f>SUMPRODUCT(N(Tabela17[Código]=Tabela3[[#This Row],[PAPEL]]),Tabela17[Fechamento])</f>
        <v>0</v>
      </c>
      <c r="AZ13" s="7">
        <f>SUMPRODUCT(N(Tabela176[Código]=Tabela3[[#This Row],[PAPEL]]),Tabela176[Fechamento])</f>
        <v>0</v>
      </c>
      <c r="BA13" s="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customHeight="1">
      <c r="A14" s="4" t="s">
        <v>14</v>
      </c>
      <c r="B14" s="57" t="s">
        <v>530</v>
      </c>
      <c r="C14" s="81" t="str">
        <f>LEFT([PAPEL],LEN([PAPEL])-(LEN([PAPEL])-4))</f>
        <v>DAYC</v>
      </c>
      <c r="D14" s="15">
        <v>4</v>
      </c>
      <c r="E14" s="6">
        <v>1868862897.47</v>
      </c>
      <c r="F14" s="8">
        <v>160869792</v>
      </c>
      <c r="G14" s="80">
        <v>0.25</v>
      </c>
      <c r="H14" s="15"/>
      <c r="I14" s="19"/>
      <c r="J14" s="19"/>
      <c r="K14" s="87"/>
      <c r="L14" s="87"/>
      <c r="M14" s="55">
        <v>15000953000</v>
      </c>
      <c r="N14" s="55">
        <v>8886317000</v>
      </c>
      <c r="O14" s="55">
        <v>6507424000</v>
      </c>
      <c r="P14" s="6">
        <v>2440276000</v>
      </c>
      <c r="Q14" s="6">
        <v>233804000</v>
      </c>
      <c r="R14" s="6">
        <f>IF(Tabela3[[#This Row],[Ativo || Passivo]]&gt;0,Tabela3[[#This Row],[Ativo || Passivo]]-Tabela3[[#This Row],[Patrimônio Líquido]],0)</f>
        <v>12560677000</v>
      </c>
      <c r="S14" s="6">
        <f>Tabela3[[#This Row],[Cotação]]*Tabela3[[#This Row],[Total Ações]]</f>
        <v>0</v>
      </c>
      <c r="T14" s="121">
        <f>IF(Tabela3[[#This Row],[Passivo Circulante]]&gt;0,Tabela3[[#This Row],[Ativo Circulante]]/Tabela3[[#This Row],[Passivo Circulante]],0)</f>
        <v>1.365566005841943</v>
      </c>
      <c r="U1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" s="19">
        <f>IF(Tabela3[[#This Row],[Lucro Líquido]]&gt;0,Tabela3[[#This Row],[Lucro Líquido]]/Tabela3[[#This Row],[Patrimônio Líquido]],0)/Tabela3[[#This Row],[Ref]]*4</f>
        <v>9.5810473897214907E-2</v>
      </c>
      <c r="W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" s="19">
        <f>IF(Tabela3[[#This Row],[Dívida]]&gt;0,Tabela3[[#This Row],[Dívida]]/Tabela3[[#This Row],[Patrimônio Líquido]],0)</f>
        <v>5.1472362142642885</v>
      </c>
      <c r="Y14" s="19">
        <f>SUMPRODUCT(N([Dívida / PL]&gt;0),N(RIGHT([PAPEL],LEN([PAPEL])-(LEN([PAPEL])-1))="3"),[Dívida / PL])/SUMPRODUCT(N([Dívida / PL]&gt;0),N(RIGHT([PAPEL],LEN([PAPEL])-(LEN([PAPEL])-1))="3"))</f>
        <v>2.2435702141443779</v>
      </c>
      <c r="Z14" s="6">
        <f>Tabela3[[#This Row],[Capital Social]]*20%</f>
        <v>373772579.49400002</v>
      </c>
      <c r="AA14" s="6">
        <f>IF(([Lucro Líquido]*5%)&gt;[Teto R. Legal],[Teto R. Legal],[Lucro Líquido]*5%)</f>
        <v>11690200</v>
      </c>
      <c r="AB14" s="6">
        <f>IF([Lucro Líquido]&lt;0,0,[Lucro Líquido]-[Reserva Legal])</f>
        <v>222113800</v>
      </c>
      <c r="AC14" s="6">
        <f>Tabela3[[#This Row],[Lucro Distribuir]]*[%Div]</f>
        <v>55528450</v>
      </c>
      <c r="AD14" s="21">
        <f>SUMPRODUCT(N([Nome]=Tabela3[[#This Row],[Nome]]),[Ações])</f>
        <v>252239937</v>
      </c>
      <c r="AE14" s="6">
        <f>[Capital Social]/[Total Ações]</f>
        <v>7.4090682058408541</v>
      </c>
      <c r="AF14" s="77">
        <f>Tabela3[[#This Row],[Lucro Líquido]]/Tabela3[[#This Row],[Total Ações]]</f>
        <v>0.92691111003568005</v>
      </c>
      <c r="AG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4" s="6">
        <f>[Div Base]*[Ações]</f>
        <v>35414099.400058128</v>
      </c>
      <c r="AL14" s="6">
        <f>SUMPRODUCT(N([Nome]=Tabela3[[#This Row],[Nome]]),[Div Base]*[Ações])</f>
        <v>55528450</v>
      </c>
      <c r="AM14" s="6">
        <f>[Patrimônio Líquido]/[Total Ações]</f>
        <v>9.6744236024765584</v>
      </c>
      <c r="AN14" s="48">
        <f>MAX(Tabela3[[#This Row],[Cotação 1]:[Cotação 5]])</f>
        <v>0</v>
      </c>
      <c r="AO14" s="44">
        <f>[Cotação]/[VPA]</f>
        <v>0</v>
      </c>
      <c r="AP14" s="40">
        <f>IF(Tabela3[[#This Row],[Lucro/Ação]]&gt;0,Tabela3[[#This Row],[Cotação]]/(Tabela3[[#This Row],[Lucro/Ação]]/[Ref]*4),0)</f>
        <v>0</v>
      </c>
      <c r="AQ14" s="77">
        <f>[Lucro Distribuir]/[Total Ações]</f>
        <v>0.88056555453389607</v>
      </c>
      <c r="AR14" s="77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4" s="15" t="str">
        <f>IF(AND([% A.A.]&gt;=5%,SUMPRODUCT(N([Nome]=Tabela3[[#This Row],[Nome]]),[PL])&gt;0,[Rentabilidade s/ PL]&gt;=[Rentabilidade s/ PL Média]),"Sim","Não")</f>
        <v>Não</v>
      </c>
      <c r="AT14" s="42">
        <f>IF([Cotação]&gt;0,Tabela3[[#This Row],[Lucro]]/Tabela3[[#This Row],[Cotação]],0)</f>
        <v>0</v>
      </c>
      <c r="AU14" s="19">
        <f>((1+Tabela3[[#This Row],[% Yield]])^(1/(3*Tabela3[[#This Row],[Ref]])))^(12)-1</f>
        <v>0</v>
      </c>
      <c r="AV14" s="14">
        <f>IF([Cotação]&gt;0,($BH$1/Tabela3[[#This Row],[Cotação]]-MOD($BH$1/Tabela3[[#This Row],[Cotação]],100)),)</f>
        <v>0</v>
      </c>
      <c r="AW14" s="17">
        <f>Tabela3[[#This Row],[Ativos]]*[Lucro]</f>
        <v>0</v>
      </c>
      <c r="AX14" s="13">
        <f>SUMPRODUCT(N(Tabela1[Código]=Tabela3[[#This Row],[PAPEL]]),Tabela1[Fechamento])</f>
        <v>0</v>
      </c>
      <c r="AY14" s="55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0</v>
      </c>
      <c r="BB14" s="7">
        <f>SUMPRODUCT(N(Tabela17683[Código]=Tabela3[[#This Row],[PAPEL]]),Tabela17683[Fechamento])</f>
        <v>0</v>
      </c>
    </row>
    <row r="15" spans="1:60" ht="11.25" customHeight="1">
      <c r="A15" s="3" t="s">
        <v>1131</v>
      </c>
      <c r="B15" s="57" t="s">
        <v>1120</v>
      </c>
      <c r="C15" s="16" t="str">
        <f>LEFT([PAPEL],LEN([PAPEL])-(LEN([PAPEL])-4))</f>
        <v>DTCY</v>
      </c>
      <c r="D15" s="16">
        <v>3</v>
      </c>
      <c r="E15" s="5">
        <v>54109503.509999998</v>
      </c>
      <c r="F15" s="56">
        <v>3247500</v>
      </c>
      <c r="G15" s="80">
        <v>0.25</v>
      </c>
      <c r="H15" s="18"/>
      <c r="J15" s="18">
        <v>0.1</v>
      </c>
      <c r="K15" s="16"/>
      <c r="L15" s="86"/>
      <c r="M15" s="54"/>
      <c r="N15" s="54"/>
      <c r="O15" s="54"/>
      <c r="P15" s="90">
        <v>3294000</v>
      </c>
      <c r="Q15" s="73">
        <v>-1687000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0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2.2435702141443779</v>
      </c>
      <c r="Z15" s="7">
        <f>Tabela3[[#This Row],[Capital Social]]*20%</f>
        <v>10821900.702</v>
      </c>
      <c r="AA15" s="47">
        <f>IF(([Lucro Líquido]*5%)&gt;[Teto R. Legal],[Teto R. Legal],[Lucro Líquido]*5%)</f>
        <v>-84350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56131810</v>
      </c>
      <c r="AE15" s="84">
        <f>[Capital Social]/[Total Ações]</f>
        <v>0.96397218457769307</v>
      </c>
      <c r="AF15" s="84">
        <f>Tabela3[[#This Row],[Lucro Líquido]]/Tabela3[[#This Row],[Total Ações]]</f>
        <v>-3.0054259786028634E-2</v>
      </c>
      <c r="AG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113">
        <f>SUMPRODUCT(N([Nome]=Tabela3[[#This Row],[Nome]]),[Div Base]*[Ações])</f>
        <v>0</v>
      </c>
      <c r="AM15" s="5">
        <f>[Patrimônio Líquido]/[Total Ações]</f>
        <v>5.8683302747586437E-2</v>
      </c>
      <c r="AN15" s="52">
        <f>MAX(Tabela3[[#This Row],[Cotação 1]:[Cotação 5]])</f>
        <v>0</v>
      </c>
      <c r="AO15" s="53">
        <f>[Cotação]/[VPA]</f>
        <v>0</v>
      </c>
      <c r="AP15" s="37">
        <f>IF(Tabela3[[#This Row],[Lucro/Ação]]&gt;0,Tabela3[[#This Row],[Cotação]]/(Tabela3[[#This Row],[Lucro/Ação]]/[Ref]*4),0)</f>
        <v>0</v>
      </c>
      <c r="AQ15" s="84">
        <f>[Lucro Distribuir]/[Total Ações]</f>
        <v>0</v>
      </c>
      <c r="AR1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0</v>
      </c>
      <c r="BB15" s="7">
        <f>SUMPRODUCT(N(Tabela17683[Código]=Tabela3[[#This Row],[PAPEL]]),Tabela17683[Fechamento])</f>
        <v>0</v>
      </c>
    </row>
    <row r="16" spans="1:60" ht="11.25" customHeight="1">
      <c r="A16" s="4" t="s">
        <v>641</v>
      </c>
      <c r="B16" s="57" t="s">
        <v>642</v>
      </c>
      <c r="C16" s="15" t="str">
        <f>LEFT([PAPEL],LEN([PAPEL])-(LEN([PAPEL])-4))</f>
        <v>FHER</v>
      </c>
      <c r="D16" s="15">
        <v>3</v>
      </c>
      <c r="E16" s="6">
        <v>448746223.56</v>
      </c>
      <c r="F16" s="8">
        <v>48471407</v>
      </c>
      <c r="G16" s="85">
        <v>0.25</v>
      </c>
      <c r="H16" s="15"/>
      <c r="I16" s="19"/>
      <c r="J16" s="19"/>
      <c r="K16" s="87"/>
      <c r="L16" s="87"/>
      <c r="M16" s="55"/>
      <c r="N16" s="55"/>
      <c r="O16" s="55"/>
      <c r="P16" s="91">
        <v>417901000</v>
      </c>
      <c r="Q16" s="92">
        <v>-53244000</v>
      </c>
      <c r="R16" s="92">
        <f>IF(Tabela3[[#This Row],[Ativo || Passivo]]&gt;0,Tabela3[[#This Row],[Ativo || Passivo]]-Tabela3[[#This Row],[Patrimônio Líquido]],0)</f>
        <v>0</v>
      </c>
      <c r="S16" s="92">
        <f>Tabela3[[#This Row],[Cotação]]*Tabela3[[#This Row],[Total Ações]]</f>
        <v>0</v>
      </c>
      <c r="T16" s="40">
        <f>IF(Tabela3[[#This Row],[Passivo Circulante]]&gt;0,Tabela3[[#This Row],[Ativo Circulante]]/Tabela3[[#This Row],[Passivo Circulante]],0)</f>
        <v>0</v>
      </c>
      <c r="U1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" s="19">
        <f>IF(Tabela3[[#This Row],[Lucro Líquido]]&gt;0,Tabela3[[#This Row],[Lucro Líquido]]/Tabela3[[#This Row],[Patrimônio Líquido]],0)/Tabela3[[#This Row],[Ref]]*4</f>
        <v>0</v>
      </c>
      <c r="W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" s="19">
        <f>IF(Tabela3[[#This Row],[Dívida]]&gt;0,Tabela3[[#This Row],[Dívida]]/Tabela3[[#This Row],[Patrimônio Líquido]],0)</f>
        <v>0</v>
      </c>
      <c r="Y16" s="19">
        <f>SUMPRODUCT(N([Dívida / PL]&gt;0),N(RIGHT([PAPEL],LEN([PAPEL])-(LEN([PAPEL])-1))="3"),[Dívida / PL])/SUMPRODUCT(N([Dívida / PL]&gt;0),N(RIGHT([PAPEL],LEN([PAPEL])-(LEN([PAPEL])-1))="3"))</f>
        <v>2.2435702141443779</v>
      </c>
      <c r="Z16" s="13">
        <f>Tabela3[[#This Row],[Capital Social]]*20%</f>
        <v>89749244.712000012</v>
      </c>
      <c r="AA16" s="13">
        <f>IF(([Lucro Líquido]*5%)&gt;[Teto R. Legal],[Teto R. Legal],[Lucro Líquido]*5%)</f>
        <v>-2662200</v>
      </c>
      <c r="AB16" s="13">
        <f>IF([Lucro Líquido]&lt;0,0,[Lucro Líquido]-[Reserva Legal])</f>
        <v>0</v>
      </c>
      <c r="AC16" s="13">
        <f>Tabela3[[#This Row],[Lucro Distribuir]]*[%Div]</f>
        <v>0</v>
      </c>
      <c r="AD16" s="56">
        <f>SUMPRODUCT(N([Nome]=Tabela3[[#This Row],[Nome]]),[Ações])</f>
        <v>48471407</v>
      </c>
      <c r="AE16" s="6">
        <f>[Capital Social]/[Total Ações]</f>
        <v>9.2579574502551569</v>
      </c>
      <c r="AF16" s="77">
        <f>Tabela3[[#This Row],[Lucro Líquido]]/Tabela3[[#This Row],[Total Ações]]</f>
        <v>-1.098462027314371</v>
      </c>
      <c r="AG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13">
        <f>[Div Base]*[Ações]</f>
        <v>0</v>
      </c>
      <c r="AL16" s="13">
        <f>SUMPRODUCT(N([Nome]=Tabela3[[#This Row],[Nome]]),[Div Base]*[Ações])</f>
        <v>0</v>
      </c>
      <c r="AM16" s="6">
        <f>[Patrimônio Líquido]/[Total Ações]</f>
        <v>8.6215982960841231</v>
      </c>
      <c r="AN16" s="48">
        <f>MAX(Tabela3[[#This Row],[Cotação 1]:[Cotação 5]])</f>
        <v>0</v>
      </c>
      <c r="AO16" s="44">
        <f>[Cotação]/[VPA]</f>
        <v>0</v>
      </c>
      <c r="AP16" s="40">
        <f>IF(Tabela3[[#This Row],[Lucro/Ação]]&gt;0,Tabela3[[#This Row],[Cotação]]/(Tabela3[[#This Row],[Lucro/Ação]]/[Ref]*4),0)</f>
        <v>0</v>
      </c>
      <c r="AQ16" s="77">
        <f>[Lucro Distribuir]/[Total Ações]</f>
        <v>0</v>
      </c>
      <c r="AR1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4" t="str">
        <f>IF(AND([% A.A.]&gt;=5%,SUMPRODUCT(N([Nome]=Tabela3[[#This Row],[Nome]]),[PL])&gt;0,[Rentabilidade s/ PL]&gt;=[Rentabilidade s/ PL Média]),"Sim","Não")</f>
        <v>Não</v>
      </c>
      <c r="AT16" s="42">
        <f>IF([Cotação]&gt;0,Tabela3[[#This Row],[Lucro]]/Tabela3[[#This Row],[Cotação]],0)</f>
        <v>0</v>
      </c>
      <c r="AU16" s="42">
        <f>((1+Tabela3[[#This Row],[% Yield]])^(1/(3*Tabela3[[#This Row],[Ref]])))^(12)-1</f>
        <v>0</v>
      </c>
      <c r="AV16" s="14">
        <f>IF([Cotação]&gt;0,($BH$1/Tabela3[[#This Row],[Cotação]]-MOD($BH$1/Tabela3[[#This Row],[Cotação]],100)),)</f>
        <v>0</v>
      </c>
      <c r="AW16" s="17">
        <f>Tabela3[[#This Row],[Ativos]]*[Lucro]</f>
        <v>0</v>
      </c>
      <c r="AX16" s="17">
        <f>SUMPRODUCT(N(Tabela1[Código]=Tabela3[[#This Row],[PAPEL]]),Tabela1[Fechamento])</f>
        <v>0</v>
      </c>
      <c r="AY16" s="17">
        <f>SUMPRODUCT(N(Tabela17[Código]=Tabela3[[#This Row],[PAPEL]]),Tabela17[Fechamento])</f>
        <v>0</v>
      </c>
      <c r="AZ16" s="17">
        <f>SUMPRODUCT(N(Tabela176[Código]=Tabela3[[#This Row],[PAPEL]]),Tabela176[Fechamento])</f>
        <v>0</v>
      </c>
      <c r="BA16" s="17">
        <f>SUMPRODUCT(N(Tabela1768[Código]=Tabela3[[#This Row],[PAPEL]]),Tabela1768[Fechamento])</f>
        <v>0</v>
      </c>
      <c r="BB16" s="7">
        <f>SUMPRODUCT(N(Tabela17683[Código]=Tabela3[[#This Row],[PAPEL]]),Tabela17683[Fechamento])</f>
        <v>0</v>
      </c>
    </row>
    <row r="17" spans="1:54" ht="11.25" customHeight="1">
      <c r="A17" s="3" t="s">
        <v>1154</v>
      </c>
      <c r="B17" s="58" t="s">
        <v>1155</v>
      </c>
      <c r="C17" s="16" t="str">
        <f>LEFT([PAPEL],LEN([PAPEL])-(LEN([PAPEL])-4))</f>
        <v>GOLL</v>
      </c>
      <c r="D17" s="16">
        <v>3</v>
      </c>
      <c r="E17" s="5">
        <v>2316461740.23</v>
      </c>
      <c r="F17" s="56">
        <v>143858204</v>
      </c>
      <c r="G17" s="80">
        <v>0.25</v>
      </c>
      <c r="H17" s="86"/>
      <c r="J17" s="18"/>
      <c r="K17" s="16"/>
      <c r="L17" s="86"/>
      <c r="M17" s="54"/>
      <c r="N17" s="54"/>
      <c r="O17" s="54"/>
      <c r="P17" s="90">
        <v>634371000</v>
      </c>
      <c r="Q17" s="73">
        <v>-705285000</v>
      </c>
      <c r="R17" s="73">
        <f>IF(Tabela3[[#This Row],[Ativo || Passivo]]&gt;0,Tabela3[[#This Row],[Ativo || Passivo]]-Tabela3[[#This Row],[Patrimônio Líquido]],0)</f>
        <v>0</v>
      </c>
      <c r="S17" s="73">
        <f>Tabela3[[#This Row],[Cotação]]*Tabela3[[#This Row],[Total Ações]]</f>
        <v>0</v>
      </c>
      <c r="T17" s="37">
        <f>IF(Tabela3[[#This Row],[Passivo Circulante]]&gt;0,Tabela3[[#This Row],[Ativo Circulante]]/Tabela3[[#This Row],[Passivo Circulante]],0)</f>
        <v>0</v>
      </c>
      <c r="U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" s="18">
        <f>IF(Tabela3[[#This Row],[Lucro Líquido]]&gt;0,Tabela3[[#This Row],[Lucro Líquido]]/Tabela3[[#This Row],[Patrimônio Líquido]],0)/Tabela3[[#This Row],[Ref]]*4</f>
        <v>0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" s="18">
        <f>IF(Tabela3[[#This Row],[Dívida]]&gt;0,Tabela3[[#This Row],[Dívida]]/Tabela3[[#This Row],[Patrimônio Líquido]],0)</f>
        <v>0</v>
      </c>
      <c r="Y17" s="18">
        <f>SUMPRODUCT(N([Dívida / PL]&gt;0),N(RIGHT([PAPEL],LEN([PAPEL])-(LEN([PAPEL])-1))="3"),[Dívida / PL])/SUMPRODUCT(N([Dívida / PL]&gt;0),N(RIGHT([PAPEL],LEN([PAPEL])-(LEN([PAPEL])-1))="3"))</f>
        <v>2.2435702141443779</v>
      </c>
      <c r="Z17" s="7">
        <f>Tabela3[[#This Row],[Capital Social]]*20%</f>
        <v>463292348.046</v>
      </c>
      <c r="AA17" s="47">
        <f>IF(([Lucro Líquido]*5%)&gt;[Teto R. Legal],[Teto R. Legal],[Lucro Líquido]*5%)</f>
        <v>-35264250</v>
      </c>
      <c r="AB17" s="47">
        <f>IF([Lucro Líquido]&lt;0,0,[Lucro Líquido]-[Reserva Legal])</f>
        <v>0</v>
      </c>
      <c r="AC17" s="47">
        <f>Tabela3[[#This Row],[Lucro Distribuir]]*[%Div]</f>
        <v>0</v>
      </c>
      <c r="AD17" s="56">
        <f>SUMPRODUCT(N([Nome]=Tabela3[[#This Row],[Nome]]),[Ações])</f>
        <v>278861326</v>
      </c>
      <c r="AE17" s="84">
        <f>[Capital Social]/[Total Ações]</f>
        <v>8.3068590881978377</v>
      </c>
      <c r="AF17" s="84">
        <f>Tabela3[[#This Row],[Lucro Líquido]]/Tabela3[[#This Row],[Total Ações]]</f>
        <v>-2.5291603182005957</v>
      </c>
      <c r="AG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" s="7">
        <f>[Div Base]*[Ações]</f>
        <v>0</v>
      </c>
      <c r="AL17" s="113">
        <f>SUMPRODUCT(N([Nome]=Tabela3[[#This Row],[Nome]]),[Div Base]*[Ações])</f>
        <v>0</v>
      </c>
      <c r="AM17" s="5">
        <f>[Patrimônio Líquido]/[Total Ações]</f>
        <v>2.2748618788393768</v>
      </c>
      <c r="AN17" s="52">
        <f>MAX(Tabela3[[#This Row],[Cotação 1]:[Cotação 5]])</f>
        <v>0</v>
      </c>
      <c r="AO17" s="53">
        <f>[Cotação]/[VPA]</f>
        <v>0</v>
      </c>
      <c r="AP17" s="37">
        <f>IF(Tabela3[[#This Row],[Lucro/Ação]]&gt;0,Tabela3[[#This Row],[Cotação]]/(Tabela3[[#This Row],[Lucro/Ação]]/[Ref]*4),0)</f>
        <v>0</v>
      </c>
      <c r="AQ17" s="84">
        <f>[Lucro Distribuir]/[Total Ações]</f>
        <v>0</v>
      </c>
      <c r="AR1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0</v>
      </c>
      <c r="AU17" s="22">
        <f>((1+Tabela3[[#This Row],[% Yield]])^(1/(3*Tabela3[[#This Row],[Ref]])))^(12)-1</f>
        <v>0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0</v>
      </c>
    </row>
    <row r="18" spans="1:54" ht="11.25" customHeight="1">
      <c r="A18" s="3" t="s">
        <v>957</v>
      </c>
      <c r="B18" s="58" t="s">
        <v>962</v>
      </c>
      <c r="C18" s="16" t="str">
        <f>LEFT([PAPEL],LEN([PAPEL])-(LEN([PAPEL])-4))</f>
        <v>GRND</v>
      </c>
      <c r="D18" s="16">
        <v>4</v>
      </c>
      <c r="E18" s="5">
        <v>1231301604.46</v>
      </c>
      <c r="F18" s="56">
        <v>300720000</v>
      </c>
      <c r="G18" s="80">
        <v>0.25</v>
      </c>
      <c r="H18" s="86"/>
      <c r="J18" s="18"/>
      <c r="K18" s="16"/>
      <c r="L18" s="86"/>
      <c r="M18" s="54">
        <v>2285211000</v>
      </c>
      <c r="N18" s="54">
        <v>1572896000</v>
      </c>
      <c r="O18" s="54">
        <v>208161000</v>
      </c>
      <c r="P18" s="5">
        <v>2060734000</v>
      </c>
      <c r="Q18" s="73">
        <v>433540000</v>
      </c>
      <c r="R18" s="73">
        <f>IF(Tabela3[[#This Row],[Ativo || Passivo]]&gt;0,Tabela3[[#This Row],[Ativo || Passivo]]-Tabela3[[#This Row],[Patrimônio Líquido]],0)</f>
        <v>224477000</v>
      </c>
      <c r="S18" s="73">
        <f>Tabela3[[#This Row],[Cotação]]*Tabela3[[#This Row],[Total Ações]]</f>
        <v>0</v>
      </c>
      <c r="T18" s="37">
        <f>IF(Tabela3[[#This Row],[Passivo Circulante]]&gt;0,Tabela3[[#This Row],[Ativo Circulante]]/Tabela3[[#This Row],[Passivo Circulante]],0)</f>
        <v>7.5561512483126041</v>
      </c>
      <c r="U1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" s="18">
        <f>IF(Tabela3[[#This Row],[Lucro Líquido]]&gt;0,Tabela3[[#This Row],[Lucro Líquido]]/Tabela3[[#This Row],[Patrimônio Líquido]],0)/Tabela3[[#This Row],[Ref]]*4</f>
        <v>0.21038134955797302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" s="18">
        <f>IF(Tabela3[[#This Row],[Dívida]]&gt;0,Tabela3[[#This Row],[Dívida]]/Tabela3[[#This Row],[Patrimônio Líquido]],0)</f>
        <v>0.10893060433806595</v>
      </c>
      <c r="Y18" s="18">
        <f>SUMPRODUCT(N([Dívida / PL]&gt;0),N(RIGHT([PAPEL],LEN([PAPEL])-(LEN([PAPEL])-1))="3"),[Dívida / PL])/SUMPRODUCT(N([Dívida / PL]&gt;0),N(RIGHT([PAPEL],LEN([PAPEL])-(LEN([PAPEL])-1))="3"))</f>
        <v>2.2435702141443779</v>
      </c>
      <c r="Z18" s="7">
        <f>Tabela3[[#This Row],[Capital Social]]*20%</f>
        <v>246260320.89200002</v>
      </c>
      <c r="AA18" s="47">
        <f>IF(([Lucro Líquido]*5%)&gt;[Teto R. Legal],[Teto R. Legal],[Lucro Líquido]*5%)</f>
        <v>21677000</v>
      </c>
      <c r="AB18" s="47">
        <f>IF([Lucro Líquido]&lt;0,0,[Lucro Líquido]-[Reserva Legal])</f>
        <v>411863000</v>
      </c>
      <c r="AC18" s="47">
        <f>Tabela3[[#This Row],[Lucro Distribuir]]*[%Div]</f>
        <v>102965750</v>
      </c>
      <c r="AD18" s="56">
        <f>SUMPRODUCT(N([Nome]=Tabela3[[#This Row],[Nome]]),[Ações])</f>
        <v>300720000</v>
      </c>
      <c r="AE18" s="84">
        <f>[Capital Social]/[Total Ações]</f>
        <v>4.094511853085927</v>
      </c>
      <c r="AF18" s="84">
        <f>Tabela3[[#This Row],[Lucro Líquido]]/Tabela3[[#This Row],[Total Ações]]</f>
        <v>1.4416733173716414</v>
      </c>
      <c r="AG1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1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18" s="7">
        <f>[Div Base]*[Ações]</f>
        <v>102965749.99999999</v>
      </c>
      <c r="AL18" s="7">
        <f>SUMPRODUCT(N([Nome]=Tabela3[[#This Row],[Nome]]),[Div Base]*[Ações])</f>
        <v>102965749.99999999</v>
      </c>
      <c r="AM18" s="5">
        <f>[Patrimônio Líquido]/[Total Ações]</f>
        <v>6.8526669326948655</v>
      </c>
      <c r="AN18" s="52">
        <f>MAX(Tabela3[[#This Row],[Cotação 1]:[Cotação 5]])</f>
        <v>0</v>
      </c>
      <c r="AO18" s="53">
        <f>[Cotação]/[VPA]</f>
        <v>0</v>
      </c>
      <c r="AP18" s="37">
        <f>IF(Tabela3[[#This Row],[Lucro/Ação]]&gt;0,Tabela3[[#This Row],[Cotação]]/(Tabela3[[#This Row],[Lucro/Ação]]/[Ref]*4),0)</f>
        <v>0</v>
      </c>
      <c r="AQ18" s="84">
        <f>[Lucro Distribuir]/[Total Ações]</f>
        <v>1.3695896515030592</v>
      </c>
      <c r="AR18" s="84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0</v>
      </c>
      <c r="AU18" s="22">
        <f>((1+Tabela3[[#This Row],[% Yield]])^(1/(3*Tabela3[[#This Row],[Ref]])))^(12)-1</f>
        <v>0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0</v>
      </c>
      <c r="BB18" s="7">
        <f>SUMPRODUCT(N(Tabela17683[Código]=Tabela3[[#This Row],[PAPEL]]),Tabela17683[Fechamento])</f>
        <v>0</v>
      </c>
    </row>
    <row r="19" spans="1:54" ht="11.25" customHeight="1">
      <c r="A19" s="3" t="s">
        <v>288</v>
      </c>
      <c r="B19" s="58" t="s">
        <v>690</v>
      </c>
      <c r="C19" s="81" t="str">
        <f>LEFT([PAPEL],LEN([PAPEL])-(LEN([PAPEL])-4))</f>
        <v>HBTS</v>
      </c>
      <c r="D19" s="16">
        <v>3</v>
      </c>
      <c r="E19" s="6">
        <v>127181809.47</v>
      </c>
      <c r="F19" s="8">
        <v>3152764</v>
      </c>
      <c r="G19" s="85">
        <v>0.25</v>
      </c>
      <c r="H19" s="19"/>
      <c r="I19" s="19"/>
      <c r="J19" s="19"/>
      <c r="K19" s="87"/>
      <c r="L19" s="87"/>
      <c r="M19" s="55"/>
      <c r="N19" s="55"/>
      <c r="O19" s="55"/>
      <c r="P19" s="5">
        <v>500173000</v>
      </c>
      <c r="Q19" s="5">
        <v>5129000</v>
      </c>
      <c r="R19" s="5">
        <f>IF(Tabela3[[#This Row],[Ativo || Passivo]]&gt;0,Tabela3[[#This Row],[Ativo || Passivo]]-Tabela3[[#This Row],[Patrimônio Líquido]],0)</f>
        <v>0</v>
      </c>
      <c r="S19" s="5">
        <f>Tabela3[[#This Row],[Cotação]]*Tabela3[[#This Row],[Total Ações]]</f>
        <v>0</v>
      </c>
      <c r="T19" s="119">
        <f>IF(Tabela3[[#This Row],[Passivo Circulante]]&gt;0,Tabela3[[#This Row],[Ativo Circulante]]/Tabela3[[#This Row],[Passivo Circulante]],0)</f>
        <v>0</v>
      </c>
      <c r="U1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" s="18">
        <f>IF(Tabela3[[#This Row],[Lucro Líquido]]&gt;0,Tabela3[[#This Row],[Lucro Líquido]]/Tabela3[[#This Row],[Patrimônio Líquido]],0)/Tabela3[[#This Row],[Ref]]*4</f>
        <v>1.3672602612829295E-2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2.2435702141443779</v>
      </c>
      <c r="Z19" s="6">
        <f>Tabela3[[#This Row],[Capital Social]]*20%</f>
        <v>25436361.894000001</v>
      </c>
      <c r="AA19" s="6">
        <f>IF(([Lucro Líquido]*5%)&gt;[Teto R. Legal],[Teto R. Legal],[Lucro Líquido]*5%)</f>
        <v>256450</v>
      </c>
      <c r="AB19" s="88">
        <f>IF([Lucro Líquido]&lt;0,0,[Lucro Líquido]-[Reserva Legal])</f>
        <v>4872550</v>
      </c>
      <c r="AC19" s="88">
        <f>Tabela3[[#This Row],[Lucro Distribuir]]*[%Div]</f>
        <v>1218137.5</v>
      </c>
      <c r="AD19" s="56">
        <f>SUMPRODUCT(N([Nome]=Tabela3[[#This Row],[Nome]]),[Ações])</f>
        <v>9133687</v>
      </c>
      <c r="AE19" s="6">
        <f>[Capital Social]/[Total Ações]</f>
        <v>13.924476443083718</v>
      </c>
      <c r="AF19" s="77">
        <f>Tabela3[[#This Row],[Lucro Líquido]]/Tabela3[[#This Row],[Total Ações]]</f>
        <v>0.56154759846708124</v>
      </c>
      <c r="AG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19" s="6">
        <f>[Div Base]*[Ações]</f>
        <v>407393.80453804228</v>
      </c>
      <c r="AL19" s="6">
        <f>SUMPRODUCT(N([Nome]=Tabela3[[#This Row],[Nome]]),[Div Base]*[Ações])</f>
        <v>1257520.8920246577</v>
      </c>
      <c r="AM19" s="6">
        <f>[Patrimônio Líquido]/[Total Ações]</f>
        <v>54.761346650043954</v>
      </c>
      <c r="AN19" s="48">
        <f>MAX(Tabela3[[#This Row],[Cotação 1]:[Cotação 5]])</f>
        <v>0</v>
      </c>
      <c r="AO19" s="44">
        <f>[Cotação]/[VPA]</f>
        <v>0</v>
      </c>
      <c r="AP19" s="40">
        <f>IF(Tabela3[[#This Row],[Lucro/Ação]]&gt;0,Tabela3[[#This Row],[Cotação]]/(Tabela3[[#This Row],[Lucro/Ação]]/[Ref]*4),0)</f>
        <v>0</v>
      </c>
      <c r="AQ19" s="77">
        <f>[Lucro Distribuir]/[Total Ações]</f>
        <v>0.53347021854372723</v>
      </c>
      <c r="AR19" s="77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19" s="15" t="str">
        <f>IF(AND([% A.A.]&gt;=5%,SUMPRODUCT(N([Nome]=Tabela3[[#This Row],[Nome]]),[PL])&gt;0,[Rentabilidade s/ PL]&gt;=[Rentabilidade s/ PL Média]),"Sim","Não")</f>
        <v>Não</v>
      </c>
      <c r="AT19" s="42">
        <f>IF([Cotação]&gt;0,Tabela3[[#This Row],[Lucro]]/Tabela3[[#This Row],[Cotação]],0)</f>
        <v>0</v>
      </c>
      <c r="AU19" s="19">
        <f>((1+Tabela3[[#This Row],[% Yield]])^(1/(3*Tabela3[[#This Row],[Ref]])))^(12)-1</f>
        <v>0</v>
      </c>
      <c r="AV19" s="14">
        <f>IF([Cotação]&gt;0,($BH$1/Tabela3[[#This Row],[Cotação]]-MOD($BH$1/Tabela3[[#This Row],[Cotação]],100)),)</f>
        <v>0</v>
      </c>
      <c r="AW19" s="17">
        <f>Tabela3[[#This Row],[Ativos]]*[Lucro]</f>
        <v>0</v>
      </c>
      <c r="AX19" s="5">
        <f>SUMPRODUCT(N(Tabela1[Código]=Tabela3[[#This Row],[PAPEL]]),Tabela1[Fechamento])</f>
        <v>0</v>
      </c>
      <c r="AY19" s="5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0</v>
      </c>
      <c r="BB19" s="7">
        <f>SUMPRODUCT(N(Tabela17683[Código]=Tabela3[[#This Row],[PAPEL]]),Tabela17683[Fechamento])</f>
        <v>0</v>
      </c>
    </row>
    <row r="20" spans="1:54" ht="11.25" customHeight="1">
      <c r="A20" s="3" t="s">
        <v>288</v>
      </c>
      <c r="B20" s="58" t="s">
        <v>691</v>
      </c>
      <c r="C20" s="82" t="str">
        <f>LEFT([PAPEL],LEN([PAPEL])-(LEN([PAPEL])-4))</f>
        <v>HBTS</v>
      </c>
      <c r="D20" s="16">
        <v>3</v>
      </c>
      <c r="E20" s="6">
        <v>127181809.47</v>
      </c>
      <c r="F20" s="56">
        <v>30596</v>
      </c>
      <c r="G20" s="80">
        <v>0.25</v>
      </c>
      <c r="H20" s="16"/>
      <c r="J20" s="18">
        <v>0.1</v>
      </c>
      <c r="K20" s="86"/>
      <c r="L20" s="86"/>
      <c r="M20" s="54"/>
      <c r="N20" s="54"/>
      <c r="O20" s="54"/>
      <c r="P20" s="5">
        <v>500173000</v>
      </c>
      <c r="Q20" s="5">
        <v>5129000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0</v>
      </c>
      <c r="T20" s="119">
        <f>IF(Tabela3[[#This Row],[Passivo Circulante]]&gt;0,Tabela3[[#This Row],[Ativo Circulante]]/Tabela3[[#This Row],[Passivo Circulante]],0)</f>
        <v>0</v>
      </c>
      <c r="U2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" s="18">
        <f>IF(Tabela3[[#This Row],[Lucro Líquido]]&gt;0,Tabela3[[#This Row],[Lucro Líquido]]/Tabela3[[#This Row],[Patrimônio Líquido]],0)/Tabela3[[#This Row],[Ref]]*4</f>
        <v>1.3672602612829295E-2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2.2435702141443779</v>
      </c>
      <c r="Z20" s="5">
        <f>Tabela3[[#This Row],[Capital Social]]*20%</f>
        <v>25436361.894000001</v>
      </c>
      <c r="AA20" s="5">
        <f>IF(([Lucro Líquido]*5%)&gt;[Teto R. Legal],[Teto R. Legal],[Lucro Líquido]*5%)</f>
        <v>256450</v>
      </c>
      <c r="AB20" s="5">
        <f>IF([Lucro Líquido]&lt;0,0,[Lucro Líquido]-[Reserva Legal])</f>
        <v>4872550</v>
      </c>
      <c r="AC20" s="5">
        <f>Tabela3[[#This Row],[Lucro Distribuir]]*[%Div]</f>
        <v>1218137.5</v>
      </c>
      <c r="AD20" s="56">
        <f>SUMPRODUCT(N([Nome]=Tabela3[[#This Row],[Nome]]),[Ações])</f>
        <v>9133687</v>
      </c>
      <c r="AE20" s="5">
        <f>[Capital Social]/[Total Ações]</f>
        <v>13.924476443083718</v>
      </c>
      <c r="AF20" s="76">
        <f>Tabela3[[#This Row],[Lucro Líquido]]/Tabela3[[#This Row],[Total Ações]]</f>
        <v>0.56154759846708124</v>
      </c>
      <c r="AG2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0" s="5">
        <f>[Div Base]*[Ações]</f>
        <v>4348.9087501612184</v>
      </c>
      <c r="AL20" s="5">
        <f>SUMPRODUCT(N([Nome]=Tabela3[[#This Row],[Nome]]),[Div Base]*[Ações])</f>
        <v>1257520.8920246577</v>
      </c>
      <c r="AM20" s="5">
        <f>[Patrimônio Líquido]/[Total Ações]</f>
        <v>54.761346650043954</v>
      </c>
      <c r="AN20" s="52">
        <f>MAX(Tabela3[[#This Row],[Cotação 1]:[Cotação 5]])</f>
        <v>0</v>
      </c>
      <c r="AO20" s="53">
        <f>[Cotação]/[VPA]</f>
        <v>0</v>
      </c>
      <c r="AP20" s="37">
        <f>IF(Tabela3[[#This Row],[Lucro/Ação]]&gt;0,Tabela3[[#This Row],[Cotação]]/(Tabela3[[#This Row],[Lucro/Ação]]/[Ref]*4),0)</f>
        <v>0</v>
      </c>
      <c r="AQ20" s="76">
        <f>[Lucro Distribuir]/[Total Ações]</f>
        <v>0.53347021854372723</v>
      </c>
      <c r="AR20" s="76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0</v>
      </c>
      <c r="AU20" s="18">
        <f>((1+Tabela3[[#This Row],[% Yield]])^(1/(3*Tabela3[[#This Row],[Ref]])))^(12)-1</f>
        <v>0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0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t="11.25" customHeight="1">
      <c r="A21" s="3" t="s">
        <v>996</v>
      </c>
      <c r="B21" s="58" t="s">
        <v>1005</v>
      </c>
      <c r="C21" s="16" t="str">
        <f>LEFT([PAPEL],LEN([PAPEL])-(LEN([PAPEL])-4))</f>
        <v>LHER</v>
      </c>
      <c r="D21" s="16">
        <v>3</v>
      </c>
      <c r="E21" s="5">
        <v>17359611.57</v>
      </c>
      <c r="F21" s="56">
        <v>46272</v>
      </c>
      <c r="G21" s="80">
        <v>0.25</v>
      </c>
      <c r="H21" s="86"/>
      <c r="J21" s="18"/>
      <c r="K21" s="16"/>
      <c r="L21" s="86"/>
      <c r="M21" s="54"/>
      <c r="N21" s="54"/>
      <c r="O21" s="54"/>
      <c r="P21" s="90">
        <v>4004000</v>
      </c>
      <c r="Q21" s="73">
        <v>130000</v>
      </c>
      <c r="R21" s="73">
        <f>IF(Tabela3[[#This Row],[Ativo || Passivo]]&gt;0,Tabela3[[#This Row],[Ativo || Passivo]]-Tabela3[[#This Row],[Patrimônio Líquido]],0)</f>
        <v>0</v>
      </c>
      <c r="S21" s="73">
        <f>Tabela3[[#This Row],[Cotação]]*Tabela3[[#This Row],[Total Ações]]</f>
        <v>0</v>
      </c>
      <c r="T21" s="37">
        <f>IF(Tabela3[[#This Row],[Passivo Circulante]]&gt;0,Tabela3[[#This Row],[Ativo Circulante]]/Tabela3[[#This Row],[Passivo Circulante]],0)</f>
        <v>0</v>
      </c>
      <c r="U2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" s="18">
        <f>IF(Tabela3[[#This Row],[Lucro Líquido]]&gt;0,Tabela3[[#This Row],[Lucro Líquido]]/Tabela3[[#This Row],[Patrimônio Líquido]],0)/Tabela3[[#This Row],[Ref]]*4</f>
        <v>4.3290043290043288E-2</v>
      </c>
      <c r="W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" s="18">
        <f>IF(Tabela3[[#This Row],[Dívida]]&gt;0,Tabela3[[#This Row],[Dívida]]/Tabela3[[#This Row],[Patrimônio Líquido]],0)</f>
        <v>0</v>
      </c>
      <c r="Y21" s="18">
        <f>SUMPRODUCT(N([Dívida / PL]&gt;0),N(RIGHT([PAPEL],LEN([PAPEL])-(LEN([PAPEL])-1))="3"),[Dívida / PL])/SUMPRODUCT(N([Dívida / PL]&gt;0),N(RIGHT([PAPEL],LEN([PAPEL])-(LEN([PAPEL])-1))="3"))</f>
        <v>2.2435702141443779</v>
      </c>
      <c r="Z21" s="7">
        <f>Tabela3[[#This Row],[Capital Social]]*20%</f>
        <v>3471922.3140000002</v>
      </c>
      <c r="AA21" s="47">
        <f>IF(([Lucro Líquido]*5%)&gt;[Teto R. Legal],[Teto R. Legal],[Lucro Líquido]*5%)</f>
        <v>6500</v>
      </c>
      <c r="AB21" s="47">
        <f>IF([Lucro Líquido]&lt;0,0,[Lucro Líquido]-[Reserva Legal])</f>
        <v>123500</v>
      </c>
      <c r="AC21" s="47">
        <f>Tabela3[[#This Row],[Lucro Distribuir]]*[%Div]</f>
        <v>30875</v>
      </c>
      <c r="AD21" s="56">
        <f>SUMPRODUCT(N([Nome]=Tabela3[[#This Row],[Nome]]),[Ações])</f>
        <v>131055</v>
      </c>
      <c r="AE21" s="84">
        <f>[Capital Social]/[Total Ações]</f>
        <v>132.46050566556028</v>
      </c>
      <c r="AF21" s="84">
        <f>Tabela3[[#This Row],[Lucro Líquido]]/Tabela3[[#This Row],[Total Ações]]</f>
        <v>0.99194994467971465</v>
      </c>
      <c r="AG2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2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21" s="7">
        <f>[Div Base]*[Ações]</f>
        <v>10901.133112052192</v>
      </c>
      <c r="AL21" s="113">
        <f>SUMPRODUCT(N([Nome]=Tabela3[[#This Row],[Nome]]),[Div Base]*[Ações])</f>
        <v>30875</v>
      </c>
      <c r="AM21" s="5">
        <f>[Patrimônio Líquido]/[Total Ações]</f>
        <v>30.552058296135211</v>
      </c>
      <c r="AN21" s="52">
        <f>MAX(Tabela3[[#This Row],[Cotação 1]:[Cotação 5]])</f>
        <v>0</v>
      </c>
      <c r="AO21" s="53">
        <f>[Cotação]/[VPA]</f>
        <v>0</v>
      </c>
      <c r="AP21" s="37">
        <f>IF(Tabela3[[#This Row],[Lucro/Ação]]&gt;0,Tabela3[[#This Row],[Cotação]]/(Tabela3[[#This Row],[Lucro/Ação]]/[Ref]*4),0)</f>
        <v>0</v>
      </c>
      <c r="AQ21" s="84">
        <f>[Lucro Distribuir]/[Total Ações]</f>
        <v>0.94235244744572888</v>
      </c>
      <c r="AR21" s="84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21" s="10" t="str">
        <f>IF(AND([% A.A.]&gt;=5%,SUMPRODUCT(N([Nome]=Tabela3[[#This Row],[Nome]]),[PL])&gt;0,[Rentabilidade s/ PL]&gt;=[Rentabilidade s/ PL Média]),"Sim","Não")</f>
        <v>Não</v>
      </c>
      <c r="AT21" s="22">
        <f>IF([Cotação]&gt;0,Tabela3[[#This Row],[Lucro]]/Tabela3[[#This Row],[Cotação]],0)</f>
        <v>0</v>
      </c>
      <c r="AU21" s="22">
        <f>((1+Tabela3[[#This Row],[% Yield]])^(1/(3*Tabela3[[#This Row],[Ref]])))^(12)-1</f>
        <v>0</v>
      </c>
      <c r="AV21" s="10">
        <f>IF([Cotação]&gt;0,($BH$1/Tabela3[[#This Row],[Cotação]]-MOD($BH$1/Tabela3[[#This Row],[Cotação]],100)),)</f>
        <v>0</v>
      </c>
      <c r="AW21" s="7">
        <f>Tabela3[[#This Row],[Ativos]]*[Lucro]</f>
        <v>0</v>
      </c>
      <c r="AX21" s="7">
        <f>SUMPRODUCT(N(Tabela1[Código]=Tabela3[[#This Row],[PAPEL]]),Tabela1[Fechamento])</f>
        <v>0</v>
      </c>
      <c r="AY21" s="7">
        <f>SUMPRODUCT(N(Tabela17[Código]=Tabela3[[#This Row],[PAPEL]]),Tabela17[Fechamento])</f>
        <v>0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customHeight="1">
      <c r="A22" s="3" t="s">
        <v>1085</v>
      </c>
      <c r="B22" s="57" t="s">
        <v>1070</v>
      </c>
      <c r="C22" s="16" t="str">
        <f>LEFT([PAPEL],LEN([PAPEL])-(LEN([PAPEL])-4))</f>
        <v>MEND</v>
      </c>
      <c r="D22" s="16">
        <v>3</v>
      </c>
      <c r="E22" s="5">
        <v>1521400000</v>
      </c>
      <c r="F22" s="56">
        <v>6976765</v>
      </c>
      <c r="G22" s="80">
        <v>0.25</v>
      </c>
      <c r="H22" s="86"/>
      <c r="J22" s="18"/>
      <c r="K22" s="16"/>
      <c r="L22" s="86"/>
      <c r="M22" s="54"/>
      <c r="N22" s="54"/>
      <c r="O22" s="54"/>
      <c r="P22" s="90">
        <v>3544023000</v>
      </c>
      <c r="Q22" s="73">
        <v>-229886000</v>
      </c>
      <c r="R22" s="73">
        <f>IF(Tabela3[[#This Row],[Ativo || Passivo]]&gt;0,Tabela3[[#This Row],[Ativo || Passivo]]-Tabela3[[#This Row],[Patrimônio Líquido]],0)</f>
        <v>0</v>
      </c>
      <c r="S22" s="73">
        <f>Tabela3[[#This Row],[Cotação]]*Tabela3[[#This Row],[Total Ações]]</f>
        <v>0</v>
      </c>
      <c r="T22" s="37">
        <f>IF(Tabela3[[#This Row],[Passivo Circulante]]&gt;0,Tabela3[[#This Row],[Ativo Circulante]]/Tabela3[[#This Row],[Passivo Circulante]],0)</f>
        <v>0</v>
      </c>
      <c r="U2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" s="18">
        <f>IF(Tabela3[[#This Row],[Lucro Líquido]]&gt;0,Tabela3[[#This Row],[Lucro Líquido]]/Tabela3[[#This Row],[Patrimônio Líquido]],0)/Tabela3[[#This Row],[Ref]]*4</f>
        <v>0</v>
      </c>
      <c r="W2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" s="18">
        <f>IF(Tabela3[[#This Row],[Dívida]]&gt;0,Tabela3[[#This Row],[Dívida]]/Tabela3[[#This Row],[Patrimônio Líquido]],0)</f>
        <v>0</v>
      </c>
      <c r="Y22" s="18">
        <f>SUMPRODUCT(N([Dívida / PL]&gt;0),N(RIGHT([PAPEL],LEN([PAPEL])-(LEN([PAPEL])-1))="3"),[Dívida / PL])/SUMPRODUCT(N([Dívida / PL]&gt;0),N(RIGHT([PAPEL],LEN([PAPEL])-(LEN([PAPEL])-1))="3"))</f>
        <v>2.2435702141443779</v>
      </c>
      <c r="Z22" s="7">
        <f>Tabela3[[#This Row],[Capital Social]]*20%</f>
        <v>304280000</v>
      </c>
      <c r="AA22" s="47">
        <f>IF(([Lucro Líquido]*5%)&gt;[Teto R. Legal],[Teto R. Legal],[Lucro Líquido]*5%)</f>
        <v>-11494300</v>
      </c>
      <c r="AB22" s="47">
        <f>IF([Lucro Líquido]&lt;0,0,[Lucro Líquido]-[Reserva Legal])</f>
        <v>0</v>
      </c>
      <c r="AC22" s="47">
        <f>Tabela3[[#This Row],[Lucro Distribuir]]*[%Div]</f>
        <v>0</v>
      </c>
      <c r="AD22" s="56">
        <f>SUMPRODUCT(N([Nome]=Tabela3[[#This Row],[Nome]]),[Ações])</f>
        <v>10309388</v>
      </c>
      <c r="AE22" s="84">
        <f>[Capital Social]/[Total Ações]</f>
        <v>147.57423040048545</v>
      </c>
      <c r="AF22" s="84">
        <f>Tabela3[[#This Row],[Lucro Líquido]]/Tabela3[[#This Row],[Total Ações]]</f>
        <v>-22.298704830975417</v>
      </c>
      <c r="AG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" s="7">
        <f>[Div Base]*[Ações]</f>
        <v>0</v>
      </c>
      <c r="AL22" s="113">
        <f>SUMPRODUCT(N([Nome]=Tabela3[[#This Row],[Nome]]),[Div Base]*[Ações])</f>
        <v>0</v>
      </c>
      <c r="AM22" s="5">
        <f>[Patrimônio Líquido]/[Total Ações]</f>
        <v>343.76657469871151</v>
      </c>
      <c r="AN22" s="52">
        <f>MAX(Tabela3[[#This Row],[Cotação 1]:[Cotação 5]])</f>
        <v>0</v>
      </c>
      <c r="AO22" s="53">
        <f>[Cotação]/[VPA]</f>
        <v>0</v>
      </c>
      <c r="AP22" s="37">
        <f>IF(Tabela3[[#This Row],[Lucro/Ação]]&gt;0,Tabela3[[#This Row],[Cotação]]/(Tabela3[[#This Row],[Lucro/Ação]]/[Ref]*4),0)</f>
        <v>0</v>
      </c>
      <c r="AQ22" s="84">
        <f>[Lucro Distribuir]/[Total Ações]</f>
        <v>0</v>
      </c>
      <c r="AR2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" s="10" t="str">
        <f>IF(AND([% A.A.]&gt;=5%,SUMPRODUCT(N([Nome]=Tabela3[[#This Row],[Nome]]),[PL])&gt;0,[Rentabilidade s/ PL]&gt;=[Rentabilidade s/ PL Média]),"Sim","Não")</f>
        <v>Não</v>
      </c>
      <c r="AT22" s="22">
        <f>IF([Cotação]&gt;0,Tabela3[[#This Row],[Lucro]]/Tabela3[[#This Row],[Cotação]],0)</f>
        <v>0</v>
      </c>
      <c r="AU22" s="22">
        <f>((1+Tabela3[[#This Row],[% Yield]])^(1/(3*Tabela3[[#This Row],[Ref]])))^(12)-1</f>
        <v>0</v>
      </c>
      <c r="AV22" s="10">
        <f>IF([Cotação]&gt;0,($BH$1/Tabela3[[#This Row],[Cotação]]-MOD($BH$1/Tabela3[[#This Row],[Cotação]],100)),)</f>
        <v>0</v>
      </c>
      <c r="AW22" s="7">
        <f>Tabela3[[#This Row],[Ativos]]*[Lucro]</f>
        <v>0</v>
      </c>
      <c r="AX22" s="7">
        <f>SUMPRODUCT(N(Tabela1[Código]=Tabela3[[#This Row],[PAPEL]]),Tabela1[Fechamento])</f>
        <v>0</v>
      </c>
      <c r="AY22" s="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customHeight="1">
      <c r="A23" s="3" t="s">
        <v>335</v>
      </c>
      <c r="B23" s="58" t="s">
        <v>716</v>
      </c>
      <c r="C23" s="15" t="str">
        <f>LEFT([PAPEL],LEN([PAPEL])-(LEN([PAPEL])-4))</f>
        <v>MULT</v>
      </c>
      <c r="D23" s="16">
        <v>4</v>
      </c>
      <c r="E23" s="6">
        <v>2388062147.3800001</v>
      </c>
      <c r="F23" s="8">
        <v>11858347</v>
      </c>
      <c r="G23" s="80">
        <v>0.25</v>
      </c>
      <c r="H23" s="15"/>
      <c r="I23" s="19"/>
      <c r="J23" s="19"/>
      <c r="K23" s="87"/>
      <c r="L23" s="87"/>
      <c r="M23" s="54">
        <v>5678320000</v>
      </c>
      <c r="N23" s="54">
        <v>471283000</v>
      </c>
      <c r="O23" s="54">
        <v>313058000</v>
      </c>
      <c r="P23" s="5">
        <v>3819988000</v>
      </c>
      <c r="Q23" s="5">
        <v>283942000</v>
      </c>
      <c r="R23" s="5">
        <f>IF(Tabela3[[#This Row],[Ativo || Passivo]]&gt;0,Tabela3[[#This Row],[Ativo || Passivo]]-Tabela3[[#This Row],[Patrimônio Líquido]],0)</f>
        <v>1858332000</v>
      </c>
      <c r="S23" s="5">
        <f>Tabela3[[#This Row],[Cotação]]*Tabela3[[#This Row],[Total Ações]]</f>
        <v>0</v>
      </c>
      <c r="T23" s="119">
        <f>IF(Tabela3[[#This Row],[Passivo Circulante]]&gt;0,Tabela3[[#This Row],[Ativo Circulante]]/Tabela3[[#This Row],[Passivo Circulante]],0)</f>
        <v>1.5054175264647445</v>
      </c>
      <c r="U23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" s="18">
        <f>IF(Tabela3[[#This Row],[Lucro Líquido]]&gt;0,Tabela3[[#This Row],[Lucro Líquido]]/Tabela3[[#This Row],[Patrimônio Líquido]],0)/Tabela3[[#This Row],[Ref]]*4</f>
        <v>7.4330599991413587E-2</v>
      </c>
      <c r="W2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" s="18">
        <f>IF(Tabela3[[#This Row],[Dívida]]&gt;0,Tabela3[[#This Row],[Dívida]]/Tabela3[[#This Row],[Patrimônio Líquido]],0)</f>
        <v>0.48647587374620027</v>
      </c>
      <c r="Y23" s="18">
        <f>SUMPRODUCT(N([Dívida / PL]&gt;0),N(RIGHT([PAPEL],LEN([PAPEL])-(LEN([PAPEL])-1))="3"),[Dívida / PL])/SUMPRODUCT(N([Dívida / PL]&gt;0),N(RIGHT([PAPEL],LEN([PAPEL])-(LEN([PAPEL])-1))="3"))</f>
        <v>2.2435702141443779</v>
      </c>
      <c r="Z23" s="13">
        <f>Tabela3[[#This Row],[Capital Social]]*20%</f>
        <v>477612429.47600007</v>
      </c>
      <c r="AA23" s="13">
        <f>IF(([Lucro Líquido]*5%)&gt;[Teto R. Legal],[Teto R. Legal],[Lucro Líquido]*5%)</f>
        <v>14197100</v>
      </c>
      <c r="AB23" s="13">
        <f>IF([Lucro Líquido]&lt;0,0,[Lucro Líquido]-[Reserva Legal])</f>
        <v>269744900</v>
      </c>
      <c r="AC23" s="13">
        <f>Tabela3[[#This Row],[Lucro Distribuir]]*[%Div]</f>
        <v>67436225</v>
      </c>
      <c r="AD23" s="56">
        <f>SUMPRODUCT(N([Nome]=Tabela3[[#This Row],[Nome]]),[Ações])</f>
        <v>189997214</v>
      </c>
      <c r="AE23" s="6">
        <f>[Capital Social]/[Total Ações]</f>
        <v>12.568932444346263</v>
      </c>
      <c r="AF23" s="77">
        <f>Tabela3[[#This Row],[Lucro Líquido]]/Tabela3[[#This Row],[Total Ações]]</f>
        <v>1.4944534923548931</v>
      </c>
      <c r="AG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23" s="13">
        <f>[Div Base]*[Ações]</f>
        <v>4208915.1708302153</v>
      </c>
      <c r="AL23" s="13">
        <f>SUMPRODUCT(N([Nome]=Tabela3[[#This Row],[Nome]]),[Div Base]*[Ações])</f>
        <v>67436225</v>
      </c>
      <c r="AM23" s="6">
        <f>[Patrimônio Líquido]/[Total Ações]</f>
        <v>20.105494810044952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7">
        <f>[Lucro Distribuir]/[Total Ações]</f>
        <v>1.4197308177371486</v>
      </c>
      <c r="AR23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17">
        <f>SUMPRODUCT(N(Tabela176[Código]=Tabela3[[#This Row],[PAPEL]]),Tabela176[Fechamento])</f>
        <v>0</v>
      </c>
      <c r="BA23" s="1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customHeight="1">
      <c r="A24" s="3" t="s">
        <v>905</v>
      </c>
      <c r="B24" s="58" t="s">
        <v>903</v>
      </c>
      <c r="C24" s="16" t="str">
        <f>LEFT([PAPEL],LEN([PAPEL])-(LEN([PAPEL])-4))</f>
        <v>NAFG</v>
      </c>
      <c r="D24" s="16">
        <v>3</v>
      </c>
      <c r="E24" s="5">
        <v>90000000</v>
      </c>
      <c r="F24" s="56">
        <v>5513608</v>
      </c>
      <c r="G24" s="80">
        <v>0.25</v>
      </c>
      <c r="H24" s="86"/>
      <c r="J24" s="18"/>
      <c r="K24" s="16"/>
      <c r="L24" s="86"/>
      <c r="M24" s="54"/>
      <c r="N24" s="54"/>
      <c r="O24" s="54"/>
      <c r="P24" s="90">
        <v>289903000</v>
      </c>
      <c r="Q24" s="73">
        <v>-10989000</v>
      </c>
      <c r="R24" s="73">
        <f>IF(Tabela3[[#This Row],[Ativo || Passivo]]&gt;0,Tabela3[[#This Row],[Ativo || Passivo]]-Tabela3[[#This Row],[Patrimônio Líquido]],0)</f>
        <v>0</v>
      </c>
      <c r="S24" s="73">
        <f>Tabela3[[#This Row],[Cotação]]*Tabela3[[#This Row],[Total Ações]]</f>
        <v>0</v>
      </c>
      <c r="T24" s="37">
        <f>IF(Tabela3[[#This Row],[Passivo Circulante]]&gt;0,Tabela3[[#This Row],[Ativo Circulante]]/Tabela3[[#This Row],[Passivo Circulante]],0)</f>
        <v>0</v>
      </c>
      <c r="U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" s="18">
        <f>IF(Tabela3[[#This Row],[Lucro Líquido]]&gt;0,Tabela3[[#This Row],[Lucro Líquido]]/Tabela3[[#This Row],[Patrimônio Líquido]],0)/Tabela3[[#This Row],[Ref]]*4</f>
        <v>0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" s="18">
        <f>IF(Tabela3[[#This Row],[Dívida]]&gt;0,Tabela3[[#This Row],[Dívida]]/Tabela3[[#This Row],[Patrimônio Líquido]],0)</f>
        <v>0</v>
      </c>
      <c r="Y24" s="18">
        <f>SUMPRODUCT(N([Dívida / PL]&gt;0),N(RIGHT([PAPEL],LEN([PAPEL])-(LEN([PAPEL])-1))="3"),[Dívida / PL])/SUMPRODUCT(N([Dívida / PL]&gt;0),N(RIGHT([PAPEL],LEN([PAPEL])-(LEN([PAPEL])-1))="3"))</f>
        <v>2.2435702141443779</v>
      </c>
      <c r="Z24" s="7">
        <f>Tabela3[[#This Row],[Capital Social]]*20%</f>
        <v>18000000</v>
      </c>
      <c r="AA24" s="47">
        <f>IF(([Lucro Líquido]*5%)&gt;[Teto R. Legal],[Teto R. Legal],[Lucro Líquido]*5%)</f>
        <v>-549450</v>
      </c>
      <c r="AB24" s="47">
        <f>IF([Lucro Líquido]&lt;0,0,[Lucro Líquido]-[Reserva Legal])</f>
        <v>0</v>
      </c>
      <c r="AC24" s="47">
        <f>Tabela3[[#This Row],[Lucro Distribuir]]*[%Div]</f>
        <v>0</v>
      </c>
      <c r="AD24" s="56">
        <f>SUMPRODUCT(N([Nome]=Tabela3[[#This Row],[Nome]]),[Ações])</f>
        <v>13579031</v>
      </c>
      <c r="AE24" s="84">
        <f>[Capital Social]/[Total Ações]</f>
        <v>6.6278661562816961</v>
      </c>
      <c r="AF24" s="84">
        <f>Tabela3[[#This Row],[Lucro Líquido]]/Tabela3[[#This Row],[Total Ações]]</f>
        <v>-0.80926245768199512</v>
      </c>
      <c r="AG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" s="7">
        <f>[Div Base]*[Ações]</f>
        <v>0</v>
      </c>
      <c r="AL24" s="7">
        <f>SUMPRODUCT(N([Nome]=Tabela3[[#This Row],[Nome]]),[Div Base]*[Ações])</f>
        <v>0</v>
      </c>
      <c r="AM24" s="5">
        <f>[Patrimônio Líquido]/[Total Ações]</f>
        <v>21.34931424782814</v>
      </c>
      <c r="AN24" s="52">
        <f>MAX(Tabela3[[#This Row],[Cotação 1]:[Cotação 5]])</f>
        <v>0</v>
      </c>
      <c r="AO24" s="53">
        <f>[Cotação]/[VPA]</f>
        <v>0</v>
      </c>
      <c r="AP24" s="37">
        <f>IF(Tabela3[[#This Row],[Lucro/Ação]]&gt;0,Tabela3[[#This Row],[Cotação]]/(Tabela3[[#This Row],[Lucro/Ação]]/[Ref]*4),0)</f>
        <v>0</v>
      </c>
      <c r="AQ24" s="84">
        <f>[Lucro Distribuir]/[Total Ações]</f>
        <v>0</v>
      </c>
      <c r="AR2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0</v>
      </c>
      <c r="AU24" s="22">
        <f>((1+Tabela3[[#This Row],[% Yield]])^(1/(3*Tabela3[[#This Row],[Ref]])))^(12)-1</f>
        <v>0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0</v>
      </c>
      <c r="BB24" s="7">
        <f>SUMPRODUCT(N(Tabela17683[Código]=Tabela3[[#This Row],[PAPEL]]),Tabela17683[Fechamento])</f>
        <v>0</v>
      </c>
    </row>
    <row r="25" spans="1:54" ht="11.25" customHeight="1">
      <c r="A25" s="4" t="s">
        <v>236</v>
      </c>
      <c r="B25" s="116" t="s">
        <v>577</v>
      </c>
      <c r="C25" s="15" t="str">
        <f>LEFT([PAPEL],LEN([PAPEL])-(LEN([PAPEL])-4))</f>
        <v>OGXP</v>
      </c>
      <c r="D25" s="15">
        <v>3</v>
      </c>
      <c r="E25" s="6">
        <v>9058105645.2999992</v>
      </c>
      <c r="F25" s="8">
        <v>3236016790</v>
      </c>
      <c r="G25" s="85">
        <v>1.0000000000000001E-5</v>
      </c>
      <c r="H25" s="9"/>
      <c r="I25" s="9"/>
      <c r="J25" s="19"/>
      <c r="K25" s="87"/>
      <c r="L25" s="87"/>
      <c r="M25" s="55"/>
      <c r="N25" s="55"/>
      <c r="O25" s="55"/>
      <c r="P25" s="6">
        <v>61509000</v>
      </c>
      <c r="Q25" s="92">
        <v>-7648799000</v>
      </c>
      <c r="R25" s="92">
        <f>IF(Tabela3[[#This Row],[Ativo || Passivo]]&gt;0,Tabela3[[#This Row],[Ativo || Passivo]]-Tabela3[[#This Row],[Patrimônio Líquido]],0)</f>
        <v>0</v>
      </c>
      <c r="S25" s="92">
        <f>Tabela3[[#This Row],[Cotação]]*Tabela3[[#This Row],[Total Ações]]</f>
        <v>0</v>
      </c>
      <c r="T25" s="40">
        <f>IF(Tabela3[[#This Row],[Passivo Circulante]]&gt;0,Tabela3[[#This Row],[Ativo Circulante]]/Tabela3[[#This Row],[Passivo Circulante]],0)</f>
        <v>0</v>
      </c>
      <c r="U2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" s="19">
        <f>IF(Tabela3[[#This Row],[Lucro Líquido]]&gt;0,Tabela3[[#This Row],[Lucro Líquido]]/Tabela3[[#This Row],[Patrimônio Líquido]],0)/Tabela3[[#This Row],[Ref]]*4</f>
        <v>0</v>
      </c>
      <c r="W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" s="19">
        <f>IF(Tabela3[[#This Row],[Dívida]]&gt;0,Tabela3[[#This Row],[Dívida]]/Tabela3[[#This Row],[Patrimônio Líquido]],0)</f>
        <v>0</v>
      </c>
      <c r="Y25" s="19">
        <f>SUMPRODUCT(N([Dívida / PL]&gt;0),N(RIGHT([PAPEL],LEN([PAPEL])-(LEN([PAPEL])-1))="3"),[Dívida / PL])/SUMPRODUCT(N([Dívida / PL]&gt;0),N(RIGHT([PAPEL],LEN([PAPEL])-(LEN([PAPEL])-1))="3"))</f>
        <v>2.2435702141443779</v>
      </c>
      <c r="Z25" s="13">
        <f>Tabela3[[#This Row],[Capital Social]]*20%</f>
        <v>1811621129.0599999</v>
      </c>
      <c r="AA25" s="13">
        <f>IF(([Lucro Líquido]*5%)&gt;[Teto R. Legal],[Teto R. Legal],[Lucro Líquido]*5%)</f>
        <v>-382439950</v>
      </c>
      <c r="AB25" s="13">
        <f>IF([Lucro Líquido]&lt;0,0,[Lucro Líquido]-[Reserva Legal])</f>
        <v>0</v>
      </c>
      <c r="AC25" s="13">
        <f>Tabela3[[#This Row],[Lucro Distribuir]]*[%Div]</f>
        <v>0</v>
      </c>
      <c r="AD25" s="56">
        <f>SUMPRODUCT(N([Nome]=Tabela3[[#This Row],[Nome]]),[Ações])</f>
        <v>3236016790</v>
      </c>
      <c r="AE25" s="6">
        <f>[Capital Social]/[Total Ações]</f>
        <v>2.7991528577019524</v>
      </c>
      <c r="AF25" s="77">
        <f>Tabela3[[#This Row],[Lucro Líquido]]/Tabela3[[#This Row],[Total Ações]]</f>
        <v>-2.3636462652593346</v>
      </c>
      <c r="AG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" s="13">
        <f>[Div Base]*[Ações]</f>
        <v>0</v>
      </c>
      <c r="AL25" s="13">
        <f>SUMPRODUCT(N([Nome]=Tabela3[[#This Row],[Nome]]),[Div Base]*[Ações])</f>
        <v>0</v>
      </c>
      <c r="AM25" s="6">
        <f>[Patrimônio Líquido]/[Total Ações]</f>
        <v>1.9007626965989878E-2</v>
      </c>
      <c r="AN25" s="48">
        <f>MAX(Tabela3[[#This Row],[Cotação 1]:[Cotação 5]])</f>
        <v>0</v>
      </c>
      <c r="AO25" s="44">
        <f>[Cotação]/[VPA]</f>
        <v>0</v>
      </c>
      <c r="AP25" s="40">
        <f>IF(Tabela3[[#This Row],[Lucro/Ação]]&gt;0,Tabela3[[#This Row],[Cotação]]/(Tabela3[[#This Row],[Lucro/Ação]]/[Ref]*4),0)</f>
        <v>0</v>
      </c>
      <c r="AQ25" s="77">
        <f>[Lucro Distribuir]/[Total Ações]</f>
        <v>0</v>
      </c>
      <c r="AR2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" s="14" t="str">
        <f>IF(AND([% A.A.]&gt;=5%,SUMPRODUCT(N([Nome]=Tabela3[[#This Row],[Nome]]),[PL])&gt;0,[Rentabilidade s/ PL]&gt;=[Rentabilidade s/ PL Média]),"Sim","Não")</f>
        <v>Não</v>
      </c>
      <c r="AT25" s="42">
        <f>IF([Cotação]&gt;0,Tabela3[[#This Row],[Lucro]]/Tabela3[[#This Row],[Cotação]],0)</f>
        <v>0</v>
      </c>
      <c r="AU25" s="42">
        <f>((1+Tabela3[[#This Row],[% Yield]])^(1/(3*Tabela3[[#This Row],[Ref]])))^(12)-1</f>
        <v>0</v>
      </c>
      <c r="AV25" s="14">
        <f>IF([Cotação]&gt;0,($BH$1/Tabela3[[#This Row],[Cotação]]-MOD($BH$1/Tabela3[[#This Row],[Cotação]],100)),)</f>
        <v>0</v>
      </c>
      <c r="AW25" s="17">
        <f>Tabela3[[#This Row],[Ativos]]*[Lucro]</f>
        <v>0</v>
      </c>
      <c r="AX25" s="17">
        <f>SUMPRODUCT(N(Tabela1[Código]=Tabela3[[#This Row],[PAPEL]]),Tabela1[Fechamento])</f>
        <v>0</v>
      </c>
      <c r="AY25" s="17">
        <f>SUMPRODUCT(N(Tabela17[Código]=Tabela3[[#This Row],[PAPEL]]),Tabela17[Fechamento])</f>
        <v>0</v>
      </c>
      <c r="AZ25" s="17">
        <f>SUMPRODUCT(N(Tabela176[Código]=Tabela3[[#This Row],[PAPEL]]),Tabela176[Fechamento])</f>
        <v>0</v>
      </c>
      <c r="BA25" s="17">
        <f>SUMPRODUCT(N(Tabela1768[Código]=Tabela3[[#This Row],[PAPEL]]),Tabela1768[Fechamento])</f>
        <v>0</v>
      </c>
      <c r="BB25" s="7">
        <f>SUMPRODUCT(N(Tabela17683[Código]=Tabela3[[#This Row],[PAPEL]]),Tabela17683[Fechamento])</f>
        <v>0</v>
      </c>
    </row>
    <row r="26" spans="1:54" ht="11.25" customHeight="1">
      <c r="A26" s="4" t="s">
        <v>582</v>
      </c>
      <c r="B26" s="115" t="s">
        <v>583</v>
      </c>
      <c r="C26" s="15" t="str">
        <f>LEFT([PAPEL],LEN([PAPEL])-(LEN([PAPEL])-4))</f>
        <v>OSXB</v>
      </c>
      <c r="D26" s="15">
        <v>3</v>
      </c>
      <c r="E26" s="6">
        <v>3775591929.5300002</v>
      </c>
      <c r="F26" s="8">
        <v>312563568</v>
      </c>
      <c r="G26" s="85">
        <v>1.0000000000000001E-5</v>
      </c>
      <c r="H26" s="9"/>
      <c r="I26" s="19"/>
      <c r="J26" s="19"/>
      <c r="K26" s="87"/>
      <c r="L26" s="87"/>
      <c r="M26" s="55"/>
      <c r="N26" s="55"/>
      <c r="O26" s="55"/>
      <c r="P26" s="91">
        <v>2385412000</v>
      </c>
      <c r="Q26" s="92">
        <v>-1939413000</v>
      </c>
      <c r="R26" s="92">
        <f>IF(Tabela3[[#This Row],[Ativo || Passivo]]&gt;0,Tabela3[[#This Row],[Ativo || Passivo]]-Tabela3[[#This Row],[Patrimônio Líquido]],0)</f>
        <v>0</v>
      </c>
      <c r="S26" s="92">
        <f>Tabela3[[#This Row],[Cotação]]*Tabela3[[#This Row],[Total Ações]]</f>
        <v>0</v>
      </c>
      <c r="T26" s="40">
        <f>IF(Tabela3[[#This Row],[Passivo Circulante]]&gt;0,Tabela3[[#This Row],[Ativo Circulante]]/Tabela3[[#This Row],[Passivo Circulante]],0)</f>
        <v>0</v>
      </c>
      <c r="U2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" s="19">
        <f>IF(Tabela3[[#This Row],[Lucro Líquido]]&gt;0,Tabela3[[#This Row],[Lucro Líquido]]/Tabela3[[#This Row],[Patrimônio Líquido]],0)/Tabela3[[#This Row],[Ref]]*4</f>
        <v>0</v>
      </c>
      <c r="W2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" s="19">
        <f>IF(Tabela3[[#This Row],[Dívida]]&gt;0,Tabela3[[#This Row],[Dívida]]/Tabela3[[#This Row],[Patrimônio Líquido]],0)</f>
        <v>0</v>
      </c>
      <c r="Y26" s="19">
        <f>SUMPRODUCT(N([Dívida / PL]&gt;0),N(RIGHT([PAPEL],LEN([PAPEL])-(LEN([PAPEL])-1))="3"),[Dívida / PL])/SUMPRODUCT(N([Dívida / PL]&gt;0),N(RIGHT([PAPEL],LEN([PAPEL])-(LEN([PAPEL])-1))="3"))</f>
        <v>2.2435702141443779</v>
      </c>
      <c r="Z26" s="13">
        <f>Tabela3[[#This Row],[Capital Social]]*20%</f>
        <v>755118385.90600014</v>
      </c>
      <c r="AA26" s="13">
        <f>IF(([Lucro Líquido]*5%)&gt;[Teto R. Legal],[Teto R. Legal],[Lucro Líquido]*5%)</f>
        <v>-96970650</v>
      </c>
      <c r="AB26" s="13">
        <f>IF([Lucro Líquido]&lt;0,0,[Lucro Líquido]-[Reserva Legal])</f>
        <v>0</v>
      </c>
      <c r="AC26" s="13">
        <f>Tabela3[[#This Row],[Lucro Distribuir]]*[%Div]</f>
        <v>0</v>
      </c>
      <c r="AD26" s="56">
        <f>SUMPRODUCT(N([Nome]=Tabela3[[#This Row],[Nome]]),[Ações])</f>
        <v>312563568</v>
      </c>
      <c r="AE26" s="6">
        <f>[Capital Social]/[Total Ações]</f>
        <v>12.079437004411211</v>
      </c>
      <c r="AF26" s="77">
        <f>Tabela3[[#This Row],[Lucro Líquido]]/Tabela3[[#This Row],[Total Ações]]</f>
        <v>-6.2048594223879601</v>
      </c>
      <c r="AG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" s="13">
        <f>[Div Base]*[Ações]</f>
        <v>0</v>
      </c>
      <c r="AL26" s="13">
        <f>SUMPRODUCT(N([Nome]=Tabela3[[#This Row],[Nome]]),[Div Base]*[Ações])</f>
        <v>0</v>
      </c>
      <c r="AM26" s="6">
        <f>[Patrimônio Líquido]/[Total Ações]</f>
        <v>7.6317659644837432</v>
      </c>
      <c r="AN26" s="48">
        <f>MAX(Tabela3[[#This Row],[Cotação 1]:[Cotação 5]])</f>
        <v>0</v>
      </c>
      <c r="AO26" s="44">
        <f>[Cotação]/[VPA]</f>
        <v>0</v>
      </c>
      <c r="AP26" s="40">
        <f>IF(Tabela3[[#This Row],[Lucro/Ação]]&gt;0,Tabela3[[#This Row],[Cotação]]/(Tabela3[[#This Row],[Lucro/Ação]]/[Ref]*4),0)</f>
        <v>0</v>
      </c>
      <c r="AQ26" s="77">
        <f>[Lucro Distribuir]/[Total Ações]</f>
        <v>0</v>
      </c>
      <c r="AR2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" s="14" t="str">
        <f>IF(AND([% A.A.]&gt;=5%,SUMPRODUCT(N([Nome]=Tabela3[[#This Row],[Nome]]),[PL])&gt;0,[Rentabilidade s/ PL]&gt;=[Rentabilidade s/ PL Média]),"Sim","Não")</f>
        <v>Não</v>
      </c>
      <c r="AT26" s="42">
        <f>IF([Cotação]&gt;0,Tabela3[[#This Row],[Lucro]]/Tabela3[[#This Row],[Cotação]],0)</f>
        <v>0</v>
      </c>
      <c r="AU26" s="42">
        <f>((1+Tabela3[[#This Row],[% Yield]])^(1/(3*Tabela3[[#This Row],[Ref]])))^(12)-1</f>
        <v>0</v>
      </c>
      <c r="AV26" s="14">
        <f>IF([Cotação]&gt;0,($BH$1/Tabela3[[#This Row],[Cotação]]-MOD($BH$1/Tabela3[[#This Row],[Cotação]],100)),)</f>
        <v>0</v>
      </c>
      <c r="AW26" s="17">
        <f>Tabela3[[#This Row],[Ativos]]*[Lucro]</f>
        <v>0</v>
      </c>
      <c r="AX26" s="17">
        <f>SUMPRODUCT(N(Tabela1[Código]=Tabela3[[#This Row],[PAPEL]]),Tabela1[Fechamento])</f>
        <v>0</v>
      </c>
      <c r="AY26" s="17">
        <f>SUMPRODUCT(N(Tabela17[Código]=Tabela3[[#This Row],[PAPEL]]),Tabela17[Fechamento])</f>
        <v>0</v>
      </c>
      <c r="AZ26" s="17">
        <f>SUMPRODUCT(N(Tabela176[Código]=Tabela3[[#This Row],[PAPEL]]),Tabela176[Fechamento])</f>
        <v>0</v>
      </c>
      <c r="BA26" s="17">
        <f>SUMPRODUCT(N(Tabela1768[Código]=Tabela3[[#This Row],[PAPEL]]),Tabela1768[Fechamento])</f>
        <v>0</v>
      </c>
      <c r="BB26" s="7">
        <f>SUMPRODUCT(N(Tabela17683[Código]=Tabela3[[#This Row],[PAPEL]]),Tabela17683[Fechamento])</f>
        <v>0</v>
      </c>
    </row>
    <row r="27" spans="1:54" ht="11.25" customHeight="1">
      <c r="A27" s="4" t="s">
        <v>14</v>
      </c>
      <c r="B27" s="57" t="s">
        <v>418</v>
      </c>
      <c r="C27" s="14" t="str">
        <f>LEFT([PAPEL],LEN([PAPEL])-(LEN([PAPEL])-4))</f>
        <v>PINE</v>
      </c>
      <c r="D27" s="15">
        <v>4</v>
      </c>
      <c r="E27" s="6">
        <v>1112258700.96</v>
      </c>
      <c r="F27" s="8">
        <v>65178483</v>
      </c>
      <c r="G27" s="85">
        <v>0.25</v>
      </c>
      <c r="H27" s="15"/>
      <c r="I27" s="19"/>
      <c r="J27" s="19"/>
      <c r="K27" s="87"/>
      <c r="L27" s="87"/>
      <c r="M27" s="55">
        <v>10593056000</v>
      </c>
      <c r="N27" s="55">
        <v>6775528000</v>
      </c>
      <c r="O27" s="55">
        <v>6029282000</v>
      </c>
      <c r="P27" s="6">
        <v>1272408000</v>
      </c>
      <c r="Q27" s="6">
        <v>161596000</v>
      </c>
      <c r="R27" s="6">
        <f>IF(Tabela3[[#This Row],[Ativo || Passivo]]&gt;0,Tabela3[[#This Row],[Ativo || Passivo]]-Tabela3[[#This Row],[Patrimônio Líquido]],0)</f>
        <v>9320648000</v>
      </c>
      <c r="S27" s="6">
        <f>Tabela3[[#This Row],[Cotação]]*Tabela3[[#This Row],[Total Ações]]</f>
        <v>0</v>
      </c>
      <c r="T27" s="121">
        <f>IF(Tabela3[[#This Row],[Passivo Circulante]]&gt;0,Tabela3[[#This Row],[Ativo Circulante]]/Tabela3[[#This Row],[Passivo Circulante]],0)</f>
        <v>1.1237702930465021</v>
      </c>
      <c r="U2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" s="19">
        <f>IF(Tabela3[[#This Row],[Lucro Líquido]]&gt;0,Tabela3[[#This Row],[Lucro Líquido]]/Tabela3[[#This Row],[Patrimônio Líquido]],0)/Tabela3[[#This Row],[Ref]]*4</f>
        <v>0.12700014460770445</v>
      </c>
      <c r="W2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" s="19">
        <f>IF(Tabela3[[#This Row],[Dívida]]&gt;0,Tabela3[[#This Row],[Dívida]]/Tabela3[[#This Row],[Patrimônio Líquido]],0)</f>
        <v>7.325203865426813</v>
      </c>
      <c r="Y27" s="19">
        <f>SUMPRODUCT(N([Dívida / PL]&gt;0),N(RIGHT([PAPEL],LEN([PAPEL])-(LEN([PAPEL])-1))="3"),[Dívida / PL])/SUMPRODUCT(N([Dívida / PL]&gt;0),N(RIGHT([PAPEL],LEN([PAPEL])-(LEN([PAPEL])-1))="3"))</f>
        <v>2.2435702141443779</v>
      </c>
      <c r="Z27" s="6">
        <f>Tabela3[[#This Row],[Capital Social]]*20%</f>
        <v>222451740.19200003</v>
      </c>
      <c r="AA27" s="6">
        <f>IF(([Lucro Líquido]*5%)&gt;[Teto R. Legal],[Teto R. Legal],[Lucro Líquido]*5%)</f>
        <v>8079800</v>
      </c>
      <c r="AB27" s="6">
        <f>IF([Lucro Líquido]&lt;0,0,[Lucro Líquido]-[Reserva Legal])</f>
        <v>153516200</v>
      </c>
      <c r="AC27" s="6">
        <f>Tabela3[[#This Row],[Lucro Distribuir]]*[%Div]</f>
        <v>38379050</v>
      </c>
      <c r="AD27" s="21">
        <f>SUMPRODUCT(N([Nome]=Tabela3[[#This Row],[Nome]]),[Ações])</f>
        <v>123612756</v>
      </c>
      <c r="AE27" s="6">
        <f>[Capital Social]/[Total Ações]</f>
        <v>8.9979281827516253</v>
      </c>
      <c r="AF27" s="77">
        <f>Tabela3[[#This Row],[Lucro Líquido]]/Tabela3[[#This Row],[Total Ações]]</f>
        <v>1.3072760872672395</v>
      </c>
      <c r="AG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27" s="6">
        <f>[Div Base]*[Ações]</f>
        <v>20236489.654685393</v>
      </c>
      <c r="AL27" s="6">
        <f>SUMPRODUCT(N([Nome]=Tabela3[[#This Row],[Nome]]),[Div Base]*[Ações])</f>
        <v>38379050</v>
      </c>
      <c r="AM27" s="6">
        <f>[Patrimônio Líquido]/[Total Ações]</f>
        <v>10.293500777541114</v>
      </c>
      <c r="AN27" s="48">
        <f>MAX(Tabela3[[#This Row],[Cotação 1]:[Cotação 5]])</f>
        <v>0</v>
      </c>
      <c r="AO27" s="44">
        <f>[Cotação]/[VPA]</f>
        <v>0</v>
      </c>
      <c r="AP27" s="40">
        <f>IF(Tabela3[[#This Row],[Lucro/Ação]]&gt;0,Tabela3[[#This Row],[Cotação]]/(Tabela3[[#This Row],[Lucro/Ação]]/[Ref]*4),0)</f>
        <v>0</v>
      </c>
      <c r="AQ27" s="77">
        <f>[Lucro Distribuir]/[Total Ações]</f>
        <v>1.2419122829038776</v>
      </c>
      <c r="AR27" s="77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27" s="15" t="str">
        <f>IF(AND([% A.A.]&gt;=5%,SUMPRODUCT(N([Nome]=Tabela3[[#This Row],[Nome]]),[PL])&gt;0,[Rentabilidade s/ PL]&gt;=[Rentabilidade s/ PL Média]),"Sim","Não")</f>
        <v>Não</v>
      </c>
      <c r="AT27" s="42">
        <f>IF([Cotação]&gt;0,Tabela3[[#This Row],[Lucro]]/Tabela3[[#This Row],[Cotação]],0)</f>
        <v>0</v>
      </c>
      <c r="AU27" s="19">
        <f>((1+Tabela3[[#This Row],[% Yield]])^(1/(3*Tabela3[[#This Row],[Ref]])))^(12)-1</f>
        <v>0</v>
      </c>
      <c r="AV27" s="14">
        <f>IF([Cotação]&gt;0,($BH$1/Tabela3[[#This Row],[Cotação]]-MOD($BH$1/Tabela3[[#This Row],[Cotação]],100)),)</f>
        <v>0</v>
      </c>
      <c r="AW27" s="17">
        <f>Tabela3[[#This Row],[Ativos]]*[Lucro]</f>
        <v>0</v>
      </c>
      <c r="AX27" s="13">
        <f>SUMPRODUCT(N(Tabela1[Código]=Tabela3[[#This Row],[PAPEL]]),Tabela1[Fechamento])</f>
        <v>0</v>
      </c>
      <c r="AY27" s="13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0</v>
      </c>
    </row>
    <row r="28" spans="1:54" ht="11.25" customHeight="1">
      <c r="A28" s="4" t="s">
        <v>14</v>
      </c>
      <c r="B28" s="57" t="s">
        <v>556</v>
      </c>
      <c r="C28" s="14" t="str">
        <f>LEFT([PAPEL],LEN([PAPEL])-(LEN([PAPEL])-4))</f>
        <v>PRBC</v>
      </c>
      <c r="D28" s="15">
        <v>4</v>
      </c>
      <c r="E28" s="6">
        <v>763866648</v>
      </c>
      <c r="F28" s="8">
        <v>56724976</v>
      </c>
      <c r="G28" s="85">
        <v>0.25</v>
      </c>
      <c r="H28" s="19"/>
      <c r="I28" s="19"/>
      <c r="J28" s="19"/>
      <c r="K28" s="87"/>
      <c r="L28" s="87"/>
      <c r="M28" s="55">
        <v>4391945000</v>
      </c>
      <c r="N28" s="55">
        <v>1923758000</v>
      </c>
      <c r="O28" s="55">
        <v>1828208000</v>
      </c>
      <c r="P28" s="6">
        <v>1285976000</v>
      </c>
      <c r="Q28" s="6">
        <v>132546000</v>
      </c>
      <c r="R28" s="6">
        <f>IF(Tabela3[[#This Row],[Ativo || Passivo]]&gt;0,Tabela3[[#This Row],[Ativo || Passivo]]-Tabela3[[#This Row],[Patrimônio Líquido]],0)</f>
        <v>3105969000</v>
      </c>
      <c r="S28" s="6">
        <f>Tabela3[[#This Row],[Cotação]]*Tabela3[[#This Row],[Total Ações]]</f>
        <v>0</v>
      </c>
      <c r="T28" s="121">
        <f>IF(Tabela3[[#This Row],[Passivo Circulante]]&gt;0,Tabela3[[#This Row],[Ativo Circulante]]/Tabela3[[#This Row],[Passivo Circulante]],0)</f>
        <v>1.0522642937783884</v>
      </c>
      <c r="U2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" s="19">
        <f>IF(Tabela3[[#This Row],[Lucro Líquido]]&gt;0,Tabela3[[#This Row],[Lucro Líquido]]/Tabela3[[#This Row],[Patrimônio Líquido]],0)/Tabela3[[#This Row],[Ref]]*4</f>
        <v>0.10307035279040977</v>
      </c>
      <c r="W2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" s="19">
        <f>IF(Tabela3[[#This Row],[Dívida]]&gt;0,Tabela3[[#This Row],[Dívida]]/Tabela3[[#This Row],[Patrimônio Líquido]],0)</f>
        <v>2.4152620266630169</v>
      </c>
      <c r="Y28" s="19">
        <f>SUMPRODUCT(N([Dívida / PL]&gt;0),N(RIGHT([PAPEL],LEN([PAPEL])-(LEN([PAPEL])-1))="3"),[Dívida / PL])/SUMPRODUCT(N([Dívida / PL]&gt;0),N(RIGHT([PAPEL],LEN([PAPEL])-(LEN([PAPEL])-1))="3"))</f>
        <v>2.2435702141443779</v>
      </c>
      <c r="Z28" s="6">
        <f>Tabela3[[#This Row],[Capital Social]]*20%</f>
        <v>152773329.59999999</v>
      </c>
      <c r="AA28" s="6">
        <f>IF(([Lucro Líquido]*5%)&gt;[Teto R. Legal],[Teto R. Legal],[Lucro Líquido]*5%)</f>
        <v>6627300</v>
      </c>
      <c r="AB28" s="6">
        <f>IF([Lucro Líquido]&lt;0,0,[Lucro Líquido]-[Reserva Legal])</f>
        <v>125918700</v>
      </c>
      <c r="AC28" s="6">
        <f>Tabela3[[#This Row],[Lucro Distribuir]]*[%Div]</f>
        <v>31479675</v>
      </c>
      <c r="AD28" s="21">
        <f>SUMPRODUCT(N([Nome]=Tabela3[[#This Row],[Nome]]),[Ações])</f>
        <v>87289932</v>
      </c>
      <c r="AE28" s="6">
        <f>[Capital Social]/[Total Ações]</f>
        <v>8.7509135417816566</v>
      </c>
      <c r="AF28" s="77">
        <f>Tabela3[[#This Row],[Lucro Líquido]]/Tabela3[[#This Row],[Total Ações]]</f>
        <v>1.5184569052018508</v>
      </c>
      <c r="AG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28" s="6">
        <f>[Div Base]*[Ações]</f>
        <v>20456927.482344698</v>
      </c>
      <c r="AL28" s="6">
        <f>SUMPRODUCT(N([Nome]=Tabela3[[#This Row],[Nome]]),[Div Base]*[Ações])</f>
        <v>29033973.268173128</v>
      </c>
      <c r="AM28" s="6">
        <f>[Patrimônio Líquido]/[Total Ações]</f>
        <v>14.732237390218152</v>
      </c>
      <c r="AN28" s="48">
        <f>MAX(Tabela3[[#This Row],[Cotação 1]:[Cotação 5]])</f>
        <v>0</v>
      </c>
      <c r="AO28" s="44">
        <f>[Cotação]/[VPA]</f>
        <v>0</v>
      </c>
      <c r="AP28" s="40">
        <f>IF(Tabela3[[#This Row],[Lucro/Ação]]&gt;0,Tabela3[[#This Row],[Cotação]]/(Tabela3[[#This Row],[Lucro/Ação]]/[Ref]*4),0)</f>
        <v>0</v>
      </c>
      <c r="AQ28" s="77">
        <f>[Lucro Distribuir]/[Total Ações]</f>
        <v>1.4425340599417582</v>
      </c>
      <c r="AR28" s="77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28" s="15" t="str">
        <f>IF(AND([% A.A.]&gt;=5%,SUMPRODUCT(N([Nome]=Tabela3[[#This Row],[Nome]]),[PL])&gt;0,[Rentabilidade s/ PL]&gt;=[Rentabilidade s/ PL Média]),"Sim","Não")</f>
        <v>Não</v>
      </c>
      <c r="AT28" s="42">
        <f>IF([Cotação]&gt;0,Tabela3[[#This Row],[Lucro]]/Tabela3[[#This Row],[Cotação]],0)</f>
        <v>0</v>
      </c>
      <c r="AU28" s="19">
        <f>((1+Tabela3[[#This Row],[% Yield]])^(1/(3*Tabela3[[#This Row],[Ref]])))^(12)-1</f>
        <v>0</v>
      </c>
      <c r="AV28" s="14">
        <f>IF([Cotação]&gt;0,($BH$1/Tabela3[[#This Row],[Cotação]]-MOD($BH$1/Tabela3[[#This Row],[Cotação]],100)),)</f>
        <v>0</v>
      </c>
      <c r="AW28" s="17">
        <f>Tabela3[[#This Row],[Ativos]]*[Lucro]</f>
        <v>0</v>
      </c>
      <c r="AX28" s="5">
        <f>SUMPRODUCT(N(Tabela1[Código]=Tabela3[[#This Row],[PAPEL]]),Tabela1[Fechamento])</f>
        <v>0</v>
      </c>
      <c r="AY28" s="5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0</v>
      </c>
    </row>
    <row r="29" spans="1:54" ht="11.25" customHeight="1">
      <c r="A29" s="4" t="s">
        <v>308</v>
      </c>
      <c r="B29" s="57" t="s">
        <v>672</v>
      </c>
      <c r="C29" s="14" t="str">
        <f>LEFT([PAPEL],LEN([PAPEL])-(LEN([PAPEL])-4))</f>
        <v>PTPA</v>
      </c>
      <c r="D29" s="15">
        <v>4</v>
      </c>
      <c r="E29" s="6">
        <v>536949301.21000004</v>
      </c>
      <c r="F29" s="8">
        <v>5962454</v>
      </c>
      <c r="G29" s="80">
        <v>0.3</v>
      </c>
      <c r="H29" s="15"/>
      <c r="I29" s="19"/>
      <c r="J29" s="19"/>
      <c r="K29" s="87"/>
      <c r="L29" s="87"/>
      <c r="M29" s="55">
        <v>1162669000</v>
      </c>
      <c r="N29" s="55">
        <v>241621000</v>
      </c>
      <c r="O29" s="55">
        <v>145176000</v>
      </c>
      <c r="P29" s="6">
        <v>746576000</v>
      </c>
      <c r="Q29" s="6">
        <v>95133000</v>
      </c>
      <c r="R29" s="6">
        <f>IF(Tabela3[[#This Row],[Ativo || Passivo]]&gt;0,Tabela3[[#This Row],[Ativo || Passivo]]-Tabela3[[#This Row],[Patrimônio Líquido]],0)</f>
        <v>416093000</v>
      </c>
      <c r="S29" s="6">
        <f>Tabela3[[#This Row],[Cotação]]*Tabela3[[#This Row],[Total Ações]]</f>
        <v>0</v>
      </c>
      <c r="T29" s="121">
        <f>IF(Tabela3[[#This Row],[Passivo Circulante]]&gt;0,Tabela3[[#This Row],[Ativo Circulante]]/Tabela3[[#This Row],[Passivo Circulante]],0)</f>
        <v>1.6643315699564667</v>
      </c>
      <c r="U2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" s="19">
        <f>IF(Tabela3[[#This Row],[Lucro Líquido]]&gt;0,Tabela3[[#This Row],[Lucro Líquido]]/Tabela3[[#This Row],[Patrimônio Líquido]],0)/Tabela3[[#This Row],[Ref]]*4</f>
        <v>0.12742574098283363</v>
      </c>
      <c r="W2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" s="19">
        <f>IF(Tabela3[[#This Row],[Dívida]]&gt;0,Tabela3[[#This Row],[Dívida]]/Tabela3[[#This Row],[Patrimônio Líquido]],0)</f>
        <v>0.55733508711772139</v>
      </c>
      <c r="Y29" s="19">
        <f>SUMPRODUCT(N([Dívida / PL]&gt;0),N(RIGHT([PAPEL],LEN([PAPEL])-(LEN([PAPEL])-1))="3"),[Dívida / PL])/SUMPRODUCT(N([Dívida / PL]&gt;0),N(RIGHT([PAPEL],LEN([PAPEL])-(LEN([PAPEL])-1))="3"))</f>
        <v>2.2435702141443779</v>
      </c>
      <c r="Z29" s="6">
        <f>Tabela3[[#This Row],[Capital Social]]*20%</f>
        <v>107389860.24200001</v>
      </c>
      <c r="AA29" s="6">
        <f>IF(([Lucro Líquido]*5%)&gt;[Teto R. Legal],[Teto R. Legal],[Lucro Líquido]*5%)</f>
        <v>4756650</v>
      </c>
      <c r="AB29" s="6">
        <f>IF([Lucro Líquido]&lt;0,0,[Lucro Líquido]-[Reserva Legal])</f>
        <v>90376350</v>
      </c>
      <c r="AC29" s="6">
        <f>Tabela3[[#This Row],[Lucro Distribuir]]*[%Div]</f>
        <v>27112905</v>
      </c>
      <c r="AD29" s="56">
        <f>SUMPRODUCT(N([Nome]=Tabela3[[#This Row],[Nome]]),[Ações])</f>
        <v>17887362</v>
      </c>
      <c r="AE29" s="6">
        <f>[Capital Social]/[Total Ações]</f>
        <v>30.018361634879422</v>
      </c>
      <c r="AF29" s="77">
        <f>Tabela3[[#This Row],[Lucro Líquido]]/Tabela3[[#This Row],[Total Ações]]</f>
        <v>5.3184477398064622</v>
      </c>
      <c r="AG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29" s="6">
        <f>[Div Base]*[Ações]</f>
        <v>9037635</v>
      </c>
      <c r="AL29" s="6">
        <f>SUMPRODUCT(N([Nome]=Tabela3[[#This Row],[Nome]]),[Div Base]*[Ações])</f>
        <v>27112905</v>
      </c>
      <c r="AM29" s="6">
        <f>[Patrimônio Líquido]/[Total Ações]</f>
        <v>41.737624586565644</v>
      </c>
      <c r="AN29" s="48">
        <f>MAX(Tabela3[[#This Row],[Cotação 1]:[Cotação 5]])</f>
        <v>0</v>
      </c>
      <c r="AO29" s="44">
        <f>[Cotação]/[VPA]</f>
        <v>0</v>
      </c>
      <c r="AP29" s="40">
        <f>IF(Tabela3[[#This Row],[Lucro/Ação]]&gt;0,Tabela3[[#This Row],[Cotação]]/(Tabela3[[#This Row],[Lucro/Ação]]/[Ref]*4),0)</f>
        <v>0</v>
      </c>
      <c r="AQ29" s="77">
        <f>[Lucro Distribuir]/[Total Ações]</f>
        <v>5.0525253528161391</v>
      </c>
      <c r="AR29" s="77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29" s="15" t="str">
        <f>IF(AND([% A.A.]&gt;=5%,SUMPRODUCT(N([Nome]=Tabela3[[#This Row],[Nome]]),[PL])&gt;0,[Rentabilidade s/ PL]&gt;=[Rentabilidade s/ PL Média]),"Sim","Não")</f>
        <v>Não</v>
      </c>
      <c r="AT29" s="42">
        <f>IF([Cotação]&gt;0,Tabela3[[#This Row],[Lucro]]/Tabela3[[#This Row],[Cotação]],0)</f>
        <v>0</v>
      </c>
      <c r="AU29" s="19">
        <f>((1+Tabela3[[#This Row],[% Yield]])^(1/(3*Tabela3[[#This Row],[Ref]])))^(12)-1</f>
        <v>0</v>
      </c>
      <c r="AV29" s="14">
        <f>IF([Cotação]&gt;0,($BH$1/Tabela3[[#This Row],[Cotação]]-MOD($BH$1/Tabela3[[#This Row],[Cotação]],100)),)</f>
        <v>0</v>
      </c>
      <c r="AW29" s="17">
        <f>Tabela3[[#This Row],[Ativos]]*[Lucro]</f>
        <v>0</v>
      </c>
      <c r="AX29" s="5">
        <f>SUMPRODUCT(N(Tabela1[Código]=Tabela3[[#This Row],[PAPEL]]),Tabela1[Fechamento])</f>
        <v>0</v>
      </c>
      <c r="AY29" s="5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0</v>
      </c>
    </row>
    <row r="30" spans="1:54" ht="11.25" customHeight="1">
      <c r="A30" s="4" t="s">
        <v>12</v>
      </c>
      <c r="B30" s="57" t="s">
        <v>431</v>
      </c>
      <c r="C30" s="15" t="str">
        <f>LEFT([PAPEL],LEN([PAPEL])-(LEN([PAPEL])-4))</f>
        <v>AFLU</v>
      </c>
      <c r="D30" s="15">
        <v>3</v>
      </c>
      <c r="E30" s="6">
        <v>30916200</v>
      </c>
      <c r="F30" s="8">
        <v>1955755</v>
      </c>
      <c r="G30" s="80">
        <v>0.25</v>
      </c>
      <c r="H30" s="15"/>
      <c r="I30" s="19">
        <v>0.1</v>
      </c>
      <c r="J30" s="19"/>
      <c r="K30" s="87"/>
      <c r="L30" s="87"/>
      <c r="M30" s="55">
        <v>47076000</v>
      </c>
      <c r="N30" s="55">
        <v>6105000</v>
      </c>
      <c r="O30" s="55">
        <v>5255000</v>
      </c>
      <c r="P30" s="88">
        <v>41755000</v>
      </c>
      <c r="Q30" s="88">
        <v>6373000</v>
      </c>
      <c r="R30" s="88">
        <f>IF(Tabela3[[#This Row],[Ativo || Passivo]]&gt;0,Tabela3[[#This Row],[Ativo || Passivo]]-Tabela3[[#This Row],[Patrimônio Líquido]],0)</f>
        <v>5321000</v>
      </c>
      <c r="S30" s="88">
        <f>Tabela3[[#This Row],[Cotação]]*Tabela3[[#This Row],[Total Ações]]</f>
        <v>0</v>
      </c>
      <c r="T30" s="121">
        <f>IF(Tabela3[[#This Row],[Passivo Circulante]]&gt;0,Tabela3[[#This Row],[Ativo Circulante]]/Tabela3[[#This Row],[Passivo Circulante]],0)</f>
        <v>1.1617507136060894</v>
      </c>
      <c r="U3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" s="19">
        <f>IF(Tabela3[[#This Row],[Lucro Líquido]]&gt;0,Tabela3[[#This Row],[Lucro Líquido]]/Tabela3[[#This Row],[Patrimônio Líquido]],0)/Tabela3[[#This Row],[Ref]]*4</f>
        <v>0.2035045703109408</v>
      </c>
      <c r="W3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" s="19">
        <f>IF(Tabela3[[#This Row],[Dívida]]&gt;0,Tabela3[[#This Row],[Dívida]]/Tabela3[[#This Row],[Patrimônio Líquido]],0)</f>
        <v>0.12743384025865165</v>
      </c>
      <c r="Y30" s="19">
        <f>SUMPRODUCT(N([Dívida / PL]&gt;0),N(RIGHT([PAPEL],LEN([PAPEL])-(LEN([PAPEL])-1))="3"),[Dívida / PL])/SUMPRODUCT(N([Dívida / PL]&gt;0),N(RIGHT([PAPEL],LEN([PAPEL])-(LEN([PAPEL])-1))="3"))</f>
        <v>2.2435702141443779</v>
      </c>
      <c r="Z30" s="13">
        <f>Tabela3[[#This Row],[Capital Social]]*20%</f>
        <v>6183240</v>
      </c>
      <c r="AA30" s="13">
        <f>IF(([Lucro Líquido]*5%)&gt;[Teto R. Legal],[Teto R. Legal],[Lucro Líquido]*5%)</f>
        <v>318650</v>
      </c>
      <c r="AB30" s="88">
        <f>IF([Lucro Líquido]&lt;0,0,[Lucro Líquido]-[Reserva Legal])</f>
        <v>6054350</v>
      </c>
      <c r="AC30" s="88">
        <f>Tabela3[[#This Row],[Lucro Distribuir]]*[%Div]</f>
        <v>1513587.5</v>
      </c>
      <c r="AD30" s="56">
        <f>SUMPRODUCT(N([Nome]=Tabela3[[#This Row],[Nome]]),[Ações])</f>
        <v>18817732</v>
      </c>
      <c r="AE30" s="6">
        <f>[Capital Social]/[Total Ações]</f>
        <v>1.6429291266343893</v>
      </c>
      <c r="AF30" s="77">
        <f>Tabela3[[#This Row],[Lucro Líquido]]/Tabela3[[#This Row],[Total Ações]]</f>
        <v>0.33866993110540633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30" s="13">
        <f>[Div Base]*[Ações]</f>
        <v>321316.685406084</v>
      </c>
      <c r="AL30" s="13">
        <f>SUMPRODUCT(N([Nome]=Tabela3[[#This Row],[Nome]]),[Div Base]*[Ações])</f>
        <v>1513587.5</v>
      </c>
      <c r="AM30" s="6">
        <f>[Patrimônio Líquido]/[Total Ações]</f>
        <v>2.2189177739379007</v>
      </c>
      <c r="AN30" s="48">
        <f>MAX(Tabela3[[#This Row],[Cotação 1]:[Cotação 5]])</f>
        <v>0</v>
      </c>
      <c r="AO30" s="44">
        <f>[Cotação]/[VPA]</f>
        <v>0</v>
      </c>
      <c r="AP30" s="40">
        <f>IF(Tabela3[[#This Row],[Lucro/Ação]]&gt;0,Tabela3[[#This Row],[Cotação]]/(Tabela3[[#This Row],[Lucro/Ação]]/[Ref]*4),0)</f>
        <v>0</v>
      </c>
      <c r="AQ30" s="77">
        <f>[Lucro Distribuir]/[Total Ações]</f>
        <v>0.32173643455013601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30" s="14" t="str">
        <f>IF(AND([% A.A.]&gt;=5%,SUMPRODUCT(N([Nome]=Tabela3[[#This Row],[Nome]]),[PL])&gt;0,[Rentabilidade s/ PL]&gt;=[Rentabilidade s/ PL Média]),"Sim","Não")</f>
        <v>Não</v>
      </c>
      <c r="AT30" s="42">
        <f>IF([Cotação]&gt;0,Tabela3[[#This Row],[Lucro]]/Tabela3[[#This Row],[Cotação]],0)</f>
        <v>0</v>
      </c>
      <c r="AU30" s="42">
        <f>((1+Tabela3[[#This Row],[% Yield]])^(1/(3*Tabela3[[#This Row],[Ref]])))^(12)-1</f>
        <v>0</v>
      </c>
      <c r="AV30" s="14">
        <f>IF([Cotação]&gt;0,($BH$1/Tabela3[[#This Row],[Cotação]]-MOD($BH$1/Tabela3[[#This Row],[Cotação]],100)),)</f>
        <v>0</v>
      </c>
      <c r="AW30" s="17">
        <f>Tabela3[[#This Row],[Ativos]]*[Lucro]</f>
        <v>0</v>
      </c>
      <c r="AX30" s="17">
        <f>SUMPRODUCT(N(Tabela1[Código]=Tabela3[[#This Row],[PAPEL]]),Tabela1[Fechamento])</f>
        <v>0</v>
      </c>
      <c r="AY30" s="17">
        <f>SUMPRODUCT(N(Tabela17[Código]=Tabela3[[#This Row],[PAPEL]]),Tabela17[Fechamento])</f>
        <v>0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4" t="s">
        <v>12</v>
      </c>
      <c r="B31" s="57" t="s">
        <v>432</v>
      </c>
      <c r="C31" s="15" t="str">
        <f>LEFT([PAPEL],LEN([PAPEL])-(LEN([PAPEL])-4))</f>
        <v>AFLU</v>
      </c>
      <c r="D31" s="15">
        <v>3</v>
      </c>
      <c r="E31" s="6">
        <v>30916200</v>
      </c>
      <c r="F31" s="8">
        <v>5931526</v>
      </c>
      <c r="G31" s="80">
        <v>0.25</v>
      </c>
      <c r="H31" s="15"/>
      <c r="I31" s="19"/>
      <c r="J31" s="19">
        <v>0.1</v>
      </c>
      <c r="K31" s="87"/>
      <c r="L31" s="87"/>
      <c r="M31" s="55">
        <v>47076000</v>
      </c>
      <c r="N31" s="55">
        <v>6105000</v>
      </c>
      <c r="O31" s="55">
        <v>5255000</v>
      </c>
      <c r="P31" s="88">
        <v>41755000</v>
      </c>
      <c r="Q31" s="88">
        <v>6373000</v>
      </c>
      <c r="R31" s="88">
        <f>IF(Tabela3[[#This Row],[Ativo || Passivo]]&gt;0,Tabela3[[#This Row],[Ativo || Passivo]]-Tabela3[[#This Row],[Patrimônio Líquido]],0)</f>
        <v>5321000</v>
      </c>
      <c r="S31" s="88">
        <f>Tabela3[[#This Row],[Cotação]]*Tabela3[[#This Row],[Total Ações]]</f>
        <v>0</v>
      </c>
      <c r="T31" s="121">
        <f>IF(Tabela3[[#This Row],[Passivo Circulante]]&gt;0,Tabela3[[#This Row],[Ativo Circulante]]/Tabela3[[#This Row],[Passivo Circulante]],0)</f>
        <v>1.1617507136060894</v>
      </c>
      <c r="U3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" s="19">
        <f>IF(Tabela3[[#This Row],[Lucro Líquido]]&gt;0,Tabela3[[#This Row],[Lucro Líquido]]/Tabela3[[#This Row],[Patrimônio Líquido]],0)/Tabela3[[#This Row],[Ref]]*4</f>
        <v>0.2035045703109408</v>
      </c>
      <c r="W3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" s="19">
        <f>IF(Tabela3[[#This Row],[Dívida]]&gt;0,Tabela3[[#This Row],[Dívida]]/Tabela3[[#This Row],[Patrimônio Líquido]],0)</f>
        <v>0.12743384025865165</v>
      </c>
      <c r="Y31" s="19">
        <f>SUMPRODUCT(N([Dívida / PL]&gt;0),N(RIGHT([PAPEL],LEN([PAPEL])-(LEN([PAPEL])-1))="3"),[Dívida / PL])/SUMPRODUCT(N([Dívida / PL]&gt;0),N(RIGHT([PAPEL],LEN([PAPEL])-(LEN([PAPEL])-1))="3"))</f>
        <v>2.2435702141443779</v>
      </c>
      <c r="Z31" s="13">
        <f>Tabela3[[#This Row],[Capital Social]]*20%</f>
        <v>6183240</v>
      </c>
      <c r="AA31" s="13">
        <f>IF(([Lucro Líquido]*5%)&gt;[Teto R. Legal],[Teto R. Legal],[Lucro Líquido]*5%)</f>
        <v>318650</v>
      </c>
      <c r="AB31" s="88">
        <f>IF([Lucro Líquido]&lt;0,0,[Lucro Líquido]-[Reserva Legal])</f>
        <v>6054350</v>
      </c>
      <c r="AC31" s="88">
        <f>Tabela3[[#This Row],[Lucro Distribuir]]*[%Div]</f>
        <v>1513587.5</v>
      </c>
      <c r="AD31" s="56">
        <f>SUMPRODUCT(N([Nome]=Tabela3[[#This Row],[Nome]]),[Ações])</f>
        <v>18817732</v>
      </c>
      <c r="AE31" s="6">
        <f>[Capital Social]/[Total Ações]</f>
        <v>1.6429291266343893</v>
      </c>
      <c r="AF31" s="77">
        <f>Tabela3[[#This Row],[Lucro Líquido]]/Tabela3[[#This Row],[Total Ações]]</f>
        <v>0.33866993110540633</v>
      </c>
      <c r="AG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31" s="13">
        <f>[Div Base]*[Ações]</f>
        <v>419404.28075574967</v>
      </c>
      <c r="AL31" s="13">
        <f>SUMPRODUCT(N([Nome]=Tabela3[[#This Row],[Nome]]),[Div Base]*[Ações])</f>
        <v>1513587.5</v>
      </c>
      <c r="AM31" s="6">
        <f>[Patrimônio Líquido]/[Total Ações]</f>
        <v>2.2189177739379007</v>
      </c>
      <c r="AN31" s="48">
        <f>MAX(Tabela3[[#This Row],[Cotação 1]:[Cotação 5]])</f>
        <v>0</v>
      </c>
      <c r="AO31" s="44">
        <f>[Cotação]/[VPA]</f>
        <v>0</v>
      </c>
      <c r="AP31" s="40">
        <f>IF(Tabela3[[#This Row],[Lucro/Ação]]&gt;0,Tabela3[[#This Row],[Cotação]]/(Tabela3[[#This Row],[Lucro/Ação]]/[Ref]*4),0)</f>
        <v>0</v>
      </c>
      <c r="AQ31" s="77">
        <f>[Lucro Distribuir]/[Total Ações]</f>
        <v>0.32173643455013601</v>
      </c>
      <c r="AR31" s="77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31" s="14" t="str">
        <f>IF(AND([% A.A.]&gt;=5%,SUMPRODUCT(N([Nome]=Tabela3[[#This Row],[Nome]]),[PL])&gt;0,[Rentabilidade s/ PL]&gt;=[Rentabilidade s/ PL Média]),"Sim","Não")</f>
        <v>Não</v>
      </c>
      <c r="AT31" s="42">
        <f>IF([Cotação]&gt;0,Tabela3[[#This Row],[Lucro]]/Tabela3[[#This Row],[Cotação]],0)</f>
        <v>0</v>
      </c>
      <c r="AU31" s="42">
        <f>((1+Tabela3[[#This Row],[% Yield]])^(1/(3*Tabela3[[#This Row],[Ref]])))^(12)-1</f>
        <v>0</v>
      </c>
      <c r="AV31" s="14">
        <f>IF([Cotação]&gt;0,($BH$1/Tabela3[[#This Row],[Cotação]]-MOD($BH$1/Tabela3[[#This Row],[Cotação]],100)),)</f>
        <v>0</v>
      </c>
      <c r="AW31" s="17">
        <f>Tabela3[[#This Row],[Ativos]]*[Lucro]</f>
        <v>0</v>
      </c>
      <c r="AX31" s="17">
        <f>SUMPRODUCT(N(Tabela1[Código]=Tabela3[[#This Row],[PAPEL]]),Tabela1[Fechamento])</f>
        <v>0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t="11.25" customHeight="1">
      <c r="A32" s="4" t="s">
        <v>12</v>
      </c>
      <c r="B32" s="57" t="s">
        <v>440</v>
      </c>
      <c r="C32" s="15" t="str">
        <f>LEFT([PAPEL],LEN([PAPEL])-(LEN([PAPEL])-4))</f>
        <v>ALUP</v>
      </c>
      <c r="D32" s="15">
        <v>4</v>
      </c>
      <c r="E32" s="6">
        <v>1590658000</v>
      </c>
      <c r="F32" s="8">
        <v>461243596</v>
      </c>
      <c r="G32" s="80">
        <v>0.5</v>
      </c>
      <c r="H32" s="15"/>
      <c r="I32" s="19"/>
      <c r="J32" s="19"/>
      <c r="K32" s="87"/>
      <c r="L32" s="87"/>
      <c r="M32" s="55">
        <v>3399639000</v>
      </c>
      <c r="N32" s="55">
        <v>711736000</v>
      </c>
      <c r="O32" s="55">
        <v>275776000</v>
      </c>
      <c r="P32" s="91">
        <v>2566242000</v>
      </c>
      <c r="Q32" s="92">
        <v>289851000</v>
      </c>
      <c r="R32" s="92">
        <f>IF(Tabela3[[#This Row],[Ativo || Passivo]]&gt;0,Tabela3[[#This Row],[Ativo || Passivo]]-Tabela3[[#This Row],[Patrimônio Líquido]],0)</f>
        <v>833397000</v>
      </c>
      <c r="S32" s="92">
        <f>Tabela3[[#This Row],[Cotação]]*Tabela3[[#This Row],[Total Ações]]</f>
        <v>0</v>
      </c>
      <c r="T32" s="40">
        <f>IF(Tabela3[[#This Row],[Passivo Circulante]]&gt;0,Tabela3[[#This Row],[Ativo Circulante]]/Tabela3[[#This Row],[Passivo Circulante]],0)</f>
        <v>2.5808482246460898</v>
      </c>
      <c r="U3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" s="19">
        <f>IF(Tabela3[[#This Row],[Lucro Líquido]]&gt;0,Tabela3[[#This Row],[Lucro Líquido]]/Tabela3[[#This Row],[Patrimônio Líquido]],0)/Tabela3[[#This Row],[Ref]]*4</f>
        <v>0.11294764874084362</v>
      </c>
      <c r="W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" s="19">
        <f>IF(Tabela3[[#This Row],[Dívida]]&gt;0,Tabela3[[#This Row],[Dívida]]/Tabela3[[#This Row],[Patrimônio Líquido]],0)</f>
        <v>0.32475386187273064</v>
      </c>
      <c r="Y32" s="19">
        <f>SUMPRODUCT(N([Dívida / PL]&gt;0),N(RIGHT([PAPEL],LEN([PAPEL])-(LEN([PAPEL])-1))="3"),[Dívida / PL])/SUMPRODUCT(N([Dívida / PL]&gt;0),N(RIGHT([PAPEL],LEN([PAPEL])-(LEN([PAPEL])-1))="3"))</f>
        <v>2.2435702141443779</v>
      </c>
      <c r="Z32" s="13">
        <f>Tabela3[[#This Row],[Capital Social]]*20%</f>
        <v>318131600</v>
      </c>
      <c r="AA32" s="13">
        <f>IF(([Lucro Líquido]*5%)&gt;[Teto R. Legal],[Teto R. Legal],[Lucro Líquido]*5%)</f>
        <v>14492550</v>
      </c>
      <c r="AB32" s="13">
        <f>IF([Lucro Líquido]&lt;0,0,[Lucro Líquido]-[Reserva Legal])</f>
        <v>275358450</v>
      </c>
      <c r="AC32" s="13">
        <f>Tabela3[[#This Row],[Lucro Distribuir]]*[%Div]</f>
        <v>137679225</v>
      </c>
      <c r="AD32" s="56">
        <f>SUMPRODUCT(N([Nome]=Tabela3[[#This Row],[Nome]]),[Ações])</f>
        <v>624901800</v>
      </c>
      <c r="AE32" s="6">
        <f>[Capital Social]/[Total Ações]</f>
        <v>2.5454527415347501</v>
      </c>
      <c r="AF32" s="77">
        <f>Tabela3[[#This Row],[Lucro Líquido]]/Tabela3[[#This Row],[Total Ações]]</f>
        <v>0.46383447767313202</v>
      </c>
      <c r="AG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32" s="13">
        <f>[Div Base]*[Ações]</f>
        <v>101621824.15460014</v>
      </c>
      <c r="AL32" s="13">
        <f>SUMPRODUCT(N([Nome]=Tabela3[[#This Row],[Nome]]),[Div Base]*[Ações])</f>
        <v>137679225</v>
      </c>
      <c r="AM32" s="6">
        <f>[Patrimônio Líquido]/[Total Ações]</f>
        <v>4.106632434088044</v>
      </c>
      <c r="AN32" s="48">
        <f>MAX(Tabela3[[#This Row],[Cotação 1]:[Cotação 5]])</f>
        <v>0</v>
      </c>
      <c r="AO32" s="44">
        <f>[Cotação]/[VPA]</f>
        <v>0</v>
      </c>
      <c r="AP32" s="40">
        <f>IF(Tabela3[[#This Row],[Lucro/Ação]]&gt;0,Tabela3[[#This Row],[Cotação]]/(Tabela3[[#This Row],[Lucro/Ação]]/[Ref]*4),0)</f>
        <v>0</v>
      </c>
      <c r="AQ32" s="77">
        <f>[Lucro Distribuir]/[Total Ações]</f>
        <v>0.44064275378947543</v>
      </c>
      <c r="AR32" s="77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32" s="14" t="str">
        <f>IF(AND([% A.A.]&gt;=5%,SUMPRODUCT(N([Nome]=Tabela3[[#This Row],[Nome]]),[PL])&gt;0,[Rentabilidade s/ PL]&gt;=[Rentabilidade s/ PL Média]),"Sim","Não")</f>
        <v>Não</v>
      </c>
      <c r="AT32" s="42">
        <f>IF([Cotação]&gt;0,Tabela3[[#This Row],[Lucro]]/Tabela3[[#This Row],[Cotação]],0)</f>
        <v>0</v>
      </c>
      <c r="AU32" s="42">
        <f>((1+Tabela3[[#This Row],[% Yield]])^(1/(3*Tabela3[[#This Row],[Ref]])))^(12)-1</f>
        <v>0</v>
      </c>
      <c r="AV32" s="14">
        <f>IF([Cotação]&gt;0,($BH$1/Tabela3[[#This Row],[Cotação]]-MOD($BH$1/Tabela3[[#This Row],[Cotação]],100)),)</f>
        <v>0</v>
      </c>
      <c r="AW32" s="17">
        <f>Tabela3[[#This Row],[Ativos]]*[Lucro]</f>
        <v>0</v>
      </c>
      <c r="AX32" s="17">
        <f>SUMPRODUCT(N(Tabela1[Código]=Tabela3[[#This Row],[PAPEL]]),Tabela1[Fechamento])</f>
        <v>0</v>
      </c>
      <c r="AY32" s="1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0</v>
      </c>
    </row>
    <row r="33" spans="1:54" ht="11.25" customHeight="1">
      <c r="A33" s="4" t="s">
        <v>12</v>
      </c>
      <c r="B33" s="57" t="s">
        <v>441</v>
      </c>
      <c r="C33" s="15" t="str">
        <f>LEFT([PAPEL],LEN([PAPEL])-(LEN([PAPEL])-4))</f>
        <v>ALUP</v>
      </c>
      <c r="D33" s="15">
        <v>4</v>
      </c>
      <c r="E33" s="6">
        <v>1590658000</v>
      </c>
      <c r="F33" s="8">
        <v>163658204</v>
      </c>
      <c r="G33" s="80">
        <v>0.5</v>
      </c>
      <c r="H33" s="15"/>
      <c r="I33" s="19"/>
      <c r="J33" s="19"/>
      <c r="K33" s="87"/>
      <c r="L33" s="87"/>
      <c r="M33" s="55">
        <v>3399639000</v>
      </c>
      <c r="N33" s="55">
        <v>711736000</v>
      </c>
      <c r="O33" s="55">
        <v>275776000</v>
      </c>
      <c r="P33" s="91">
        <v>2566242000</v>
      </c>
      <c r="Q33" s="92">
        <v>289851000</v>
      </c>
      <c r="R33" s="92">
        <f>IF(Tabela3[[#This Row],[Ativo || Passivo]]&gt;0,Tabela3[[#This Row],[Ativo || Passivo]]-Tabela3[[#This Row],[Patrimônio Líquido]],0)</f>
        <v>833397000</v>
      </c>
      <c r="S33" s="92">
        <f>Tabela3[[#This Row],[Cotação]]*Tabela3[[#This Row],[Total Ações]]</f>
        <v>0</v>
      </c>
      <c r="T33" s="40">
        <f>IF(Tabela3[[#This Row],[Passivo Circulante]]&gt;0,Tabela3[[#This Row],[Ativo Circulante]]/Tabela3[[#This Row],[Passivo Circulante]],0)</f>
        <v>2.5808482246460898</v>
      </c>
      <c r="U3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" s="19">
        <f>IF(Tabela3[[#This Row],[Lucro Líquido]]&gt;0,Tabela3[[#This Row],[Lucro Líquido]]/Tabela3[[#This Row],[Patrimônio Líquido]],0)/Tabela3[[#This Row],[Ref]]*4</f>
        <v>0.11294764874084362</v>
      </c>
      <c r="W3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" s="19">
        <f>IF(Tabela3[[#This Row],[Dívida]]&gt;0,Tabela3[[#This Row],[Dívida]]/Tabela3[[#This Row],[Patrimônio Líquido]],0)</f>
        <v>0.32475386187273064</v>
      </c>
      <c r="Y33" s="19">
        <f>SUMPRODUCT(N([Dívida / PL]&gt;0),N(RIGHT([PAPEL],LEN([PAPEL])-(LEN([PAPEL])-1))="3"),[Dívida / PL])/SUMPRODUCT(N([Dívida / PL]&gt;0),N(RIGHT([PAPEL],LEN([PAPEL])-(LEN([PAPEL])-1))="3"))</f>
        <v>2.2435702141443779</v>
      </c>
      <c r="Z33" s="13">
        <f>Tabela3[[#This Row],[Capital Social]]*20%</f>
        <v>318131600</v>
      </c>
      <c r="AA33" s="13">
        <f>IF(([Lucro Líquido]*5%)&gt;[Teto R. Legal],[Teto R. Legal],[Lucro Líquido]*5%)</f>
        <v>14492550</v>
      </c>
      <c r="AB33" s="13">
        <f>IF([Lucro Líquido]&lt;0,0,[Lucro Líquido]-[Reserva Legal])</f>
        <v>275358450</v>
      </c>
      <c r="AC33" s="13">
        <f>Tabela3[[#This Row],[Lucro Distribuir]]*[%Div]</f>
        <v>137679225</v>
      </c>
      <c r="AD33" s="56">
        <f>SUMPRODUCT(N([Nome]=Tabela3[[#This Row],[Nome]]),[Ações])</f>
        <v>624901800</v>
      </c>
      <c r="AE33" s="6">
        <f>[Capital Social]/[Total Ações]</f>
        <v>2.5454527415347501</v>
      </c>
      <c r="AF33" s="77">
        <f>Tabela3[[#This Row],[Lucro Líquido]]/Tabela3[[#This Row],[Total Ações]]</f>
        <v>0.46383447767313202</v>
      </c>
      <c r="AG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33" s="13">
        <f>[Div Base]*[Ações]</f>
        <v>36057400.845399871</v>
      </c>
      <c r="AL33" s="13">
        <f>SUMPRODUCT(N([Nome]=Tabela3[[#This Row],[Nome]]),[Div Base]*[Ações])</f>
        <v>137679225</v>
      </c>
      <c r="AM33" s="6">
        <f>[Patrimônio Líquido]/[Total Ações]</f>
        <v>4.106632434088044</v>
      </c>
      <c r="AN33" s="48">
        <f>MAX(Tabela3[[#This Row],[Cotação 1]:[Cotação 5]])</f>
        <v>0</v>
      </c>
      <c r="AO33" s="44">
        <f>[Cotação]/[VPA]</f>
        <v>0</v>
      </c>
      <c r="AP33" s="40">
        <f>IF(Tabela3[[#This Row],[Lucro/Ação]]&gt;0,Tabela3[[#This Row],[Cotação]]/(Tabela3[[#This Row],[Lucro/Ação]]/[Ref]*4),0)</f>
        <v>0</v>
      </c>
      <c r="AQ33" s="77">
        <f>[Lucro Distribuir]/[Total Ações]</f>
        <v>0.44064275378947543</v>
      </c>
      <c r="AR33" s="77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33" s="14" t="str">
        <f>IF(AND([% A.A.]&gt;=5%,SUMPRODUCT(N([Nome]=Tabela3[[#This Row],[Nome]]),[PL])&gt;0,[Rentabilidade s/ PL]&gt;=[Rentabilidade s/ PL Média]),"Sim","Não")</f>
        <v>Não</v>
      </c>
      <c r="AT33" s="42">
        <f>IF([Cotação]&gt;0,Tabela3[[#This Row],[Lucro]]/Tabela3[[#This Row],[Cotação]],0)</f>
        <v>0</v>
      </c>
      <c r="AU33" s="42">
        <f>((1+Tabela3[[#This Row],[% Yield]])^(1/(3*Tabela3[[#This Row],[Ref]])))^(12)-1</f>
        <v>0</v>
      </c>
      <c r="AV33" s="14">
        <f>IF([Cotação]&gt;0,($BH$1/Tabela3[[#This Row],[Cotação]]-MOD($BH$1/Tabela3[[#This Row],[Cotação]],100)),)</f>
        <v>0</v>
      </c>
      <c r="AW33" s="17">
        <f>Tabela3[[#This Row],[Ativos]]*[Lucro]</f>
        <v>0</v>
      </c>
      <c r="AX33" s="17">
        <f>SUMPRODUCT(N(Tabela1[Código]=Tabela3[[#This Row],[PAPEL]]),Tabela1[Fechamento])</f>
        <v>0</v>
      </c>
      <c r="AY33" s="1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t="11.25" customHeight="1">
      <c r="A34" s="4" t="s">
        <v>12</v>
      </c>
      <c r="B34" s="57" t="s">
        <v>466</v>
      </c>
      <c r="C34" s="14" t="str">
        <f>LEFT([PAPEL],LEN([PAPEL])-(LEN([PAPEL])-4))</f>
        <v>CEEB</v>
      </c>
      <c r="D34" s="15">
        <v>3</v>
      </c>
      <c r="E34" s="6">
        <v>542163250.52999997</v>
      </c>
      <c r="F34" s="8">
        <v>59315266</v>
      </c>
      <c r="G34" s="80">
        <v>0.25</v>
      </c>
      <c r="H34" s="15"/>
      <c r="I34" s="19"/>
      <c r="J34" s="19">
        <v>0.1</v>
      </c>
      <c r="K34" s="87"/>
      <c r="L34" s="87"/>
      <c r="M34" s="55">
        <v>6973082000</v>
      </c>
      <c r="N34" s="55">
        <v>1241973000</v>
      </c>
      <c r="O34" s="55">
        <v>1518506000</v>
      </c>
      <c r="P34" s="88">
        <v>2778501000</v>
      </c>
      <c r="Q34" s="88">
        <v>434008000</v>
      </c>
      <c r="R34" s="88">
        <f>IF(Tabela3[[#This Row],[Ativo || Passivo]]&gt;0,Tabela3[[#This Row],[Ativo || Passivo]]-Tabela3[[#This Row],[Patrimônio Líquido]],0)</f>
        <v>4194581000</v>
      </c>
      <c r="S34" s="88">
        <f>Tabela3[[#This Row],[Cotação]]*Tabela3[[#This Row],[Total Ações]]</f>
        <v>0</v>
      </c>
      <c r="T34" s="121">
        <f>IF(Tabela3[[#This Row],[Passivo Circulante]]&gt;0,Tabela3[[#This Row],[Ativo Circulante]]/Tabela3[[#This Row],[Passivo Circulante]],0)</f>
        <v>0.81789140115350223</v>
      </c>
      <c r="U3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" s="19">
        <f>IF(Tabela3[[#This Row],[Lucro Líquido]]&gt;0,Tabela3[[#This Row],[Lucro Líquido]]/Tabela3[[#This Row],[Patrimônio Líquido]],0)/Tabela3[[#This Row],[Ref]]*4</f>
        <v>0.20826961492305862</v>
      </c>
      <c r="W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" s="19">
        <f>IF(Tabela3[[#This Row],[Dívida]]&gt;0,Tabela3[[#This Row],[Dívida]]/Tabela3[[#This Row],[Patrimônio Líquido]],0)</f>
        <v>1.5096561059362585</v>
      </c>
      <c r="Y34" s="19">
        <f>SUMPRODUCT(N([Dívida / PL]&gt;0),N(RIGHT([PAPEL],LEN([PAPEL])-(LEN([PAPEL])-1))="3"),[Dívida / PL])/SUMPRODUCT(N([Dívida / PL]&gt;0),N(RIGHT([PAPEL],LEN([PAPEL])-(LEN([PAPEL])-1))="3"))</f>
        <v>2.2435702141443779</v>
      </c>
      <c r="Z34" s="6">
        <f>Tabela3[[#This Row],[Capital Social]]*20%</f>
        <v>108432650.10600001</v>
      </c>
      <c r="AA34" s="6">
        <f>IF(([Lucro Líquido]*5%)&gt;[Teto R. Legal],[Teto R. Legal],[Lucro Líquido]*5%)</f>
        <v>21700400</v>
      </c>
      <c r="AB34" s="88">
        <f>IF([Lucro Líquido]&lt;0,0,[Lucro Líquido]-[Reserva Legal])</f>
        <v>412307600</v>
      </c>
      <c r="AC34" s="88">
        <f>Tabela3[[#This Row],[Lucro Distribuir]]*[%Div]</f>
        <v>103076900</v>
      </c>
      <c r="AD34" s="56">
        <f>SUMPRODUCT(N([Nome]=Tabela3[[#This Row],[Nome]]),[Ações])</f>
        <v>188177338</v>
      </c>
      <c r="AE34" s="6">
        <f>[Capital Social]/[Total Ações]</f>
        <v>2.8811293447566997</v>
      </c>
      <c r="AF34" s="77">
        <f>Tabela3[[#This Row],[Lucro Líquido]]/Tabela3[[#This Row],[Total Ações]]</f>
        <v>2.3063776149283184</v>
      </c>
      <c r="AG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34" s="6">
        <f>[Div Base]*[Ações]</f>
        <v>34627884.9063472</v>
      </c>
      <c r="AL34" s="6">
        <f>SUMPRODUCT(N([Nome]=Tabela3[[#This Row],[Nome]]),[Div Base]*[Ações])</f>
        <v>103017775.26084489</v>
      </c>
      <c r="AM34" s="6">
        <f>[Patrimônio Líquido]/[Total Ações]</f>
        <v>14.765332688466451</v>
      </c>
      <c r="AN34" s="48">
        <f>MAX(Tabela3[[#This Row],[Cotação 1]:[Cotação 5]])</f>
        <v>0</v>
      </c>
      <c r="AO34" s="44">
        <f>[Cotação]/[VPA]</f>
        <v>0</v>
      </c>
      <c r="AP34" s="40">
        <f>IF(Tabela3[[#This Row],[Lucro/Ação]]&gt;0,Tabela3[[#This Row],[Cotação]]/(Tabela3[[#This Row],[Lucro/Ação]]/[Ref]*4),0)</f>
        <v>0</v>
      </c>
      <c r="AQ34" s="77">
        <f>[Lucro Distribuir]/[Total Ações]</f>
        <v>2.1910587341819023</v>
      </c>
      <c r="AR34" s="77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34" s="15" t="str">
        <f>IF(AND([% A.A.]&gt;=5%,SUMPRODUCT(N([Nome]=Tabela3[[#This Row],[Nome]]),[PL])&gt;0,[Rentabilidade s/ PL]&gt;=[Rentabilidade s/ PL Média]),"Sim","Não")</f>
        <v>Não</v>
      </c>
      <c r="AT34" s="42">
        <f>IF([Cotação]&gt;0,Tabela3[[#This Row],[Lucro]]/Tabela3[[#This Row],[Cotação]],0)</f>
        <v>0</v>
      </c>
      <c r="AU34" s="19">
        <f>((1+Tabela3[[#This Row],[% Yield]])^(1/(3*Tabela3[[#This Row],[Ref]])))^(12)-1</f>
        <v>0</v>
      </c>
      <c r="AV34" s="14">
        <f>IF([Cotação]&gt;0,($BH$1/Tabela3[[#This Row],[Cotação]]-MOD($BH$1/Tabela3[[#This Row],[Cotação]],100)),)</f>
        <v>0</v>
      </c>
      <c r="AW34" s="17">
        <f>Tabela3[[#This Row],[Ativos]]*[Lucro]</f>
        <v>0</v>
      </c>
      <c r="AX34" s="5">
        <f>SUMPRODUCT(N(Tabela1[Código]=Tabela3[[#This Row],[PAPEL]]),Tabela1[Fechamento])</f>
        <v>0</v>
      </c>
      <c r="AY34" s="5">
        <f>SUMPRODUCT(N(Tabela17[Código]=Tabela3[[#This Row],[PAPEL]]),Tabela17[Fechamento])</f>
        <v>0</v>
      </c>
      <c r="AZ34" s="7">
        <f>SUMPRODUCT(N(Tabela176[Código]=Tabela3[[#This Row],[PAPEL]]),Tabela176[Fechamento])</f>
        <v>0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customHeight="1">
      <c r="A35" s="3" t="s">
        <v>1276</v>
      </c>
      <c r="B35" s="57" t="s">
        <v>1248</v>
      </c>
      <c r="C35" s="16" t="str">
        <f>LEFT([PAPEL],LEN([PAPEL])-(LEN([PAPEL])-4))</f>
        <v>RSUL</v>
      </c>
      <c r="D35" s="16">
        <v>3</v>
      </c>
      <c r="E35" s="5">
        <v>9213613.5800000001</v>
      </c>
      <c r="F35" s="56">
        <v>343000</v>
      </c>
      <c r="G35" s="80">
        <v>0.25</v>
      </c>
      <c r="H35" s="86"/>
      <c r="J35" s="18"/>
      <c r="K35" s="16"/>
      <c r="L35" s="86"/>
      <c r="M35" s="54"/>
      <c r="N35" s="54"/>
      <c r="O35" s="54"/>
      <c r="P35" s="90">
        <v>1266000</v>
      </c>
      <c r="Q35" s="73">
        <v>-5191000</v>
      </c>
      <c r="R35" s="73">
        <f>IF(Tabela3[[#This Row],[Ativo || Passivo]]&gt;0,Tabela3[[#This Row],[Ativo || Passivo]]-Tabela3[[#This Row],[Patrimônio Líquido]],0)</f>
        <v>0</v>
      </c>
      <c r="S35" s="73">
        <f>Tabela3[[#This Row],[Cotação]]*Tabela3[[#This Row],[Total Ações]]</f>
        <v>0</v>
      </c>
      <c r="T35" s="37">
        <f>IF(Tabela3[[#This Row],[Passivo Circulante]]&gt;0,Tabela3[[#This Row],[Ativo Circulante]]/Tabela3[[#This Row],[Passivo Circulante]],0)</f>
        <v>0</v>
      </c>
      <c r="U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" s="18">
        <f>IF(Tabela3[[#This Row],[Lucro Líquido]]&gt;0,Tabela3[[#This Row],[Lucro Líquido]]/Tabela3[[#This Row],[Patrimônio Líquido]],0)/Tabela3[[#This Row],[Ref]]*4</f>
        <v>0</v>
      </c>
      <c r="W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" s="18">
        <f>IF(Tabela3[[#This Row],[Dívida]]&gt;0,Tabela3[[#This Row],[Dívida]]/Tabela3[[#This Row],[Patrimônio Líquido]],0)</f>
        <v>0</v>
      </c>
      <c r="Y35" s="18">
        <f>SUMPRODUCT(N([Dívida / PL]&gt;0),N(RIGHT([PAPEL],LEN([PAPEL])-(LEN([PAPEL])-1))="3"),[Dívida / PL])/SUMPRODUCT(N([Dívida / PL]&gt;0),N(RIGHT([PAPEL],LEN([PAPEL])-(LEN([PAPEL])-1))="3"))</f>
        <v>2.2435702141443779</v>
      </c>
      <c r="Z35" s="7">
        <f>Tabela3[[#This Row],[Capital Social]]*20%</f>
        <v>1842722.716</v>
      </c>
      <c r="AA35" s="47">
        <f>IF(([Lucro Líquido]*5%)&gt;[Teto R. Legal],[Teto R. Legal],[Lucro Líquido]*5%)</f>
        <v>-259550</v>
      </c>
      <c r="AB35" s="47">
        <f>IF([Lucro Líquido]&lt;0,0,[Lucro Líquido]-[Reserva Legal])</f>
        <v>0</v>
      </c>
      <c r="AC35" s="47">
        <f>Tabela3[[#This Row],[Lucro Distribuir]]*[%Div]</f>
        <v>0</v>
      </c>
      <c r="AD35" s="56">
        <f>SUMPRODUCT(N([Nome]=Tabela3[[#This Row],[Nome]]),[Ações])</f>
        <v>583000</v>
      </c>
      <c r="AE35" s="84">
        <f>[Capital Social]/[Total Ações]</f>
        <v>15.803796878216124</v>
      </c>
      <c r="AF35" s="84">
        <f>Tabela3[[#This Row],[Lucro Líquido]]/Tabela3[[#This Row],[Total Ações]]</f>
        <v>-8.9039451114922805</v>
      </c>
      <c r="AG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" s="7">
        <f>[Div Base]*[Ações]</f>
        <v>0</v>
      </c>
      <c r="AL35" s="113">
        <f>SUMPRODUCT(N([Nome]=Tabela3[[#This Row],[Nome]]),[Div Base]*[Ações])</f>
        <v>0</v>
      </c>
      <c r="AM35" s="5">
        <f>[Patrimônio Líquido]/[Total Ações]</f>
        <v>2.1715265866209261</v>
      </c>
      <c r="AN35" s="52">
        <f>MAX(Tabela3[[#This Row],[Cotação 1]:[Cotação 5]])</f>
        <v>0</v>
      </c>
      <c r="AO35" s="53">
        <f>[Cotação]/[VPA]</f>
        <v>0</v>
      </c>
      <c r="AP35" s="37">
        <f>IF(Tabela3[[#This Row],[Lucro/Ação]]&gt;0,Tabela3[[#This Row],[Cotação]]/(Tabela3[[#This Row],[Lucro/Ação]]/[Ref]*4),0)</f>
        <v>0</v>
      </c>
      <c r="AQ35" s="84">
        <f>[Lucro Distribuir]/[Total Ações]</f>
        <v>0</v>
      </c>
      <c r="AR3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" s="10" t="str">
        <f>IF(AND([% A.A.]&gt;=5%,SUMPRODUCT(N([Nome]=Tabela3[[#This Row],[Nome]]),[PL])&gt;0,[Rentabilidade s/ PL]&gt;=[Rentabilidade s/ PL Média]),"Sim","Não")</f>
        <v>Não</v>
      </c>
      <c r="AT35" s="22">
        <f>IF([Cotação]&gt;0,Tabela3[[#This Row],[Lucro]]/Tabela3[[#This Row],[Cotação]],0)</f>
        <v>0</v>
      </c>
      <c r="AU35" s="22">
        <f>((1+Tabela3[[#This Row],[% Yield]])^(1/(3*Tabela3[[#This Row],[Ref]])))^(12)-1</f>
        <v>0</v>
      </c>
      <c r="AV35" s="10">
        <f>IF([Cotação]&gt;0,($BH$1/Tabela3[[#This Row],[Cotação]]-MOD($BH$1/Tabela3[[#This Row],[Cotação]],100)),)</f>
        <v>0</v>
      </c>
      <c r="AW35" s="7">
        <f>Tabela3[[#This Row],[Ativos]]*[Lucro]</f>
        <v>0</v>
      </c>
      <c r="AX35" s="7">
        <f>SUMPRODUCT(N(Tabela1[Código]=Tabela3[[#This Row],[PAPEL]]),Tabela1[Fechamento])</f>
        <v>0</v>
      </c>
      <c r="AY35" s="7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4" t="s">
        <v>14</v>
      </c>
      <c r="B36" s="57" t="s">
        <v>554</v>
      </c>
      <c r="C36" s="15" t="str">
        <f>LEFT([PAPEL],LEN([PAPEL])-(LEN([PAPEL])-4))</f>
        <v>SFSA</v>
      </c>
      <c r="D36" s="15">
        <v>3</v>
      </c>
      <c r="E36" s="6">
        <v>685700092.85000002</v>
      </c>
      <c r="F36" s="8">
        <v>97140150</v>
      </c>
      <c r="G36" s="85">
        <v>0.25</v>
      </c>
      <c r="H36" s="15"/>
      <c r="I36" s="19"/>
      <c r="J36" s="19"/>
      <c r="K36" s="87"/>
      <c r="L36" s="87"/>
      <c r="M36" s="55"/>
      <c r="N36" s="55"/>
      <c r="O36" s="55"/>
      <c r="P36" s="6">
        <v>699911000</v>
      </c>
      <c r="Q36" s="6">
        <v>6746000</v>
      </c>
      <c r="R36" s="6">
        <f>IF(Tabela3[[#This Row],[Ativo || Passivo]]&gt;0,Tabela3[[#This Row],[Ativo || Passivo]]-Tabela3[[#This Row],[Patrimônio Líquido]],0)</f>
        <v>0</v>
      </c>
      <c r="S36" s="6">
        <f>Tabela3[[#This Row],[Cotação]]*Tabela3[[#This Row],[Total Ações]]</f>
        <v>0</v>
      </c>
      <c r="T36" s="121">
        <f>IF(Tabela3[[#This Row],[Passivo Circulante]]&gt;0,Tabela3[[#This Row],[Ativo Circulante]]/Tabela3[[#This Row],[Passivo Circulante]],0)</f>
        <v>0</v>
      </c>
      <c r="U3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" s="19">
        <f>IF(Tabela3[[#This Row],[Lucro Líquido]]&gt;0,Tabela3[[#This Row],[Lucro Líquido]]/Tabela3[[#This Row],[Patrimônio Líquido]],0)/Tabela3[[#This Row],[Ref]]*4</f>
        <v>1.2851157742436775E-2</v>
      </c>
      <c r="W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" s="19">
        <f>IF(Tabela3[[#This Row],[Dívida]]&gt;0,Tabela3[[#This Row],[Dívida]]/Tabela3[[#This Row],[Patrimônio Líquido]],0)</f>
        <v>0</v>
      </c>
      <c r="Y36" s="19">
        <f>SUMPRODUCT(N([Dívida / PL]&gt;0),N(RIGHT([PAPEL],LEN([PAPEL])-(LEN([PAPEL])-1))="3"),[Dívida / PL])/SUMPRODUCT(N([Dívida / PL]&gt;0),N(RIGHT([PAPEL],LEN([PAPEL])-(LEN([PAPEL])-1))="3"))</f>
        <v>2.2435702141443779</v>
      </c>
      <c r="Z36" s="13">
        <f>Tabela3[[#This Row],[Capital Social]]*20%</f>
        <v>137140018.57000002</v>
      </c>
      <c r="AA36" s="13">
        <f>IF(([Lucro Líquido]*5%)&gt;[Teto R. Legal],[Teto R. Legal],[Lucro Líquido]*5%)</f>
        <v>337300</v>
      </c>
      <c r="AB36" s="13">
        <f>IF([Lucro Líquido]&lt;0,0,[Lucro Líquido]-[Reserva Legal])</f>
        <v>6408700</v>
      </c>
      <c r="AC36" s="13">
        <f>Tabela3[[#This Row],[Lucro Distribuir]]*[%Div]</f>
        <v>1602175</v>
      </c>
      <c r="AD36" s="56">
        <f>SUMPRODUCT(N([Nome]=Tabela3[[#This Row],[Nome]]),[Ações])</f>
        <v>137747421</v>
      </c>
      <c r="AE36" s="6">
        <f>[Capital Social]/[Total Ações]</f>
        <v>4.9779523120799487</v>
      </c>
      <c r="AF36" s="77">
        <f>Tabela3[[#This Row],[Lucro Líquido]]/Tabela3[[#This Row],[Total Ações]]</f>
        <v>4.8973693670823791E-2</v>
      </c>
      <c r="AG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36" s="13">
        <f>[Div Base]*[Ações]</f>
        <v>1129861.5879439951</v>
      </c>
      <c r="AL36" s="13">
        <f>SUMPRODUCT(N([Nome]=Tabela3[[#This Row],[Nome]]),[Div Base]*[Ações])</f>
        <v>1602175.0000000002</v>
      </c>
      <c r="AM36" s="6">
        <f>[Patrimônio Líquido]/[Total Ações]</f>
        <v>5.0811187238126223</v>
      </c>
      <c r="AN36" s="48">
        <f>MAX(Tabela3[[#This Row],[Cotação 1]:[Cotação 5]])</f>
        <v>0</v>
      </c>
      <c r="AO36" s="44">
        <f>[Cotação]/[VPA]</f>
        <v>0</v>
      </c>
      <c r="AP36" s="40">
        <f>IF(Tabela3[[#This Row],[Lucro/Ação]]&gt;0,Tabela3[[#This Row],[Cotação]]/(Tabela3[[#This Row],[Lucro/Ação]]/[Ref]*4),0)</f>
        <v>0</v>
      </c>
      <c r="AQ36" s="77">
        <f>[Lucro Distribuir]/[Total Ações]</f>
        <v>4.6525008987282603E-2</v>
      </c>
      <c r="AR36" s="77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36" s="14" t="str">
        <f>IF(AND([% A.A.]&gt;=5%,SUMPRODUCT(N([Nome]=Tabela3[[#This Row],[Nome]]),[PL])&gt;0,[Rentabilidade s/ PL]&gt;=[Rentabilidade s/ PL Média]),"Sim","Não")</f>
        <v>Não</v>
      </c>
      <c r="AT36" s="42">
        <f>IF([Cotação]&gt;0,Tabela3[[#This Row],[Lucro]]/Tabela3[[#This Row],[Cotação]],0)</f>
        <v>0</v>
      </c>
      <c r="AU36" s="42">
        <f>((1+Tabela3[[#This Row],[% Yield]])^(1/(3*Tabela3[[#This Row],[Ref]])))^(12)-1</f>
        <v>0</v>
      </c>
      <c r="AV36" s="14">
        <f>IF([Cotação]&gt;0,($BH$1/Tabela3[[#This Row],[Cotação]]-MOD($BH$1/Tabela3[[#This Row],[Cotação]],100)),)</f>
        <v>0</v>
      </c>
      <c r="AW36" s="17">
        <f>Tabela3[[#This Row],[Ativos]]*[Lucro]</f>
        <v>0</v>
      </c>
      <c r="AX36" s="17">
        <f>SUMPRODUCT(N(Tabela1[Código]=Tabela3[[#This Row],[PAPEL]]),Tabela1[Fechamento])</f>
        <v>0</v>
      </c>
      <c r="AY36" s="17">
        <f>SUMPRODUCT(N(Tabela17[Código]=Tabela3[[#This Row],[PAPEL]]),Tabela17[Fechamento])</f>
        <v>0</v>
      </c>
      <c r="AZ36" s="17">
        <f>SUMPRODUCT(N(Tabela176[Código]=Tabela3[[#This Row],[PAPEL]]),Tabela176[Fechamento])</f>
        <v>0</v>
      </c>
      <c r="BA36" s="1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customHeight="1">
      <c r="A37" s="3" t="s">
        <v>1226</v>
      </c>
      <c r="B37" s="57" t="s">
        <v>1227</v>
      </c>
      <c r="C37" s="16" t="str">
        <f>LEFT([PAPEL],LEN([PAPEL])-(LEN([PAPEL])-4))</f>
        <v>SHUL</v>
      </c>
      <c r="D37" s="16">
        <v>4</v>
      </c>
      <c r="E37" s="5">
        <v>201852798.03999999</v>
      </c>
      <c r="F37" s="56">
        <v>27266565</v>
      </c>
      <c r="G37" s="80">
        <v>0.25</v>
      </c>
      <c r="H37" s="86"/>
      <c r="J37" s="18"/>
      <c r="K37" s="16"/>
      <c r="L37" s="86"/>
      <c r="M37" s="54">
        <v>958475000</v>
      </c>
      <c r="N37" s="54">
        <v>538847000</v>
      </c>
      <c r="O37" s="54">
        <v>197823000</v>
      </c>
      <c r="P37" s="90">
        <v>358721000</v>
      </c>
      <c r="Q37" s="73">
        <v>61497000</v>
      </c>
      <c r="R37" s="73">
        <f>IF(Tabela3[[#This Row],[Ativo || Passivo]]&gt;0,Tabela3[[#This Row],[Ativo || Passivo]]-Tabela3[[#This Row],[Patrimônio Líquido]],0)</f>
        <v>599754000</v>
      </c>
      <c r="S37" s="73">
        <f>Tabela3[[#This Row],[Cotação]]*Tabela3[[#This Row],[Total Ações]]</f>
        <v>0</v>
      </c>
      <c r="T37" s="37">
        <f>IF(Tabela3[[#This Row],[Passivo Circulante]]&gt;0,Tabela3[[#This Row],[Ativo Circulante]]/Tabela3[[#This Row],[Passivo Circulante]],0)</f>
        <v>2.7238844825930251</v>
      </c>
      <c r="U3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" s="18">
        <f>IF(Tabela3[[#This Row],[Lucro Líquido]]&gt;0,Tabela3[[#This Row],[Lucro Líquido]]/Tabela3[[#This Row],[Patrimônio Líquido]],0)/Tabela3[[#This Row],[Ref]]*4</f>
        <v>0.17143406714410364</v>
      </c>
      <c r="W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" s="18">
        <f>IF(Tabela3[[#This Row],[Dívida]]&gt;0,Tabela3[[#This Row],[Dívida]]/Tabela3[[#This Row],[Patrimônio Líquido]],0)</f>
        <v>1.6719233052985467</v>
      </c>
      <c r="Y37" s="18">
        <f>SUMPRODUCT(N([Dívida / PL]&gt;0),N(RIGHT([PAPEL],LEN([PAPEL])-(LEN([PAPEL])-1))="3"),[Dívida / PL])/SUMPRODUCT(N([Dívida / PL]&gt;0),N(RIGHT([PAPEL],LEN([PAPEL])-(LEN([PAPEL])-1))="3"))</f>
        <v>2.2435702141443779</v>
      </c>
      <c r="Z37" s="7">
        <f>Tabela3[[#This Row],[Capital Social]]*20%</f>
        <v>40370559.608000003</v>
      </c>
      <c r="AA37" s="47">
        <f>IF(([Lucro Líquido]*5%)&gt;[Teto R. Legal],[Teto R. Legal],[Lucro Líquido]*5%)</f>
        <v>3074850</v>
      </c>
      <c r="AB37" s="47">
        <f>IF([Lucro Líquido]&lt;0,0,[Lucro Líquido]-[Reserva Legal])</f>
        <v>58422150</v>
      </c>
      <c r="AC37" s="47">
        <f>Tabela3[[#This Row],[Lucro Distribuir]]*[%Div]</f>
        <v>14605537.5</v>
      </c>
      <c r="AD37" s="56">
        <f>SUMPRODUCT(N([Nome]=Tabela3[[#This Row],[Nome]]),[Ações])</f>
        <v>63817490</v>
      </c>
      <c r="AE37" s="84">
        <f>[Capital Social]/[Total Ações]</f>
        <v>3.1629698698585607</v>
      </c>
      <c r="AF37" s="84">
        <f>Tabela3[[#This Row],[Lucro Líquido]]/Tabela3[[#This Row],[Total Ações]]</f>
        <v>0.96363865141045191</v>
      </c>
      <c r="AG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37" s="7">
        <f>[Div Base]*[Ações]</f>
        <v>6046179.3243141109</v>
      </c>
      <c r="AL37" s="113">
        <f>SUMPRODUCT(N([Nome]=Tabela3[[#This Row],[Nome]]),[Div Base]*[Ações])</f>
        <v>14961596.138075691</v>
      </c>
      <c r="AM37" s="5">
        <f>[Patrimônio Líquido]/[Total Ações]</f>
        <v>5.6210452651773046</v>
      </c>
      <c r="AN37" s="52">
        <f>MAX(Tabela3[[#This Row],[Cotação 1]:[Cotação 5]])</f>
        <v>0</v>
      </c>
      <c r="AO37" s="53">
        <f>[Cotação]/[VPA]</f>
        <v>0</v>
      </c>
      <c r="AP37" s="37">
        <f>IF(Tabela3[[#This Row],[Lucro/Ação]]&gt;0,Tabela3[[#This Row],[Cotação]]/(Tabela3[[#This Row],[Lucro/Ação]]/[Ref]*4),0)</f>
        <v>0</v>
      </c>
      <c r="AQ37" s="84">
        <f>[Lucro Distribuir]/[Total Ações]</f>
        <v>0.9154567188399293</v>
      </c>
      <c r="AR37" s="84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37" s="10" t="str">
        <f>IF(AND([% A.A.]&gt;=5%,SUMPRODUCT(N([Nome]=Tabela3[[#This Row],[Nome]]),[PL])&gt;0,[Rentabilidade s/ PL]&gt;=[Rentabilidade s/ PL Média]),"Sim","Não")</f>
        <v>Não</v>
      </c>
      <c r="AT37" s="22">
        <f>IF([Cotação]&gt;0,Tabela3[[#This Row],[Lucro]]/Tabela3[[#This Row],[Cotação]],0)</f>
        <v>0</v>
      </c>
      <c r="AU37" s="22">
        <f>((1+Tabela3[[#This Row],[% Yield]])^(1/(3*Tabela3[[#This Row],[Ref]])))^(12)-1</f>
        <v>0</v>
      </c>
      <c r="AV37" s="10">
        <f>IF([Cotação]&gt;0,($BH$1/Tabela3[[#This Row],[Cotação]]-MOD($BH$1/Tabela3[[#This Row],[Cotação]],100)),)</f>
        <v>0</v>
      </c>
      <c r="AW37" s="7">
        <f>Tabela3[[#This Row],[Ativos]]*[Lucro]</f>
        <v>0</v>
      </c>
      <c r="AX37" s="7">
        <f>SUMPRODUCT(N(Tabela1[Código]=Tabela3[[#This Row],[PAPEL]]),Tabela1[Fechamento])</f>
        <v>0</v>
      </c>
      <c r="AY37" s="7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customHeight="1">
      <c r="A38" s="3" t="s">
        <v>1141</v>
      </c>
      <c r="B38" s="57" t="s">
        <v>1146</v>
      </c>
      <c r="C38" s="16" t="str">
        <f>LEFT([PAPEL],LEN([PAPEL])-(LEN([PAPEL])-4))</f>
        <v>STBP</v>
      </c>
      <c r="D38" s="16">
        <v>4</v>
      </c>
      <c r="E38" s="5">
        <v>1071077315.22</v>
      </c>
      <c r="F38" s="56">
        <v>454629482</v>
      </c>
      <c r="G38" s="80">
        <v>0.25</v>
      </c>
      <c r="H38" s="86"/>
      <c r="J38" s="18"/>
      <c r="K38" s="16"/>
      <c r="L38" s="86"/>
      <c r="M38" s="54">
        <v>2144669000</v>
      </c>
      <c r="N38" s="54">
        <v>254441000</v>
      </c>
      <c r="O38" s="54">
        <v>354195000</v>
      </c>
      <c r="P38" s="90">
        <v>1447969000</v>
      </c>
      <c r="Q38" s="73">
        <v>255060000</v>
      </c>
      <c r="R38" s="73">
        <f>IF(Tabela3[[#This Row],[Ativo || Passivo]]&gt;0,Tabela3[[#This Row],[Ativo || Passivo]]-Tabela3[[#This Row],[Patrimônio Líquido]],0)</f>
        <v>696700000</v>
      </c>
      <c r="S38" s="73">
        <f>Tabela3[[#This Row],[Cotação]]*Tabela3[[#This Row],[Total Ações]]</f>
        <v>0</v>
      </c>
      <c r="T38" s="37">
        <f>IF(Tabela3[[#This Row],[Passivo Circulante]]&gt;0,Tabela3[[#This Row],[Ativo Circulante]]/Tabela3[[#This Row],[Passivo Circulante]],0)</f>
        <v>0.71836417792458951</v>
      </c>
      <c r="U3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" s="18">
        <f>IF(Tabela3[[#This Row],[Lucro Líquido]]&gt;0,Tabela3[[#This Row],[Lucro Líquido]]/Tabela3[[#This Row],[Patrimônio Líquido]],0)/Tabela3[[#This Row],[Ref]]*4</f>
        <v>0.17615018001075991</v>
      </c>
      <c r="W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" s="18">
        <f>IF(Tabela3[[#This Row],[Dívida]]&gt;0,Tabela3[[#This Row],[Dívida]]/Tabela3[[#This Row],[Patrimônio Líquido]],0)</f>
        <v>0.48115670984668868</v>
      </c>
      <c r="Y38" s="18">
        <f>SUMPRODUCT(N([Dívida / PL]&gt;0),N(RIGHT([PAPEL],LEN([PAPEL])-(LEN([PAPEL])-1))="3"),[Dívida / PL])/SUMPRODUCT(N([Dívida / PL]&gt;0),N(RIGHT([PAPEL],LEN([PAPEL])-(LEN([PAPEL])-1))="3"))</f>
        <v>2.2435702141443779</v>
      </c>
      <c r="Z38" s="7">
        <f>Tabela3[[#This Row],[Capital Social]]*20%</f>
        <v>214215463.04400003</v>
      </c>
      <c r="AA38" s="47">
        <f>IF(([Lucro Líquido]*5%)&gt;[Teto R. Legal],[Teto R. Legal],[Lucro Líquido]*5%)</f>
        <v>12753000</v>
      </c>
      <c r="AB38" s="47">
        <f>IF([Lucro Líquido]&lt;0,0,[Lucro Líquido]-[Reserva Legal])</f>
        <v>242307000</v>
      </c>
      <c r="AC38" s="47">
        <f>Tabela3[[#This Row],[Lucro Distribuir]]*[%Div]</f>
        <v>60576750</v>
      </c>
      <c r="AD38" s="56">
        <f>SUMPRODUCT(N([Nome]=Tabela3[[#This Row],[Nome]]),[Ações])</f>
        <v>666086554</v>
      </c>
      <c r="AE38" s="84">
        <f>[Capital Social]/[Total Ações]</f>
        <v>1.6080152178240787</v>
      </c>
      <c r="AF38" s="84">
        <f>Tabela3[[#This Row],[Lucro Líquido]]/Tabela3[[#This Row],[Total Ações]]</f>
        <v>0.38292320790489942</v>
      </c>
      <c r="AG3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3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38" s="7">
        <f>[Div Base]*[Ações]</f>
        <v>41345942.668200895</v>
      </c>
      <c r="AL38" s="113">
        <f>SUMPRODUCT(N([Nome]=Tabela3[[#This Row],[Nome]]),[Div Base]*[Ações])</f>
        <v>60576750</v>
      </c>
      <c r="AM38" s="5">
        <f>[Patrimônio Líquido]/[Total Ações]</f>
        <v>2.1738451126278102</v>
      </c>
      <c r="AN38" s="52">
        <f>MAX(Tabela3[[#This Row],[Cotação 1]:[Cotação 5]])</f>
        <v>0</v>
      </c>
      <c r="AO38" s="53">
        <f>[Cotação]/[VPA]</f>
        <v>0</v>
      </c>
      <c r="AP38" s="37">
        <f>IF(Tabela3[[#This Row],[Lucro/Ação]]&gt;0,Tabela3[[#This Row],[Cotação]]/(Tabela3[[#This Row],[Lucro/Ação]]/[Ref]*4),0)</f>
        <v>0</v>
      </c>
      <c r="AQ38" s="84">
        <f>[Lucro Distribuir]/[Total Ações]</f>
        <v>0.36377704750965445</v>
      </c>
      <c r="AR38" s="84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38" s="10" t="str">
        <f>IF(AND([% A.A.]&gt;=5%,SUMPRODUCT(N([Nome]=Tabela3[[#This Row],[Nome]]),[PL])&gt;0,[Rentabilidade s/ PL]&gt;=[Rentabilidade s/ PL Média]),"Sim","Não")</f>
        <v>Não</v>
      </c>
      <c r="AT38" s="22">
        <f>IF([Cotação]&gt;0,Tabela3[[#This Row],[Lucro]]/Tabela3[[#This Row],[Cotação]],0)</f>
        <v>0</v>
      </c>
      <c r="AU38" s="22">
        <f>((1+Tabela3[[#This Row],[% Yield]])^(1/(3*Tabela3[[#This Row],[Ref]])))^(12)-1</f>
        <v>0</v>
      </c>
      <c r="AV38" s="10">
        <f>IF([Cotação]&gt;0,($BH$1/Tabela3[[#This Row],[Cotação]]-MOD($BH$1/Tabela3[[#This Row],[Cotação]],100)),)</f>
        <v>0</v>
      </c>
      <c r="AW38" s="7">
        <f>Tabela3[[#This Row],[Ativos]]*[Lucro]</f>
        <v>0</v>
      </c>
      <c r="AX38" s="7">
        <f>SUMPRODUCT(N(Tabela1[Código]=Tabela3[[#This Row],[PAPEL]]),Tabela1[Fechamento])</f>
        <v>0</v>
      </c>
      <c r="AY38" s="7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customHeight="1">
      <c r="A39" s="3" t="s">
        <v>1141</v>
      </c>
      <c r="B39" s="57" t="s">
        <v>1147</v>
      </c>
      <c r="C39" s="16" t="str">
        <f>LEFT([PAPEL],LEN([PAPEL])-(LEN([PAPEL])-4))</f>
        <v>STBP</v>
      </c>
      <c r="D39" s="16">
        <v>4</v>
      </c>
      <c r="E39" s="5">
        <v>1071077315.22</v>
      </c>
      <c r="F39" s="56">
        <v>211457072</v>
      </c>
      <c r="G39" s="80">
        <v>0.25</v>
      </c>
      <c r="H39" s="86"/>
      <c r="J39" s="18"/>
      <c r="K39" s="16"/>
      <c r="L39" s="86"/>
      <c r="M39" s="54">
        <v>2144669000</v>
      </c>
      <c r="N39" s="54">
        <v>254441000</v>
      </c>
      <c r="O39" s="54">
        <v>354195000</v>
      </c>
      <c r="P39" s="90">
        <v>1447969000</v>
      </c>
      <c r="Q39" s="73">
        <v>255060000</v>
      </c>
      <c r="R39" s="73">
        <f>IF(Tabela3[[#This Row],[Ativo || Passivo]]&gt;0,Tabela3[[#This Row],[Ativo || Passivo]]-Tabela3[[#This Row],[Patrimônio Líquido]],0)</f>
        <v>696700000</v>
      </c>
      <c r="S39" s="73">
        <f>Tabela3[[#This Row],[Cotação]]*Tabela3[[#This Row],[Total Ações]]</f>
        <v>0</v>
      </c>
      <c r="T39" s="37">
        <f>IF(Tabela3[[#This Row],[Passivo Circulante]]&gt;0,Tabela3[[#This Row],[Ativo Circulante]]/Tabela3[[#This Row],[Passivo Circulante]],0)</f>
        <v>0.71836417792458951</v>
      </c>
      <c r="U3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" s="18">
        <f>IF(Tabela3[[#This Row],[Lucro Líquido]]&gt;0,Tabela3[[#This Row],[Lucro Líquido]]/Tabela3[[#This Row],[Patrimônio Líquido]],0)/Tabela3[[#This Row],[Ref]]*4</f>
        <v>0.17615018001075991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" s="18">
        <f>IF(Tabela3[[#This Row],[Dívida]]&gt;0,Tabela3[[#This Row],[Dívida]]/Tabela3[[#This Row],[Patrimônio Líquido]],0)</f>
        <v>0.48115670984668868</v>
      </c>
      <c r="Y39" s="18">
        <f>SUMPRODUCT(N([Dívida / PL]&gt;0),N(RIGHT([PAPEL],LEN([PAPEL])-(LEN([PAPEL])-1))="3"),[Dívida / PL])/SUMPRODUCT(N([Dívida / PL]&gt;0),N(RIGHT([PAPEL],LEN([PAPEL])-(LEN([PAPEL])-1))="3"))</f>
        <v>2.2435702141443779</v>
      </c>
      <c r="Z39" s="7">
        <f>Tabela3[[#This Row],[Capital Social]]*20%</f>
        <v>214215463.04400003</v>
      </c>
      <c r="AA39" s="47">
        <f>IF(([Lucro Líquido]*5%)&gt;[Teto R. Legal],[Teto R. Legal],[Lucro Líquido]*5%)</f>
        <v>12753000</v>
      </c>
      <c r="AB39" s="47">
        <f>IF([Lucro Líquido]&lt;0,0,[Lucro Líquido]-[Reserva Legal])</f>
        <v>242307000</v>
      </c>
      <c r="AC39" s="47">
        <f>Tabela3[[#This Row],[Lucro Distribuir]]*[%Div]</f>
        <v>60576750</v>
      </c>
      <c r="AD39" s="56">
        <f>SUMPRODUCT(N([Nome]=Tabela3[[#This Row],[Nome]]),[Ações])</f>
        <v>666086554</v>
      </c>
      <c r="AE39" s="84">
        <f>[Capital Social]/[Total Ações]</f>
        <v>1.6080152178240787</v>
      </c>
      <c r="AF39" s="84">
        <f>Tabela3[[#This Row],[Lucro Líquido]]/Tabela3[[#This Row],[Total Ações]]</f>
        <v>0.38292320790489942</v>
      </c>
      <c r="AG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39" s="7">
        <f>[Div Base]*[Ações]</f>
        <v>19230807.331799105</v>
      </c>
      <c r="AL39" s="113">
        <f>SUMPRODUCT(N([Nome]=Tabela3[[#This Row],[Nome]]),[Div Base]*[Ações])</f>
        <v>60576750</v>
      </c>
      <c r="AM39" s="5">
        <f>[Patrimônio Líquido]/[Total Ações]</f>
        <v>2.1738451126278102</v>
      </c>
      <c r="AN39" s="52">
        <f>MAX(Tabela3[[#This Row],[Cotação 1]:[Cotação 5]])</f>
        <v>0</v>
      </c>
      <c r="AO39" s="53">
        <f>[Cotação]/[VPA]</f>
        <v>0</v>
      </c>
      <c r="AP39" s="37">
        <f>IF(Tabela3[[#This Row],[Lucro/Ação]]&gt;0,Tabela3[[#This Row],[Cotação]]/(Tabela3[[#This Row],[Lucro/Ação]]/[Ref]*4),0)</f>
        <v>0</v>
      </c>
      <c r="AQ39" s="84">
        <f>[Lucro Distribuir]/[Total Ações]</f>
        <v>0.36377704750965445</v>
      </c>
      <c r="AR39" s="84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0</v>
      </c>
      <c r="AU39" s="22">
        <f>((1+Tabela3[[#This Row],[% Yield]])^(1/(3*Tabela3[[#This Row],[Ref]])))^(12)-1</f>
        <v>0</v>
      </c>
      <c r="AV39" s="10">
        <f>IF([Cotação]&gt;0,($BH$1/Tabela3[[#This Row],[Cotação]]-MOD($BH$1/Tabela3[[#This Row],[Cotação]],100)),)</f>
        <v>0</v>
      </c>
      <c r="AW39" s="7">
        <f>Tabela3[[#This Row],[Ativos]]*[Lucro]</f>
        <v>0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0</v>
      </c>
    </row>
    <row r="40" spans="1:54" ht="11.25" customHeight="1">
      <c r="A40" s="4" t="s">
        <v>26</v>
      </c>
      <c r="B40" s="57" t="s">
        <v>682</v>
      </c>
      <c r="C40" s="81" t="str">
        <f>LEFT([PAPEL],LEN([PAPEL])-(LEN([PAPEL])-4))</f>
        <v>SULA</v>
      </c>
      <c r="D40" s="16">
        <v>4</v>
      </c>
      <c r="E40" s="5">
        <v>2319882346.8499999</v>
      </c>
      <c r="F40" s="56">
        <v>512362664</v>
      </c>
      <c r="G40" s="85">
        <v>0.25</v>
      </c>
      <c r="H40" s="16"/>
      <c r="J40" s="18"/>
      <c r="K40" s="86"/>
      <c r="L40" s="86"/>
      <c r="M40" s="54">
        <v>4172250000</v>
      </c>
      <c r="N40" s="54">
        <v>393710000</v>
      </c>
      <c r="O40" s="54">
        <v>94664000</v>
      </c>
      <c r="P40" s="6">
        <v>3576748000</v>
      </c>
      <c r="Q40" s="6">
        <v>480429000</v>
      </c>
      <c r="R40" s="6">
        <f>IF(Tabela3[[#This Row],[Ativo || Passivo]]&gt;0,Tabela3[[#This Row],[Ativo || Passivo]]-Tabela3[[#This Row],[Patrimônio Líquido]],0)</f>
        <v>595502000</v>
      </c>
      <c r="S40" s="6">
        <f>Tabela3[[#This Row],[Cotação]]*Tabela3[[#This Row],[Total Ações]]</f>
        <v>0</v>
      </c>
      <c r="T40" s="121">
        <f>IF(Tabela3[[#This Row],[Passivo Circulante]]&gt;0,Tabela3[[#This Row],[Ativo Circulante]]/Tabela3[[#This Row],[Passivo Circulante]],0)</f>
        <v>4.159025606355109</v>
      </c>
      <c r="U4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" s="19">
        <f>IF(Tabela3[[#This Row],[Lucro Líquido]]&gt;0,Tabela3[[#This Row],[Lucro Líquido]]/Tabela3[[#This Row],[Patrimônio Líquido]],0)/Tabela3[[#This Row],[Ref]]*4</f>
        <v>0.13432005833231753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" s="19">
        <f>IF(Tabela3[[#This Row],[Dívida]]&gt;0,Tabela3[[#This Row],[Dívida]]/Tabela3[[#This Row],[Patrimônio Líquido]],0)</f>
        <v>0.16649257929269828</v>
      </c>
      <c r="Y40" s="19">
        <f>SUMPRODUCT(N([Dívida / PL]&gt;0),N(RIGHT([PAPEL],LEN([PAPEL])-(LEN([PAPEL])-1))="3"),[Dívida / PL])/SUMPRODUCT(N([Dívida / PL]&gt;0),N(RIGHT([PAPEL],LEN([PAPEL])-(LEN([PAPEL])-1))="3"))</f>
        <v>2.2435702141443779</v>
      </c>
      <c r="Z40" s="5">
        <f>Tabela3[[#This Row],[Capital Social]]*20%</f>
        <v>463976469.37</v>
      </c>
      <c r="AA40" s="5">
        <f>IF(([Lucro Líquido]*5%)&gt;[Teto R. Legal],[Teto R. Legal],[Lucro Líquido]*5%)</f>
        <v>24021450</v>
      </c>
      <c r="AB40" s="5">
        <f>IF([Lucro Líquido]&lt;0,0,[Lucro Líquido]-[Reserva Legal])</f>
        <v>456407550</v>
      </c>
      <c r="AC40" s="5">
        <f>Tabela3[[#This Row],[Lucro Distribuir]]*[%Div]</f>
        <v>114101887.5</v>
      </c>
      <c r="AD40" s="56">
        <f>SUMPRODUCT(N([Nome]=Tabela3[[#This Row],[Nome]]),[Ações])</f>
        <v>1022205493</v>
      </c>
      <c r="AE40" s="5">
        <f>[Capital Social]/[Total Ações]</f>
        <v>2.2694872633109591</v>
      </c>
      <c r="AF40" s="76">
        <f>Tabela3[[#This Row],[Lucro Líquido]]/Tabela3[[#This Row],[Total Ações]]</f>
        <v>0.46999258298839919</v>
      </c>
      <c r="AG4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0" s="5">
        <f>[Div Base]*[Ações]</f>
        <v>57191579.821542107</v>
      </c>
      <c r="AL40" s="5">
        <f>SUMPRODUCT(N([Nome]=Tabela3[[#This Row],[Nome]]),[Div Base]*[Ações])</f>
        <v>114101887.5</v>
      </c>
      <c r="AM40" s="5">
        <f>[Patrimônio Líquido]/[Total Ações]</f>
        <v>3.4990498725484738</v>
      </c>
      <c r="AN40" s="52">
        <f>MAX(Tabela3[[#This Row],[Cotação 1]:[Cotação 5]])</f>
        <v>0</v>
      </c>
      <c r="AO40" s="53">
        <f>[Cotação]/[VPA]</f>
        <v>0</v>
      </c>
      <c r="AP40" s="37">
        <f>IF(Tabela3[[#This Row],[Lucro/Ação]]&gt;0,Tabela3[[#This Row],[Cotação]]/(Tabela3[[#This Row],[Lucro/Ação]]/[Ref]*4),0)</f>
        <v>0</v>
      </c>
      <c r="AQ40" s="76">
        <f>[Lucro Distribuir]/[Total Ações]</f>
        <v>0.44649295383897925</v>
      </c>
      <c r="AR40" s="76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0" s="16" t="str">
        <f>IF(AND([% A.A.]&gt;=5%,SUMPRODUCT(N([Nome]=Tabela3[[#This Row],[Nome]]),[PL])&gt;0,[Rentabilidade s/ PL]&gt;=[Rentabilidade s/ PL Média]),"Sim","Não")</f>
        <v>Não</v>
      </c>
      <c r="AT40" s="22">
        <f>IF([Cotação]&gt;0,Tabela3[[#This Row],[Lucro]]/Tabela3[[#This Row],[Cotação]],0)</f>
        <v>0</v>
      </c>
      <c r="AU40" s="18">
        <f>((1+Tabela3[[#This Row],[% Yield]])^(1/(3*Tabela3[[#This Row],[Ref]])))^(12)-1</f>
        <v>0</v>
      </c>
      <c r="AV40" s="10">
        <f>IF([Cotação]&gt;0,($BH$1/Tabela3[[#This Row],[Cotação]]-MOD($BH$1/Tabela3[[#This Row],[Cotação]],100)),)</f>
        <v>0</v>
      </c>
      <c r="AW40" s="7">
        <f>Tabela3[[#This Row],[Ativos]]*[Lucro]</f>
        <v>0</v>
      </c>
      <c r="AX40" s="47">
        <f>SUMPRODUCT(N(Tabela1[Código]=Tabela3[[#This Row],[PAPEL]]),Tabela1[Fechamento])</f>
        <v>0</v>
      </c>
      <c r="AY40" s="54">
        <f>SUMPRODUCT(N(Tabela17[Código]=Tabela3[[#This Row],[PAPEL]]),Tabela17[Fechamento])</f>
        <v>0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t="11.25" customHeight="1">
      <c r="A41" s="4" t="s">
        <v>26</v>
      </c>
      <c r="B41" s="57" t="s">
        <v>683</v>
      </c>
      <c r="C41" s="81" t="str">
        <f>LEFT([PAPEL],LEN([PAPEL])-(LEN([PAPEL])-4))</f>
        <v>SULA</v>
      </c>
      <c r="D41" s="15">
        <v>4</v>
      </c>
      <c r="E41" s="5">
        <v>2319882346.8499999</v>
      </c>
      <c r="F41" s="8">
        <v>509842829</v>
      </c>
      <c r="G41" s="85">
        <v>0.25</v>
      </c>
      <c r="H41" s="15"/>
      <c r="I41" s="19"/>
      <c r="J41" s="19"/>
      <c r="K41" s="87"/>
      <c r="L41" s="87"/>
      <c r="M41" s="54">
        <v>4172250000</v>
      </c>
      <c r="N41" s="54">
        <v>393710000</v>
      </c>
      <c r="O41" s="54">
        <v>94664000</v>
      </c>
      <c r="P41" s="6">
        <v>3576748000</v>
      </c>
      <c r="Q41" s="6">
        <v>480429000</v>
      </c>
      <c r="R41" s="6">
        <f>IF(Tabela3[[#This Row],[Ativo || Passivo]]&gt;0,Tabela3[[#This Row],[Ativo || Passivo]]-Tabela3[[#This Row],[Patrimônio Líquido]],0)</f>
        <v>595502000</v>
      </c>
      <c r="S41" s="6">
        <f>Tabela3[[#This Row],[Cotação]]*Tabela3[[#This Row],[Total Ações]]</f>
        <v>0</v>
      </c>
      <c r="T41" s="121">
        <f>IF(Tabela3[[#This Row],[Passivo Circulante]]&gt;0,Tabela3[[#This Row],[Ativo Circulante]]/Tabela3[[#This Row],[Passivo Circulante]],0)</f>
        <v>4.159025606355109</v>
      </c>
      <c r="U4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" s="19">
        <f>IF(Tabela3[[#This Row],[Lucro Líquido]]&gt;0,Tabela3[[#This Row],[Lucro Líquido]]/Tabela3[[#This Row],[Patrimônio Líquido]],0)/Tabela3[[#This Row],[Ref]]*4</f>
        <v>0.13432005833231753</v>
      </c>
      <c r="W4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" s="19">
        <f>IF(Tabela3[[#This Row],[Dívida]]&gt;0,Tabela3[[#This Row],[Dívida]]/Tabela3[[#This Row],[Patrimônio Líquido]],0)</f>
        <v>0.16649257929269828</v>
      </c>
      <c r="Y41" s="19">
        <f>SUMPRODUCT(N([Dívida / PL]&gt;0),N(RIGHT([PAPEL],LEN([PAPEL])-(LEN([PAPEL])-1))="3"),[Dívida / PL])/SUMPRODUCT(N([Dívida / PL]&gt;0),N(RIGHT([PAPEL],LEN([PAPEL])-(LEN([PAPEL])-1))="3"))</f>
        <v>2.2435702141443779</v>
      </c>
      <c r="Z41" s="6">
        <f>Tabela3[[#This Row],[Capital Social]]*20%</f>
        <v>463976469.37</v>
      </c>
      <c r="AA41" s="6">
        <f>IF(([Lucro Líquido]*5%)&gt;[Teto R. Legal],[Teto R. Legal],[Lucro Líquido]*5%)</f>
        <v>24021450</v>
      </c>
      <c r="AB41" s="6">
        <f>IF([Lucro Líquido]&lt;0,0,[Lucro Líquido]-[Reserva Legal])</f>
        <v>456407550</v>
      </c>
      <c r="AC41" s="6">
        <f>Tabela3[[#This Row],[Lucro Distribuir]]*[%Div]</f>
        <v>114101887.5</v>
      </c>
      <c r="AD41" s="56">
        <f>SUMPRODUCT(N([Nome]=Tabela3[[#This Row],[Nome]]),[Ações])</f>
        <v>1022205493</v>
      </c>
      <c r="AE41" s="6">
        <f>[Capital Social]/[Total Ações]</f>
        <v>2.2694872633109591</v>
      </c>
      <c r="AF41" s="77">
        <f>Tabela3[[#This Row],[Lucro Líquido]]/Tabela3[[#This Row],[Total Ações]]</f>
        <v>0.46999258298839919</v>
      </c>
      <c r="AG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1" s="6">
        <f>[Div Base]*[Ações]</f>
        <v>56910307.678457901</v>
      </c>
      <c r="AL41" s="6">
        <f>SUMPRODUCT(N([Nome]=Tabela3[[#This Row],[Nome]]),[Div Base]*[Ações])</f>
        <v>114101887.5</v>
      </c>
      <c r="AM41" s="6">
        <f>[Patrimônio Líquido]/[Total Ações]</f>
        <v>3.4990498725484738</v>
      </c>
      <c r="AN41" s="48">
        <f>MAX(Tabela3[[#This Row],[Cotação 1]:[Cotação 5]])</f>
        <v>0</v>
      </c>
      <c r="AO41" s="44">
        <f>[Cotação]/[VPA]</f>
        <v>0</v>
      </c>
      <c r="AP41" s="40">
        <f>IF(Tabela3[[#This Row],[Lucro/Ação]]&gt;0,Tabela3[[#This Row],[Cotação]]/(Tabela3[[#This Row],[Lucro/Ação]]/[Ref]*4),0)</f>
        <v>0</v>
      </c>
      <c r="AQ41" s="77">
        <f>[Lucro Distribuir]/[Total Ações]</f>
        <v>0.44649295383897925</v>
      </c>
      <c r="AR41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1" s="15" t="str">
        <f>IF(AND([% A.A.]&gt;=5%,SUMPRODUCT(N([Nome]=Tabela3[[#This Row],[Nome]]),[PL])&gt;0,[Rentabilidade s/ PL]&gt;=[Rentabilidade s/ PL Média]),"Sim","Não")</f>
        <v>Não</v>
      </c>
      <c r="AT41" s="42">
        <f>IF([Cotação]&gt;0,Tabela3[[#This Row],[Lucro]]/Tabela3[[#This Row],[Cotação]],0)</f>
        <v>0</v>
      </c>
      <c r="AU41" s="19">
        <f>((1+Tabela3[[#This Row],[% Yield]])^(1/(3*Tabela3[[#This Row],[Ref]])))^(12)-1</f>
        <v>0</v>
      </c>
      <c r="AV41" s="14">
        <f>IF([Cotação]&gt;0,($BH$1/Tabela3[[#This Row],[Cotação]]-MOD($BH$1/Tabela3[[#This Row],[Cotação]],100)),)</f>
        <v>0</v>
      </c>
      <c r="AW41" s="17">
        <f>Tabela3[[#This Row],[Ativos]]*[Lucro]</f>
        <v>0</v>
      </c>
      <c r="AX41" s="13">
        <f>SUMPRODUCT(N(Tabela1[Código]=Tabela3[[#This Row],[PAPEL]]),Tabela1[Fechamento])</f>
        <v>0</v>
      </c>
      <c r="AY41" s="13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0</v>
      </c>
    </row>
    <row r="42" spans="1:54" ht="11.25" customHeight="1">
      <c r="A42" s="4" t="s">
        <v>12</v>
      </c>
      <c r="B42" s="57" t="s">
        <v>486</v>
      </c>
      <c r="C42" s="81" t="str">
        <f>LEFT([PAPEL],LEN([PAPEL])-(LEN([PAPEL])-4))</f>
        <v>EMAE</v>
      </c>
      <c r="D42" s="16">
        <v>3</v>
      </c>
      <c r="E42" s="5">
        <v>285411308.35000002</v>
      </c>
      <c r="F42" s="56">
        <v>14705370</v>
      </c>
      <c r="G42" s="80">
        <v>0.25</v>
      </c>
      <c r="H42" s="18"/>
      <c r="J42" s="18"/>
      <c r="K42" s="86"/>
      <c r="L42" s="86"/>
      <c r="M42" s="54"/>
      <c r="N42" s="54"/>
      <c r="O42" s="54"/>
      <c r="P42" s="88">
        <v>672379000</v>
      </c>
      <c r="Q42" s="88">
        <v>25747000</v>
      </c>
      <c r="R42" s="88">
        <f>IF(Tabela3[[#This Row],[Ativo || Passivo]]&gt;0,Tabela3[[#This Row],[Ativo || Passivo]]-Tabela3[[#This Row],[Patrimônio Líquido]],0)</f>
        <v>0</v>
      </c>
      <c r="S42" s="88">
        <f>Tabela3[[#This Row],[Cotação]]*Tabela3[[#This Row],[Total Ações]]</f>
        <v>0</v>
      </c>
      <c r="T42" s="121">
        <f>IF(Tabela3[[#This Row],[Passivo Circulante]]&gt;0,Tabela3[[#This Row],[Ativo Circulante]]/Tabela3[[#This Row],[Passivo Circulante]],0)</f>
        <v>0</v>
      </c>
      <c r="U4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" s="19">
        <f>IF(Tabela3[[#This Row],[Lucro Líquido]]&gt;0,Tabela3[[#This Row],[Lucro Líquido]]/Tabela3[[#This Row],[Patrimônio Líquido]],0)/Tabela3[[#This Row],[Ref]]*4</f>
        <v>5.1056522189618259E-2</v>
      </c>
      <c r="W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" s="19">
        <f>IF(Tabela3[[#This Row],[Dívida]]&gt;0,Tabela3[[#This Row],[Dívida]]/Tabela3[[#This Row],[Patrimônio Líquido]],0)</f>
        <v>0</v>
      </c>
      <c r="Y42" s="19">
        <f>SUMPRODUCT(N([Dívida / PL]&gt;0),N(RIGHT([PAPEL],LEN([PAPEL])-(LEN([PAPEL])-1))="3"),[Dívida / PL])/SUMPRODUCT(N([Dívida / PL]&gt;0),N(RIGHT([PAPEL],LEN([PAPEL])-(LEN([PAPEL])-1))="3"))</f>
        <v>2.2435702141443779</v>
      </c>
      <c r="Z42" s="6">
        <f>Tabela3[[#This Row],[Capital Social]]*20%</f>
        <v>57082261.670000009</v>
      </c>
      <c r="AA42" s="6">
        <f>IF(([Lucro Líquido]*5%)&gt;[Teto R. Legal],[Teto R. Legal],[Lucro Líquido]*5%)</f>
        <v>1287350</v>
      </c>
      <c r="AB42" s="88">
        <f>IF([Lucro Líquido]&lt;0,0,[Lucro Líquido]-[Reserva Legal])</f>
        <v>24459650</v>
      </c>
      <c r="AC42" s="88">
        <f>Tabela3[[#This Row],[Lucro Distribuir]]*[%Div]</f>
        <v>6114912.5</v>
      </c>
      <c r="AD42" s="56">
        <f>SUMPRODUCT(N([Nome]=Tabela3[[#This Row],[Nome]]),[Ações])</f>
        <v>36947084</v>
      </c>
      <c r="AE42" s="6">
        <f>[Capital Social]/[Total Ações]</f>
        <v>7.7248669570242683</v>
      </c>
      <c r="AF42" s="77">
        <f>Tabela3[[#This Row],[Lucro Líquido]]/Tabela3[[#This Row],[Total Ações]]</f>
        <v>0.69686148979984452</v>
      </c>
      <c r="AG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42" s="6">
        <f>[Div Base]*[Ações]</f>
        <v>2358081.4629703746</v>
      </c>
      <c r="AL42" s="6">
        <f>SUMPRODUCT(N([Nome]=Tabela3[[#This Row],[Nome]]),[Div Base]*[Ações])</f>
        <v>6281311.6105919778</v>
      </c>
      <c r="AM42" s="6">
        <f>[Patrimônio Líquido]/[Total Ações]</f>
        <v>18.198432114426133</v>
      </c>
      <c r="AN42" s="11">
        <f>MAX(Tabela3[[#This Row],[Cotação 1]:[Cotação 5]])</f>
        <v>0</v>
      </c>
      <c r="AO42" s="9">
        <f>[Cotação]/[VPA]</f>
        <v>0</v>
      </c>
      <c r="AP42" s="36">
        <f>IF(Tabela3[[#This Row],[Lucro/Ação]]&gt;0,Tabela3[[#This Row],[Cotação]]/(Tabela3[[#This Row],[Lucro/Ação]]/[Ref]*4),0)</f>
        <v>0</v>
      </c>
      <c r="AQ42" s="77">
        <f>[Lucro Distribuir]/[Total Ações]</f>
        <v>0.66201841530985228</v>
      </c>
      <c r="AR42" s="77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42" s="14" t="str">
        <f>IF(AND([% A.A.]&gt;=5%,SUMPRODUCT(N([Nome]=Tabela3[[#This Row],[Nome]]),[PL])&gt;0,[Rentabilidade s/ PL]&gt;=[Rentabilidade s/ PL Média]),"Sim","Não")</f>
        <v>Não</v>
      </c>
      <c r="AT42" s="19">
        <f>IF([Cotação]&gt;0,Tabela3[[#This Row],[Lucro]]/Tabela3[[#This Row],[Cotação]],0)</f>
        <v>0</v>
      </c>
      <c r="AU42" s="19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5">
        <f>Tabela3[[#This Row],[Ativos]]*[Lucro]</f>
        <v>0</v>
      </c>
      <c r="AX42" s="5">
        <f>SUMPRODUCT(N(Tabela1[Código]=Tabela3[[#This Row],[PAPEL]]),Tabela1[Fechamento])</f>
        <v>0</v>
      </c>
      <c r="AY42" s="5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0</v>
      </c>
    </row>
    <row r="43" spans="1:54" ht="11.25" customHeight="1">
      <c r="A43" s="4" t="s">
        <v>12</v>
      </c>
      <c r="B43" s="57" t="s">
        <v>473</v>
      </c>
      <c r="C43" s="81" t="str">
        <f>LEFT([PAPEL],LEN([PAPEL])-(LEN([PAPEL])-4))</f>
        <v>ENMA</v>
      </c>
      <c r="D43" s="15">
        <v>4</v>
      </c>
      <c r="E43" s="6">
        <v>618549815.79999995</v>
      </c>
      <c r="F43" s="8">
        <v>1239231</v>
      </c>
      <c r="G43" s="80">
        <v>0.25</v>
      </c>
      <c r="H43" s="15"/>
      <c r="I43" s="19">
        <v>0.06</v>
      </c>
      <c r="J43" s="19"/>
      <c r="K43" s="87"/>
      <c r="L43" s="87"/>
      <c r="M43" s="55">
        <v>3615568000</v>
      </c>
      <c r="N43" s="55">
        <v>1292445000</v>
      </c>
      <c r="O43" s="55">
        <v>591107000</v>
      </c>
      <c r="P43" s="88">
        <v>1381058000</v>
      </c>
      <c r="Q43" s="88">
        <v>192247000</v>
      </c>
      <c r="R43" s="88">
        <f>IF(Tabela3[[#This Row],[Ativo || Passivo]]&gt;0,Tabela3[[#This Row],[Ativo || Passivo]]-Tabela3[[#This Row],[Patrimônio Líquido]],0)</f>
        <v>2234510000</v>
      </c>
      <c r="S43" s="88">
        <f>Tabela3[[#This Row],[Cotação]]*Tabela3[[#This Row],[Total Ações]]</f>
        <v>0</v>
      </c>
      <c r="T43" s="121">
        <f>IF(Tabela3[[#This Row],[Passivo Circulante]]&gt;0,Tabela3[[#This Row],[Ativo Circulante]]/Tabela3[[#This Row],[Passivo Circulante]],0)</f>
        <v>2.1864823120010421</v>
      </c>
      <c r="U4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" s="19">
        <f>IF(Tabela3[[#This Row],[Lucro Líquido]]&gt;0,Tabela3[[#This Row],[Lucro Líquido]]/Tabela3[[#This Row],[Patrimônio Líquido]],0)/Tabela3[[#This Row],[Ref]]*4</f>
        <v>0.13920269822121881</v>
      </c>
      <c r="W4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" s="19">
        <f>IF(Tabela3[[#This Row],[Dívida]]&gt;0,Tabela3[[#This Row],[Dívida]]/Tabela3[[#This Row],[Patrimônio Líquido]],0)</f>
        <v>1.6179697014897274</v>
      </c>
      <c r="Y43" s="19">
        <f>SUMPRODUCT(N([Dívida / PL]&gt;0),N(RIGHT([PAPEL],LEN([PAPEL])-(LEN([PAPEL])-1))="3"),[Dívida / PL])/SUMPRODUCT(N([Dívida / PL]&gt;0),N(RIGHT([PAPEL],LEN([PAPEL])-(LEN([PAPEL])-1))="3"))</f>
        <v>2.2435702141443779</v>
      </c>
      <c r="Z43" s="6">
        <f>Tabela3[[#This Row],[Capital Social]]*20%</f>
        <v>123709963.16</v>
      </c>
      <c r="AA43" s="6">
        <f>IF(([Lucro Líquido]*5%)&gt;[Teto R. Legal],[Teto R. Legal],[Lucro Líquido]*5%)</f>
        <v>9612350</v>
      </c>
      <c r="AB43" s="6">
        <f>IF([Lucro Líquido]&lt;0,0,[Lucro Líquido]-[Reserva Legal])</f>
        <v>182634650</v>
      </c>
      <c r="AC43" s="6">
        <f>Tabela3[[#This Row],[Lucro Distribuir]]*[%Div]</f>
        <v>45658662.5</v>
      </c>
      <c r="AD43" s="56">
        <f>SUMPRODUCT(N([Nome]=Tabela3[[#This Row],[Nome]]),[Ações])</f>
        <v>164183899</v>
      </c>
      <c r="AE43" s="6">
        <f>[Capital Social]/[Total Ações]</f>
        <v>3.7674206762503548</v>
      </c>
      <c r="AF43" s="77">
        <f>Tabela3[[#This Row],[Lucro Líquido]]/Tabela3[[#This Row],[Total Ações]]</f>
        <v>1.1709248054829056</v>
      </c>
      <c r="AG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43" s="6">
        <f>[Div Base]*[Ações]</f>
        <v>280122.26952302421</v>
      </c>
      <c r="AL43" s="6">
        <f>SUMPRODUCT(N([Nome]=Tabela3[[#This Row],[Nome]]),[Div Base]*[Ações])</f>
        <v>45658662.5</v>
      </c>
      <c r="AM43" s="6">
        <f>[Patrimônio Líquido]/[Total Ações]</f>
        <v>8.4116530817677813</v>
      </c>
      <c r="AN43" s="48">
        <f>MAX(Tabela3[[#This Row],[Cotação 1]:[Cotação 5]])</f>
        <v>0</v>
      </c>
      <c r="AO43" s="44">
        <f>[Cotação]/[VPA]</f>
        <v>0</v>
      </c>
      <c r="AP43" s="40">
        <f>IF(Tabela3[[#This Row],[Lucro/Ação]]&gt;0,Tabela3[[#This Row],[Cotação]]/(Tabela3[[#This Row],[Lucro/Ação]]/[Ref]*4),0)</f>
        <v>0</v>
      </c>
      <c r="AQ43" s="77">
        <f>[Lucro Distribuir]/[Total Ações]</f>
        <v>1.1123785652087601</v>
      </c>
      <c r="AR43" s="77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43" s="15" t="str">
        <f>IF(AND([% A.A.]&gt;=5%,SUMPRODUCT(N([Nome]=Tabela3[[#This Row],[Nome]]),[PL])&gt;0,[Rentabilidade s/ PL]&gt;=[Rentabilidade s/ PL Média]),"Sim","Não")</f>
        <v>Não</v>
      </c>
      <c r="AT43" s="42">
        <f>IF([Cotação]&gt;0,Tabela3[[#This Row],[Lucro]]/Tabela3[[#This Row],[Cotação]],0)</f>
        <v>0</v>
      </c>
      <c r="AU43" s="19">
        <f>((1+Tabela3[[#This Row],[% Yield]])^(1/(3*Tabela3[[#This Row],[Ref]])))^(12)-1</f>
        <v>0</v>
      </c>
      <c r="AV43" s="14">
        <f>IF([Cotação]&gt;0,($BH$1/Tabela3[[#This Row],[Cotação]]-MOD($BH$1/Tabela3[[#This Row],[Cotação]],100)),)</f>
        <v>0</v>
      </c>
      <c r="AW43" s="17">
        <f>Tabela3[[#This Row],[Ativos]]*[Lucro]</f>
        <v>0</v>
      </c>
      <c r="AX43" s="13">
        <f>SUMPRODUCT(N(Tabela1[Código]=Tabela3[[#This Row],[PAPEL]]),Tabela1[Fechamento])</f>
        <v>0</v>
      </c>
      <c r="AY43" s="55">
        <f>SUMPRODUCT(N(Tabela17[Código]=Tabela3[[#This Row],[PAPEL]]),Tabela17[Fechamento])</f>
        <v>0</v>
      </c>
      <c r="AZ43" s="7">
        <f>SUMPRODUCT(N(Tabela176[Código]=Tabela3[[#This Row],[PAPEL]]),Tabela176[Fechamento])</f>
        <v>0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t="11.25" customHeight="1">
      <c r="A44" s="4" t="s">
        <v>12</v>
      </c>
      <c r="B44" s="57" t="s">
        <v>474</v>
      </c>
      <c r="C44" s="81" t="str">
        <f>LEFT([PAPEL],LEN([PAPEL])-(LEN([PAPEL])-4))</f>
        <v>ENMA</v>
      </c>
      <c r="D44" s="15">
        <v>4</v>
      </c>
      <c r="E44" s="6">
        <v>618549815.79999995</v>
      </c>
      <c r="F44" s="8">
        <v>1625729</v>
      </c>
      <c r="G44" s="80">
        <v>0.25</v>
      </c>
      <c r="H44" s="15"/>
      <c r="I44" s="19">
        <v>0.1</v>
      </c>
      <c r="J44" s="19"/>
      <c r="K44" s="87"/>
      <c r="L44" s="87"/>
      <c r="M44" s="55">
        <v>3615568000</v>
      </c>
      <c r="N44" s="55">
        <v>1292445000</v>
      </c>
      <c r="O44" s="55">
        <v>591107000</v>
      </c>
      <c r="P44" s="88">
        <v>1381058000</v>
      </c>
      <c r="Q44" s="88">
        <v>192247000</v>
      </c>
      <c r="R44" s="88">
        <f>IF(Tabela3[[#This Row],[Ativo || Passivo]]&gt;0,Tabela3[[#This Row],[Ativo || Passivo]]-Tabela3[[#This Row],[Patrimônio Líquido]],0)</f>
        <v>2234510000</v>
      </c>
      <c r="S44" s="88">
        <f>Tabela3[[#This Row],[Cotação]]*Tabela3[[#This Row],[Total Ações]]</f>
        <v>0</v>
      </c>
      <c r="T44" s="121">
        <f>IF(Tabela3[[#This Row],[Passivo Circulante]]&gt;0,Tabela3[[#This Row],[Ativo Circulante]]/Tabela3[[#This Row],[Passivo Circulante]],0)</f>
        <v>2.1864823120010421</v>
      </c>
      <c r="U4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" s="19">
        <f>IF(Tabela3[[#This Row],[Lucro Líquido]]&gt;0,Tabela3[[#This Row],[Lucro Líquido]]/Tabela3[[#This Row],[Patrimônio Líquido]],0)/Tabela3[[#This Row],[Ref]]*4</f>
        <v>0.13920269822121881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" s="19">
        <f>IF(Tabela3[[#This Row],[Dívida]]&gt;0,Tabela3[[#This Row],[Dívida]]/Tabela3[[#This Row],[Patrimônio Líquido]],0)</f>
        <v>1.6179697014897274</v>
      </c>
      <c r="Y44" s="19">
        <f>SUMPRODUCT(N([Dívida / PL]&gt;0),N(RIGHT([PAPEL],LEN([PAPEL])-(LEN([PAPEL])-1))="3"),[Dívida / PL])/SUMPRODUCT(N([Dívida / PL]&gt;0),N(RIGHT([PAPEL],LEN([PAPEL])-(LEN([PAPEL])-1))="3"))</f>
        <v>2.2435702141443779</v>
      </c>
      <c r="Z44" s="6">
        <f>Tabela3[[#This Row],[Capital Social]]*20%</f>
        <v>123709963.16</v>
      </c>
      <c r="AA44" s="6">
        <f>IF(([Lucro Líquido]*5%)&gt;[Teto R. Legal],[Teto R. Legal],[Lucro Líquido]*5%)</f>
        <v>9612350</v>
      </c>
      <c r="AB44" s="6">
        <f>IF([Lucro Líquido]&lt;0,0,[Lucro Líquido]-[Reserva Legal])</f>
        <v>182634650</v>
      </c>
      <c r="AC44" s="6">
        <f>Tabela3[[#This Row],[Lucro Distribuir]]*[%Div]</f>
        <v>45658662.5</v>
      </c>
      <c r="AD44" s="56">
        <f>SUMPRODUCT(N([Nome]=Tabela3[[#This Row],[Nome]]),[Ações])</f>
        <v>164183899</v>
      </c>
      <c r="AE44" s="6">
        <f>[Capital Social]/[Total Ações]</f>
        <v>3.7674206762503548</v>
      </c>
      <c r="AF44" s="77">
        <f>Tabela3[[#This Row],[Lucro Líquido]]/Tabela3[[#This Row],[Total Ações]]</f>
        <v>1.1709248054829056</v>
      </c>
      <c r="AG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44" s="6">
        <f>[Div Base]*[Ações]</f>
        <v>612480.50485798134</v>
      </c>
      <c r="AL44" s="6">
        <f>SUMPRODUCT(N([Nome]=Tabela3[[#This Row],[Nome]]),[Div Base]*[Ações])</f>
        <v>45658662.5</v>
      </c>
      <c r="AM44" s="6">
        <f>[Patrimônio Líquido]/[Total Ações]</f>
        <v>8.4116530817677813</v>
      </c>
      <c r="AN44" s="48">
        <f>MAX(Tabela3[[#This Row],[Cotação 1]:[Cotação 5]])</f>
        <v>0</v>
      </c>
      <c r="AO44" s="44">
        <f>[Cotação]/[VPA]</f>
        <v>0</v>
      </c>
      <c r="AP44" s="40">
        <f>IF(Tabela3[[#This Row],[Lucro/Ação]]&gt;0,Tabela3[[#This Row],[Cotação]]/(Tabela3[[#This Row],[Lucro/Ação]]/[Ref]*4),0)</f>
        <v>0</v>
      </c>
      <c r="AQ44" s="77">
        <f>[Lucro Distribuir]/[Total Ações]</f>
        <v>1.1123785652087601</v>
      </c>
      <c r="AR44" s="77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0</v>
      </c>
      <c r="AU44" s="19">
        <f>((1+Tabela3[[#This Row],[% Yield]])^(1/(3*Tabela3[[#This Row],[Ref]])))^(12)-1</f>
        <v>0</v>
      </c>
      <c r="AV44" s="14">
        <f>IF([Cotação]&gt;0,($BH$1/Tabela3[[#This Row],[Cotação]]-MOD($BH$1/Tabela3[[#This Row],[Cotação]],100)),)</f>
        <v>0</v>
      </c>
      <c r="AW44" s="17">
        <f>Tabela3[[#This Row],[Ativos]]*[Lucro]</f>
        <v>0</v>
      </c>
      <c r="AX44" s="13">
        <f>SUMPRODUCT(N(Tabela1[Código]=Tabela3[[#This Row],[PAPEL]]),Tabela1[Fechamento])</f>
        <v>0</v>
      </c>
      <c r="AY44" s="5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customHeight="1">
      <c r="A45" s="4" t="s">
        <v>12</v>
      </c>
      <c r="B45" s="57" t="s">
        <v>495</v>
      </c>
      <c r="C45" s="15" t="str">
        <f>LEFT([PAPEL],LEN([PAPEL])-(LEN([PAPEL])-4))</f>
        <v>RNEW</v>
      </c>
      <c r="D45" s="15">
        <v>4</v>
      </c>
      <c r="E45" s="5">
        <v>1017569849.21</v>
      </c>
      <c r="F45" s="8">
        <v>73523850</v>
      </c>
      <c r="G45" s="85">
        <v>0.25</v>
      </c>
      <c r="H45" s="15"/>
      <c r="I45" s="19"/>
      <c r="J45" s="19"/>
      <c r="K45" s="87"/>
      <c r="L45" s="87"/>
      <c r="M45" s="55"/>
      <c r="N45" s="55"/>
      <c r="O45" s="55"/>
      <c r="P45" s="90">
        <v>1000600000</v>
      </c>
      <c r="Q45" s="73">
        <v>5528000</v>
      </c>
      <c r="R45" s="73">
        <f>IF(Tabela3[[#This Row],[Ativo || Passivo]]&gt;0,Tabela3[[#This Row],[Ativo || Passivo]]-Tabela3[[#This Row],[Patrimônio Líquido]],0)</f>
        <v>0</v>
      </c>
      <c r="S45" s="73">
        <f>Tabela3[[#This Row],[Cotação]]*Tabela3[[#This Row],[Total Ações]]</f>
        <v>0</v>
      </c>
      <c r="T45" s="37">
        <f>IF(Tabela3[[#This Row],[Passivo Circulante]]&gt;0,Tabela3[[#This Row],[Ativo Circulante]]/Tabela3[[#This Row],[Passivo Circulante]],0)</f>
        <v>0</v>
      </c>
      <c r="U4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" s="18">
        <f>IF(Tabela3[[#This Row],[Lucro Líquido]]&gt;0,Tabela3[[#This Row],[Lucro Líquido]]/Tabela3[[#This Row],[Patrimônio Líquido]],0)/Tabela3[[#This Row],[Ref]]*4</f>
        <v>5.5246851888866681E-3</v>
      </c>
      <c r="W4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" s="18">
        <f>IF(Tabela3[[#This Row],[Dívida]]&gt;0,Tabela3[[#This Row],[Dívida]]/Tabela3[[#This Row],[Patrimônio Líquido]],0)</f>
        <v>0</v>
      </c>
      <c r="Y45" s="18">
        <f>SUMPRODUCT(N([Dívida / PL]&gt;0),N(RIGHT([PAPEL],LEN([PAPEL])-(LEN([PAPEL])-1))="3"),[Dívida / PL])/SUMPRODUCT(N([Dívida / PL]&gt;0),N(RIGHT([PAPEL],LEN([PAPEL])-(LEN([PAPEL])-1))="3"))</f>
        <v>2.2435702141443779</v>
      </c>
      <c r="Z45" s="13">
        <f>Tabela3[[#This Row],[Capital Social]]*20%</f>
        <v>203513969.84200001</v>
      </c>
      <c r="AA45" s="13">
        <f>IF(([Lucro Líquido]*5%)&gt;[Teto R. Legal],[Teto R. Legal],[Lucro Líquido]*5%)</f>
        <v>276400</v>
      </c>
      <c r="AB45" s="13">
        <f>IF([Lucro Líquido]&lt;0,0,[Lucro Líquido]-[Reserva Legal])</f>
        <v>5251600</v>
      </c>
      <c r="AC45" s="13">
        <f>Tabela3[[#This Row],[Lucro Distribuir]]*[%Div]</f>
        <v>1312900</v>
      </c>
      <c r="AD45" s="56">
        <f>SUMPRODUCT(N([Nome]=Tabela3[[#This Row],[Nome]]),[Ações])</f>
        <v>230031865</v>
      </c>
      <c r="AE45" s="6">
        <f>[Capital Social]/[Total Ações]</f>
        <v>4.4236038742284682</v>
      </c>
      <c r="AF45" s="77">
        <f>Tabela3[[#This Row],[Lucro Líquido]]/Tabela3[[#This Row],[Total Ações]]</f>
        <v>2.403145320758061E-2</v>
      </c>
      <c r="AG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5" s="13">
        <f>[Div Base]*[Ações]</f>
        <v>419635.17821759172</v>
      </c>
      <c r="AL45" s="13">
        <f>SUMPRODUCT(N([Nome]=Tabela3[[#This Row],[Nome]]),[Div Base]*[Ações])</f>
        <v>1312900</v>
      </c>
      <c r="AM45" s="6">
        <f>[Patrimônio Líquido]/[Total Ações]</f>
        <v>4.3498321417339287</v>
      </c>
      <c r="AN45" s="48">
        <f>MAX(Tabela3[[#This Row],[Cotação 1]:[Cotação 5]])</f>
        <v>0</v>
      </c>
      <c r="AO45" s="44">
        <f>[Cotação]/[VPA]</f>
        <v>0</v>
      </c>
      <c r="AP45" s="40">
        <f>IF(Tabela3[[#This Row],[Lucro/Ação]]&gt;0,Tabela3[[#This Row],[Cotação]]/(Tabela3[[#This Row],[Lucro/Ação]]/[Ref]*4),0)</f>
        <v>0</v>
      </c>
      <c r="AQ45" s="77">
        <f>[Lucro Distribuir]/[Total Ações]</f>
        <v>2.2829880547201579E-2</v>
      </c>
      <c r="AR45" s="77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5" s="14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0</v>
      </c>
      <c r="AU45" s="42">
        <f>((1+Tabela3[[#This Row],[% Yield]])^(1/(3*Tabela3[[#This Row],[Ref]])))^(12)-1</f>
        <v>0</v>
      </c>
      <c r="AV45" s="14">
        <f>IF([Cotação]&gt;0,($BH$1/Tabela3[[#This Row],[Cotação]]-MOD($BH$1/Tabela3[[#This Row],[Cotação]],100)),)</f>
        <v>0</v>
      </c>
      <c r="AW45" s="17">
        <f>Tabela3[[#This Row],[Ativos]]*[Lucro]</f>
        <v>0</v>
      </c>
      <c r="AX45" s="17">
        <f>SUMPRODUCT(N(Tabela1[Código]=Tabela3[[#This Row],[PAPEL]]),Tabela1[Fechamento])</f>
        <v>0</v>
      </c>
      <c r="AY45" s="17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customHeight="1">
      <c r="A46" s="3" t="s">
        <v>876</v>
      </c>
      <c r="B46" s="58" t="s">
        <v>944</v>
      </c>
      <c r="C46" s="16" t="str">
        <f>LEFT([PAPEL],LEN([PAPEL])-(LEN([PAPEL])-4))</f>
        <v>TENE</v>
      </c>
      <c r="D46" s="16">
        <v>3</v>
      </c>
      <c r="E46" s="5">
        <v>44070179.950000003</v>
      </c>
      <c r="F46" s="56">
        <v>180894</v>
      </c>
      <c r="G46" s="80">
        <v>0.25</v>
      </c>
      <c r="H46" s="86"/>
      <c r="J46" s="18"/>
      <c r="K46" s="16"/>
      <c r="L46" s="86"/>
      <c r="M46" s="54"/>
      <c r="N46" s="54"/>
      <c r="O46" s="54"/>
      <c r="P46" s="90">
        <v>-37945000</v>
      </c>
      <c r="Q46" s="73">
        <v>-3753000</v>
      </c>
      <c r="R46" s="73">
        <f>IF(Tabela3[[#This Row],[Ativo || Passivo]]&gt;0,Tabela3[[#This Row],[Ativo || Passivo]]-Tabela3[[#This Row],[Patrimônio Líquido]],0)</f>
        <v>0</v>
      </c>
      <c r="S46" s="73">
        <f>Tabela3[[#This Row],[Cotação]]*Tabela3[[#This Row],[Total Ações]]</f>
        <v>0</v>
      </c>
      <c r="T46" s="37">
        <f>IF(Tabela3[[#This Row],[Passivo Circulante]]&gt;0,Tabela3[[#This Row],[Ativo Circulante]]/Tabela3[[#This Row],[Passivo Circulante]],0)</f>
        <v>0</v>
      </c>
      <c r="U4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" s="18">
        <f>IF(Tabela3[[#This Row],[Lucro Líquido]]&gt;0,Tabela3[[#This Row],[Lucro Líquido]]/Tabela3[[#This Row],[Patrimônio Líquido]],0)/Tabela3[[#This Row],[Ref]]*4</f>
        <v>0</v>
      </c>
      <c r="W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" s="18">
        <f>IF(Tabela3[[#This Row],[Dívida]]&gt;0,Tabela3[[#This Row],[Dívida]]/Tabela3[[#This Row],[Patrimônio Líquido]],0)</f>
        <v>0</v>
      </c>
      <c r="Y46" s="18">
        <f>SUMPRODUCT(N([Dívida / PL]&gt;0),N(RIGHT([PAPEL],LEN([PAPEL])-(LEN([PAPEL])-1))="3"),[Dívida / PL])/SUMPRODUCT(N([Dívida / PL]&gt;0),N(RIGHT([PAPEL],LEN([PAPEL])-(LEN([PAPEL])-1))="3"))</f>
        <v>2.2435702141443779</v>
      </c>
      <c r="Z46" s="7">
        <f>Tabela3[[#This Row],[Capital Social]]*20%</f>
        <v>8814035.9900000002</v>
      </c>
      <c r="AA46" s="47">
        <f>IF(([Lucro Líquido]*5%)&gt;[Teto R. Legal],[Teto R. Legal],[Lucro Líquido]*5%)</f>
        <v>-187650</v>
      </c>
      <c r="AB46" s="47">
        <f>IF([Lucro Líquido]&lt;0,0,[Lucro Líquido]-[Reserva Legal])</f>
        <v>0</v>
      </c>
      <c r="AC46" s="47">
        <f>Tabela3[[#This Row],[Lucro Distribuir]]*[%Div]</f>
        <v>0</v>
      </c>
      <c r="AD46" s="56">
        <f>SUMPRODUCT(N([Nome]=Tabela3[[#This Row],[Nome]]),[Ações])</f>
        <v>1206791</v>
      </c>
      <c r="AE46" s="84">
        <f>[Capital Social]/[Total Ações]</f>
        <v>36.518485760997557</v>
      </c>
      <c r="AF46" s="84">
        <f>Tabela3[[#This Row],[Lucro Líquido]]/Tabela3[[#This Row],[Total Ações]]</f>
        <v>-3.1099005544456331</v>
      </c>
      <c r="AG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" s="7">
        <f>[Div Base]*[Ações]</f>
        <v>0</v>
      </c>
      <c r="AL46" s="7">
        <f>SUMPRODUCT(N([Nome]=Tabela3[[#This Row],[Nome]]),[Div Base]*[Ações])</f>
        <v>0</v>
      </c>
      <c r="AM46" s="5">
        <f>[Patrimônio Líquido]/[Total Ações]</f>
        <v>-31.442892762707046</v>
      </c>
      <c r="AN46" s="52">
        <f>MAX(Tabela3[[#This Row],[Cotação 1]:[Cotação 5]])</f>
        <v>0</v>
      </c>
      <c r="AO46" s="53">
        <f>[Cotação]/[VPA]</f>
        <v>0</v>
      </c>
      <c r="AP46" s="37">
        <f>IF(Tabela3[[#This Row],[Lucro/Ação]]&gt;0,Tabela3[[#This Row],[Cotação]]/(Tabela3[[#This Row],[Lucro/Ação]]/[Ref]*4),0)</f>
        <v>0</v>
      </c>
      <c r="AQ46" s="84">
        <f>[Lucro Distribuir]/[Total Ações]</f>
        <v>0</v>
      </c>
      <c r="AR4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" s="10" t="str">
        <f>IF(AND([% A.A.]&gt;=5%,SUMPRODUCT(N([Nome]=Tabela3[[#This Row],[Nome]]),[PL])&gt;0,[Rentabilidade s/ PL]&gt;=[Rentabilidade s/ PL Média]),"Sim","Não")</f>
        <v>Não</v>
      </c>
      <c r="AT46" s="22">
        <f>IF([Cotação]&gt;0,Tabela3[[#This Row],[Lucro]]/Tabela3[[#This Row],[Cotação]],0)</f>
        <v>0</v>
      </c>
      <c r="AU46" s="22">
        <f>((1+Tabela3[[#This Row],[% Yield]])^(1/(3*Tabela3[[#This Row],[Ref]])))^(12)-1</f>
        <v>0</v>
      </c>
      <c r="AV46" s="10">
        <f>IF([Cotação]&gt;0,($BH$1/Tabela3[[#This Row],[Cotação]]-MOD($BH$1/Tabela3[[#This Row],[Cotação]],100)),)</f>
        <v>0</v>
      </c>
      <c r="AW46" s="7">
        <f>Tabela3[[#This Row],[Ativos]]*[Lucro]</f>
        <v>0</v>
      </c>
      <c r="AX46" s="7">
        <f>SUMPRODUCT(N(Tabela1[Código]=Tabela3[[#This Row],[PAPEL]]),Tabela1[Fechamento])</f>
        <v>0</v>
      </c>
      <c r="AY46" s="7">
        <f>SUMPRODUCT(N(Tabela17[Código]=Tabela3[[#This Row],[PAPEL]]),Tabela17[Fechamento])</f>
        <v>0</v>
      </c>
      <c r="AZ46" s="7">
        <f>SUMPRODUCT(N(Tabela176[Código]=Tabela3[[#This Row],[PAPEL]]),Tabela176[Fechamento])</f>
        <v>0</v>
      </c>
      <c r="BA46" s="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customHeight="1">
      <c r="A47" s="3" t="s">
        <v>876</v>
      </c>
      <c r="B47" s="58" t="s">
        <v>946</v>
      </c>
      <c r="C47" s="16" t="str">
        <f>LEFT([PAPEL],LEN([PAPEL])-(LEN([PAPEL])-4))</f>
        <v>TENE</v>
      </c>
      <c r="D47" s="16">
        <v>3</v>
      </c>
      <c r="E47" s="5">
        <v>44070179.950000003</v>
      </c>
      <c r="F47" s="56">
        <v>137</v>
      </c>
      <c r="G47" s="80">
        <v>0.25</v>
      </c>
      <c r="H47" s="86"/>
      <c r="I47" s="18">
        <v>0.03</v>
      </c>
      <c r="J47" s="18"/>
      <c r="K47" s="16"/>
      <c r="L47" s="86"/>
      <c r="M47" s="54"/>
      <c r="N47" s="54"/>
      <c r="O47" s="54"/>
      <c r="P47" s="90">
        <v>-37945000</v>
      </c>
      <c r="Q47" s="73">
        <v>-3753000</v>
      </c>
      <c r="R47" s="73">
        <f>IF(Tabela3[[#This Row],[Ativo || Passivo]]&gt;0,Tabela3[[#This Row],[Ativo || Passivo]]-Tabela3[[#This Row],[Patrimônio Líquido]],0)</f>
        <v>0</v>
      </c>
      <c r="S47" s="73">
        <f>Tabela3[[#This Row],[Cotação]]*Tabela3[[#This Row],[Total Ações]]</f>
        <v>0</v>
      </c>
      <c r="T47" s="37">
        <f>IF(Tabela3[[#This Row],[Passivo Circulante]]&gt;0,Tabela3[[#This Row],[Ativo Circulante]]/Tabela3[[#This Row],[Passivo Circulante]],0)</f>
        <v>0</v>
      </c>
      <c r="U4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" s="18">
        <f>IF(Tabela3[[#This Row],[Lucro Líquido]]&gt;0,Tabela3[[#This Row],[Lucro Líquido]]/Tabela3[[#This Row],[Patrimônio Líquido]],0)/Tabela3[[#This Row],[Ref]]*4</f>
        <v>0</v>
      </c>
      <c r="W4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" s="18">
        <f>IF(Tabela3[[#This Row],[Dívida]]&gt;0,Tabela3[[#This Row],[Dívida]]/Tabela3[[#This Row],[Patrimônio Líquido]],0)</f>
        <v>0</v>
      </c>
      <c r="Y47" s="18">
        <f>SUMPRODUCT(N([Dívida / PL]&gt;0),N(RIGHT([PAPEL],LEN([PAPEL])-(LEN([PAPEL])-1))="3"),[Dívida / PL])/SUMPRODUCT(N([Dívida / PL]&gt;0),N(RIGHT([PAPEL],LEN([PAPEL])-(LEN([PAPEL])-1))="3"))</f>
        <v>2.2435702141443779</v>
      </c>
      <c r="Z47" s="7">
        <f>Tabela3[[#This Row],[Capital Social]]*20%</f>
        <v>8814035.9900000002</v>
      </c>
      <c r="AA47" s="47">
        <f>IF(([Lucro Líquido]*5%)&gt;[Teto R. Legal],[Teto R. Legal],[Lucro Líquido]*5%)</f>
        <v>-187650</v>
      </c>
      <c r="AB47" s="47">
        <f>IF([Lucro Líquido]&lt;0,0,[Lucro Líquido]-[Reserva Legal])</f>
        <v>0</v>
      </c>
      <c r="AC47" s="47">
        <f>Tabela3[[#This Row],[Lucro Distribuir]]*[%Div]</f>
        <v>0</v>
      </c>
      <c r="AD47" s="56">
        <f>SUMPRODUCT(N([Nome]=Tabela3[[#This Row],[Nome]]),[Ações])</f>
        <v>1206791</v>
      </c>
      <c r="AE47" s="84">
        <f>[Capital Social]/[Total Ações]</f>
        <v>36.518485760997557</v>
      </c>
      <c r="AF47" s="84">
        <f>Tabela3[[#This Row],[Lucro Líquido]]/Tabela3[[#This Row],[Total Ações]]</f>
        <v>-3.1099005544456331</v>
      </c>
      <c r="AG4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" s="7">
        <f>[Div Base]*[Ações]</f>
        <v>0</v>
      </c>
      <c r="AL47" s="7">
        <f>SUMPRODUCT(N([Nome]=Tabela3[[#This Row],[Nome]]),[Div Base]*[Ações])</f>
        <v>0</v>
      </c>
      <c r="AM47" s="5">
        <f>[Patrimônio Líquido]/[Total Ações]</f>
        <v>-31.442892762707046</v>
      </c>
      <c r="AN47" s="52">
        <f>MAX(Tabela3[[#This Row],[Cotação 1]:[Cotação 5]])</f>
        <v>0</v>
      </c>
      <c r="AO47" s="53">
        <f>[Cotação]/[VPA]</f>
        <v>0</v>
      </c>
      <c r="AP47" s="37">
        <f>IF(Tabela3[[#This Row],[Lucro/Ação]]&gt;0,Tabela3[[#This Row],[Cotação]]/(Tabela3[[#This Row],[Lucro/Ação]]/[Ref]*4),0)</f>
        <v>0</v>
      </c>
      <c r="AQ47" s="84">
        <f>[Lucro Distribuir]/[Total Ações]</f>
        <v>0</v>
      </c>
      <c r="AR4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" s="10" t="str">
        <f>IF(AND([% A.A.]&gt;=5%,SUMPRODUCT(N([Nome]=Tabela3[[#This Row],[Nome]]),[PL])&gt;0,[Rentabilidade s/ PL]&gt;=[Rentabilidade s/ PL Média]),"Sim","Não")</f>
        <v>Não</v>
      </c>
      <c r="AT47" s="22">
        <f>IF([Cotação]&gt;0,Tabela3[[#This Row],[Lucro]]/Tabela3[[#This Row],[Cotação]],0)</f>
        <v>0</v>
      </c>
      <c r="AU47" s="22">
        <f>((1+Tabela3[[#This Row],[% Yield]])^(1/(3*Tabela3[[#This Row],[Ref]])))^(12)-1</f>
        <v>0</v>
      </c>
      <c r="AV47" s="10">
        <f>IF([Cotação]&gt;0,($BH$1/Tabela3[[#This Row],[Cotação]]-MOD($BH$1/Tabela3[[#This Row],[Cotação]],100)),)</f>
        <v>0</v>
      </c>
      <c r="AW47" s="7">
        <f>Tabela3[[#This Row],[Ativos]]*[Lucro]</f>
        <v>0</v>
      </c>
      <c r="AX47" s="7">
        <f>SUMPRODUCT(N(Tabela1[Código]=Tabela3[[#This Row],[PAPEL]]),Tabela1[Fechamento])</f>
        <v>0</v>
      </c>
      <c r="AY47" s="7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customHeight="1">
      <c r="A48" s="4" t="s">
        <v>325</v>
      </c>
      <c r="B48" s="57" t="s">
        <v>615</v>
      </c>
      <c r="C48" s="82" t="str">
        <f>LEFT([PAPEL],LEN([PAPEL])-(LEN([PAPEL])-4))</f>
        <v>TKNO</v>
      </c>
      <c r="D48" s="16">
        <v>3</v>
      </c>
      <c r="E48" s="5">
        <v>170000000</v>
      </c>
      <c r="F48" s="56">
        <v>1538371</v>
      </c>
      <c r="G48" s="80">
        <v>0.25</v>
      </c>
      <c r="J48" s="18"/>
      <c r="K48" s="86"/>
      <c r="L48" s="86"/>
      <c r="M48" s="54"/>
      <c r="N48" s="54"/>
      <c r="O48" s="54"/>
      <c r="P48" s="6">
        <v>222307000</v>
      </c>
      <c r="Q48" s="6">
        <v>18125000</v>
      </c>
      <c r="R48" s="6">
        <f>IF(Tabela3[[#This Row],[Ativo || Passivo]]&gt;0,Tabela3[[#This Row],[Ativo || Passivo]]-Tabela3[[#This Row],[Patrimônio Líquido]],0)</f>
        <v>0</v>
      </c>
      <c r="S48" s="6">
        <f>Tabela3[[#This Row],[Cotação]]*Tabela3[[#This Row],[Total Ações]]</f>
        <v>0</v>
      </c>
      <c r="T48" s="121">
        <f>IF(Tabela3[[#This Row],[Passivo Circulante]]&gt;0,Tabela3[[#This Row],[Ativo Circulante]]/Tabela3[[#This Row],[Passivo Circulante]],0)</f>
        <v>0</v>
      </c>
      <c r="U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" s="19">
        <f>IF(Tabela3[[#This Row],[Lucro Líquido]]&gt;0,Tabela3[[#This Row],[Lucro Líquido]]/Tabela3[[#This Row],[Patrimônio Líquido]],0)/Tabela3[[#This Row],[Ref]]*4</f>
        <v>0.10870852769668371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" s="19">
        <f>IF(Tabela3[[#This Row],[Dívida]]&gt;0,Tabela3[[#This Row],[Dívida]]/Tabela3[[#This Row],[Patrimônio Líquido]],0)</f>
        <v>0</v>
      </c>
      <c r="Y48" s="19">
        <f>SUMPRODUCT(N([Dívida / PL]&gt;0),N(RIGHT([PAPEL],LEN([PAPEL])-(LEN([PAPEL])-1))="3"),[Dívida / PL])/SUMPRODUCT(N([Dívida / PL]&gt;0),N(RIGHT([PAPEL],LEN([PAPEL])-(LEN([PAPEL])-1))="3"))</f>
        <v>2.2435702141443779</v>
      </c>
      <c r="Z48" s="5">
        <f>Tabela3[[#This Row],[Capital Social]]*20%</f>
        <v>34000000</v>
      </c>
      <c r="AA48" s="5">
        <f>IF(([Lucro Líquido]*5%)&gt;[Teto R. Legal],[Teto R. Legal],[Lucro Líquido]*5%)</f>
        <v>906250</v>
      </c>
      <c r="AB48" s="5">
        <f>IF([Lucro Líquido]&lt;0,0,[Lucro Líquido]-[Reserva Legal])</f>
        <v>17218750</v>
      </c>
      <c r="AC48" s="5">
        <f>Tabela3[[#This Row],[Lucro Distribuir]]*[%Div]</f>
        <v>4304687.5</v>
      </c>
      <c r="AD48" s="21">
        <f>SUMPRODUCT(N([Nome]=Tabela3[[#This Row],[Nome]]),[Ações])</f>
        <v>2857301</v>
      </c>
      <c r="AE48" s="5">
        <f>[Capital Social]/[Total Ações]</f>
        <v>59.496706857275448</v>
      </c>
      <c r="AF48" s="76">
        <f>Tabela3[[#This Row],[Lucro Líquido]]/Tabela3[[#This Row],[Total Ações]]</f>
        <v>6.3433988928712797</v>
      </c>
      <c r="AG4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" s="5">
        <f>[Div Base]*[Ações]</f>
        <v>1226180.4945077542</v>
      </c>
      <c r="AL48" s="5">
        <f>SUMPRODUCT(N([Nome]=Tabela3[[#This Row],[Nome]]),[Div Base]*[Ações])</f>
        <v>4304687.5</v>
      </c>
      <c r="AM48" s="5">
        <f>[Patrimônio Líquido]/[Total Ações]</f>
        <v>77.803143596001959</v>
      </c>
      <c r="AN48" s="52">
        <f>MAX(Tabela3[[#This Row],[Cotação 1]:[Cotação 5]])</f>
        <v>0</v>
      </c>
      <c r="AO48" s="53">
        <f>[Cotação]/[VPA]</f>
        <v>0</v>
      </c>
      <c r="AP48" s="37">
        <f>IF(Tabela3[[#This Row],[Lucro/Ação]]&gt;0,Tabela3[[#This Row],[Cotação]]/(Tabela3[[#This Row],[Lucro/Ação]]/[Ref]*4),0)</f>
        <v>0</v>
      </c>
      <c r="AQ48" s="76">
        <f>[Lucro Distribuir]/[Total Ações]</f>
        <v>6.0262289482277156</v>
      </c>
      <c r="AR48" s="76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" s="16" t="str">
        <f>IF(AND([% A.A.]&gt;=5%,SUMPRODUCT(N([Nome]=Tabela3[[#This Row],[Nome]]),[PL])&gt;0,[Rentabilidade s/ PL]&gt;=[Rentabilidade s/ PL Média]),"Sim","Não")</f>
        <v>Não</v>
      </c>
      <c r="AT48" s="22">
        <f>IF([Cotação]&gt;0,Tabela3[[#This Row],[Lucro]]/Tabela3[[#This Row],[Cotação]],0)</f>
        <v>0</v>
      </c>
      <c r="AU48" s="18">
        <f>((1+Tabela3[[#This Row],[% Yield]])^(1/(3*Tabela3[[#This Row],[Ref]])))^(12)-1</f>
        <v>0</v>
      </c>
      <c r="AV48" s="10">
        <f>IF([Cotação]&gt;0,($BH$1/Tabela3[[#This Row],[Cotação]]-MOD($BH$1/Tabela3[[#This Row],[Cotação]],100)),)</f>
        <v>0</v>
      </c>
      <c r="AW48" s="7">
        <f>Tabela3[[#This Row],[Ativos]]*[Lucro]</f>
        <v>0</v>
      </c>
      <c r="AX48" s="47">
        <f>SUMPRODUCT(N(Tabela1[Código]=Tabela3[[#This Row],[PAPEL]]),Tabela1[Fechamento])</f>
        <v>0</v>
      </c>
      <c r="AY48" s="54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customHeight="1">
      <c r="A49" s="4" t="s">
        <v>12</v>
      </c>
      <c r="B49" s="60" t="s">
        <v>499</v>
      </c>
      <c r="C49" s="14" t="str">
        <f>LEFT([PAPEL],LEN([PAPEL])-(LEN([PAPEL])-4))</f>
        <v>TAEE</v>
      </c>
      <c r="D49" s="15">
        <v>3</v>
      </c>
      <c r="E49" s="6">
        <v>3067535193.2800002</v>
      </c>
      <c r="F49" s="8">
        <v>691553133</v>
      </c>
      <c r="G49" s="80">
        <v>0.5</v>
      </c>
      <c r="H49" s="15"/>
      <c r="I49" s="19"/>
      <c r="J49" s="19"/>
      <c r="K49" s="87"/>
      <c r="L49" s="87"/>
      <c r="M49" s="55">
        <v>9101836000</v>
      </c>
      <c r="N49" s="55">
        <v>1859239000</v>
      </c>
      <c r="O49" s="55">
        <v>923506000</v>
      </c>
      <c r="P49" s="88">
        <v>4589097000</v>
      </c>
      <c r="Q49" s="88">
        <v>751496000</v>
      </c>
      <c r="R49" s="88">
        <f>IF(Tabela3[[#This Row],[Ativo || Passivo]]&gt;0,Tabela3[[#This Row],[Ativo || Passivo]]-Tabela3[[#This Row],[Patrimônio Líquido]],0)</f>
        <v>4512739000</v>
      </c>
      <c r="S49" s="88">
        <f>Tabela3[[#This Row],[Cotação]]*Tabela3[[#This Row],[Total Ações]]</f>
        <v>0</v>
      </c>
      <c r="T49" s="121">
        <f>IF(Tabela3[[#This Row],[Passivo Circulante]]&gt;0,Tabela3[[#This Row],[Ativo Circulante]]/Tabela3[[#This Row],[Passivo Circulante]],0)</f>
        <v>2.0132397623837854</v>
      </c>
      <c r="U4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" s="19">
        <f>IF(Tabela3[[#This Row],[Lucro Líquido]]&gt;0,Tabela3[[#This Row],[Lucro Líquido]]/Tabela3[[#This Row],[Patrimônio Líquido]],0)/Tabela3[[#This Row],[Ref]]*4</f>
        <v>0.21834244660042415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" s="19">
        <f>IF(Tabela3[[#This Row],[Dívida]]&gt;0,Tabela3[[#This Row],[Dívida]]/Tabela3[[#This Row],[Patrimônio Líquido]],0)</f>
        <v>0.98336099672767863</v>
      </c>
      <c r="Y49" s="19">
        <f>SUMPRODUCT(N([Dívida / PL]&gt;0),N(RIGHT([PAPEL],LEN([PAPEL])-(LEN([PAPEL])-1))="3"),[Dívida / PL])/SUMPRODUCT(N([Dívida / PL]&gt;0),N(RIGHT([PAPEL],LEN([PAPEL])-(LEN([PAPEL])-1))="3"))</f>
        <v>2.2435702141443779</v>
      </c>
      <c r="Z49" s="6">
        <f>Tabela3[[#This Row],[Capital Social]]*20%</f>
        <v>613507038.65600002</v>
      </c>
      <c r="AA49" s="6">
        <f>IF(([Lucro Líquido]*5%)&gt;[Teto R. Legal],[Teto R. Legal],[Lucro Líquido]*5%)</f>
        <v>37574800</v>
      </c>
      <c r="AB49" s="88">
        <f>IF([Lucro Líquido]&lt;0,0,[Lucro Líquido]-[Reserva Legal])</f>
        <v>713921200</v>
      </c>
      <c r="AC49" s="88">
        <f>Tabela3[[#This Row],[Lucro Distribuir]]*[%Div]</f>
        <v>356960600</v>
      </c>
      <c r="AD49" s="56">
        <f>SUMPRODUCT(N([Nome]=Tabela3[[#This Row],[Nome]]),[Ações])</f>
        <v>1033496721</v>
      </c>
      <c r="AE49" s="6">
        <f>[Capital Social]/[Total Ações]</f>
        <v>2.968113135677767</v>
      </c>
      <c r="AF49" s="77">
        <f>Tabela3[[#This Row],[Lucro Líquido]]/Tabela3[[#This Row],[Total Ações]]</f>
        <v>0.72713922040590584</v>
      </c>
      <c r="AG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9" s="6">
        <f>[Div Base]*[Ações]</f>
        <v>238856317.84946883</v>
      </c>
      <c r="AL49" s="6">
        <f>SUMPRODUCT(N([Nome]=Tabela3[[#This Row],[Nome]]),[Div Base]*[Ações])</f>
        <v>356960600</v>
      </c>
      <c r="AM49" s="6">
        <f>[Patrimônio Líquido]/[Total Ações]</f>
        <v>4.4403595161478986</v>
      </c>
      <c r="AN49" s="48">
        <f>MAX(Tabela3[[#This Row],[Cotação 1]:[Cotação 5]])</f>
        <v>0</v>
      </c>
      <c r="AO49" s="44">
        <f>[Cotação]/[VPA]</f>
        <v>0</v>
      </c>
      <c r="AP49" s="40">
        <f>IF(Tabela3[[#This Row],[Lucro/Ação]]&gt;0,Tabela3[[#This Row],[Cotação]]/(Tabela3[[#This Row],[Lucro/Ação]]/[Ref]*4),0)</f>
        <v>0</v>
      </c>
      <c r="AQ49" s="77">
        <f>[Lucro Distribuir]/[Total Ações]</f>
        <v>0.69078225938561055</v>
      </c>
      <c r="AR49" s="77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0</v>
      </c>
      <c r="AU49" s="19">
        <f>((1+Tabela3[[#This Row],[% Yield]])^(1/(3*Tabela3[[#This Row],[Ref]])))^(12)-1</f>
        <v>0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0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customHeight="1">
      <c r="A50" s="4" t="s">
        <v>12</v>
      </c>
      <c r="B50" s="60" t="s">
        <v>500</v>
      </c>
      <c r="C50" s="14" t="str">
        <f>LEFT([PAPEL],LEN([PAPEL])-(LEN([PAPEL])-4))</f>
        <v>TAEE</v>
      </c>
      <c r="D50" s="15">
        <v>3</v>
      </c>
      <c r="E50" s="6">
        <v>3067535193.2800002</v>
      </c>
      <c r="F50" s="8">
        <v>341943588</v>
      </c>
      <c r="G50" s="80">
        <v>0.5</v>
      </c>
      <c r="H50" s="15"/>
      <c r="I50" s="19"/>
      <c r="J50" s="19"/>
      <c r="K50" s="87"/>
      <c r="L50" s="87"/>
      <c r="M50" s="55">
        <v>9101836000</v>
      </c>
      <c r="N50" s="55">
        <v>1859239000</v>
      </c>
      <c r="O50" s="55">
        <v>923506000</v>
      </c>
      <c r="P50" s="88">
        <v>4589097000</v>
      </c>
      <c r="Q50" s="88">
        <v>751496000</v>
      </c>
      <c r="R50" s="88">
        <f>IF(Tabela3[[#This Row],[Ativo || Passivo]]&gt;0,Tabela3[[#This Row],[Ativo || Passivo]]-Tabela3[[#This Row],[Patrimônio Líquido]],0)</f>
        <v>4512739000</v>
      </c>
      <c r="S50" s="88">
        <f>Tabela3[[#This Row],[Cotação]]*Tabela3[[#This Row],[Total Ações]]</f>
        <v>0</v>
      </c>
      <c r="T50" s="121">
        <f>IF(Tabela3[[#This Row],[Passivo Circulante]]&gt;0,Tabela3[[#This Row],[Ativo Circulante]]/Tabela3[[#This Row],[Passivo Circulante]],0)</f>
        <v>2.0132397623837854</v>
      </c>
      <c r="U5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" s="19">
        <f>IF(Tabela3[[#This Row],[Lucro Líquido]]&gt;0,Tabela3[[#This Row],[Lucro Líquido]]/Tabela3[[#This Row],[Patrimônio Líquido]],0)/Tabela3[[#This Row],[Ref]]*4</f>
        <v>0.21834244660042415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" s="19">
        <f>IF(Tabela3[[#This Row],[Dívida]]&gt;0,Tabela3[[#This Row],[Dívida]]/Tabela3[[#This Row],[Patrimônio Líquido]],0)</f>
        <v>0.98336099672767863</v>
      </c>
      <c r="Y50" s="19">
        <f>SUMPRODUCT(N([Dívida / PL]&gt;0),N(RIGHT([PAPEL],LEN([PAPEL])-(LEN([PAPEL])-1))="3"),[Dívida / PL])/SUMPRODUCT(N([Dívida / PL]&gt;0),N(RIGHT([PAPEL],LEN([PAPEL])-(LEN([PAPEL])-1))="3"))</f>
        <v>2.2435702141443779</v>
      </c>
      <c r="Z50" s="6">
        <f>Tabela3[[#This Row],[Capital Social]]*20%</f>
        <v>613507038.65600002</v>
      </c>
      <c r="AA50" s="6">
        <f>IF(([Lucro Líquido]*5%)&gt;[Teto R. Legal],[Teto R. Legal],[Lucro Líquido]*5%)</f>
        <v>37574800</v>
      </c>
      <c r="AB50" s="88">
        <f>IF([Lucro Líquido]&lt;0,0,[Lucro Líquido]-[Reserva Legal])</f>
        <v>713921200</v>
      </c>
      <c r="AC50" s="88">
        <f>Tabela3[[#This Row],[Lucro Distribuir]]*[%Div]</f>
        <v>356960600</v>
      </c>
      <c r="AD50" s="56">
        <f>SUMPRODUCT(N([Nome]=Tabela3[[#This Row],[Nome]]),[Ações])</f>
        <v>1033496721</v>
      </c>
      <c r="AE50" s="6">
        <f>[Capital Social]/[Total Ações]</f>
        <v>2.968113135677767</v>
      </c>
      <c r="AF50" s="77">
        <f>Tabela3[[#This Row],[Lucro Líquido]]/Tabela3[[#This Row],[Total Ações]]</f>
        <v>0.72713922040590584</v>
      </c>
      <c r="AG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50" s="6">
        <f>[Div Base]*[Ações]</f>
        <v>118104282.15053117</v>
      </c>
      <c r="AL50" s="6">
        <f>SUMPRODUCT(N([Nome]=Tabela3[[#This Row],[Nome]]),[Div Base]*[Ações])</f>
        <v>356960600</v>
      </c>
      <c r="AM50" s="6">
        <f>[Patrimônio Líquido]/[Total Ações]</f>
        <v>4.4403595161478986</v>
      </c>
      <c r="AN50" s="48">
        <f>MAX(Tabela3[[#This Row],[Cotação 1]:[Cotação 5]])</f>
        <v>0</v>
      </c>
      <c r="AO50" s="44">
        <f>[Cotação]/[VPA]</f>
        <v>0</v>
      </c>
      <c r="AP50" s="40">
        <f>IF(Tabela3[[#This Row],[Lucro/Ação]]&gt;0,Tabela3[[#This Row],[Cotação]]/(Tabela3[[#This Row],[Lucro/Ação]]/[Ref]*4),0)</f>
        <v>0</v>
      </c>
      <c r="AQ50" s="77">
        <f>[Lucro Distribuir]/[Total Ações]</f>
        <v>0.69078225938561055</v>
      </c>
      <c r="AR50" s="77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0</v>
      </c>
      <c r="AU50" s="19">
        <f>((1+Tabela3[[#This Row],[% Yield]])^(1/(3*Tabela3[[#This Row],[Ref]])))^(12)-1</f>
        <v>0</v>
      </c>
      <c r="AV50" s="14">
        <f>IF([Cotação]&gt;0,($BH$1/Tabela3[[#This Row],[Cotação]]-MOD($BH$1/Tabela3[[#This Row],[Cotação]],100)),)</f>
        <v>0</v>
      </c>
      <c r="AW50" s="17">
        <f>Tabela3[[#This Row],[Ativos]]*[Lucro]</f>
        <v>0</v>
      </c>
      <c r="AX50" s="5">
        <f>SUMPRODUCT(N(Tabela1[Código]=Tabela3[[#This Row],[PAPEL]]),Tabela1[Fechamento])</f>
        <v>0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customHeight="1">
      <c r="A51" s="4" t="s">
        <v>319</v>
      </c>
      <c r="B51" s="57" t="s">
        <v>646</v>
      </c>
      <c r="C51" s="81" t="str">
        <f>LEFT([PAPEL],LEN([PAPEL])-(LEN([PAPEL])-4))</f>
        <v>VALE</v>
      </c>
      <c r="D51" s="15">
        <v>4</v>
      </c>
      <c r="E51" s="6">
        <v>75000000000</v>
      </c>
      <c r="F51" s="8">
        <v>3256724482</v>
      </c>
      <c r="G51" s="80">
        <v>0.25</v>
      </c>
      <c r="H51" s="9"/>
      <c r="I51" s="19"/>
      <c r="J51" s="19"/>
      <c r="K51" s="87"/>
      <c r="L51" s="87"/>
      <c r="M51" s="55">
        <v>260068064000</v>
      </c>
      <c r="N51" s="55">
        <v>38161479000</v>
      </c>
      <c r="O51" s="55">
        <v>18269775000</v>
      </c>
      <c r="P51" s="6">
        <v>148345907000</v>
      </c>
      <c r="Q51" s="5">
        <v>115091000</v>
      </c>
      <c r="R51" s="5">
        <f>IF(Tabela3[[#This Row],[Ativo || Passivo]]&gt;0,Tabela3[[#This Row],[Ativo || Passivo]]-Tabela3[[#This Row],[Patrimônio Líquido]],0)</f>
        <v>111722157000</v>
      </c>
      <c r="S51" s="5">
        <f>Tabela3[[#This Row],[Cotação]]*Tabela3[[#This Row],[Total Ações]]</f>
        <v>0</v>
      </c>
      <c r="T51" s="119">
        <f>IF(Tabela3[[#This Row],[Passivo Circulante]]&gt;0,Tabela3[[#This Row],[Ativo Circulante]]/Tabela3[[#This Row],[Passivo Circulante]],0)</f>
        <v>2.0887766269699544</v>
      </c>
      <c r="U5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" s="18">
        <f>IF(Tabela3[[#This Row],[Lucro Líquido]]&gt;0,Tabela3[[#This Row],[Lucro Líquido]]/Tabela3[[#This Row],[Patrimônio Líquido]],0)/Tabela3[[#This Row],[Ref]]*4</f>
        <v>7.758286179071998E-4</v>
      </c>
      <c r="W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" s="18">
        <f>IF(Tabela3[[#This Row],[Dívida]]&gt;0,Tabela3[[#This Row],[Dívida]]/Tabela3[[#This Row],[Patrimônio Líquido]],0)</f>
        <v>0.75311924177321588</v>
      </c>
      <c r="Y51" s="18">
        <f>SUMPRODUCT(N([Dívida / PL]&gt;0),N(RIGHT([PAPEL],LEN([PAPEL])-(LEN([PAPEL])-1))="3"),[Dívida / PL])/SUMPRODUCT(N([Dívida / PL]&gt;0),N(RIGHT([PAPEL],LEN([PAPEL])-(LEN([PAPEL])-1))="3"))</f>
        <v>2.2435702141443779</v>
      </c>
      <c r="Z51" s="28">
        <f>Tabela3[[#This Row],[Capital Social]]*20%</f>
        <v>15000000000</v>
      </c>
      <c r="AA51" s="28">
        <f>IF(([Lucro Líquido]*5%)&gt;[Teto R. Legal],[Teto R. Legal],[Lucro Líquido]*5%)</f>
        <v>5754550</v>
      </c>
      <c r="AB51" s="28">
        <f>IF([Lucro Líquido]&lt;0,0,[Lucro Líquido]-[Reserva Legal])</f>
        <v>109336450</v>
      </c>
      <c r="AC51" s="28">
        <f>Tabela3[[#This Row],[Lucro Distribuir]]*[%Div]</f>
        <v>27334112.5</v>
      </c>
      <c r="AD51" s="56">
        <f>SUMPRODUCT(N([Nome]=Tabela3[[#This Row],[Nome]]),[Ações])</f>
        <v>5365304100</v>
      </c>
      <c r="AE51" s="5">
        <f>[Capital Social]/[Total Ações]</f>
        <v>13.97870439440702</v>
      </c>
      <c r="AF51" s="77">
        <f>Tabela3[[#This Row],[Lucro Líquido]]/Tabela3[[#This Row],[Total Ações]]</f>
        <v>2.1450974232755979E-2</v>
      </c>
      <c r="AG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28">
        <f>[Div Base]*[Ações]</f>
        <v>0</v>
      </c>
      <c r="AL51" s="28">
        <f>SUMPRODUCT(N([Nome]=Tabela3[[#This Row],[Nome]]),[Div Base]*[Ações])</f>
        <v>1749010774.1363077</v>
      </c>
      <c r="AM51" s="6">
        <f>[Patrimônio Líquido]/[Total Ações]</f>
        <v>27.649114427642601</v>
      </c>
      <c r="AN51" s="48">
        <f>MAX(Tabela3[[#This Row],[Cotação 1]:[Cotação 5]])</f>
        <v>0</v>
      </c>
      <c r="AO51" s="44">
        <f>[Cotação]/[VPA]</f>
        <v>0</v>
      </c>
      <c r="AP51" s="40">
        <f>IF(Tabela3[[#This Row],[Lucro/Ação]]&gt;0,Tabela3[[#This Row],[Cotação]]/(Tabela3[[#This Row],[Lucro/Ação]]/[Ref]*4),0)</f>
        <v>0</v>
      </c>
      <c r="AQ51" s="77">
        <f>[Lucro Distribuir]/[Total Ações]</f>
        <v>2.0378425521118178E-2</v>
      </c>
      <c r="AR5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19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7">
        <f>SUMPRODUCT(N(Tabela176[Código]=Tabela3[[#This Row],[PAPEL]]),Tabela176[Fechamento])</f>
        <v>0</v>
      </c>
      <c r="BA51" s="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customHeight="1">
      <c r="A52" s="3" t="s">
        <v>1159</v>
      </c>
      <c r="B52" s="57" t="s">
        <v>1162</v>
      </c>
      <c r="C52" s="16" t="str">
        <f>LEFT([PAPEL],LEN([PAPEL])-(LEN([PAPEL])-4))</f>
        <v>VSPT</v>
      </c>
      <c r="D52" s="16">
        <v>3</v>
      </c>
      <c r="E52" s="5">
        <v>1722965684.3399999</v>
      </c>
      <c r="F52" s="56">
        <v>66665012</v>
      </c>
      <c r="G52" s="80">
        <v>0.25</v>
      </c>
      <c r="H52" s="80">
        <v>0.03</v>
      </c>
      <c r="J52" s="18"/>
      <c r="K52" s="16"/>
      <c r="L52" s="86"/>
      <c r="M52" s="54"/>
      <c r="N52" s="54"/>
      <c r="O52" s="54"/>
      <c r="P52" s="90">
        <v>1228711000</v>
      </c>
      <c r="Q52" s="73">
        <v>-140764000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0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2" s="18">
        <f>IF(Tabela3[[#This Row],[Lucro Líquido]]&gt;0,Tabela3[[#This Row],[Lucro Líquido]]/Tabela3[[#This Row],[Patrimônio Líquido]],0)/Tabela3[[#This Row],[Ref]]*4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2.2435702141443779</v>
      </c>
      <c r="Z52" s="7">
        <f>Tabela3[[#This Row],[Capital Social]]*20%</f>
        <v>344593136.86800003</v>
      </c>
      <c r="AA52" s="47">
        <f>IF(([Lucro Líquido]*5%)&gt;[Teto R. Legal],[Teto R. Legal],[Lucro Líquido]*5%)</f>
        <v>-7038200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210197643696260</v>
      </c>
      <c r="AE52" s="84">
        <f>[Capital Social]/[Total Ações]</f>
        <v>8.1968839138355012E-6</v>
      </c>
      <c r="AF52" s="84">
        <f>Tabela3[[#This Row],[Lucro Líquido]]/Tabela3[[#This Row],[Total Ações]]</f>
        <v>-6.6967449075407777E-7</v>
      </c>
      <c r="AG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2" s="7">
        <f>[Div Base]*[Ações]</f>
        <v>11.690716240077828</v>
      </c>
      <c r="AL52" s="113">
        <f>SUMPRODUCT(N([Nome]=Tabela3[[#This Row],[Nome]]),[Div Base]*[Ações])</f>
        <v>11.690716240077828</v>
      </c>
      <c r="AM52" s="5">
        <f>[Patrimônio Líquido]/[Total Ações]</f>
        <v>5.8455032054284732E-6</v>
      </c>
      <c r="AN52" s="52">
        <f>MAX(Tabela3[[#This Row],[Cotação 1]:[Cotação 5]])</f>
        <v>0</v>
      </c>
      <c r="AO52" s="53">
        <f>[Cotação]/[VPA]</f>
        <v>0</v>
      </c>
      <c r="AP52" s="37">
        <f>IF(Tabela3[[#This Row],[Lucro/Ação]]&gt;0,Tabela3[[#This Row],[Cotação]]/(Tabela3[[#This Row],[Lucro/Ação]]/[Ref]*4),0)</f>
        <v>0</v>
      </c>
      <c r="AQ52" s="84">
        <f>[Lucro Distribuir]/[Total Ações]</f>
        <v>0</v>
      </c>
      <c r="AR52" s="84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0</v>
      </c>
      <c r="BB52" s="7">
        <f>SUMPRODUCT(N(Tabela17683[Código]=Tabela3[[#This Row],[PAPEL]]),Tabela17683[Fechamento])</f>
        <v>0</v>
      </c>
    </row>
    <row r="53" spans="1:54" ht="11.25" customHeight="1">
      <c r="A53" s="3" t="s">
        <v>957</v>
      </c>
      <c r="B53" s="58" t="s">
        <v>963</v>
      </c>
      <c r="C53" s="16" t="str">
        <f>LEFT([PAPEL],LEN([PAPEL])-(LEN([PAPEL])-4))</f>
        <v>VULC</v>
      </c>
      <c r="D53" s="16">
        <v>3</v>
      </c>
      <c r="E53" s="5">
        <v>565913332.5</v>
      </c>
      <c r="F53" s="56">
        <v>740921384</v>
      </c>
      <c r="G53" s="80">
        <v>0.25</v>
      </c>
      <c r="H53" s="86"/>
      <c r="J53" s="18"/>
      <c r="K53" s="16"/>
      <c r="L53" s="86"/>
      <c r="M53" s="54"/>
      <c r="N53" s="54"/>
      <c r="O53" s="54"/>
      <c r="P53" s="90">
        <v>-61175000</v>
      </c>
      <c r="Q53" s="73">
        <v>-71191000</v>
      </c>
      <c r="R53" s="73">
        <f>IF(Tabela3[[#This Row],[Ativo || Passivo]]&gt;0,Tabela3[[#This Row],[Ativo || Passivo]]-Tabela3[[#This Row],[Patrimônio Líquido]],0)</f>
        <v>0</v>
      </c>
      <c r="S53" s="73">
        <f>Tabela3[[#This Row],[Cotação]]*Tabela3[[#This Row],[Total Ações]]</f>
        <v>0</v>
      </c>
      <c r="T53" s="37">
        <f>IF(Tabela3[[#This Row],[Passivo Circulante]]&gt;0,Tabela3[[#This Row],[Ativo Circulante]]/Tabela3[[#This Row],[Passivo Circulante]],0)</f>
        <v>0</v>
      </c>
      <c r="U5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3" s="18">
        <f>IF(Tabela3[[#This Row],[Lucro Líquido]]&gt;0,Tabela3[[#This Row],[Lucro Líquido]]/Tabela3[[#This Row],[Patrimônio Líquido]],0)/Tabela3[[#This Row],[Ref]]*4</f>
        <v>0</v>
      </c>
      <c r="W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3" s="18">
        <f>IF(Tabela3[[#This Row],[Dívida]]&gt;0,Tabela3[[#This Row],[Dívida]]/Tabela3[[#This Row],[Patrimônio Líquido]],0)</f>
        <v>0</v>
      </c>
      <c r="Y53" s="18">
        <f>SUMPRODUCT(N([Dívida / PL]&gt;0),N(RIGHT([PAPEL],LEN([PAPEL])-(LEN([PAPEL])-1))="3"),[Dívida / PL])/SUMPRODUCT(N([Dívida / PL]&gt;0),N(RIGHT([PAPEL],LEN([PAPEL])-(LEN([PAPEL])-1))="3"))</f>
        <v>2.2435702141443779</v>
      </c>
      <c r="Z53" s="7">
        <f>Tabela3[[#This Row],[Capital Social]]*20%</f>
        <v>113182666.5</v>
      </c>
      <c r="AA53" s="47">
        <f>IF(([Lucro Líquido]*5%)&gt;[Teto R. Legal],[Teto R. Legal],[Lucro Líquido]*5%)</f>
        <v>-3559550</v>
      </c>
      <c r="AB53" s="47">
        <f>IF([Lucro Líquido]&lt;0,0,[Lucro Líquido]-[Reserva Legal])</f>
        <v>0</v>
      </c>
      <c r="AC53" s="47">
        <f>Tabela3[[#This Row],[Lucro Distribuir]]*[%Div]</f>
        <v>0</v>
      </c>
      <c r="AD53" s="56">
        <f>SUMPRODUCT(N([Nome]=Tabela3[[#This Row],[Nome]]),[Ações])</f>
        <v>740921384</v>
      </c>
      <c r="AE53" s="84">
        <f>[Capital Social]/[Total Ações]</f>
        <v>0.76379673298780104</v>
      </c>
      <c r="AF53" s="84">
        <f>Tabela3[[#This Row],[Lucro Líquido]]/Tabela3[[#This Row],[Total Ações]]</f>
        <v>-9.6084418046706019E-2</v>
      </c>
      <c r="AG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7">
        <f>[Div Base]*[Ações]</f>
        <v>0</v>
      </c>
      <c r="AL53" s="7">
        <f>SUMPRODUCT(N([Nome]=Tabela3[[#This Row],[Nome]]),[Div Base]*[Ações])</f>
        <v>0</v>
      </c>
      <c r="AM53" s="5">
        <f>[Patrimônio Líquido]/[Total Ações]</f>
        <v>-8.2566114733705676E-2</v>
      </c>
      <c r="AN53" s="52">
        <f>MAX(Tabela3[[#This Row],[Cotação 1]:[Cotação 5]])</f>
        <v>0</v>
      </c>
      <c r="AO53" s="53">
        <f>[Cotação]/[VPA]</f>
        <v>0</v>
      </c>
      <c r="AP53" s="37">
        <f>IF(Tabela3[[#This Row],[Lucro/Ação]]&gt;0,Tabela3[[#This Row],[Cotação]]/(Tabela3[[#This Row],[Lucro/Ação]]/[Ref]*4),0)</f>
        <v>0</v>
      </c>
      <c r="AQ53" s="84">
        <f>[Lucro Distribuir]/[Total Ações]</f>
        <v>0</v>
      </c>
      <c r="AR5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0" t="str">
        <f>IF(AND([% A.A.]&gt;=5%,SUMPRODUCT(N([Nome]=Tabela3[[#This Row],[Nome]]),[PL])&gt;0,[Rentabilidade s/ PL]&gt;=[Rentabilidade s/ PL Média]),"Sim","Não")</f>
        <v>Não</v>
      </c>
      <c r="AT53" s="22">
        <f>IF([Cotação]&gt;0,Tabela3[[#This Row],[Lucro]]/Tabela3[[#This Row],[Cotação]],0)</f>
        <v>0</v>
      </c>
      <c r="AU53" s="22">
        <f>((1+Tabela3[[#This Row],[% Yield]])^(1/(3*Tabela3[[#This Row],[Ref]])))^(12)-1</f>
        <v>0</v>
      </c>
      <c r="AV53" s="10">
        <f>IF([Cotação]&gt;0,($BH$1/Tabela3[[#This Row],[Cotação]]-MOD($BH$1/Tabela3[[#This Row],[Cotação]],100)),)</f>
        <v>0</v>
      </c>
      <c r="AW53" s="7">
        <f>Tabela3[[#This Row],[Ativos]]*[Lucro]</f>
        <v>0</v>
      </c>
      <c r="AX53" s="7">
        <f>SUMPRODUCT(N(Tabela1[Código]=Tabela3[[#This Row],[PAPEL]]),Tabela1[Fechamento])</f>
        <v>0</v>
      </c>
      <c r="AY53" s="7">
        <f>SUMPRODUCT(N(Tabela17[Código]=Tabela3[[#This Row],[PAPEL]]),Tabela17[Fechamento])</f>
        <v>0</v>
      </c>
      <c r="AZ53" s="7">
        <f>SUMPRODUCT(N(Tabela176[Código]=Tabela3[[#This Row],[PAPEL]]),Tabela176[Fechamento])</f>
        <v>0</v>
      </c>
      <c r="BA53" s="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t="11.25" customHeight="1">
      <c r="A54" s="3" t="s">
        <v>855</v>
      </c>
      <c r="B54" s="58" t="s">
        <v>868</v>
      </c>
      <c r="C54" s="16" t="str">
        <f>LEFT([PAPEL],LEN([PAPEL])-(LEN([PAPEL])-4))</f>
        <v>VVAR</v>
      </c>
      <c r="D54" s="16">
        <v>4</v>
      </c>
      <c r="E54" s="5">
        <v>2895452570.5900002</v>
      </c>
      <c r="F54" s="56">
        <v>631586626</v>
      </c>
      <c r="G54" s="80">
        <v>0.25</v>
      </c>
      <c r="H54" s="86"/>
      <c r="J54" s="18"/>
      <c r="K54" s="16"/>
      <c r="L54" s="86"/>
      <c r="M54" s="54">
        <v>13300516000</v>
      </c>
      <c r="N54" s="54">
        <v>8853593000</v>
      </c>
      <c r="O54" s="54">
        <v>7717457000</v>
      </c>
      <c r="P54" s="90">
        <v>3950803000</v>
      </c>
      <c r="Q54" s="73">
        <v>1159542000</v>
      </c>
      <c r="R54" s="73">
        <f>IF(Tabela3[[#This Row],[Ativo || Passivo]]&gt;0,Tabela3[[#This Row],[Ativo || Passivo]]-Tabela3[[#This Row],[Patrimônio Líquido]],0)</f>
        <v>9349713000</v>
      </c>
      <c r="S54" s="73">
        <f>Tabela3[[#This Row],[Cotação]]*Tabela3[[#This Row],[Total Ações]]</f>
        <v>0</v>
      </c>
      <c r="T54" s="37">
        <f>IF(Tabela3[[#This Row],[Passivo Circulante]]&gt;0,Tabela3[[#This Row],[Ativo Circulante]]/Tabela3[[#This Row],[Passivo Circulante]],0)</f>
        <v>1.1472163693299491</v>
      </c>
      <c r="U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4" s="18">
        <f>IF(Tabela3[[#This Row],[Lucro Líquido]]&gt;0,Tabela3[[#This Row],[Lucro Líquido]]/Tabela3[[#This Row],[Patrimônio Líquido]],0)/Tabela3[[#This Row],[Ref]]*4</f>
        <v>0.29349527172071094</v>
      </c>
      <c r="W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4" s="18">
        <f>IF(Tabela3[[#This Row],[Dívida]]&gt;0,Tabela3[[#This Row],[Dívida]]/Tabela3[[#This Row],[Patrimônio Líquido]],0)</f>
        <v>2.3665348538006072</v>
      </c>
      <c r="Y54" s="18">
        <f>SUMPRODUCT(N([Dívida / PL]&gt;0),N(RIGHT([PAPEL],LEN([PAPEL])-(LEN([PAPEL])-1))="3"),[Dívida / PL])/SUMPRODUCT(N([Dívida / PL]&gt;0),N(RIGHT([PAPEL],LEN([PAPEL])-(LEN([PAPEL])-1))="3"))</f>
        <v>2.2435702141443779</v>
      </c>
      <c r="Z54" s="7">
        <f>Tabela3[[#This Row],[Capital Social]]*20%</f>
        <v>579090514.11800003</v>
      </c>
      <c r="AA54" s="47">
        <f>IF(([Lucro Líquido]*5%)&gt;[Teto R. Legal],[Teto R. Legal],[Lucro Líquido]*5%)</f>
        <v>57977100</v>
      </c>
      <c r="AB54" s="47">
        <f>IF([Lucro Líquido]&lt;0,0,[Lucro Líquido]-[Reserva Legal])</f>
        <v>1101564900</v>
      </c>
      <c r="AC54" s="47">
        <f>Tabela3[[#This Row],[Lucro Distribuir]]*[%Div]</f>
        <v>275391225</v>
      </c>
      <c r="AD54" s="56">
        <f>SUMPRODUCT(N([Nome]=Tabela3[[#This Row],[Nome]]),[Ações])</f>
        <v>1290751144</v>
      </c>
      <c r="AE54" s="84">
        <f>[Capital Social]/[Total Ações]</f>
        <v>2.2432306831951179</v>
      </c>
      <c r="AF54" s="84">
        <f>Tabela3[[#This Row],[Lucro Líquido]]/Tabela3[[#This Row],[Total Ações]]</f>
        <v>0.89834667618934916</v>
      </c>
      <c r="AG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4" s="7">
        <f>[Div Base]*[Ações]</f>
        <v>134753639.72077706</v>
      </c>
      <c r="AL54" s="7">
        <f>SUMPRODUCT(N([Nome]=Tabela3[[#This Row],[Nome]]),[Div Base]*[Ações])</f>
        <v>275391225</v>
      </c>
      <c r="AM54" s="5">
        <f>[Patrimônio Líquido]/[Total Ações]</f>
        <v>3.0608557027937833</v>
      </c>
      <c r="AN54" s="52">
        <f>MAX(Tabela3[[#This Row],[Cotação 1]:[Cotação 5]])</f>
        <v>0</v>
      </c>
      <c r="AO54" s="53">
        <f>[Cotação]/[VPA]</f>
        <v>0</v>
      </c>
      <c r="AP54" s="37">
        <f>IF(Tabela3[[#This Row],[Lucro/Ação]]&gt;0,Tabela3[[#This Row],[Cotação]]/(Tabela3[[#This Row],[Lucro/Ação]]/[Ref]*4),0)</f>
        <v>0</v>
      </c>
      <c r="AQ54" s="84">
        <f>[Lucro Distribuir]/[Total Ações]</f>
        <v>0.85342934237988166</v>
      </c>
      <c r="AR54" s="84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4" s="10" t="str">
        <f>IF(AND([% A.A.]&gt;=5%,SUMPRODUCT(N([Nome]=Tabela3[[#This Row],[Nome]]),[PL])&gt;0,[Rentabilidade s/ PL]&gt;=[Rentabilidade s/ PL Média]),"Sim","Não")</f>
        <v>Não</v>
      </c>
      <c r="AT54" s="22">
        <f>IF([Cotação]&gt;0,Tabela3[[#This Row],[Lucro]]/Tabela3[[#This Row],[Cotação]],0)</f>
        <v>0</v>
      </c>
      <c r="AU54" s="22">
        <f>((1+Tabela3[[#This Row],[% Yield]])^(1/(3*Tabela3[[#This Row],[Ref]])))^(12)-1</f>
        <v>0</v>
      </c>
      <c r="AV54" s="10">
        <f>IF([Cotação]&gt;0,($BH$1/Tabela3[[#This Row],[Cotação]]-MOD($BH$1/Tabela3[[#This Row],[Cotação]],100)),)</f>
        <v>0</v>
      </c>
      <c r="AW54" s="7">
        <f>Tabela3[[#This Row],[Ativos]]*[Lucro]</f>
        <v>0</v>
      </c>
      <c r="AX54" s="7">
        <f>SUMPRODUCT(N(Tabela1[Código]=Tabela3[[#This Row],[PAPEL]]),Tabela1[Fechamento])</f>
        <v>0</v>
      </c>
      <c r="AY54" s="7">
        <f>SUMPRODUCT(N(Tabela17[Código]=Tabela3[[#This Row],[PAPEL]]),Tabela17[Fechamento])</f>
        <v>0</v>
      </c>
      <c r="AZ54" s="7">
        <f>SUMPRODUCT(N(Tabela176[Código]=Tabela3[[#This Row],[PAPEL]]),Tabela176[Fechamento])</f>
        <v>0</v>
      </c>
      <c r="BA54" s="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customHeight="1">
      <c r="A55" s="3" t="s">
        <v>893</v>
      </c>
      <c r="B55" s="58" t="s">
        <v>894</v>
      </c>
      <c r="C55" s="16" t="str">
        <f>LEFT([PAPEL],LEN([PAPEL])-(LEN([PAPEL])-4))</f>
        <v>TOYB</v>
      </c>
      <c r="D55" s="16">
        <v>3</v>
      </c>
      <c r="E55" s="5">
        <v>126282315.51000001</v>
      </c>
      <c r="F55" s="56">
        <v>685714429483</v>
      </c>
      <c r="G55" s="80">
        <v>0.25</v>
      </c>
      <c r="H55" s="86"/>
      <c r="J55" s="18"/>
      <c r="K55" s="16"/>
      <c r="L55" s="86"/>
      <c r="M55" s="54"/>
      <c r="N55" s="54"/>
      <c r="O55" s="54"/>
      <c r="P55" s="90">
        <v>2313000</v>
      </c>
      <c r="Q55" s="73">
        <v>-6051000</v>
      </c>
      <c r="R55" s="73">
        <f>IF(Tabela3[[#This Row],[Ativo || Passivo]]&gt;0,Tabela3[[#This Row],[Ativo || Passivo]]-Tabela3[[#This Row],[Patrimônio Líquido]],0)</f>
        <v>0</v>
      </c>
      <c r="S55" s="73">
        <f>Tabela3[[#This Row],[Cotação]]*Tabela3[[#This Row],[Total Ações]]</f>
        <v>13226407349.540001</v>
      </c>
      <c r="T55" s="37">
        <f>IF(Tabela3[[#This Row],[Passivo Circulante]]&gt;0,Tabela3[[#This Row],[Ativo Circulante]]/Tabela3[[#This Row],[Passivo Circulante]],0)</f>
        <v>0</v>
      </c>
      <c r="U5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5" s="18">
        <f>IF(Tabela3[[#This Row],[Lucro Líquido]]&gt;0,Tabela3[[#This Row],[Lucro Líquido]]/Tabela3[[#This Row],[Patrimônio Líquido]],0)/Tabela3[[#This Row],[Ref]]*4</f>
        <v>0</v>
      </c>
      <c r="W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5" s="18">
        <f>IF(Tabela3[[#This Row],[Dívida]]&gt;0,Tabela3[[#This Row],[Dívida]]/Tabela3[[#This Row],[Patrimônio Líquido]],0)</f>
        <v>0</v>
      </c>
      <c r="Y55" s="18">
        <f>SUMPRODUCT(N([Dívida / PL]&gt;0),N(RIGHT([PAPEL],LEN([PAPEL])-(LEN([PAPEL])-1))="3"),[Dívida / PL])/SUMPRODUCT(N([Dívida / PL]&gt;0),N(RIGHT([PAPEL],LEN([PAPEL])-(LEN([PAPEL])-1))="3"))</f>
        <v>2.2435702141443779</v>
      </c>
      <c r="Z55" s="7">
        <f>Tabela3[[#This Row],[Capital Social]]*20%</f>
        <v>25256463.102000002</v>
      </c>
      <c r="AA55" s="47">
        <f>IF(([Lucro Líquido]*5%)&gt;[Teto R. Legal],[Teto R. Legal],[Lucro Líquido]*5%)</f>
        <v>-302550</v>
      </c>
      <c r="AB55" s="47">
        <f>IF([Lucro Líquido]&lt;0,0,[Lucro Líquido]-[Reserva Legal])</f>
        <v>0</v>
      </c>
      <c r="AC55" s="47">
        <f>Tabela3[[#This Row],[Lucro Distribuir]]*[%Div]</f>
        <v>0</v>
      </c>
      <c r="AD55" s="56">
        <f>SUMPRODUCT(N([Nome]=Tabela3[[#This Row],[Nome]]),[Ações])</f>
        <v>1322640734954</v>
      </c>
      <c r="AE55" s="84">
        <f>[Capital Social]/[Total Ações]</f>
        <v>9.5477412854966977E-5</v>
      </c>
      <c r="AF55" s="84">
        <f>Tabela3[[#This Row],[Lucro Líquido]]/Tabela3[[#This Row],[Total Ações]]</f>
        <v>-4.5749384848716666E-6</v>
      </c>
      <c r="AG5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7">
        <f>[Div Base]*[Ações]</f>
        <v>0</v>
      </c>
      <c r="AL55" s="7">
        <f>SUMPRODUCT(N([Nome]=Tabela3[[#This Row],[Nome]]),[Div Base]*[Ações])</f>
        <v>0</v>
      </c>
      <c r="AM55" s="5">
        <f>[Patrimônio Líquido]/[Total Ações]</f>
        <v>1.7487742051740479E-6</v>
      </c>
      <c r="AN55" s="52">
        <f>MAX(Tabela3[[#This Row],[Cotação 1]:[Cotação 5]])</f>
        <v>0.01</v>
      </c>
      <c r="AO55" s="53">
        <f>[Cotação]/[VPA]</f>
        <v>5718.2911152356246</v>
      </c>
      <c r="AP55" s="37">
        <f>IF(Tabela3[[#This Row],[Lucro/Ação]]&gt;0,Tabela3[[#This Row],[Cotação]]/(Tabela3[[#This Row],[Lucro/Ação]]/[Ref]*4),0)</f>
        <v>0</v>
      </c>
      <c r="AQ55" s="84">
        <f>[Lucro Distribuir]/[Total Ações]</f>
        <v>0</v>
      </c>
      <c r="AR5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0" t="str">
        <f>IF(AND([% A.A.]&gt;=5%,SUMPRODUCT(N([Nome]=Tabela3[[#This Row],[Nome]]),[PL])&gt;0,[Rentabilidade s/ PL]&gt;=[Rentabilidade s/ PL Média]),"Sim","Não")</f>
        <v>Não</v>
      </c>
      <c r="AT55" s="22">
        <f>IF([Cotação]&gt;0,Tabela3[[#This Row],[Lucro]]/Tabela3[[#This Row],[Cotação]],0)</f>
        <v>0</v>
      </c>
      <c r="AU55" s="22">
        <f>((1+Tabela3[[#This Row],[% Yield]])^(1/(3*Tabela3[[#This Row],[Ref]])))^(12)-1</f>
        <v>0</v>
      </c>
      <c r="AV55" s="10">
        <f>IF([Cotação]&gt;0,($BH$1/Tabela3[[#This Row],[Cotação]]-MOD($BH$1/Tabela3[[#This Row],[Cotação]],100)),)</f>
        <v>77500</v>
      </c>
      <c r="AW55" s="7">
        <f>Tabela3[[#This Row],[Ativos]]*[Lucro]</f>
        <v>0</v>
      </c>
      <c r="AX55" s="7">
        <f>SUMPRODUCT(N(Tabela1[Código]=Tabela3[[#This Row],[PAPEL]]),Tabela1[Fechamento])</f>
        <v>0</v>
      </c>
      <c r="AY55" s="7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0.01</v>
      </c>
      <c r="BB55" s="7">
        <f>SUMPRODUCT(N(Tabela17683[Código]=Tabela3[[#This Row],[PAPEL]]),Tabela17683[Fechamento])</f>
        <v>0</v>
      </c>
    </row>
    <row r="56" spans="1:54">
      <c r="A56" s="3" t="s">
        <v>893</v>
      </c>
      <c r="B56" s="58" t="s">
        <v>895</v>
      </c>
      <c r="C56" s="16" t="str">
        <f>LEFT([PAPEL],LEN([PAPEL])-(LEN([PAPEL])-4))</f>
        <v>TOYB</v>
      </c>
      <c r="D56" s="16">
        <v>3</v>
      </c>
      <c r="E56" s="5">
        <v>126282315.51000001</v>
      </c>
      <c r="F56" s="56">
        <v>636926305471</v>
      </c>
      <c r="G56" s="80">
        <v>0.25</v>
      </c>
      <c r="H56" s="86"/>
      <c r="J56" s="18"/>
      <c r="K56" s="16"/>
      <c r="L56" s="86"/>
      <c r="M56" s="54"/>
      <c r="N56" s="54"/>
      <c r="O56" s="54"/>
      <c r="P56" s="90">
        <v>2313000</v>
      </c>
      <c r="Q56" s="73">
        <v>-6051000</v>
      </c>
      <c r="R56" s="73">
        <f>IF(Tabela3[[#This Row],[Ativo || Passivo]]&gt;0,Tabela3[[#This Row],[Ativo || Passivo]]-Tabela3[[#This Row],[Patrimônio Líquido]],0)</f>
        <v>0</v>
      </c>
      <c r="S56" s="73">
        <f>Tabela3[[#This Row],[Cotação]]*Tabela3[[#This Row],[Total Ações]]</f>
        <v>26452814699.080002</v>
      </c>
      <c r="T56" s="37">
        <f>IF(Tabela3[[#This Row],[Passivo Circulante]]&gt;0,Tabela3[[#This Row],[Ativo Circulante]]/Tabela3[[#This Row],[Passivo Circulante]],0)</f>
        <v>0</v>
      </c>
      <c r="U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6" s="18">
        <f>IF(Tabela3[[#This Row],[Lucro Líquido]]&gt;0,Tabela3[[#This Row],[Lucro Líquido]]/Tabela3[[#This Row],[Patrimônio Líquido]],0)/Tabela3[[#This Row],[Ref]]*4</f>
        <v>0</v>
      </c>
      <c r="W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6" s="18">
        <f>IF(Tabela3[[#This Row],[Dívida]]&gt;0,Tabela3[[#This Row],[Dívida]]/Tabela3[[#This Row],[Patrimônio Líquido]],0)</f>
        <v>0</v>
      </c>
      <c r="Y56" s="18">
        <f>SUMPRODUCT(N([Dívida / PL]&gt;0),N(RIGHT([PAPEL],LEN([PAPEL])-(LEN([PAPEL])-1))="3"),[Dívida / PL])/SUMPRODUCT(N([Dívida / PL]&gt;0),N(RIGHT([PAPEL],LEN([PAPEL])-(LEN([PAPEL])-1))="3"))</f>
        <v>2.2435702141443779</v>
      </c>
      <c r="Z56" s="7">
        <f>Tabela3[[#This Row],[Capital Social]]*20%</f>
        <v>25256463.102000002</v>
      </c>
      <c r="AA56" s="47">
        <f>IF(([Lucro Líquido]*5%)&gt;[Teto R. Legal],[Teto R. Legal],[Lucro Líquido]*5%)</f>
        <v>-302550</v>
      </c>
      <c r="AB56" s="47">
        <f>IF([Lucro Líquido]&lt;0,0,[Lucro Líquido]-[Reserva Legal])</f>
        <v>0</v>
      </c>
      <c r="AC56" s="47">
        <f>Tabela3[[#This Row],[Lucro Distribuir]]*[%Div]</f>
        <v>0</v>
      </c>
      <c r="AD56" s="56">
        <f>SUMPRODUCT(N([Nome]=Tabela3[[#This Row],[Nome]]),[Ações])</f>
        <v>1322640734954</v>
      </c>
      <c r="AE56" s="84">
        <f>[Capital Social]/[Total Ações]</f>
        <v>9.5477412854966977E-5</v>
      </c>
      <c r="AF56" s="84">
        <f>Tabela3[[#This Row],[Lucro Líquido]]/Tabela3[[#This Row],[Total Ações]]</f>
        <v>-4.5749384848716666E-6</v>
      </c>
      <c r="AG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6" s="7">
        <f>[Div Base]*[Ações]</f>
        <v>0</v>
      </c>
      <c r="AL56" s="7">
        <f>SUMPRODUCT(N([Nome]=Tabela3[[#This Row],[Nome]]),[Div Base]*[Ações])</f>
        <v>0</v>
      </c>
      <c r="AM56" s="5">
        <f>[Patrimônio Líquido]/[Total Ações]</f>
        <v>1.7487742051740479E-6</v>
      </c>
      <c r="AN56" s="52">
        <f>MAX(Tabela3[[#This Row],[Cotação 1]:[Cotação 5]])</f>
        <v>0.02</v>
      </c>
      <c r="AO56" s="53">
        <f>[Cotação]/[VPA]</f>
        <v>11436.582230471249</v>
      </c>
      <c r="AP56" s="37">
        <f>IF(Tabela3[[#This Row],[Lucro/Ação]]&gt;0,Tabela3[[#This Row],[Cotação]]/(Tabela3[[#This Row],[Lucro/Ação]]/[Ref]*4),0)</f>
        <v>0</v>
      </c>
      <c r="AQ56" s="84">
        <f>[Lucro Distribuir]/[Total Ações]</f>
        <v>0</v>
      </c>
      <c r="AR5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6" s="10" t="str">
        <f>IF(AND([% A.A.]&gt;=5%,SUMPRODUCT(N([Nome]=Tabela3[[#This Row],[Nome]]),[PL])&gt;0,[Rentabilidade s/ PL]&gt;=[Rentabilidade s/ PL Média]),"Sim","Não")</f>
        <v>Não</v>
      </c>
      <c r="AT56" s="22">
        <f>IF([Cotação]&gt;0,Tabela3[[#This Row],[Lucro]]/Tabela3[[#This Row],[Cotação]],0)</f>
        <v>0</v>
      </c>
      <c r="AU56" s="22">
        <f>((1+Tabela3[[#This Row],[% Yield]])^(1/(3*Tabela3[[#This Row],[Ref]])))^(12)-1</f>
        <v>0</v>
      </c>
      <c r="AV56" s="10">
        <f>IF([Cotação]&gt;0,($BH$1/Tabela3[[#This Row],[Cotação]]-MOD($BH$1/Tabela3[[#This Row],[Cotação]],100)),)</f>
        <v>38700</v>
      </c>
      <c r="AW56" s="7">
        <f>Tabela3[[#This Row],[Ativos]]*[Lucro]</f>
        <v>0</v>
      </c>
      <c r="AX56" s="7">
        <f>SUMPRODUCT(N(Tabela1[Código]=Tabela3[[#This Row],[PAPEL]]),Tabela1[Fechamento])</f>
        <v>0</v>
      </c>
      <c r="AY56" s="7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0.02</v>
      </c>
      <c r="BB56" s="7">
        <f>SUMPRODUCT(N(Tabela17683[Código]=Tabela3[[#This Row],[PAPEL]]),Tabela17683[Fechamento])</f>
        <v>0</v>
      </c>
    </row>
    <row r="57" spans="1:54" ht="11.25" customHeight="1">
      <c r="A57" s="3" t="s">
        <v>1236</v>
      </c>
      <c r="B57" s="57" t="s">
        <v>1237</v>
      </c>
      <c r="C57" s="16" t="str">
        <f>LEFT([PAPEL],LEN([PAPEL])-(LEN([PAPEL])-4))</f>
        <v>CBMA</v>
      </c>
      <c r="D57" s="16">
        <v>3</v>
      </c>
      <c r="E57" s="5">
        <v>165260409.68000001</v>
      </c>
      <c r="F57" s="56">
        <v>40304114</v>
      </c>
      <c r="G57" s="80">
        <v>0.25</v>
      </c>
      <c r="H57" s="86"/>
      <c r="J57" s="18"/>
      <c r="K57" s="16"/>
      <c r="L57" s="86"/>
      <c r="M57" s="54"/>
      <c r="N57" s="54"/>
      <c r="O57" s="54"/>
      <c r="P57" s="90">
        <v>-4925159000</v>
      </c>
      <c r="Q57" s="73">
        <v>-425664000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4103394.56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7" s="18">
        <f>IF(Tabela3[[#This Row],[Lucro Líquido]]&gt;0,Tabela3[[#This Row],[Lucro Líquido]]/Tabela3[[#This Row],[Patrimônio Líquido]],0)/Tabela3[[#This Row],[Ref]]*4</f>
        <v>0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2.2435702141443779</v>
      </c>
      <c r="Z57" s="7">
        <f>Tabela3[[#This Row],[Capital Social]]*20%</f>
        <v>33052081.936000004</v>
      </c>
      <c r="AA57" s="47">
        <f>IF(([Lucro Líquido]*5%)&gt;[Teto R. Legal],[Teto R. Legal],[Lucro Líquido]*5%)</f>
        <v>-21283200</v>
      </c>
      <c r="AB57" s="47">
        <f>IF([Lucro Líquido]&lt;0,0,[Lucro Líquido]-[Reserva Legal])</f>
        <v>0</v>
      </c>
      <c r="AC57" s="47">
        <f>Tabela3[[#This Row],[Lucro Distribuir]]*[%Div]</f>
        <v>0</v>
      </c>
      <c r="AD57" s="56">
        <f>SUMPRODUCT(N([Nome]=Tabela3[[#This Row],[Nome]]),[Ações])</f>
        <v>102584864</v>
      </c>
      <c r="AE57" s="84">
        <f>[Capital Social]/[Total Ações]</f>
        <v>1.6109628968265728</v>
      </c>
      <c r="AF57" s="84">
        <f>Tabela3[[#This Row],[Lucro Líquido]]/Tabela3[[#This Row],[Total Ações]]</f>
        <v>-4.1493840650800102</v>
      </c>
      <c r="AG5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7" s="7">
        <f>[Div Base]*[Ações]</f>
        <v>0</v>
      </c>
      <c r="AL57" s="113">
        <f>SUMPRODUCT(N([Nome]=Tabela3[[#This Row],[Nome]]),[Div Base]*[Ações])</f>
        <v>0</v>
      </c>
      <c r="AM57" s="5">
        <f>[Patrimônio Líquido]/[Total Ações]</f>
        <v>-48.010581755998622</v>
      </c>
      <c r="AN57" s="52">
        <f>MAX(Tabela3[[#This Row],[Cotação 1]:[Cotação 5]])</f>
        <v>0.04</v>
      </c>
      <c r="AO57" s="53">
        <f>[Cotação]/[VPA]</f>
        <v>-8.3314966278246047E-4</v>
      </c>
      <c r="AP57" s="37">
        <f>IF(Tabela3[[#This Row],[Lucro/Ação]]&gt;0,Tabela3[[#This Row],[Cotação]]/(Tabela3[[#This Row],[Lucro/Ação]]/[Ref]*4),0)</f>
        <v>0</v>
      </c>
      <c r="AQ57" s="84">
        <f>[Lucro Distribuir]/[Total Ações]</f>
        <v>0</v>
      </c>
      <c r="AR5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0</v>
      </c>
      <c r="AU57" s="22">
        <f>((1+Tabela3[[#This Row],[% Yield]])^(1/(3*Tabela3[[#This Row],[Ref]])))^(12)-1</f>
        <v>0</v>
      </c>
      <c r="AV57" s="10">
        <f>IF([Cotação]&gt;0,($BH$1/Tabela3[[#This Row],[Cotação]]-MOD($BH$1/Tabela3[[#This Row],[Cotação]],100)),)</f>
        <v>19300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0</v>
      </c>
      <c r="BB57" s="7">
        <f>SUMPRODUCT(N(Tabela17683[Código]=Tabela3[[#This Row],[PAPEL]]),Tabela17683[Fechamento])</f>
        <v>0.04</v>
      </c>
    </row>
    <row r="58" spans="1:54" ht="11.25" customHeight="1">
      <c r="A58" s="3" t="s">
        <v>1236</v>
      </c>
      <c r="B58" s="57" t="s">
        <v>1238</v>
      </c>
      <c r="C58" s="16" t="str">
        <f>LEFT([PAPEL],LEN([PAPEL])-(LEN([PAPEL])-4))</f>
        <v>CBMA</v>
      </c>
      <c r="D58" s="16">
        <v>3</v>
      </c>
      <c r="E58" s="5">
        <v>165260409.68000001</v>
      </c>
      <c r="F58" s="56">
        <v>62280750</v>
      </c>
      <c r="G58" s="80">
        <v>0.25</v>
      </c>
      <c r="H58" s="86"/>
      <c r="J58" s="18"/>
      <c r="K58" s="16"/>
      <c r="L58" s="86"/>
      <c r="M58" s="54"/>
      <c r="N58" s="54"/>
      <c r="O58" s="54"/>
      <c r="P58" s="90">
        <v>-4925159000</v>
      </c>
      <c r="Q58" s="73">
        <v>-425664000</v>
      </c>
      <c r="R58" s="73">
        <f>IF(Tabela3[[#This Row],[Ativo || Passivo]]&gt;0,Tabela3[[#This Row],[Ativo || Passivo]]-Tabela3[[#This Row],[Patrimônio Líquido]],0)</f>
        <v>0</v>
      </c>
      <c r="S58" s="73">
        <f>Tabela3[[#This Row],[Cotação]]*Tabela3[[#This Row],[Total Ações]]</f>
        <v>4103394.56</v>
      </c>
      <c r="T58" s="37">
        <f>IF(Tabela3[[#This Row],[Passivo Circulante]]&gt;0,Tabela3[[#This Row],[Ativo Circulante]]/Tabela3[[#This Row],[Passivo Circulante]],0)</f>
        <v>0</v>
      </c>
      <c r="U5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8" s="18">
        <f>IF(Tabela3[[#This Row],[Lucro Líquido]]&gt;0,Tabela3[[#This Row],[Lucro Líquido]]/Tabela3[[#This Row],[Patrimônio Líquido]],0)/Tabela3[[#This Row],[Ref]]*4</f>
        <v>0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8" s="18">
        <f>IF(Tabela3[[#This Row],[Dívida]]&gt;0,Tabela3[[#This Row],[Dívida]]/Tabela3[[#This Row],[Patrimônio Líquido]],0)</f>
        <v>0</v>
      </c>
      <c r="Y58" s="18">
        <f>SUMPRODUCT(N([Dívida / PL]&gt;0),N(RIGHT([PAPEL],LEN([PAPEL])-(LEN([PAPEL])-1))="3"),[Dívida / PL])/SUMPRODUCT(N([Dívida / PL]&gt;0),N(RIGHT([PAPEL],LEN([PAPEL])-(LEN([PAPEL])-1))="3"))</f>
        <v>2.2435702141443779</v>
      </c>
      <c r="Z58" s="7">
        <f>Tabela3[[#This Row],[Capital Social]]*20%</f>
        <v>33052081.936000004</v>
      </c>
      <c r="AA58" s="47">
        <f>IF(([Lucro Líquido]*5%)&gt;[Teto R. Legal],[Teto R. Legal],[Lucro Líquido]*5%)</f>
        <v>-21283200</v>
      </c>
      <c r="AB58" s="47">
        <f>IF([Lucro Líquido]&lt;0,0,[Lucro Líquido]-[Reserva Legal])</f>
        <v>0</v>
      </c>
      <c r="AC58" s="47">
        <f>Tabela3[[#This Row],[Lucro Distribuir]]*[%Div]</f>
        <v>0</v>
      </c>
      <c r="AD58" s="56">
        <f>SUMPRODUCT(N([Nome]=Tabela3[[#This Row],[Nome]]),[Ações])</f>
        <v>102584864</v>
      </c>
      <c r="AE58" s="84">
        <f>[Capital Social]/[Total Ações]</f>
        <v>1.6109628968265728</v>
      </c>
      <c r="AF58" s="84">
        <f>Tabela3[[#This Row],[Lucro Líquido]]/Tabela3[[#This Row],[Total Ações]]</f>
        <v>-4.1493840650800102</v>
      </c>
      <c r="AG5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8" s="7">
        <f>[Div Base]*[Ações]</f>
        <v>0</v>
      </c>
      <c r="AL58" s="113">
        <f>SUMPRODUCT(N([Nome]=Tabela3[[#This Row],[Nome]]),[Div Base]*[Ações])</f>
        <v>0</v>
      </c>
      <c r="AM58" s="5">
        <f>[Patrimônio Líquido]/[Total Ações]</f>
        <v>-48.010581755998622</v>
      </c>
      <c r="AN58" s="52">
        <f>MAX(Tabela3[[#This Row],[Cotação 1]:[Cotação 5]])</f>
        <v>0.04</v>
      </c>
      <c r="AO58" s="53">
        <f>[Cotação]/[VPA]</f>
        <v>-8.3314966278246047E-4</v>
      </c>
      <c r="AP58" s="37">
        <f>IF(Tabela3[[#This Row],[Lucro/Ação]]&gt;0,Tabela3[[#This Row],[Cotação]]/(Tabela3[[#This Row],[Lucro/Ação]]/[Ref]*4),0)</f>
        <v>0</v>
      </c>
      <c r="AQ58" s="84">
        <f>[Lucro Distribuir]/[Total Ações]</f>
        <v>0</v>
      </c>
      <c r="AR5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0</v>
      </c>
      <c r="AU58" s="22">
        <f>((1+Tabela3[[#This Row],[% Yield]])^(1/(3*Tabela3[[#This Row],[Ref]])))^(12)-1</f>
        <v>0</v>
      </c>
      <c r="AV58" s="10">
        <f>IF([Cotação]&gt;0,($BH$1/Tabela3[[#This Row],[Cotação]]-MOD($BH$1/Tabela3[[#This Row],[Cotação]],100)),)</f>
        <v>19300</v>
      </c>
      <c r="AW58" s="7">
        <f>Tabela3[[#This Row],[Ativos]]*[Lucro]</f>
        <v>0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</v>
      </c>
      <c r="BB58" s="7">
        <f>SUMPRODUCT(N(Tabela17683[Código]=Tabela3[[#This Row],[PAPEL]]),Tabela17683[Fechamento])</f>
        <v>0.04</v>
      </c>
    </row>
    <row r="59" spans="1:54" ht="11.25" customHeight="1">
      <c r="A59" s="3" t="s">
        <v>1276</v>
      </c>
      <c r="B59" s="58" t="s">
        <v>1254</v>
      </c>
      <c r="C59" s="16" t="str">
        <f>LEFT([PAPEL],LEN([PAPEL])-(LEN([PAPEL])-4))</f>
        <v>RCSL</v>
      </c>
      <c r="D59" s="16">
        <v>3</v>
      </c>
      <c r="E59" s="5">
        <v>59999999.920000002</v>
      </c>
      <c r="F59" s="56">
        <v>155124585</v>
      </c>
      <c r="G59" s="80">
        <v>0.33</v>
      </c>
      <c r="H59" s="86"/>
      <c r="J59" s="18">
        <v>0.1</v>
      </c>
      <c r="K59" s="16"/>
      <c r="L59" s="86"/>
      <c r="M59" s="54"/>
      <c r="N59" s="54"/>
      <c r="O59" s="54"/>
      <c r="P59" s="90">
        <v>-42030000</v>
      </c>
      <c r="Q59" s="73">
        <v>-6593000</v>
      </c>
      <c r="R59" s="73">
        <f>IF(Tabela3[[#This Row],[Ativo || Passivo]]&gt;0,Tabela3[[#This Row],[Ativo || Passivo]]-Tabela3[[#This Row],[Patrimônio Líquido]],0)</f>
        <v>0</v>
      </c>
      <c r="S59" s="73">
        <f>Tabela3[[#This Row],[Cotação]]*Tabela3[[#This Row],[Total Ações]]</f>
        <v>13998228.6</v>
      </c>
      <c r="T59" s="37">
        <f>IF(Tabela3[[#This Row],[Passivo Circulante]]&gt;0,Tabela3[[#This Row],[Ativo Circulante]]/Tabela3[[#This Row],[Passivo Circulante]],0)</f>
        <v>0</v>
      </c>
      <c r="U5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9" s="18">
        <f>IF(Tabela3[[#This Row],[Lucro Líquido]]&gt;0,Tabela3[[#This Row],[Lucro Líquido]]/Tabela3[[#This Row],[Patrimônio Líquido]],0)/Tabela3[[#This Row],[Ref]]*4</f>
        <v>0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2.2435702141443779</v>
      </c>
      <c r="Z59" s="7">
        <f>Tabela3[[#This Row],[Capital Social]]*20%</f>
        <v>11999999.984000001</v>
      </c>
      <c r="AA59" s="47">
        <f>IF(([Lucro Líquido]*5%)&gt;[Teto R. Legal],[Teto R. Legal],[Lucro Líquido]*5%)</f>
        <v>-329650</v>
      </c>
      <c r="AB59" s="47">
        <f>IF([Lucro Líquido]&lt;0,0,[Lucro Líquido]-[Reserva Legal])</f>
        <v>0</v>
      </c>
      <c r="AC59" s="47">
        <f>Tabela3[[#This Row],[Lucro Distribuir]]*[%Div]</f>
        <v>0</v>
      </c>
      <c r="AD59" s="56">
        <f>SUMPRODUCT(N([Nome]=Tabela3[[#This Row],[Nome]]),[Ações])</f>
        <v>233303810</v>
      </c>
      <c r="AE59" s="84">
        <f>[Capital Social]/[Total Ações]</f>
        <v>0.25717539683556817</v>
      </c>
      <c r="AF59" s="84">
        <f>Tabela3[[#This Row],[Lucro Líquido]]/Tabela3[[#This Row],[Total Ações]]</f>
        <v>-2.8259289893294071E-2</v>
      </c>
      <c r="AG5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9" s="7">
        <f>[Div Base]*[Ações]</f>
        <v>0</v>
      </c>
      <c r="AL59" s="113">
        <f>SUMPRODUCT(N([Nome]=Tabela3[[#This Row],[Nome]]),[Div Base]*[Ações])</f>
        <v>0</v>
      </c>
      <c r="AM59" s="5">
        <f>[Patrimônio Líquido]/[Total Ações]</f>
        <v>-0.18015136572351734</v>
      </c>
      <c r="AN59" s="52">
        <f>MAX(Tabela3[[#This Row],[Cotação 1]:[Cotação 5]])</f>
        <v>0.06</v>
      </c>
      <c r="AO59" s="53">
        <f>[Cotação]/[VPA]</f>
        <v>-0.33305326195574586</v>
      </c>
      <c r="AP59" s="37">
        <f>IF(Tabela3[[#This Row],[Lucro/Ação]]&gt;0,Tabela3[[#This Row],[Cotação]]/(Tabela3[[#This Row],[Lucro/Ação]]/[Ref]*4),0)</f>
        <v>0</v>
      </c>
      <c r="AQ59" s="84">
        <f>[Lucro Distribuir]/[Total Ações]</f>
        <v>0</v>
      </c>
      <c r="AR5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0</v>
      </c>
      <c r="AU59" s="22">
        <f>((1+Tabela3[[#This Row],[% Yield]])^(1/(3*Tabela3[[#This Row],[Ref]])))^(12)-1</f>
        <v>0</v>
      </c>
      <c r="AV59" s="10">
        <f>IF([Cotação]&gt;0,($BH$1/Tabela3[[#This Row],[Cotação]]-MOD($BH$1/Tabela3[[#This Row],[Cotação]],100)),)</f>
        <v>12900</v>
      </c>
      <c r="AW59" s="7">
        <f>Tabela3[[#This Row],[Ativos]]*[Lucro]</f>
        <v>0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</v>
      </c>
      <c r="BB59" s="7">
        <f>SUMPRODUCT(N(Tabela17683[Código]=Tabela3[[#This Row],[PAPEL]]),Tabela17683[Fechamento])</f>
        <v>0.06</v>
      </c>
    </row>
    <row r="60" spans="1:54" ht="11.25" customHeight="1">
      <c r="A60" s="3" t="s">
        <v>1099</v>
      </c>
      <c r="B60" s="114" t="s">
        <v>1091</v>
      </c>
      <c r="C60" s="16" t="str">
        <f>LEFT([PAPEL],LEN([PAPEL])-(LEN([PAPEL])-4))</f>
        <v>TCNO</v>
      </c>
      <c r="D60" s="16">
        <v>3</v>
      </c>
      <c r="E60" s="5">
        <v>12971838.99</v>
      </c>
      <c r="F60" s="56">
        <v>64000000</v>
      </c>
      <c r="G60" s="80">
        <v>0.25</v>
      </c>
      <c r="H60" s="86"/>
      <c r="J60" s="18"/>
      <c r="K60" s="16"/>
      <c r="L60" s="86"/>
      <c r="M60" s="54"/>
      <c r="N60" s="54"/>
      <c r="O60" s="54"/>
      <c r="P60" s="90">
        <v>5301000</v>
      </c>
      <c r="Q60" s="73">
        <v>-67139000</v>
      </c>
      <c r="R60" s="73">
        <f>IF(Tabela3[[#This Row],[Ativo || Passivo]]&gt;0,Tabela3[[#This Row],[Ativo || Passivo]]-Tabela3[[#This Row],[Patrimônio Líquido]],0)</f>
        <v>0</v>
      </c>
      <c r="S60" s="73">
        <f>Tabela3[[#This Row],[Cotação]]*Tabela3[[#This Row],[Total Ações]]</f>
        <v>5958305.0999999996</v>
      </c>
      <c r="T60" s="37">
        <f>IF(Tabela3[[#This Row],[Passivo Circulante]]&gt;0,Tabela3[[#This Row],[Ativo Circulante]]/Tabela3[[#This Row],[Passivo Circulante]],0)</f>
        <v>0</v>
      </c>
      <c r="U6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0" s="18">
        <f>IF(Tabela3[[#This Row],[Lucro Líquido]]&gt;0,Tabela3[[#This Row],[Lucro Líquido]]/Tabela3[[#This Row],[Patrimônio Líquido]],0)/Tabela3[[#This Row],[Ref]]*4</f>
        <v>0</v>
      </c>
      <c r="W6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0" s="18">
        <f>IF(Tabela3[[#This Row],[Dívida]]&gt;0,Tabela3[[#This Row],[Dívida]]/Tabela3[[#This Row],[Patrimônio Líquido]],0)</f>
        <v>0</v>
      </c>
      <c r="Y60" s="18">
        <f>SUMPRODUCT(N([Dívida / PL]&gt;0),N(RIGHT([PAPEL],LEN([PAPEL])-(LEN([PAPEL])-1))="3"),[Dívida / PL])/SUMPRODUCT(N([Dívida / PL]&gt;0),N(RIGHT([PAPEL],LEN([PAPEL])-(LEN([PAPEL])-1))="3"))</f>
        <v>2.2435702141443779</v>
      </c>
      <c r="Z60" s="7">
        <f>Tabela3[[#This Row],[Capital Social]]*20%</f>
        <v>2594367.7980000004</v>
      </c>
      <c r="AA60" s="47">
        <f>IF(([Lucro Líquido]*5%)&gt;[Teto R. Legal],[Teto R. Legal],[Lucro Líquido]*5%)</f>
        <v>-3356950</v>
      </c>
      <c r="AB60" s="47">
        <f>IF([Lucro Líquido]&lt;0,0,[Lucro Líquido]-[Reserva Legal])</f>
        <v>0</v>
      </c>
      <c r="AC60" s="47">
        <f>Tabela3[[#This Row],[Lucro Distribuir]]*[%Div]</f>
        <v>0</v>
      </c>
      <c r="AD60" s="56">
        <f>SUMPRODUCT(N([Nome]=Tabela3[[#This Row],[Nome]]),[Ações])</f>
        <v>99305085</v>
      </c>
      <c r="AE60" s="84">
        <f>[Capital Social]/[Total Ações]</f>
        <v>0.13062613047458749</v>
      </c>
      <c r="AF60" s="84">
        <f>Tabela3[[#This Row],[Lucro Líquido]]/Tabela3[[#This Row],[Total Ações]]</f>
        <v>-0.67608823858315015</v>
      </c>
      <c r="AG6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0" s="7">
        <f>[Div Base]*[Ações]</f>
        <v>0</v>
      </c>
      <c r="AL60" s="113">
        <f>SUMPRODUCT(N([Nome]=Tabela3[[#This Row],[Nome]]),[Div Base]*[Ações])</f>
        <v>0</v>
      </c>
      <c r="AM60" s="5">
        <f>[Patrimônio Líquido]/[Total Ações]</f>
        <v>5.3380952244288397E-2</v>
      </c>
      <c r="AN60" s="52">
        <f>MAX(Tabela3[[#This Row],[Cotação 1]:[Cotação 5]])</f>
        <v>0.06</v>
      </c>
      <c r="AO60" s="53">
        <f>[Cotação]/[VPA]</f>
        <v>1.1239964346349745</v>
      </c>
      <c r="AP60" s="37">
        <f>IF(Tabela3[[#This Row],[Lucro/Ação]]&gt;0,Tabela3[[#This Row],[Cotação]]/(Tabela3[[#This Row],[Lucro/Ação]]/[Ref]*4),0)</f>
        <v>0</v>
      </c>
      <c r="AQ60" s="84">
        <f>[Lucro Distribuir]/[Total Ações]</f>
        <v>0</v>
      </c>
      <c r="AR6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0" s="10" t="str">
        <f>IF(AND([% A.A.]&gt;=5%,SUMPRODUCT(N([Nome]=Tabela3[[#This Row],[Nome]]),[PL])&gt;0,[Rentabilidade s/ PL]&gt;=[Rentabilidade s/ PL Média]),"Sim","Não")</f>
        <v>Não</v>
      </c>
      <c r="AT60" s="22">
        <f>IF([Cotação]&gt;0,Tabela3[[#This Row],[Lucro]]/Tabela3[[#This Row],[Cotação]],0)</f>
        <v>0</v>
      </c>
      <c r="AU60" s="22">
        <f>((1+Tabela3[[#This Row],[% Yield]])^(1/(3*Tabela3[[#This Row],[Ref]])))^(12)-1</f>
        <v>0</v>
      </c>
      <c r="AV60" s="10">
        <f>IF([Cotação]&gt;0,($BH$1/Tabela3[[#This Row],[Cotação]]-MOD($BH$1/Tabela3[[#This Row],[Cotação]],100)),)</f>
        <v>12900</v>
      </c>
      <c r="AW60" s="7">
        <f>Tabela3[[#This Row],[Ativos]]*[Lucro]</f>
        <v>0</v>
      </c>
      <c r="AX60" s="7">
        <f>SUMPRODUCT(N(Tabela1[Código]=Tabela3[[#This Row],[PAPEL]]),Tabela1[Fechamento])</f>
        <v>0</v>
      </c>
      <c r="AY60" s="7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0.06</v>
      </c>
    </row>
    <row r="61" spans="1:54" ht="11.25" customHeight="1">
      <c r="A61" s="3" t="s">
        <v>269</v>
      </c>
      <c r="B61" s="58" t="s">
        <v>803</v>
      </c>
      <c r="C61" s="16" t="str">
        <f>LEFT([PAPEL],LEN([PAPEL])-(LEN([PAPEL])-4))</f>
        <v>MNPR</v>
      </c>
      <c r="D61" s="16">
        <v>4</v>
      </c>
      <c r="E61" s="5">
        <v>120107800</v>
      </c>
      <c r="F61" s="56">
        <v>710010000</v>
      </c>
      <c r="G61" s="80">
        <v>0.25</v>
      </c>
      <c r="H61" s="86"/>
      <c r="J61" s="18"/>
      <c r="K61" s="16"/>
      <c r="L61" s="86"/>
      <c r="M61" s="54">
        <v>28327000</v>
      </c>
      <c r="N61" s="54">
        <v>16193000</v>
      </c>
      <c r="O61" s="54">
        <v>1456000</v>
      </c>
      <c r="P61" s="90">
        <v>-248916000</v>
      </c>
      <c r="Q61" s="73">
        <v>-56935000</v>
      </c>
      <c r="R61" s="73">
        <f>IF(Tabela3[[#This Row],[Ativo || Passivo]]&gt;0,Tabela3[[#This Row],[Ativo || Passivo]]-Tabela3[[#This Row],[Patrimônio Líquido]],0)</f>
        <v>277243000</v>
      </c>
      <c r="S61" s="73">
        <f>Tabela3[[#This Row],[Cotação]]*Tabela3[[#This Row],[Total Ações]]</f>
        <v>49700700.000000007</v>
      </c>
      <c r="T61" s="37">
        <f>IF(Tabela3[[#This Row],[Passivo Circulante]]&gt;0,Tabela3[[#This Row],[Ativo Circulante]]/Tabela3[[#This Row],[Passivo Circulante]],0)</f>
        <v>11.121565934065934</v>
      </c>
      <c r="U6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1" s="18">
        <f>IF(Tabela3[[#This Row],[Lucro Líquido]]&gt;0,Tabela3[[#This Row],[Lucro Líquido]]/Tabela3[[#This Row],[Patrimônio Líquido]],0)/Tabela3[[#This Row],[Ref]]*4</f>
        <v>0</v>
      </c>
      <c r="W6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1" s="18">
        <f>IF(Tabela3[[#This Row],[Dívida]]&gt;0,Tabela3[[#This Row],[Dívida]]/Tabela3[[#This Row],[Patrimônio Líquido]],0)</f>
        <v>-1.1138014430570955</v>
      </c>
      <c r="Y61" s="18">
        <f>SUMPRODUCT(N([Dívida / PL]&gt;0),N(RIGHT([PAPEL],LEN([PAPEL])-(LEN([PAPEL])-1))="3"),[Dívida / PL])/SUMPRODUCT(N([Dívida / PL]&gt;0),N(RIGHT([PAPEL],LEN([PAPEL])-(LEN([PAPEL])-1))="3"))</f>
        <v>2.2435702141443779</v>
      </c>
      <c r="Z61" s="7">
        <f>Tabela3[[#This Row],[Capital Social]]*20%</f>
        <v>24021560</v>
      </c>
      <c r="AA61" s="47">
        <f>IF(([Lucro Líquido]*5%)&gt;[Teto R. Legal],[Teto R. Legal],[Lucro Líquido]*5%)</f>
        <v>-2846750</v>
      </c>
      <c r="AB61" s="47">
        <f>IF([Lucro Líquido]&lt;0,0,[Lucro Líquido]-[Reserva Legal])</f>
        <v>0</v>
      </c>
      <c r="AC61" s="47">
        <f>Tabela3[[#This Row],[Lucro Distribuir]]*[%Div]</f>
        <v>0</v>
      </c>
      <c r="AD61" s="56">
        <f>SUMPRODUCT(N([Nome]=Tabela3[[#This Row],[Nome]]),[Ações])</f>
        <v>710010000</v>
      </c>
      <c r="AE61" s="84">
        <f>[Capital Social]/[Total Ações]</f>
        <v>0.16916353290798722</v>
      </c>
      <c r="AF61" s="84">
        <f>Tabela3[[#This Row],[Lucro Líquido]]/Tabela3[[#This Row],[Total Ações]]</f>
        <v>-8.0189011422374334E-2</v>
      </c>
      <c r="AG6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1" s="7">
        <f>[Div Base]*[Ações]</f>
        <v>0</v>
      </c>
      <c r="AL61" s="7">
        <f>SUMPRODUCT(N([Nome]=Tabela3[[#This Row],[Nome]]),[Div Base]*[Ações])</f>
        <v>0</v>
      </c>
      <c r="AM61" s="5">
        <f>[Patrimônio Líquido]/[Total Ações]</f>
        <v>-0.35058097773270797</v>
      </c>
      <c r="AN61" s="52">
        <f>MAX(Tabela3[[#This Row],[Cotação 1]:[Cotação 5]])</f>
        <v>7.0000000000000007E-2</v>
      </c>
      <c r="AO61" s="53">
        <f>[Cotação]/[VPA]</f>
        <v>-0.19966856288868537</v>
      </c>
      <c r="AP61" s="37">
        <f>IF(Tabela3[[#This Row],[Lucro/Ação]]&gt;0,Tabela3[[#This Row],[Cotação]]/(Tabela3[[#This Row],[Lucro/Ação]]/[Ref]*4),0)</f>
        <v>0</v>
      </c>
      <c r="AQ61" s="84">
        <f>[Lucro Distribuir]/[Total Ações]</f>
        <v>0</v>
      </c>
      <c r="AR6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1" s="10" t="str">
        <f>IF(AND([% A.A.]&gt;=5%,SUMPRODUCT(N([Nome]=Tabela3[[#This Row],[Nome]]),[PL])&gt;0,[Rentabilidade s/ PL]&gt;=[Rentabilidade s/ PL Média]),"Sim","Não")</f>
        <v>Não</v>
      </c>
      <c r="AT61" s="22">
        <f>IF([Cotação]&gt;0,Tabela3[[#This Row],[Lucro]]/Tabela3[[#This Row],[Cotação]],0)</f>
        <v>0</v>
      </c>
      <c r="AU61" s="22">
        <f>((1+Tabela3[[#This Row],[% Yield]])^(1/(3*Tabela3[[#This Row],[Ref]])))^(12)-1</f>
        <v>0</v>
      </c>
      <c r="AV61" s="10">
        <f>IF([Cotação]&gt;0,($BH$1/Tabela3[[#This Row],[Cotação]]-MOD($BH$1/Tabela3[[#This Row],[Cotação]],100)),)</f>
        <v>11000</v>
      </c>
      <c r="AW61" s="7">
        <f>Tabela3[[#This Row],[Ativos]]*[Lucro]</f>
        <v>0</v>
      </c>
      <c r="AX61" s="7">
        <f>SUMPRODUCT(N(Tabela1[Código]=Tabela3[[#This Row],[PAPEL]]),Tabela1[Fechamento])</f>
        <v>0</v>
      </c>
      <c r="AY61" s="7">
        <f>SUMPRODUCT(N(Tabela17[Código]=Tabela3[[#This Row],[PAPEL]]),Tabela17[Fechamento])</f>
        <v>0</v>
      </c>
      <c r="AZ61" s="7">
        <f>SUMPRODUCT(N(Tabela176[Código]=Tabela3[[#This Row],[PAPEL]]),Tabela176[Fechamento])</f>
        <v>7.0000000000000007E-2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customHeight="1">
      <c r="A62" s="3" t="s">
        <v>1276</v>
      </c>
      <c r="B62" s="58" t="s">
        <v>1253</v>
      </c>
      <c r="C62" s="16" t="str">
        <f>LEFT([PAPEL],LEN([PAPEL])-(LEN([PAPEL])-4))</f>
        <v>RCSL</v>
      </c>
      <c r="D62" s="16">
        <v>3</v>
      </c>
      <c r="E62" s="5">
        <v>59999999.920000002</v>
      </c>
      <c r="F62" s="56">
        <v>78179225</v>
      </c>
      <c r="G62" s="80">
        <v>0.33</v>
      </c>
      <c r="H62" s="86"/>
      <c r="J62" s="18"/>
      <c r="K62" s="16"/>
      <c r="L62" s="86"/>
      <c r="M62" s="54"/>
      <c r="N62" s="54"/>
      <c r="O62" s="54"/>
      <c r="P62" s="90">
        <v>-42030000</v>
      </c>
      <c r="Q62" s="73">
        <v>-6593000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16331266.700000001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2" s="18">
        <f>IF(Tabela3[[#This Row],[Lucro Líquido]]&gt;0,Tabela3[[#This Row],[Lucro Líquido]]/Tabela3[[#This Row],[Patrimônio Líquido]],0)/Tabela3[[#This Row],[Ref]]*4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2.2435702141443779</v>
      </c>
      <c r="Z62" s="7">
        <f>Tabela3[[#This Row],[Capital Social]]*20%</f>
        <v>11999999.984000001</v>
      </c>
      <c r="AA62" s="47">
        <f>IF(([Lucro Líquido]*5%)&gt;[Teto R. Legal],[Teto R. Legal],[Lucro Líquido]*5%)</f>
        <v>-329650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233303810</v>
      </c>
      <c r="AE62" s="84">
        <f>[Capital Social]/[Total Ações]</f>
        <v>0.25717539683556817</v>
      </c>
      <c r="AF62" s="84">
        <f>Tabela3[[#This Row],[Lucro Líquido]]/Tabela3[[#This Row],[Total Ações]]</f>
        <v>-2.8259289893294071E-2</v>
      </c>
      <c r="AG6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113">
        <f>SUMPRODUCT(N([Nome]=Tabela3[[#This Row],[Nome]]),[Div Base]*[Ações])</f>
        <v>0</v>
      </c>
      <c r="AM62" s="5">
        <f>[Patrimônio Líquido]/[Total Ações]</f>
        <v>-0.18015136572351734</v>
      </c>
      <c r="AN62" s="52">
        <f>MAX(Tabela3[[#This Row],[Cotação 1]:[Cotação 5]])</f>
        <v>7.0000000000000007E-2</v>
      </c>
      <c r="AO62" s="53">
        <f>[Cotação]/[VPA]</f>
        <v>-0.38856213894837022</v>
      </c>
      <c r="AP62" s="37">
        <f>IF(Tabela3[[#This Row],[Lucro/Ação]]&gt;0,Tabela3[[#This Row],[Cotação]]/(Tabela3[[#This Row],[Lucro/Ação]]/[Ref]*4),0)</f>
        <v>0</v>
      </c>
      <c r="AQ62" s="84">
        <f>[Lucro Distribuir]/[Total Ações]</f>
        <v>0</v>
      </c>
      <c r="AR6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11000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7.0000000000000007E-2</v>
      </c>
    </row>
    <row r="63" spans="1:54" ht="11.25" customHeight="1">
      <c r="A63" s="4" t="s">
        <v>40</v>
      </c>
      <c r="B63" s="57" t="s">
        <v>639</v>
      </c>
      <c r="C63" s="15" t="str">
        <f>LEFT([PAPEL],LEN([PAPEL])-(LEN([PAPEL])-4))</f>
        <v>RHDS</v>
      </c>
      <c r="D63" s="15">
        <v>3</v>
      </c>
      <c r="E63" s="6">
        <v>523208741.57999998</v>
      </c>
      <c r="F63" s="8">
        <v>8024960477</v>
      </c>
      <c r="G63" s="85">
        <v>0.25</v>
      </c>
      <c r="H63" s="15"/>
      <c r="I63" s="19"/>
      <c r="J63" s="19"/>
      <c r="K63" s="87"/>
      <c r="L63" s="87"/>
      <c r="M63" s="55"/>
      <c r="N63" s="55"/>
      <c r="O63" s="55"/>
      <c r="P63" s="91">
        <v>266825000</v>
      </c>
      <c r="Q63" s="92">
        <v>-3092000</v>
      </c>
      <c r="R63" s="92">
        <f>IF(Tabela3[[#This Row],[Ativo || Passivo]]&gt;0,Tabela3[[#This Row],[Ativo || Passivo]]-Tabela3[[#This Row],[Patrimônio Líquido]],0)</f>
        <v>0</v>
      </c>
      <c r="S63" s="92">
        <f>Tabela3[[#This Row],[Cotação]]*Tabela3[[#This Row],[Total Ações]]</f>
        <v>641996838.15999997</v>
      </c>
      <c r="T63" s="40">
        <f>IF(Tabela3[[#This Row],[Passivo Circulante]]&gt;0,Tabela3[[#This Row],[Ativo Circulante]]/Tabela3[[#This Row],[Passivo Circulante]],0)</f>
        <v>0</v>
      </c>
      <c r="U6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3" s="19">
        <f>IF(Tabela3[[#This Row],[Lucro Líquido]]&gt;0,Tabela3[[#This Row],[Lucro Líquido]]/Tabela3[[#This Row],[Patrimônio Líquido]],0)/Tabela3[[#This Row],[Ref]]*4</f>
        <v>0</v>
      </c>
      <c r="W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3" s="19">
        <f>IF(Tabela3[[#This Row],[Dívida]]&gt;0,Tabela3[[#This Row],[Dívida]]/Tabela3[[#This Row],[Patrimônio Líquido]],0)</f>
        <v>0</v>
      </c>
      <c r="Y63" s="19">
        <f>SUMPRODUCT(N([Dívida / PL]&gt;0),N(RIGHT([PAPEL],LEN([PAPEL])-(LEN([PAPEL])-1))="3"),[Dívida / PL])/SUMPRODUCT(N([Dívida / PL]&gt;0),N(RIGHT([PAPEL],LEN([PAPEL])-(LEN([PAPEL])-1))="3"))</f>
        <v>2.2435702141443779</v>
      </c>
      <c r="Z63" s="13">
        <f>Tabela3[[#This Row],[Capital Social]]*20%</f>
        <v>104641748.316</v>
      </c>
      <c r="AA63" s="13">
        <f>IF(([Lucro Líquido]*5%)&gt;[Teto R. Legal],[Teto R. Legal],[Lucro Líquido]*5%)</f>
        <v>-154600</v>
      </c>
      <c r="AB63" s="13">
        <f>IF([Lucro Líquido]&lt;0,0,[Lucro Líquido]-[Reserva Legal])</f>
        <v>0</v>
      </c>
      <c r="AC63" s="13">
        <f>Tabela3[[#This Row],[Lucro Distribuir]]*[%Div]</f>
        <v>0</v>
      </c>
      <c r="AD63" s="56">
        <f>SUMPRODUCT(N([Nome]=Tabela3[[#This Row],[Nome]]),[Ações])</f>
        <v>8024960477</v>
      </c>
      <c r="AE63" s="6">
        <f>[Capital Social]/[Total Ações]</f>
        <v>6.5197672073220359E-2</v>
      </c>
      <c r="AF63" s="77">
        <f>Tabela3[[#This Row],[Lucro Líquido]]/Tabela3[[#This Row],[Total Ações]]</f>
        <v>-3.8529784774166186E-4</v>
      </c>
      <c r="AG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13">
        <f>[Div Base]*[Ações]</f>
        <v>0</v>
      </c>
      <c r="AL63" s="13">
        <f>SUMPRODUCT(N([Nome]=Tabela3[[#This Row],[Nome]]),[Div Base]*[Ações])</f>
        <v>0</v>
      </c>
      <c r="AM63" s="6">
        <f>[Patrimônio Líquido]/[Total Ações]</f>
        <v>3.3249384936503534E-2</v>
      </c>
      <c r="AN63" s="48">
        <f>MAX(Tabela3[[#This Row],[Cotação 1]:[Cotação 5]])</f>
        <v>0.08</v>
      </c>
      <c r="AO63" s="44">
        <f>[Cotação]/[VPA]</f>
        <v>2.4060595452450109</v>
      </c>
      <c r="AP63" s="40">
        <f>IF(Tabela3[[#This Row],[Lucro/Ação]]&gt;0,Tabela3[[#This Row],[Cotação]]/(Tabela3[[#This Row],[Lucro/Ação]]/[Ref]*4),0)</f>
        <v>0</v>
      </c>
      <c r="AQ63" s="77">
        <f>[Lucro Distribuir]/[Total Ações]</f>
        <v>0</v>
      </c>
      <c r="AR6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4" t="str">
        <f>IF(AND([% A.A.]&gt;=5%,SUMPRODUCT(N([Nome]=Tabela3[[#This Row],[Nome]]),[PL])&gt;0,[Rentabilidade s/ PL]&gt;=[Rentabilidade s/ PL Média]),"Sim","Não")</f>
        <v>Não</v>
      </c>
      <c r="AT63" s="42">
        <f>IF([Cotação]&gt;0,Tabela3[[#This Row],[Lucro]]/Tabela3[[#This Row],[Cotação]],0)</f>
        <v>0</v>
      </c>
      <c r="AU63" s="42">
        <f>((1+Tabela3[[#This Row],[% Yield]])^(1/(3*Tabela3[[#This Row],[Ref]])))^(12)-1</f>
        <v>0</v>
      </c>
      <c r="AV63" s="14">
        <f>IF([Cotação]&gt;0,($BH$1/Tabela3[[#This Row],[Cotação]]-MOD($BH$1/Tabela3[[#This Row],[Cotação]],100)),)</f>
        <v>9600</v>
      </c>
      <c r="AW63" s="17">
        <f>Tabela3[[#This Row],[Ativos]]*[Lucro]</f>
        <v>0</v>
      </c>
      <c r="AX63" s="17">
        <f>SUMPRODUCT(N(Tabela1[Código]=Tabela3[[#This Row],[PAPEL]]),Tabela1[Fechamento])</f>
        <v>0</v>
      </c>
      <c r="AY63" s="17">
        <f>SUMPRODUCT(N(Tabela17[Código]=Tabela3[[#This Row],[PAPEL]]),Tabela17[Fechamento])</f>
        <v>0</v>
      </c>
      <c r="AZ63" s="17">
        <f>SUMPRODUCT(N(Tabela176[Código]=Tabela3[[#This Row],[PAPEL]]),Tabela176[Fechamento])</f>
        <v>0.08</v>
      </c>
      <c r="BA63" s="1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customHeight="1">
      <c r="A64" s="3" t="s">
        <v>1099</v>
      </c>
      <c r="B64" s="114" t="s">
        <v>1090</v>
      </c>
      <c r="C64" s="16" t="str">
        <f>LEFT([PAPEL],LEN([PAPEL])-(LEN([PAPEL])-4))</f>
        <v>TCNO</v>
      </c>
      <c r="D64" s="16">
        <v>3</v>
      </c>
      <c r="E64" s="5">
        <v>12971838.99</v>
      </c>
      <c r="F64" s="56">
        <v>35305085</v>
      </c>
      <c r="G64" s="80">
        <v>0.25</v>
      </c>
      <c r="H64" s="86"/>
      <c r="J64" s="18"/>
      <c r="K64" s="16"/>
      <c r="L64" s="86"/>
      <c r="M64" s="54"/>
      <c r="N64" s="54"/>
      <c r="O64" s="54"/>
      <c r="P64" s="90">
        <v>5301000</v>
      </c>
      <c r="Q64" s="73">
        <v>-67139000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7944406.7999999998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4" s="18">
        <f>IF(Tabela3[[#This Row],[Lucro Líquido]]&gt;0,Tabela3[[#This Row],[Lucro Líquido]]/Tabela3[[#This Row],[Patrimônio Líquido]],0)/Tabela3[[#This Row],[Ref]]*4</f>
        <v>0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2.2435702141443779</v>
      </c>
      <c r="Z64" s="7">
        <f>Tabela3[[#This Row],[Capital Social]]*20%</f>
        <v>2594367.7980000004</v>
      </c>
      <c r="AA64" s="47">
        <f>IF(([Lucro Líquido]*5%)&gt;[Teto R. Legal],[Teto R. Legal],[Lucro Líquido]*5%)</f>
        <v>-3356950</v>
      </c>
      <c r="AB64" s="47">
        <f>IF([Lucro Líquido]&lt;0,0,[Lucro Líquido]-[Reserva Legal])</f>
        <v>0</v>
      </c>
      <c r="AC64" s="47">
        <f>Tabela3[[#This Row],[Lucro Distribuir]]*[%Div]</f>
        <v>0</v>
      </c>
      <c r="AD64" s="56">
        <f>SUMPRODUCT(N([Nome]=Tabela3[[#This Row],[Nome]]),[Ações])</f>
        <v>99305085</v>
      </c>
      <c r="AE64" s="84">
        <f>[Capital Social]/[Total Ações]</f>
        <v>0.13062613047458749</v>
      </c>
      <c r="AF64" s="84">
        <f>Tabela3[[#This Row],[Lucro Líquido]]/Tabela3[[#This Row],[Total Ações]]</f>
        <v>-0.67608823858315015</v>
      </c>
      <c r="AG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4" s="7">
        <f>[Div Base]*[Ações]</f>
        <v>0</v>
      </c>
      <c r="AL64" s="113">
        <f>SUMPRODUCT(N([Nome]=Tabela3[[#This Row],[Nome]]),[Div Base]*[Ações])</f>
        <v>0</v>
      </c>
      <c r="AM64" s="5">
        <f>[Patrimônio Líquido]/[Total Ações]</f>
        <v>5.3380952244288397E-2</v>
      </c>
      <c r="AN64" s="52">
        <f>MAX(Tabela3[[#This Row],[Cotação 1]:[Cotação 5]])</f>
        <v>0.08</v>
      </c>
      <c r="AO64" s="53">
        <f>[Cotação]/[VPA]</f>
        <v>1.4986619128466327</v>
      </c>
      <c r="AP64" s="37">
        <f>IF(Tabela3[[#This Row],[Lucro/Ação]]&gt;0,Tabela3[[#This Row],[Cotação]]/(Tabela3[[#This Row],[Lucro/Ação]]/[Ref]*4),0)</f>
        <v>0</v>
      </c>
      <c r="AQ64" s="84">
        <f>[Lucro Distribuir]/[Total Ações]</f>
        <v>0</v>
      </c>
      <c r="AR6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0</v>
      </c>
      <c r="AU64" s="22">
        <f>((1+Tabela3[[#This Row],[% Yield]])^(1/(3*Tabela3[[#This Row],[Ref]])))^(12)-1</f>
        <v>0</v>
      </c>
      <c r="AV64" s="10">
        <f>IF([Cotação]&gt;0,($BH$1/Tabela3[[#This Row],[Cotação]]-MOD($BH$1/Tabela3[[#This Row],[Cotação]],100)),)</f>
        <v>9600</v>
      </c>
      <c r="AW64" s="7">
        <f>Tabela3[[#This Row],[Ativos]]*[Lucro]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0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0.08</v>
      </c>
    </row>
    <row r="65" spans="1:54" ht="11.25" customHeight="1">
      <c r="A65" s="4" t="s">
        <v>330</v>
      </c>
      <c r="B65" s="115" t="s">
        <v>1106</v>
      </c>
      <c r="C65" s="16" t="str">
        <f>LEFT([PAPEL],LEN([PAPEL])-(LEN([PAPEL])-4))</f>
        <v>CCHI</v>
      </c>
      <c r="D65" s="16">
        <v>3</v>
      </c>
      <c r="E65" s="5">
        <v>31980000</v>
      </c>
      <c r="F65" s="56">
        <v>12137280</v>
      </c>
      <c r="G65" s="80">
        <v>0.25</v>
      </c>
      <c r="H65" s="18"/>
      <c r="J65" s="18"/>
      <c r="K65" s="16"/>
      <c r="L65" s="86"/>
      <c r="M65" s="54"/>
      <c r="N65" s="54"/>
      <c r="O65" s="54"/>
      <c r="P65" s="90">
        <v>-160447000</v>
      </c>
      <c r="Q65" s="73">
        <v>-1000</v>
      </c>
      <c r="R65" s="73">
        <f>IF(Tabela3[[#This Row],[Ativo || Passivo]]&gt;0,Tabela3[[#This Row],[Ativo || Passivo]]-Tabela3[[#This Row],[Patrimônio Líquido]],0)</f>
        <v>0</v>
      </c>
      <c r="S65" s="73">
        <f>Tabela3[[#This Row],[Cotação]]*Tabela3[[#This Row],[Total Ações]]</f>
        <v>7020000</v>
      </c>
      <c r="T65" s="37">
        <f>IF(Tabela3[[#This Row],[Passivo Circulante]]&gt;0,Tabela3[[#This Row],[Ativo Circulante]]/Tabela3[[#This Row],[Passivo Circulante]],0)</f>
        <v>0</v>
      </c>
      <c r="U6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5" s="18">
        <f>IF(Tabela3[[#This Row],[Lucro Líquido]]&gt;0,Tabela3[[#This Row],[Lucro Líquido]]/Tabela3[[#This Row],[Patrimônio Líquido]],0)/Tabela3[[#This Row],[Ref]]*4</f>
        <v>0</v>
      </c>
      <c r="W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5" s="18">
        <f>IF(Tabela3[[#This Row],[Dívida]]&gt;0,Tabela3[[#This Row],[Dívida]]/Tabela3[[#This Row],[Patrimônio Líquido]],0)</f>
        <v>0</v>
      </c>
      <c r="Y65" s="18">
        <f>SUMPRODUCT(N([Dívida / PL]&gt;0),N(RIGHT([PAPEL],LEN([PAPEL])-(LEN([PAPEL])-1))="3"),[Dívida / PL])/SUMPRODUCT(N([Dívida / PL]&gt;0),N(RIGHT([PAPEL],LEN([PAPEL])-(LEN([PAPEL])-1))="3"))</f>
        <v>2.2435702141443779</v>
      </c>
      <c r="Z65" s="7">
        <f>Tabela3[[#This Row],[Capital Social]]*20%</f>
        <v>6396000</v>
      </c>
      <c r="AA65" s="47">
        <f>IF(([Lucro Líquido]*5%)&gt;[Teto R. Legal],[Teto R. Legal],[Lucro Líquido]*5%)</f>
        <v>-50</v>
      </c>
      <c r="AB65" s="47">
        <f>IF([Lucro Líquido]&lt;0,0,[Lucro Líquido]-[Reserva Legal])</f>
        <v>0</v>
      </c>
      <c r="AC65" s="47">
        <f>Tabela3[[#This Row],[Lucro Distribuir]]*[%Div]</f>
        <v>0</v>
      </c>
      <c r="AD65" s="56">
        <f>SUMPRODUCT(N([Nome]=Tabela3[[#This Row],[Nome]]),[Ações])</f>
        <v>78000000</v>
      </c>
      <c r="AE65" s="84">
        <f>[Capital Social]/[Total Ações]</f>
        <v>0.41</v>
      </c>
      <c r="AF65" s="84">
        <f>Tabela3[[#This Row],[Lucro Líquido]]/Tabela3[[#This Row],[Total Ações]]</f>
        <v>-1.282051282051282E-5</v>
      </c>
      <c r="AG6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7">
        <f>[Div Base]*[Ações]</f>
        <v>0</v>
      </c>
      <c r="AL65" s="113">
        <f>SUMPRODUCT(N([Nome]=Tabela3[[#This Row],[Nome]]),[Div Base]*[Ações])</f>
        <v>0</v>
      </c>
      <c r="AM65" s="5">
        <f>[Patrimônio Líquido]/[Total Ações]</f>
        <v>-2.0570128205128206</v>
      </c>
      <c r="AN65" s="52">
        <f>MAX(Tabela3[[#This Row],[Cotação 1]:[Cotação 5]])</f>
        <v>0.09</v>
      </c>
      <c r="AO65" s="53">
        <f>[Cotação]/[VPA]</f>
        <v>-4.3752765710795463E-2</v>
      </c>
      <c r="AP65" s="37">
        <f>IF(Tabela3[[#This Row],[Lucro/Ação]]&gt;0,Tabela3[[#This Row],[Cotação]]/(Tabela3[[#This Row],[Lucro/Ação]]/[Ref]*4),0)</f>
        <v>0</v>
      </c>
      <c r="AQ65" s="84">
        <f>[Lucro Distribuir]/[Total Ações]</f>
        <v>0</v>
      </c>
      <c r="AR6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0" t="str">
        <f>IF(AND([% A.A.]&gt;=5%,SUMPRODUCT(N([Nome]=Tabela3[[#This Row],[Nome]]),[PL])&gt;0,[Rentabilidade s/ PL]&gt;=[Rentabilidade s/ PL Média]),"Sim","Não")</f>
        <v>Não</v>
      </c>
      <c r="AT65" s="22">
        <f>IF([Cotação]&gt;0,Tabela3[[#This Row],[Lucro]]/Tabela3[[#This Row],[Cotação]],0)</f>
        <v>0</v>
      </c>
      <c r="AU65" s="22">
        <f>((1+Tabela3[[#This Row],[% Yield]])^(1/(3*Tabela3[[#This Row],[Ref]])))^(12)-1</f>
        <v>0</v>
      </c>
      <c r="AV65" s="10">
        <f>IF([Cotação]&gt;0,($BH$1/Tabela3[[#This Row],[Cotação]]-MOD($BH$1/Tabela3[[#This Row],[Cotação]],100)),)</f>
        <v>8600</v>
      </c>
      <c r="AW65" s="7">
        <f>Tabela3[[#This Row],[Ativos]]*[Lucro]</f>
        <v>0</v>
      </c>
      <c r="AX65" s="7">
        <f>SUMPRODUCT(N(Tabela1[Código]=Tabela3[[#This Row],[PAPEL]]),Tabela1[Fechamento])</f>
        <v>0</v>
      </c>
      <c r="AY65" s="7">
        <f>SUMPRODUCT(N(Tabela17[Código]=Tabela3[[#This Row],[PAPEL]]),Tabela17[Fechamento])</f>
        <v>0</v>
      </c>
      <c r="AZ65" s="7">
        <f>SUMPRODUCT(N(Tabela176[Código]=Tabela3[[#This Row],[PAPEL]]),Tabela176[Fechamento])</f>
        <v>0</v>
      </c>
      <c r="BA65" s="7">
        <f>SUMPRODUCT(N(Tabela1768[Código]=Tabela3[[#This Row],[PAPEL]]),Tabela1768[Fechamento])</f>
        <v>0</v>
      </c>
      <c r="BB65" s="7">
        <f>SUMPRODUCT(N(Tabela17683[Código]=Tabela3[[#This Row],[PAPEL]]),Tabela17683[Fechamento])</f>
        <v>0.09</v>
      </c>
    </row>
    <row r="66" spans="1:54" ht="11.25" customHeight="1">
      <c r="A66" s="4" t="s">
        <v>308</v>
      </c>
      <c r="B66" s="57" t="s">
        <v>674</v>
      </c>
      <c r="C66" s="15" t="str">
        <f>LEFT([PAPEL],LEN([PAPEL])-(LEN([PAPEL])-4))</f>
        <v>MTIG</v>
      </c>
      <c r="D66" s="16">
        <v>3</v>
      </c>
      <c r="E66" s="6">
        <v>48319313.140000001</v>
      </c>
      <c r="F66" s="8">
        <v>208344000</v>
      </c>
      <c r="G66" s="85">
        <v>0.25</v>
      </c>
      <c r="H66" s="15"/>
      <c r="I66" s="19"/>
      <c r="J66" s="19"/>
      <c r="K66" s="87"/>
      <c r="L66" s="87"/>
      <c r="M66" s="55"/>
      <c r="N66" s="55"/>
      <c r="O66" s="55"/>
      <c r="P66" s="91">
        <v>26342000</v>
      </c>
      <c r="Q66" s="92">
        <v>-19296000</v>
      </c>
      <c r="R66" s="92">
        <f>IF(Tabela3[[#This Row],[Ativo || Passivo]]&gt;0,Tabela3[[#This Row],[Ativo || Passivo]]-Tabela3[[#This Row],[Patrimônio Líquido]],0)</f>
        <v>0</v>
      </c>
      <c r="S66" s="92">
        <f>Tabela3[[#This Row],[Cotação]]*Tabela3[[#This Row],[Total Ações]]</f>
        <v>34376760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2.2435702141443779</v>
      </c>
      <c r="Z66" s="13">
        <f>Tabela3[[#This Row],[Capital Social]]*20%</f>
        <v>9663862.6280000005</v>
      </c>
      <c r="AA66" s="13">
        <f>IF(([Lucro Líquido]*5%)&gt;[Teto R. Legal],[Teto R. Legal],[Lucro Líquido]*5%)</f>
        <v>-964800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312516000</v>
      </c>
      <c r="AE66" s="6">
        <f>[Capital Social]/[Total Ações]</f>
        <v>0.15461388581704616</v>
      </c>
      <c r="AF66" s="77">
        <f>Tabela3[[#This Row],[Lucro Líquido]]/Tabela3[[#This Row],[Total Ações]]</f>
        <v>-6.1744038705218295E-2</v>
      </c>
      <c r="AG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8.4290084347681399E-2</v>
      </c>
      <c r="AN66" s="48">
        <f>MAX(Tabela3[[#This Row],[Cotação 1]:[Cotação 5]])</f>
        <v>0.11</v>
      </c>
      <c r="AO66" s="44">
        <f>[Cotação]/[VPA]</f>
        <v>1.3050170829853467</v>
      </c>
      <c r="AP66" s="40">
        <f>IF(Tabela3[[#This Row],[Lucro/Ação]]&gt;0,Tabela3[[#This Row],[Cotação]]/(Tabela3[[#This Row],[Lucro/Ação]]/[Ref]*4),0)</f>
        <v>0</v>
      </c>
      <c r="AQ66" s="77">
        <f>[Lucro Distribuir]/[Total Ações]</f>
        <v>0</v>
      </c>
      <c r="AR6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7000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0.11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customHeight="1">
      <c r="A67" s="4" t="s">
        <v>14</v>
      </c>
      <c r="B67" s="57" t="s">
        <v>548</v>
      </c>
      <c r="C67" s="15" t="str">
        <f>LEFT([PAPEL],LEN([PAPEL])-(LEN([PAPEL])-4))</f>
        <v>SANB</v>
      </c>
      <c r="D67" s="15">
        <v>4</v>
      </c>
      <c r="E67" s="6">
        <v>62828201614.209999</v>
      </c>
      <c r="F67" s="8">
        <v>212841731754</v>
      </c>
      <c r="G67" s="85">
        <v>0.25</v>
      </c>
      <c r="H67" s="15"/>
      <c r="I67" s="19"/>
      <c r="J67" s="19"/>
      <c r="K67" s="87"/>
      <c r="L67" s="87"/>
      <c r="M67" s="55"/>
      <c r="N67" s="55"/>
      <c r="O67" s="55"/>
      <c r="P67" s="91">
        <v>62825353000</v>
      </c>
      <c r="Q67" s="92">
        <v>1625558000</v>
      </c>
      <c r="R67" s="92">
        <f>IF(Tabela3[[#This Row],[Ativo || Passivo]]&gt;0,Tabela3[[#This Row],[Ativo || Passivo]]-Tabela3[[#This Row],[Patrimônio Líquido]],0)</f>
        <v>0</v>
      </c>
      <c r="S67" s="92">
        <f>Tabela3[[#This Row],[Cotação]]*Tabela3[[#This Row],[Total Ações]]</f>
        <v>43894852859.550003</v>
      </c>
      <c r="T67" s="40">
        <f>IF(Tabela3[[#This Row],[Passivo Circulante]]&gt;0,Tabela3[[#This Row],[Ativo Circulante]]/Tabela3[[#This Row],[Passivo Circulante]],0)</f>
        <v>0</v>
      </c>
      <c r="U6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7" s="19">
        <f>IF(Tabela3[[#This Row],[Lucro Líquido]]&gt;0,Tabela3[[#This Row],[Lucro Líquido]]/Tabela3[[#This Row],[Patrimônio Líquido]],0)/Tabela3[[#This Row],[Ref]]*4</f>
        <v>2.587423583596896E-2</v>
      </c>
      <c r="W6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7" s="19">
        <f>IF(Tabela3[[#This Row],[Dívida]]&gt;0,Tabela3[[#This Row],[Dívida]]/Tabela3[[#This Row],[Patrimônio Líquido]],0)</f>
        <v>0</v>
      </c>
      <c r="Y67" s="19">
        <f>SUMPRODUCT(N([Dívida / PL]&gt;0),N(RIGHT([PAPEL],LEN([PAPEL])-(LEN([PAPEL])-1))="3"),[Dívida / PL])/SUMPRODUCT(N([Dívida / PL]&gt;0),N(RIGHT([PAPEL],LEN([PAPEL])-(LEN([PAPEL])-1))="3"))</f>
        <v>2.2435702141443779</v>
      </c>
      <c r="Z67" s="13">
        <f>Tabela3[[#This Row],[Capital Social]]*20%</f>
        <v>12565640322.842001</v>
      </c>
      <c r="AA67" s="13">
        <f>IF(([Lucro Líquido]*5%)&gt;[Teto R. Legal],[Teto R. Legal],[Lucro Líquido]*5%)</f>
        <v>81277900</v>
      </c>
      <c r="AB67" s="13">
        <f>IF([Lucro Líquido]&lt;0,0,[Lucro Líquido]-[Reserva Legal])</f>
        <v>1544280100</v>
      </c>
      <c r="AC67" s="13">
        <f>Tabela3[[#This Row],[Lucro Distribuir]]*[%Div]</f>
        <v>386070025</v>
      </c>
      <c r="AD67" s="56">
        <f>SUMPRODUCT(N([Nome]=Tabela3[[#This Row],[Nome]]),[Ações])</f>
        <v>399044116905</v>
      </c>
      <c r="AE67" s="6">
        <f>[Capital Social]/[Total Ações]</f>
        <v>0.15744675576602335</v>
      </c>
      <c r="AF67" s="77">
        <f>Tabela3[[#This Row],[Lucro Líquido]]/Tabela3[[#This Row],[Total Ações]]</f>
        <v>4.0736297846160072E-3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67" s="13">
        <f>[Div Base]*[Ações]</f>
        <v>199514619.47916266</v>
      </c>
      <c r="AL67" s="13">
        <f>SUMPRODUCT(N([Nome]=Tabela3[[#This Row],[Nome]]),[Div Base]*[Ações])</f>
        <v>391512248.61271071</v>
      </c>
      <c r="AM67" s="6">
        <f>[Patrimônio Líquido]/[Total Ações]</f>
        <v>0.15743961717134339</v>
      </c>
      <c r="AN67" s="48">
        <f>MAX(Tabela3[[#This Row],[Cotação 1]:[Cotação 5]])</f>
        <v>0.11</v>
      </c>
      <c r="AO67" s="44">
        <f>[Cotação]/[VPA]</f>
        <v>0.69868056068940831</v>
      </c>
      <c r="AP67" s="40">
        <f>IF(Tabela3[[#This Row],[Lucro/Ação]]&gt;0,Tabela3[[#This Row],[Cotação]]/(Tabela3[[#This Row],[Lucro/Ação]]/[Ref]*4),0)</f>
        <v>27.002944748541733</v>
      </c>
      <c r="AQ67" s="77">
        <f>[Lucro Distribuir]/[Total Ações]</f>
        <v>3.869948295385207E-3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67" s="14" t="str">
        <f>IF(AND([% A.A.]&gt;=5%,SUMPRODUCT(N([Nome]=Tabela3[[#This Row],[Nome]]),[PL])&gt;0,[Rentabilidade s/ PL]&gt;=[Rentabilidade s/ PL Média]),"Sim","Não")</f>
        <v>Não</v>
      </c>
      <c r="AT67" s="42">
        <f>IF([Cotação]&gt;0,Tabela3[[#This Row],[Lucro]]/Tabela3[[#This Row],[Cotação]],0)</f>
        <v>8.5216806546599671E-3</v>
      </c>
      <c r="AU67" s="42">
        <f>((1+Tabela3[[#This Row],[% Yield]])^(1/(3*Tabela3[[#This Row],[Ref]])))^(12)-1</f>
        <v>8.5216806546599688E-3</v>
      </c>
      <c r="AV67" s="14">
        <f>IF([Cotação]&gt;0,($BH$1/Tabela3[[#This Row],[Cotação]]-MOD($BH$1/Tabela3[[#This Row],[Cotação]],100)),)</f>
        <v>7000</v>
      </c>
      <c r="AW67" s="17">
        <f>Tabela3[[#This Row],[Ativos]]*[Lucro]</f>
        <v>6.5616941040881747</v>
      </c>
      <c r="AX67" s="17">
        <f>SUMPRODUCT(N(Tabela1[Código]=Tabela3[[#This Row],[PAPEL]]),Tabela1[Fechamento])</f>
        <v>0</v>
      </c>
      <c r="AY67" s="17">
        <f>SUMPRODUCT(N(Tabela17[Código]=Tabela3[[#This Row],[PAPEL]]),Tabela17[Fechamento])</f>
        <v>0</v>
      </c>
      <c r="AZ67" s="17">
        <f>SUMPRODUCT(N(Tabela176[Código]=Tabela3[[#This Row],[PAPEL]]),Tabela176[Fechamento])</f>
        <v>0.11</v>
      </c>
      <c r="BA67" s="1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customHeight="1">
      <c r="A68" s="4" t="s">
        <v>330</v>
      </c>
      <c r="B68" s="115" t="s">
        <v>1105</v>
      </c>
      <c r="C68" s="16" t="str">
        <f>LEFT([PAPEL],LEN([PAPEL])-(LEN([PAPEL])-4))</f>
        <v>CCHI</v>
      </c>
      <c r="D68" s="16">
        <v>3</v>
      </c>
      <c r="E68" s="5">
        <v>31980000</v>
      </c>
      <c r="F68" s="56">
        <v>65862720</v>
      </c>
      <c r="G68" s="80">
        <v>0.25</v>
      </c>
      <c r="H68" s="18"/>
      <c r="J68" s="18"/>
      <c r="K68" s="16"/>
      <c r="L68" s="86"/>
      <c r="M68" s="54"/>
      <c r="N68" s="54"/>
      <c r="O68" s="54"/>
      <c r="P68" s="90">
        <v>-160447000</v>
      </c>
      <c r="Q68" s="73">
        <v>-1000</v>
      </c>
      <c r="R68" s="73">
        <f>IF(Tabela3[[#This Row],[Ativo || Passivo]]&gt;0,Tabela3[[#This Row],[Ativo || Passivo]]-Tabela3[[#This Row],[Patrimônio Líquido]],0)</f>
        <v>0</v>
      </c>
      <c r="S68" s="73">
        <f>Tabela3[[#This Row],[Cotação]]*Tabela3[[#This Row],[Total Ações]]</f>
        <v>9360000</v>
      </c>
      <c r="T68" s="37">
        <f>IF(Tabela3[[#This Row],[Passivo Circulante]]&gt;0,Tabela3[[#This Row],[Ativo Circulante]]/Tabela3[[#This Row],[Passivo Circulante]],0)</f>
        <v>0</v>
      </c>
      <c r="U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8" s="18">
        <f>IF(Tabela3[[#This Row],[Lucro Líquido]]&gt;0,Tabela3[[#This Row],[Lucro Líquido]]/Tabela3[[#This Row],[Patrimônio Líquido]],0)/Tabela3[[#This Row],[Ref]]*4</f>
        <v>0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2.2435702141443779</v>
      </c>
      <c r="Z68" s="7">
        <f>Tabela3[[#This Row],[Capital Social]]*20%</f>
        <v>6396000</v>
      </c>
      <c r="AA68" s="47">
        <f>IF(([Lucro Líquido]*5%)&gt;[Teto R. Legal],[Teto R. Legal],[Lucro Líquido]*5%)</f>
        <v>-50</v>
      </c>
      <c r="AB68" s="47">
        <f>IF([Lucro Líquido]&lt;0,0,[Lucro Líquido]-[Reserva Legal])</f>
        <v>0</v>
      </c>
      <c r="AC68" s="47">
        <f>Tabela3[[#This Row],[Lucro Distribuir]]*[%Div]</f>
        <v>0</v>
      </c>
      <c r="AD68" s="56">
        <f>SUMPRODUCT(N([Nome]=Tabela3[[#This Row],[Nome]]),[Ações])</f>
        <v>78000000</v>
      </c>
      <c r="AE68" s="84">
        <f>[Capital Social]/[Total Ações]</f>
        <v>0.41</v>
      </c>
      <c r="AF68" s="84">
        <f>Tabela3[[#This Row],[Lucro Líquido]]/Tabela3[[#This Row],[Total Ações]]</f>
        <v>-1.282051282051282E-5</v>
      </c>
      <c r="AG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8" s="7">
        <f>[Div Base]*[Ações]</f>
        <v>0</v>
      </c>
      <c r="AL68" s="113">
        <f>SUMPRODUCT(N([Nome]=Tabela3[[#This Row],[Nome]]),[Div Base]*[Ações])</f>
        <v>0</v>
      </c>
      <c r="AM68" s="5">
        <f>[Patrimônio Líquido]/[Total Ações]</f>
        <v>-2.0570128205128206</v>
      </c>
      <c r="AN68" s="52">
        <f>MAX(Tabela3[[#This Row],[Cotação 1]:[Cotação 5]])</f>
        <v>0.12</v>
      </c>
      <c r="AO68" s="53">
        <f>[Cotação]/[VPA]</f>
        <v>-5.8337020947727282E-2</v>
      </c>
      <c r="AP68" s="37">
        <f>IF(Tabela3[[#This Row],[Lucro/Ação]]&gt;0,Tabela3[[#This Row],[Cotação]]/(Tabela3[[#This Row],[Lucro/Ação]]/[Ref]*4),0)</f>
        <v>0</v>
      </c>
      <c r="AQ68" s="84">
        <f>[Lucro Distribuir]/[Total Ações]</f>
        <v>0</v>
      </c>
      <c r="AR6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8" s="10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0</v>
      </c>
      <c r="AU68" s="22">
        <f>((1+Tabela3[[#This Row],[% Yield]])^(1/(3*Tabela3[[#This Row],[Ref]])))^(12)-1</f>
        <v>0</v>
      </c>
      <c r="AV68" s="10">
        <f>IF([Cotação]&gt;0,($BH$1/Tabela3[[#This Row],[Cotação]]-MOD($BH$1/Tabela3[[#This Row],[Cotação]],100)),)</f>
        <v>6400</v>
      </c>
      <c r="AW68" s="7">
        <f>Tabela3[[#This Row],[Ativos]]*[Lucro]</f>
        <v>0</v>
      </c>
      <c r="AX68" s="7">
        <f>SUMPRODUCT(N(Tabela1[Código]=Tabela3[[#This Row],[PAPEL]]),Tabela1[Fechamento])</f>
        <v>0</v>
      </c>
      <c r="AY68" s="7">
        <f>SUMPRODUCT(N(Tabela17[Código]=Tabela3[[#This Row],[PAPEL]]),Tabela17[Fechamento])</f>
        <v>0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0.12</v>
      </c>
    </row>
    <row r="69" spans="1:54" ht="11.25" customHeight="1">
      <c r="A69" s="4" t="s">
        <v>12</v>
      </c>
      <c r="B69" s="57" t="s">
        <v>167</v>
      </c>
      <c r="C69" s="14" t="str">
        <f>LEFT([PAPEL],LEN([PAPEL])-(LEN([PAPEL])-4))</f>
        <v>GTDP</v>
      </c>
      <c r="D69" s="15">
        <v>4</v>
      </c>
      <c r="E69" s="6">
        <v>9056481.0600000005</v>
      </c>
      <c r="F69" s="8">
        <v>84761786</v>
      </c>
      <c r="G69" s="80">
        <v>0.25</v>
      </c>
      <c r="H69" s="15"/>
      <c r="I69" s="19"/>
      <c r="J69" s="19"/>
      <c r="K69" s="87"/>
      <c r="L69" s="87"/>
      <c r="M69" s="55">
        <v>12416000</v>
      </c>
      <c r="N69" s="55">
        <v>3741000</v>
      </c>
      <c r="O69" s="55">
        <v>537000</v>
      </c>
      <c r="P69" s="88">
        <v>11722000</v>
      </c>
      <c r="Q69" s="88">
        <v>1886000</v>
      </c>
      <c r="R69" s="88">
        <f>IF(Tabela3[[#This Row],[Ativo || Passivo]]&gt;0,Tabela3[[#This Row],[Ativo || Passivo]]-Tabela3[[#This Row],[Patrimônio Líquido]],0)</f>
        <v>694000</v>
      </c>
      <c r="S69" s="88">
        <f>Tabela3[[#This Row],[Cotação]]*Tabela3[[#This Row],[Total Ações]]</f>
        <v>19962667.559999999</v>
      </c>
      <c r="T69" s="121">
        <f>IF(Tabela3[[#This Row],[Passivo Circulante]]&gt;0,Tabela3[[#This Row],[Ativo Circulante]]/Tabela3[[#This Row],[Passivo Circulante]],0)</f>
        <v>6.966480446927374</v>
      </c>
      <c r="U6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69" s="19">
        <f>IF(Tabela3[[#This Row],[Lucro Líquido]]&gt;0,Tabela3[[#This Row],[Lucro Líquido]]/Tabela3[[#This Row],[Patrimônio Líquido]],0)/Tabela3[[#This Row],[Ref]]*4</f>
        <v>0.16089404538474664</v>
      </c>
      <c r="W6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69" s="19">
        <f>IF(Tabela3[[#This Row],[Dívida]]&gt;0,Tabela3[[#This Row],[Dívida]]/Tabela3[[#This Row],[Patrimônio Líquido]],0)</f>
        <v>5.9204913837229145E-2</v>
      </c>
      <c r="Y69" s="19">
        <f>SUMPRODUCT(N([Dívida / PL]&gt;0),N(RIGHT([PAPEL],LEN([PAPEL])-(LEN([PAPEL])-1))="3"),[Dívida / PL])/SUMPRODUCT(N([Dívida / PL]&gt;0),N(RIGHT([PAPEL],LEN([PAPEL])-(LEN([PAPEL])-1))="3"))</f>
        <v>2.2435702141443779</v>
      </c>
      <c r="Z69" s="6">
        <f>Tabela3[[#This Row],[Capital Social]]*20%</f>
        <v>1811296.2120000003</v>
      </c>
      <c r="AA69" s="6">
        <f>IF(([Lucro Líquido]*5%)&gt;[Teto R. Legal],[Teto R. Legal],[Lucro Líquido]*5%)</f>
        <v>94300</v>
      </c>
      <c r="AB69" s="88">
        <f>IF([Lucro Líquido]&lt;0,0,[Lucro Líquido]-[Reserva Legal])</f>
        <v>1791700</v>
      </c>
      <c r="AC69" s="88">
        <f>Tabela3[[#This Row],[Lucro Distribuir]]*[%Div]</f>
        <v>447925</v>
      </c>
      <c r="AD69" s="56">
        <f>SUMPRODUCT(N([Nome]=Tabela3[[#This Row],[Nome]]),[Ações])</f>
        <v>166355563</v>
      </c>
      <c r="AE69" s="6">
        <f>[Capital Social]/[Total Ações]</f>
        <v>5.4440506206576332E-2</v>
      </c>
      <c r="AF69" s="77">
        <f>Tabela3[[#This Row],[Lucro Líquido]]/Tabela3[[#This Row],[Total Ações]]</f>
        <v>1.1337162196373318E-2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69" s="6">
        <f>[Div Base]*[Ações]</f>
        <v>221126.52551741674</v>
      </c>
      <c r="AL69" s="6">
        <f>SUMPRODUCT(N([Nome]=Tabela3[[#This Row],[Nome]]),[Div Base]*[Ações])</f>
        <v>455274.53273645107</v>
      </c>
      <c r="AM69" s="6">
        <f>[Patrimônio Líquido]/[Total Ações]</f>
        <v>7.0463528773005324E-2</v>
      </c>
      <c r="AN69" s="48">
        <f>MAX(Tabela3[[#This Row],[Cotação 1]:[Cotação 5]])</f>
        <v>0.12</v>
      </c>
      <c r="AO69" s="44">
        <f>[Cotação]/[VPA]</f>
        <v>1.7030086640505033</v>
      </c>
      <c r="AP69" s="40">
        <f>IF(Tabela3[[#This Row],[Lucro/Ação]]&gt;0,Tabela3[[#This Row],[Cotação]]/(Tabela3[[#This Row],[Lucro/Ação]]/[Ref]*4),0)</f>
        <v>10.584659363732769</v>
      </c>
      <c r="AQ69" s="77">
        <f>[Lucro Distribuir]/[Total Ações]</f>
        <v>1.0770304086554652E-2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69" s="15" t="str">
        <f>IF(AND([% A.A.]&gt;=5%,SUMPRODUCT(N([Nome]=Tabela3[[#This Row],[Nome]]),[PL])&gt;0,[Rentabilidade s/ PL]&gt;=[Rentabilidade s/ PL Média]),"Sim","Não")</f>
        <v>Não</v>
      </c>
      <c r="AT69" s="42">
        <f>IF([Cotação]&gt;0,Tabela3[[#This Row],[Lucro]]/Tabela3[[#This Row],[Cotação]],0)</f>
        <v>2.1739997856799205E-2</v>
      </c>
      <c r="AU69" s="19">
        <f>((1+Tabela3[[#This Row],[% Yield]])^(1/(3*Tabela3[[#This Row],[Ref]])))^(12)-1</f>
        <v>2.1739997856799143E-2</v>
      </c>
      <c r="AV69" s="14">
        <f>IF([Cotação]&gt;0,($BH$1/Tabela3[[#This Row],[Cotação]]-MOD($BH$1/Tabela3[[#This Row],[Cotação]],100)),)</f>
        <v>6400</v>
      </c>
      <c r="AW69" s="17">
        <f>Tabela3[[#This Row],[Ativos]]*[Lucro]</f>
        <v>16.696318354021788</v>
      </c>
      <c r="AX69" s="5">
        <f>SUMPRODUCT(N(Tabela1[Código]=Tabela3[[#This Row],[PAPEL]]),Tabela1[Fechamento])</f>
        <v>0.12</v>
      </c>
      <c r="AY69" s="5">
        <f>SUMPRODUCT(N(Tabela17[Código]=Tabela3[[#This Row],[PAPEL]]),Tabela17[Fechamento])</f>
        <v>0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>
      <c r="A70" s="4" t="s">
        <v>12</v>
      </c>
      <c r="B70" s="57" t="s">
        <v>168</v>
      </c>
      <c r="C70" s="81" t="str">
        <f>LEFT([PAPEL],LEN([PAPEL])-(LEN([PAPEL])-4))</f>
        <v>GTDP</v>
      </c>
      <c r="D70" s="15">
        <v>4</v>
      </c>
      <c r="E70" s="6">
        <v>9056481.0600000005</v>
      </c>
      <c r="F70" s="8">
        <v>81593777</v>
      </c>
      <c r="G70" s="85">
        <v>0.25</v>
      </c>
      <c r="H70" s="19"/>
      <c r="I70" s="19"/>
      <c r="J70" s="19">
        <v>0.1</v>
      </c>
      <c r="K70" s="87"/>
      <c r="L70" s="87"/>
      <c r="M70" s="55">
        <v>12416000</v>
      </c>
      <c r="N70" s="55">
        <v>3741000</v>
      </c>
      <c r="O70" s="55">
        <v>537000</v>
      </c>
      <c r="P70" s="88">
        <v>11722000</v>
      </c>
      <c r="Q70" s="88">
        <v>1886000</v>
      </c>
      <c r="R70" s="88">
        <f>IF(Tabela3[[#This Row],[Ativo || Passivo]]&gt;0,Tabela3[[#This Row],[Ativo || Passivo]]-Tabela3[[#This Row],[Patrimônio Líquido]],0)</f>
        <v>694000</v>
      </c>
      <c r="S70" s="88">
        <f>Tabela3[[#This Row],[Cotação]]*Tabela3[[#This Row],[Total Ações]]</f>
        <v>19962667.559999999</v>
      </c>
      <c r="T70" s="121">
        <f>IF(Tabela3[[#This Row],[Passivo Circulante]]&gt;0,Tabela3[[#This Row],[Ativo Circulante]]/Tabela3[[#This Row],[Passivo Circulante]],0)</f>
        <v>6.966480446927374</v>
      </c>
      <c r="U7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0" s="19">
        <f>IF(Tabela3[[#This Row],[Lucro Líquido]]&gt;0,Tabela3[[#This Row],[Lucro Líquido]]/Tabela3[[#This Row],[Patrimônio Líquido]],0)/Tabela3[[#This Row],[Ref]]*4</f>
        <v>0.16089404538474664</v>
      </c>
      <c r="W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0" s="19">
        <f>IF(Tabela3[[#This Row],[Dívida]]&gt;0,Tabela3[[#This Row],[Dívida]]/Tabela3[[#This Row],[Patrimônio Líquido]],0)</f>
        <v>5.9204913837229145E-2</v>
      </c>
      <c r="Y70" s="19">
        <f>SUMPRODUCT(N([Dívida / PL]&gt;0),N(RIGHT([PAPEL],LEN([PAPEL])-(LEN([PAPEL])-1))="3"),[Dívida / PL])/SUMPRODUCT(N([Dívida / PL]&gt;0),N(RIGHT([PAPEL],LEN([PAPEL])-(LEN([PAPEL])-1))="3"))</f>
        <v>2.2435702141443779</v>
      </c>
      <c r="Z70" s="6">
        <f>Tabela3[[#This Row],[Capital Social]]*20%</f>
        <v>1811296.2120000003</v>
      </c>
      <c r="AA70" s="6">
        <f>IF(([Lucro Líquido]*5%)&gt;[Teto R. Legal],[Teto R. Legal],[Lucro Líquido]*5%)</f>
        <v>94300</v>
      </c>
      <c r="AB70" s="88">
        <f>IF([Lucro Líquido]&lt;0,0,[Lucro Líquido]-[Reserva Legal])</f>
        <v>1791700</v>
      </c>
      <c r="AC70" s="88">
        <f>Tabela3[[#This Row],[Lucro Distribuir]]*[%Div]</f>
        <v>447925</v>
      </c>
      <c r="AD70" s="56">
        <f>SUMPRODUCT(N([Nome]=Tabela3[[#This Row],[Nome]]),[Ações])</f>
        <v>166355563</v>
      </c>
      <c r="AE70" s="6">
        <f>[Capital Social]/[Total Ações]</f>
        <v>5.4440506206576332E-2</v>
      </c>
      <c r="AF70" s="77">
        <f>Tabela3[[#This Row],[Lucro Líquido]]/Tabela3[[#This Row],[Total Ações]]</f>
        <v>1.1337162196373318E-2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70" s="6">
        <f>[Div Base]*[Ações]</f>
        <v>234148.00721903433</v>
      </c>
      <c r="AL70" s="6">
        <f>SUMPRODUCT(N([Nome]=Tabela3[[#This Row],[Nome]]),[Div Base]*[Ações])</f>
        <v>455274.53273645107</v>
      </c>
      <c r="AM70" s="6">
        <f>[Patrimônio Líquido]/[Total Ações]</f>
        <v>7.0463528773005324E-2</v>
      </c>
      <c r="AN70" s="48">
        <f>MAX(Tabela3[[#This Row],[Cotação 1]:[Cotação 5]])</f>
        <v>0.12</v>
      </c>
      <c r="AO70" s="44">
        <f>[Cotação]/[VPA]</f>
        <v>1.7030086640505033</v>
      </c>
      <c r="AP70" s="40">
        <f>IF(Tabela3[[#This Row],[Lucro/Ação]]&gt;0,Tabela3[[#This Row],[Cotação]]/(Tabela3[[#This Row],[Lucro/Ação]]/[Ref]*4),0)</f>
        <v>10.584659363732769</v>
      </c>
      <c r="AQ70" s="77">
        <f>[Lucro Distribuir]/[Total Ações]</f>
        <v>1.0770304086554652E-2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70" s="15" t="str">
        <f>IF(AND([% A.A.]&gt;=5%,SUMPRODUCT(N([Nome]=Tabela3[[#This Row],[Nome]]),[PL])&gt;0,[Rentabilidade s/ PL]&gt;=[Rentabilidade s/ PL Média]),"Sim","Não")</f>
        <v>Não</v>
      </c>
      <c r="AT70" s="42">
        <f>IF([Cotação]&gt;0,Tabela3[[#This Row],[Lucro]]/Tabela3[[#This Row],[Cotação]],0)</f>
        <v>2.3913997675238798E-2</v>
      </c>
      <c r="AU70" s="19">
        <f>((1+Tabela3[[#This Row],[% Yield]])^(1/(3*Tabela3[[#This Row],[Ref]])))^(12)-1</f>
        <v>2.3913997675238718E-2</v>
      </c>
      <c r="AV70" s="14">
        <f>IF([Cotação]&gt;0,($BH$1/Tabela3[[#This Row],[Cotação]]-MOD($BH$1/Tabela3[[#This Row],[Cotação]],100)),)</f>
        <v>6400</v>
      </c>
      <c r="AW70" s="17">
        <f>Tabela3[[#This Row],[Ativos]]*[Lucro]</f>
        <v>18.365950214583396</v>
      </c>
      <c r="AX70" s="5">
        <f>SUMPRODUCT(N(Tabela1[Código]=Tabela3[[#This Row],[PAPEL]]),Tabela1[Fechamento])</f>
        <v>0.12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customHeight="1">
      <c r="A71" s="4" t="s">
        <v>14</v>
      </c>
      <c r="B71" s="57" t="s">
        <v>549</v>
      </c>
      <c r="C71" s="15" t="str">
        <f>LEFT([PAPEL],LEN([PAPEL])-(LEN([PAPEL])-4))</f>
        <v>SANB</v>
      </c>
      <c r="D71" s="15">
        <v>4</v>
      </c>
      <c r="E71" s="6">
        <v>62828201614.209999</v>
      </c>
      <c r="F71" s="8">
        <v>186202385151</v>
      </c>
      <c r="G71" s="85">
        <v>0.25</v>
      </c>
      <c r="H71" s="15"/>
      <c r="I71" s="19"/>
      <c r="J71" s="19">
        <v>0.1</v>
      </c>
      <c r="K71" s="87"/>
      <c r="L71" s="87"/>
      <c r="M71" s="55"/>
      <c r="N71" s="55"/>
      <c r="O71" s="55"/>
      <c r="P71" s="91">
        <v>62825353000</v>
      </c>
      <c r="Q71" s="92">
        <v>1625558000</v>
      </c>
      <c r="R71" s="92">
        <f>IF(Tabela3[[#This Row],[Ativo || Passivo]]&gt;0,Tabela3[[#This Row],[Ativo || Passivo]]-Tabela3[[#This Row],[Patrimônio Líquido]],0)</f>
        <v>0</v>
      </c>
      <c r="S71" s="92">
        <f>Tabela3[[#This Row],[Cotação]]*Tabela3[[#This Row],[Total Ações]]</f>
        <v>47885294028.599998</v>
      </c>
      <c r="T71" s="40">
        <f>IF(Tabela3[[#This Row],[Passivo Circulante]]&gt;0,Tabela3[[#This Row],[Ativo Circulante]]/Tabela3[[#This Row],[Passivo Circulante]],0)</f>
        <v>0</v>
      </c>
      <c r="U7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1" s="19">
        <f>IF(Tabela3[[#This Row],[Lucro Líquido]]&gt;0,Tabela3[[#This Row],[Lucro Líquido]]/Tabela3[[#This Row],[Patrimônio Líquido]],0)/Tabela3[[#This Row],[Ref]]*4</f>
        <v>2.587423583596896E-2</v>
      </c>
      <c r="W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1" s="19">
        <f>IF(Tabela3[[#This Row],[Dívida]]&gt;0,Tabela3[[#This Row],[Dívida]]/Tabela3[[#This Row],[Patrimônio Líquido]],0)</f>
        <v>0</v>
      </c>
      <c r="Y71" s="19">
        <f>SUMPRODUCT(N([Dívida / PL]&gt;0),N(RIGHT([PAPEL],LEN([PAPEL])-(LEN([PAPEL])-1))="3"),[Dívida / PL])/SUMPRODUCT(N([Dívida / PL]&gt;0),N(RIGHT([PAPEL],LEN([PAPEL])-(LEN([PAPEL])-1))="3"))</f>
        <v>2.2435702141443779</v>
      </c>
      <c r="Z71" s="13">
        <f>Tabela3[[#This Row],[Capital Social]]*20%</f>
        <v>12565640322.842001</v>
      </c>
      <c r="AA71" s="13">
        <f>IF(([Lucro Líquido]*5%)&gt;[Teto R. Legal],[Teto R. Legal],[Lucro Líquido]*5%)</f>
        <v>81277900</v>
      </c>
      <c r="AB71" s="13">
        <f>IF([Lucro Líquido]&lt;0,0,[Lucro Líquido]-[Reserva Legal])</f>
        <v>1544280100</v>
      </c>
      <c r="AC71" s="13">
        <f>Tabela3[[#This Row],[Lucro Distribuir]]*[%Div]</f>
        <v>386070025</v>
      </c>
      <c r="AD71" s="56">
        <f>SUMPRODUCT(N([Nome]=Tabela3[[#This Row],[Nome]]),[Ações])</f>
        <v>399044116905</v>
      </c>
      <c r="AE71" s="6">
        <f>[Capital Social]/[Total Ações]</f>
        <v>0.15744675576602335</v>
      </c>
      <c r="AF71" s="77">
        <f>Tabela3[[#This Row],[Lucro Líquido]]/Tabela3[[#This Row],[Total Ações]]</f>
        <v>4.0736297846160072E-3</v>
      </c>
      <c r="AG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71" s="13">
        <f>[Div Base]*[Ações]</f>
        <v>191997629.13354802</v>
      </c>
      <c r="AL71" s="13">
        <f>SUMPRODUCT(N([Nome]=Tabela3[[#This Row],[Nome]]),[Div Base]*[Ações])</f>
        <v>391512248.61271071</v>
      </c>
      <c r="AM71" s="6">
        <f>[Patrimônio Líquido]/[Total Ações]</f>
        <v>0.15743961717134339</v>
      </c>
      <c r="AN71" s="48">
        <f>MAX(Tabela3[[#This Row],[Cotação 1]:[Cotação 5]])</f>
        <v>0.12</v>
      </c>
      <c r="AO71" s="44">
        <f>[Cotação]/[VPA]</f>
        <v>0.76219697529753638</v>
      </c>
      <c r="AP71" s="40">
        <f>IF(Tabela3[[#This Row],[Lucro/Ação]]&gt;0,Tabela3[[#This Row],[Cotação]]/(Tabela3[[#This Row],[Lucro/Ação]]/[Ref]*4),0)</f>
        <v>29.457757907500071</v>
      </c>
      <c r="AQ71" s="77">
        <f>[Lucro Distribuir]/[Total Ações]</f>
        <v>3.869948295385207E-3</v>
      </c>
      <c r="AR71" s="77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71" s="14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8.59269467188656E-3</v>
      </c>
      <c r="AU71" s="42">
        <f>((1+Tabela3[[#This Row],[% Yield]])^(1/(3*Tabela3[[#This Row],[Ref]])))^(12)-1</f>
        <v>8.5926946718861696E-3</v>
      </c>
      <c r="AV71" s="14">
        <f>IF([Cotação]&gt;0,($BH$1/Tabela3[[#This Row],[Cotação]]-MOD($BH$1/Tabela3[[#This Row],[Cotação]],100)),)</f>
        <v>6400</v>
      </c>
      <c r="AW71" s="17">
        <f>Tabela3[[#This Row],[Ativos]]*[Lucro]</f>
        <v>6.5991895080088776</v>
      </c>
      <c r="AX71" s="17">
        <f>SUMPRODUCT(N(Tabela1[Código]=Tabela3[[#This Row],[PAPEL]]),Tabela1[Fechamento])</f>
        <v>0</v>
      </c>
      <c r="AY71" s="17">
        <f>SUMPRODUCT(N(Tabela17[Código]=Tabela3[[#This Row],[PAPEL]]),Tabela17[Fechamento])</f>
        <v>0</v>
      </c>
      <c r="AZ71" s="17">
        <f>SUMPRODUCT(N(Tabela176[Código]=Tabela3[[#This Row],[PAPEL]]),Tabela176[Fechamento])</f>
        <v>0.12</v>
      </c>
      <c r="BA71" s="1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customHeight="1">
      <c r="A72" s="4" t="s">
        <v>288</v>
      </c>
      <c r="B72" s="57" t="s">
        <v>700</v>
      </c>
      <c r="C72" s="15" t="str">
        <f>LEFT([PAPEL],LEN([PAPEL])-(LEN([PAPEL])-4))</f>
        <v>JBDU</v>
      </c>
      <c r="D72" s="15">
        <v>4</v>
      </c>
      <c r="E72" s="6">
        <v>96610827.730000004</v>
      </c>
      <c r="F72" s="8">
        <v>185823480</v>
      </c>
      <c r="G72" s="85">
        <v>0.25</v>
      </c>
      <c r="H72" s="15"/>
      <c r="I72" s="19"/>
      <c r="J72" s="19"/>
      <c r="K72" s="87"/>
      <c r="L72" s="87"/>
      <c r="M72" s="55"/>
      <c r="N72" s="55"/>
      <c r="O72" s="55"/>
      <c r="P72" s="91">
        <v>42441000</v>
      </c>
      <c r="Q72" s="92">
        <v>2353000</v>
      </c>
      <c r="R72" s="92">
        <f>IF(Tabela3[[#This Row],[Ativo || Passivo]]&gt;0,Tabela3[[#This Row],[Ativo || Passivo]]-Tabela3[[#This Row],[Patrimônio Líquido]],0)</f>
        <v>0</v>
      </c>
      <c r="S72" s="92">
        <f>Tabela3[[#This Row],[Cotação]]*Tabela3[[#This Row],[Total Ações]]</f>
        <v>36236005</v>
      </c>
      <c r="T72" s="40">
        <f>IF(Tabela3[[#This Row],[Passivo Circulante]]&gt;0,Tabela3[[#This Row],[Ativo Circulante]]/Tabela3[[#This Row],[Passivo Circulante]],0)</f>
        <v>0</v>
      </c>
      <c r="U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2" s="19">
        <f>IF(Tabela3[[#This Row],[Lucro Líquido]]&gt;0,Tabela3[[#This Row],[Lucro Líquido]]/Tabela3[[#This Row],[Patrimônio Líquido]],0)/Tabela3[[#This Row],[Ref]]*4</f>
        <v>5.5441671968144014E-2</v>
      </c>
      <c r="W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2" s="19">
        <f>IF(Tabela3[[#This Row],[Dívida]]&gt;0,Tabela3[[#This Row],[Dívida]]/Tabela3[[#This Row],[Patrimônio Líquido]],0)</f>
        <v>0</v>
      </c>
      <c r="Y72" s="19">
        <f>SUMPRODUCT(N([Dívida / PL]&gt;0),N(RIGHT([PAPEL],LEN([PAPEL])-(LEN([PAPEL])-1))="3"),[Dívida / PL])/SUMPRODUCT(N([Dívida / PL]&gt;0),N(RIGHT([PAPEL],LEN([PAPEL])-(LEN([PAPEL])-1))="3"))</f>
        <v>2.2435702141443779</v>
      </c>
      <c r="Z72" s="13">
        <f>Tabela3[[#This Row],[Capital Social]]*20%</f>
        <v>19322165.546</v>
      </c>
      <c r="AA72" s="13">
        <f>IF(([Lucro Líquido]*5%)&gt;[Teto R. Legal],[Teto R. Legal],[Lucro Líquido]*5%)</f>
        <v>117650</v>
      </c>
      <c r="AB72" s="13">
        <f>IF([Lucro Líquido]&lt;0,0,[Lucro Líquido]-[Reserva Legal])</f>
        <v>2235350</v>
      </c>
      <c r="AC72" s="13">
        <f>Tabela3[[#This Row],[Lucro Distribuir]]*[%Div]</f>
        <v>558837.5</v>
      </c>
      <c r="AD72" s="21">
        <f>SUMPRODUCT(N([Nome]=Tabela3[[#This Row],[Nome]]),[Ações])</f>
        <v>278738500</v>
      </c>
      <c r="AE72" s="6">
        <f>[Capital Social]/[Total Ações]</f>
        <v>0.34660022827847609</v>
      </c>
      <c r="AF72" s="77">
        <f>Tabela3[[#This Row],[Lucro Líquido]]/Tabela3[[#This Row],[Total Ações]]</f>
        <v>8.4416038688591641E-3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72" s="13">
        <f>[Div Base]*[Ações]</f>
        <v>372553.94932705746</v>
      </c>
      <c r="AL72" s="13">
        <f>SUMPRODUCT(N([Nome]=Tabela3[[#This Row],[Nome]]),[Div Base]*[Ações])</f>
        <v>558837.5</v>
      </c>
      <c r="AM72" s="6">
        <f>[Patrimônio Líquido]/[Total Ações]</f>
        <v>0.1522609901395035</v>
      </c>
      <c r="AN72" s="48">
        <f>MAX(Tabela3[[#This Row],[Cotação 1]:[Cotação 5]])</f>
        <v>0.13</v>
      </c>
      <c r="AO72" s="44">
        <f>[Cotação]/[VPA]</f>
        <v>0.85379715369571885</v>
      </c>
      <c r="AP72" s="40">
        <f>IF(Tabela3[[#This Row],[Lucro/Ação]]&gt;0,Tabela3[[#This Row],[Cotação]]/(Tabela3[[#This Row],[Lucro/Ação]]/[Ref]*4),0)</f>
        <v>15.399917127071824</v>
      </c>
      <c r="AQ72" s="77">
        <f>[Lucro Distribuir]/[Total Ações]</f>
        <v>8.0195236754162062E-3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72" s="14" t="str">
        <f>IF(AND([% A.A.]&gt;=5%,SUMPRODUCT(N([Nome]=Tabela3[[#This Row],[Nome]]),[PL])&gt;0,[Rentabilidade s/ PL]&gt;=[Rentabilidade s/ PL Média]),"Sim","Não")</f>
        <v>Não</v>
      </c>
      <c r="AT72" s="42">
        <f>IF([Cotação]&gt;0,Tabela3[[#This Row],[Lucro]]/Tabela3[[#This Row],[Cotação]],0)</f>
        <v>1.5422160914261934E-2</v>
      </c>
      <c r="AU72" s="42">
        <f>((1+Tabela3[[#This Row],[% Yield]])^(1/(3*Tabela3[[#This Row],[Ref]])))^(12)-1</f>
        <v>1.542216091426174E-2</v>
      </c>
      <c r="AV72" s="14">
        <f>IF([Cotação]&gt;0,($BH$1/Tabela3[[#This Row],[Cotação]]-MOD($BH$1/Tabela3[[#This Row],[Cotação]],100)),)</f>
        <v>5900</v>
      </c>
      <c r="AW72" s="17">
        <f>Tabela3[[#This Row],[Ativos]]*[Lucro]</f>
        <v>11.828797421238905</v>
      </c>
      <c r="AX72" s="17">
        <f>SUMPRODUCT(N(Tabela1[Código]=Tabela3[[#This Row],[PAPEL]]),Tabela1[Fechamento])</f>
        <v>0</v>
      </c>
      <c r="AY72" s="17">
        <f>SUMPRODUCT(N(Tabela17[Código]=Tabela3[[#This Row],[PAPEL]]),Tabela17[Fechamento])</f>
        <v>0</v>
      </c>
      <c r="AZ72" s="17">
        <f>SUMPRODUCT(N(Tabela176[Código]=Tabela3[[#This Row],[PAPEL]]),Tabela176[Fechamento])</f>
        <v>0.13</v>
      </c>
      <c r="BA72" s="1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>
      <c r="A73" s="4" t="s">
        <v>277</v>
      </c>
      <c r="B73" s="57" t="s">
        <v>513</v>
      </c>
      <c r="C73" s="15" t="str">
        <f>LEFT([PAPEL],LEN([PAPEL])-(LEN([PAPEL])-4))</f>
        <v>INET</v>
      </c>
      <c r="D73" s="15">
        <v>3</v>
      </c>
      <c r="E73" s="6">
        <v>235691425.78</v>
      </c>
      <c r="F73" s="8">
        <v>313484914</v>
      </c>
      <c r="G73" s="85">
        <v>0.25</v>
      </c>
      <c r="H73" s="19"/>
      <c r="I73" s="19"/>
      <c r="J73" s="19"/>
      <c r="K73" s="87"/>
      <c r="L73" s="87"/>
      <c r="M73" s="55"/>
      <c r="N73" s="55"/>
      <c r="O73" s="55"/>
      <c r="P73" s="91">
        <v>-24474000</v>
      </c>
      <c r="Q73" s="92">
        <v>-1152000</v>
      </c>
      <c r="R73" s="92">
        <f>IF(Tabela3[[#This Row],[Ativo || Passivo]]&gt;0,Tabela3[[#This Row],[Ativo || Passivo]]-Tabela3[[#This Row],[Patrimônio Líquido]],0)</f>
        <v>0</v>
      </c>
      <c r="S73" s="92">
        <f>Tabela3[[#This Row],[Cotação]]*Tabela3[[#This Row],[Total Ações]]</f>
        <v>43887887.960000001</v>
      </c>
      <c r="T73" s="40">
        <f>IF(Tabela3[[#This Row],[Passivo Circulante]]&gt;0,Tabela3[[#This Row],[Ativo Circulante]]/Tabela3[[#This Row],[Passivo Circulante]],0)</f>
        <v>0</v>
      </c>
      <c r="U7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3" s="19">
        <f>IF(Tabela3[[#This Row],[Lucro Líquido]]&gt;0,Tabela3[[#This Row],[Lucro Líquido]]/Tabela3[[#This Row],[Patrimônio Líquido]],0)/Tabela3[[#This Row],[Ref]]*4</f>
        <v>0</v>
      </c>
      <c r="W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3" s="19">
        <f>IF(Tabela3[[#This Row],[Dívida]]&gt;0,Tabela3[[#This Row],[Dívida]]/Tabela3[[#This Row],[Patrimônio Líquido]],0)</f>
        <v>0</v>
      </c>
      <c r="Y73" s="19">
        <f>SUMPRODUCT(N([Dívida / PL]&gt;0),N(RIGHT([PAPEL],LEN([PAPEL])-(LEN([PAPEL])-1))="3"),[Dívida / PL])/SUMPRODUCT(N([Dívida / PL]&gt;0),N(RIGHT([PAPEL],LEN([PAPEL])-(LEN([PAPEL])-1))="3"))</f>
        <v>2.2435702141443779</v>
      </c>
      <c r="Z73" s="13">
        <f>Tabela3[[#This Row],[Capital Social]]*20%</f>
        <v>47138285.156000003</v>
      </c>
      <c r="AA73" s="13">
        <f>IF(([Lucro Líquido]*5%)&gt;[Teto R. Legal],[Teto R. Legal],[Lucro Líquido]*5%)</f>
        <v>-57600</v>
      </c>
      <c r="AB73" s="13">
        <f>IF([Lucro Líquido]&lt;0,0,[Lucro Líquido]-[Reserva Legal])</f>
        <v>0</v>
      </c>
      <c r="AC73" s="13">
        <f>Tabela3[[#This Row],[Lucro Distribuir]]*[%Div]</f>
        <v>0</v>
      </c>
      <c r="AD73" s="56">
        <f>SUMPRODUCT(N([Nome]=Tabela3[[#This Row],[Nome]]),[Ações])</f>
        <v>313484914</v>
      </c>
      <c r="AE73" s="6">
        <f>[Capital Social]/[Total Ações]</f>
        <v>0.75184296039202703</v>
      </c>
      <c r="AF73" s="77">
        <f>Tabela3[[#This Row],[Lucro Líquido]]/Tabela3[[#This Row],[Total Ações]]</f>
        <v>-3.6748179850211228E-3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3" s="13">
        <f>[Div Base]*[Ações]</f>
        <v>0</v>
      </c>
      <c r="AL73" s="13">
        <f>SUMPRODUCT(N([Nome]=Tabela3[[#This Row],[Nome]]),[Div Base]*[Ações])</f>
        <v>0</v>
      </c>
      <c r="AM73" s="6">
        <f>[Patrimônio Líquido]/[Total Ações]</f>
        <v>-7.8070742504693549E-2</v>
      </c>
      <c r="AN73" s="48">
        <f>MAX(Tabela3[[#This Row],[Cotação 1]:[Cotação 5]])</f>
        <v>0.14000000000000001</v>
      </c>
      <c r="AO73" s="44">
        <f>[Cotação]/[VPA]</f>
        <v>-1.7932454016507313</v>
      </c>
      <c r="AP73" s="40">
        <f>IF(Tabela3[[#This Row],[Lucro/Ação]]&gt;0,Tabela3[[#This Row],[Cotação]]/(Tabela3[[#This Row],[Lucro/Ação]]/[Ref]*4),0)</f>
        <v>0</v>
      </c>
      <c r="AQ73" s="77">
        <f>[Lucro Distribuir]/[Total Ações]</f>
        <v>0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3" s="14" t="str">
        <f>IF(AND([% A.A.]&gt;=5%,SUMPRODUCT(N([Nome]=Tabela3[[#This Row],[Nome]]),[PL])&gt;0,[Rentabilidade s/ PL]&gt;=[Rentabilidade s/ PL Média]),"Sim","Não")</f>
        <v>Não</v>
      </c>
      <c r="AT73" s="42">
        <f>IF([Cotação]&gt;0,Tabela3[[#This Row],[Lucro]]/Tabela3[[#This Row],[Cotação]],0)</f>
        <v>0</v>
      </c>
      <c r="AU73" s="42">
        <f>((1+Tabela3[[#This Row],[% Yield]])^(1/(3*Tabela3[[#This Row],[Ref]])))^(12)-1</f>
        <v>0</v>
      </c>
      <c r="AV73" s="14">
        <f>IF([Cotação]&gt;0,($BH$1/Tabela3[[#This Row],[Cotação]]-MOD($BH$1/Tabela3[[#This Row],[Cotação]],100)),)</f>
        <v>5500</v>
      </c>
      <c r="AW73" s="17">
        <f>Tabela3[[#This Row],[Ativos]]*[Lucro]</f>
        <v>0</v>
      </c>
      <c r="AX73" s="17">
        <f>SUMPRODUCT(N(Tabela1[Código]=Tabela3[[#This Row],[PAPEL]]),Tabela1[Fechamento])</f>
        <v>0</v>
      </c>
      <c r="AY73" s="17">
        <f>SUMPRODUCT(N(Tabela17[Código]=Tabela3[[#This Row],[PAPEL]]),Tabela17[Fechamento])</f>
        <v>0.14000000000000001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>
      <c r="A74" s="3" t="s">
        <v>829</v>
      </c>
      <c r="B74" s="58" t="s">
        <v>831</v>
      </c>
      <c r="C74" s="16" t="str">
        <f>LEFT([PAPEL],LEN([PAPEL])-(LEN([PAPEL])-4))</f>
        <v>RNAR</v>
      </c>
      <c r="D74" s="16">
        <v>3</v>
      </c>
      <c r="E74" s="5">
        <v>126986000</v>
      </c>
      <c r="F74" s="56">
        <v>151875000</v>
      </c>
      <c r="G74" s="80">
        <v>0.3</v>
      </c>
      <c r="H74" s="86"/>
      <c r="J74" s="18"/>
      <c r="K74" s="16"/>
      <c r="L74" s="86"/>
      <c r="M74" s="54"/>
      <c r="N74" s="54"/>
      <c r="O74" s="54"/>
      <c r="P74" s="90">
        <v>34621000</v>
      </c>
      <c r="Q74" s="73">
        <v>3617000</v>
      </c>
      <c r="R74" s="73">
        <f>IF(Tabela3[[#This Row],[Ativo || Passivo]]&gt;0,Tabela3[[#This Row],[Ativo || Passivo]]-Tabela3[[#This Row],[Patrimônio Líquido]],0)</f>
        <v>0</v>
      </c>
      <c r="S74" s="73">
        <f>Tabela3[[#This Row],[Cotação]]*Tabela3[[#This Row],[Total Ações]]</f>
        <v>24300000</v>
      </c>
      <c r="T74" s="37">
        <f>IF(Tabela3[[#This Row],[Passivo Circulante]]&gt;0,Tabela3[[#This Row],[Ativo Circulante]]/Tabela3[[#This Row],[Passivo Circulante]],0)</f>
        <v>0</v>
      </c>
      <c r="U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4" s="18">
        <f>IF(Tabela3[[#This Row],[Lucro Líquido]]&gt;0,Tabela3[[#This Row],[Lucro Líquido]]/Tabela3[[#This Row],[Patrimônio Líquido]],0)/Tabela3[[#This Row],[Ref]]*4</f>
        <v>0.13929888410694857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4" s="18">
        <f>IF(Tabela3[[#This Row],[Dívida]]&gt;0,Tabela3[[#This Row],[Dívida]]/Tabela3[[#This Row],[Patrimônio Líquido]],0)</f>
        <v>0</v>
      </c>
      <c r="Y74" s="18">
        <f>SUMPRODUCT(N([Dívida / PL]&gt;0),N(RIGHT([PAPEL],LEN([PAPEL])-(LEN([PAPEL])-1))="3"),[Dívida / PL])/SUMPRODUCT(N([Dívida / PL]&gt;0),N(RIGHT([PAPEL],LEN([PAPEL])-(LEN([PAPEL])-1))="3"))</f>
        <v>2.2435702141443779</v>
      </c>
      <c r="Z74" s="7">
        <f>Tabela3[[#This Row],[Capital Social]]*20%</f>
        <v>25397200</v>
      </c>
      <c r="AA74" s="47">
        <f>IF(([Lucro Líquido]*5%)&gt;[Teto R. Legal],[Teto R. Legal],[Lucro Líquido]*5%)</f>
        <v>180850</v>
      </c>
      <c r="AB74" s="47">
        <f>IF([Lucro Líquido]&lt;0,0,[Lucro Líquido]-[Reserva Legal])</f>
        <v>3436150</v>
      </c>
      <c r="AC74" s="47">
        <f>Tabela3[[#This Row],[Lucro Distribuir]]*[%Div]</f>
        <v>1030845</v>
      </c>
      <c r="AD74" s="56">
        <f>SUMPRODUCT(N([Nome]=Tabela3[[#This Row],[Nome]]),[Ações])</f>
        <v>151875000</v>
      </c>
      <c r="AE74" s="84">
        <f>[Capital Social]/[Total Ações]</f>
        <v>0.83612181069958846</v>
      </c>
      <c r="AF74" s="84">
        <f>Tabela3[[#This Row],[Lucro Líquido]]/Tabela3[[#This Row],[Total Ações]]</f>
        <v>2.3815637860082305E-2</v>
      </c>
      <c r="AG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6.787456790123457E-3</v>
      </c>
      <c r="AH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6.787456790123457E-3</v>
      </c>
      <c r="AK74" s="7">
        <f>[Div Base]*[Ações]</f>
        <v>1030845</v>
      </c>
      <c r="AL74" s="7">
        <f>SUMPRODUCT(N([Nome]=Tabela3[[#This Row],[Nome]]),[Div Base]*[Ações])</f>
        <v>1030845</v>
      </c>
      <c r="AM74" s="5">
        <f>[Patrimônio Líquido]/[Total Ações]</f>
        <v>0.22795720164609054</v>
      </c>
      <c r="AN74" s="52">
        <f>MAX(Tabela3[[#This Row],[Cotação 1]:[Cotação 5]])</f>
        <v>0.16</v>
      </c>
      <c r="AO74" s="53">
        <f>[Cotação]/[VPA]</f>
        <v>0.70188613847087022</v>
      </c>
      <c r="AP74" s="37">
        <f>IF(Tabela3[[#This Row],[Lucro/Ação]]&gt;0,Tabela3[[#This Row],[Cotação]]/(Tabela3[[#This Row],[Lucro/Ação]]/[Ref]*4),0)</f>
        <v>5.0387061100359407</v>
      </c>
      <c r="AQ74" s="84">
        <f>[Lucro Distribuir]/[Total Ações]</f>
        <v>2.2624855967078188E-2</v>
      </c>
      <c r="AR74" s="84">
        <f>IF([Unit ON]&gt;0,SUMPRODUCT(N([Nome]=Tabela3[[#This Row],[Nome]]),N(RIGHT([PAPEL],1)="3"),[Div Base])*[Unit ON]+SUMPRODUCT(N([Nome]=Tabela3[[#This Row],[Nome]]),N(RIGHT([PAPEL],1)="4"),[Div Base])*[Unit PN],[Div Base])</f>
        <v>6.787456790123457E-3</v>
      </c>
      <c r="AS74" s="10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4.2421604938271608E-2</v>
      </c>
      <c r="AU74" s="22">
        <f>((1+Tabela3[[#This Row],[% Yield]])^(1/(3*Tabela3[[#This Row],[Ref]])))^(12)-1</f>
        <v>5.6958344587766163E-2</v>
      </c>
      <c r="AV74" s="10">
        <f>IF([Cotação]&gt;0,($BH$1/Tabela3[[#This Row],[Cotação]]-MOD($BH$1/Tabela3[[#This Row],[Cotação]],100)),)</f>
        <v>4800</v>
      </c>
      <c r="AW74" s="7">
        <f>Tabela3[[#This Row],[Ativos]]*[Lucro]</f>
        <v>32.579792592592597</v>
      </c>
      <c r="AX74" s="7">
        <f>SUMPRODUCT(N(Tabela1[Código]=Tabela3[[#This Row],[PAPEL]]),Tabela1[Fechamento])</f>
        <v>0</v>
      </c>
      <c r="AY74" s="7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0.16</v>
      </c>
      <c r="BB74" s="7">
        <f>SUMPRODUCT(N(Tabela17683[Código]=Tabela3[[#This Row],[PAPEL]]),Tabela17683[Fechamento])</f>
        <v>0</v>
      </c>
    </row>
    <row r="75" spans="1:54">
      <c r="A75" s="4" t="s">
        <v>622</v>
      </c>
      <c r="B75" s="57" t="s">
        <v>619</v>
      </c>
      <c r="C75" s="15" t="str">
        <f>LEFT([PAPEL],LEN([PAPEL])-(LEN([PAPEL])-4))</f>
        <v>TIBR</v>
      </c>
      <c r="D75" s="15">
        <v>3</v>
      </c>
      <c r="E75" s="6">
        <v>162504983.90000001</v>
      </c>
      <c r="F75" s="8">
        <v>812671800</v>
      </c>
      <c r="G75" s="85">
        <v>0.25</v>
      </c>
      <c r="H75" s="15"/>
      <c r="I75" s="19"/>
      <c r="J75" s="19"/>
      <c r="K75" s="87"/>
      <c r="L75" s="87"/>
      <c r="M75" s="55"/>
      <c r="N75" s="55"/>
      <c r="O75" s="55"/>
      <c r="P75" s="91">
        <v>392415000</v>
      </c>
      <c r="Q75" s="92">
        <v>-19960000</v>
      </c>
      <c r="R75" s="92">
        <f>IF(Tabela3[[#This Row],[Ativo || Passivo]]&gt;0,Tabela3[[#This Row],[Ativo || Passivo]]-Tabela3[[#This Row],[Patrimônio Líquido]],0)</f>
        <v>0</v>
      </c>
      <c r="S75" s="92">
        <f>Tabela3[[#This Row],[Cotação]]*Tabela3[[#This Row],[Total Ações]]</f>
        <v>417869928</v>
      </c>
      <c r="T75" s="40">
        <f>IF(Tabela3[[#This Row],[Passivo Circulante]]&gt;0,Tabela3[[#This Row],[Ativo Circulante]]/Tabela3[[#This Row],[Passivo Circulante]],0)</f>
        <v>0</v>
      </c>
      <c r="U7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5" s="19">
        <f>IF(Tabela3[[#This Row],[Lucro Líquido]]&gt;0,Tabela3[[#This Row],[Lucro Líquido]]/Tabela3[[#This Row],[Patrimônio Líquido]],0)/Tabela3[[#This Row],[Ref]]*4</f>
        <v>0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5" s="19">
        <f>IF(Tabela3[[#This Row],[Dívida]]&gt;0,Tabela3[[#This Row],[Dívida]]/Tabela3[[#This Row],[Patrimônio Líquido]],0)</f>
        <v>0</v>
      </c>
      <c r="Y75" s="19">
        <f>SUMPRODUCT(N([Dívida / PL]&gt;0),N(RIGHT([PAPEL],LEN([PAPEL])-(LEN([PAPEL])-1))="3"),[Dívida / PL])/SUMPRODUCT(N([Dívida / PL]&gt;0),N(RIGHT([PAPEL],LEN([PAPEL])-(LEN([PAPEL])-1))="3"))</f>
        <v>2.2435702141443779</v>
      </c>
      <c r="Z75" s="13">
        <f>Tabela3[[#This Row],[Capital Social]]*20%</f>
        <v>32500996.780000001</v>
      </c>
      <c r="AA75" s="13">
        <f>IF(([Lucro Líquido]*5%)&gt;[Teto R. Legal],[Teto R. Legal],[Lucro Líquido]*5%)</f>
        <v>-998000</v>
      </c>
      <c r="AB75" s="13">
        <f>IF([Lucro Líquido]&lt;0,0,[Lucro Líquido]-[Reserva Legal])</f>
        <v>0</v>
      </c>
      <c r="AC75" s="13">
        <f>Tabela3[[#This Row],[Lucro Distribuir]]*[%Div]</f>
        <v>0</v>
      </c>
      <c r="AD75" s="56">
        <f>SUMPRODUCT(N([Nome]=Tabela3[[#This Row],[Nome]]),[Ações])</f>
        <v>2321499600</v>
      </c>
      <c r="AE75" s="6">
        <f>[Capital Social]/[Total Ações]</f>
        <v>7.0000005125997009E-2</v>
      </c>
      <c r="AF75" s="77">
        <f>Tabela3[[#This Row],[Lucro Líquido]]/Tabela3[[#This Row],[Total Ações]]</f>
        <v>-8.5978907771511147E-3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5" s="13">
        <f>[Div Base]*[Ações]</f>
        <v>0</v>
      </c>
      <c r="AL75" s="13">
        <f>SUMPRODUCT(N([Nome]=Tabela3[[#This Row],[Nome]]),[Div Base]*[Ações])</f>
        <v>0</v>
      </c>
      <c r="AM75" s="6">
        <f>[Patrimônio Líquido]/[Total Ações]</f>
        <v>0.16903513573726225</v>
      </c>
      <c r="AN75" s="48">
        <f>MAX(Tabela3[[#This Row],[Cotação 1]:[Cotação 5]])</f>
        <v>0.18</v>
      </c>
      <c r="AO75" s="44">
        <f>[Cotação]/[VPA]</f>
        <v>1.0648673674553724</v>
      </c>
      <c r="AP75" s="40">
        <f>IF(Tabela3[[#This Row],[Lucro/Ação]]&gt;0,Tabela3[[#This Row],[Cotação]]/(Tabela3[[#This Row],[Lucro/Ação]]/[Ref]*4),0)</f>
        <v>0</v>
      </c>
      <c r="AQ75" s="77">
        <f>[Lucro Distribuir]/[Total Ações]</f>
        <v>0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5" s="14" t="str">
        <f>IF(AND([% A.A.]&gt;=5%,SUMPRODUCT(N([Nome]=Tabela3[[#This Row],[Nome]]),[PL])&gt;0,[Rentabilidade s/ PL]&gt;=[Rentabilidade s/ PL Média]),"Sim","Não")</f>
        <v>Não</v>
      </c>
      <c r="AT75" s="42">
        <f>IF([Cotação]&gt;0,Tabela3[[#This Row],[Lucro]]/Tabela3[[#This Row],[Cotação]],0)</f>
        <v>0</v>
      </c>
      <c r="AU75" s="42">
        <f>((1+Tabela3[[#This Row],[% Yield]])^(1/(3*Tabela3[[#This Row],[Ref]])))^(12)-1</f>
        <v>0</v>
      </c>
      <c r="AV75" s="14">
        <f>IF([Cotação]&gt;0,($BH$1/Tabela3[[#This Row],[Cotação]]-MOD($BH$1/Tabela3[[#This Row],[Cotação]],100)),)</f>
        <v>4300</v>
      </c>
      <c r="AW75" s="17">
        <f>Tabela3[[#This Row],[Ativos]]*[Lucro]</f>
        <v>0</v>
      </c>
      <c r="AX75" s="17">
        <f>SUMPRODUCT(N(Tabela1[Código]=Tabela3[[#This Row],[PAPEL]]),Tabela1[Fechamento])</f>
        <v>0</v>
      </c>
      <c r="AY75" s="17">
        <f>SUMPRODUCT(N(Tabela17[Código]=Tabela3[[#This Row],[PAPEL]]),Tabela17[Fechamento])</f>
        <v>0</v>
      </c>
      <c r="AZ75" s="17">
        <f>SUMPRODUCT(N(Tabela176[Código]=Tabela3[[#This Row],[PAPEL]]),Tabela176[Fechamento])</f>
        <v>0.18</v>
      </c>
      <c r="BA75" s="1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>
      <c r="A76" s="3" t="s">
        <v>1019</v>
      </c>
      <c r="B76" s="57" t="s">
        <v>1053</v>
      </c>
      <c r="C76" s="16" t="str">
        <f>LEFT([PAPEL],LEN([PAPEL])-(LEN([PAPEL])-4))</f>
        <v>VIVR</v>
      </c>
      <c r="D76" s="16">
        <v>3</v>
      </c>
      <c r="E76" s="5">
        <v>1295915254.25</v>
      </c>
      <c r="F76" s="56">
        <v>335309452</v>
      </c>
      <c r="G76" s="80">
        <v>0.25</v>
      </c>
      <c r="H76" s="86"/>
      <c r="J76" s="18"/>
      <c r="K76" s="16"/>
      <c r="L76" s="86"/>
      <c r="M76" s="54"/>
      <c r="N76" s="54"/>
      <c r="O76" s="54"/>
      <c r="P76" s="90">
        <v>430386000</v>
      </c>
      <c r="Q76" s="73">
        <v>-158978000</v>
      </c>
      <c r="R76" s="73">
        <f>IF(Tabela3[[#This Row],[Ativo || Passivo]]&gt;0,Tabela3[[#This Row],[Ativo || Passivo]]-Tabela3[[#This Row],[Patrimônio Líquido]],0)</f>
        <v>0</v>
      </c>
      <c r="S76" s="73">
        <f>Tabela3[[#This Row],[Cotação]]*Tabela3[[#This Row],[Total Ações]]</f>
        <v>63708795.880000003</v>
      </c>
      <c r="T76" s="37">
        <f>IF(Tabela3[[#This Row],[Passivo Circulante]]&gt;0,Tabela3[[#This Row],[Ativo Circulante]]/Tabela3[[#This Row],[Passivo Circulante]],0)</f>
        <v>0</v>
      </c>
      <c r="U7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6" s="18">
        <f>IF(Tabela3[[#This Row],[Lucro Líquido]]&gt;0,Tabela3[[#This Row],[Lucro Líquido]]/Tabela3[[#This Row],[Patrimônio Líquido]],0)/Tabela3[[#This Row],[Ref]]*4</f>
        <v>0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6" s="18">
        <f>IF(Tabela3[[#This Row],[Dívida]]&gt;0,Tabela3[[#This Row],[Dívida]]/Tabela3[[#This Row],[Patrimônio Líquido]],0)</f>
        <v>0</v>
      </c>
      <c r="Y76" s="18">
        <f>SUMPRODUCT(N([Dívida / PL]&gt;0),N(RIGHT([PAPEL],LEN([PAPEL])-(LEN([PAPEL])-1))="3"),[Dívida / PL])/SUMPRODUCT(N([Dívida / PL]&gt;0),N(RIGHT([PAPEL],LEN([PAPEL])-(LEN([PAPEL])-1))="3"))</f>
        <v>2.2435702141443779</v>
      </c>
      <c r="Z76" s="7">
        <f>Tabela3[[#This Row],[Capital Social]]*20%</f>
        <v>259183050.85000002</v>
      </c>
      <c r="AA76" s="47">
        <f>IF(([Lucro Líquido]*5%)&gt;[Teto R. Legal],[Teto R. Legal],[Lucro Líquido]*5%)</f>
        <v>-7948900</v>
      </c>
      <c r="AB76" s="47">
        <f>IF([Lucro Líquido]&lt;0,0,[Lucro Líquido]-[Reserva Legal])</f>
        <v>0</v>
      </c>
      <c r="AC76" s="47">
        <f>Tabela3[[#This Row],[Lucro Distribuir]]*[%Div]</f>
        <v>0</v>
      </c>
      <c r="AD76" s="56">
        <f>SUMPRODUCT(N([Nome]=Tabela3[[#This Row],[Nome]]),[Ações])</f>
        <v>335309452</v>
      </c>
      <c r="AE76" s="84">
        <f>[Capital Social]/[Total Ações]</f>
        <v>3.8648336529743874</v>
      </c>
      <c r="AF76" s="84">
        <f>Tabela3[[#This Row],[Lucro Líquido]]/Tabela3[[#This Row],[Total Ações]]</f>
        <v>-0.47412322871232393</v>
      </c>
      <c r="AG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6" s="7">
        <f>[Div Base]*[Ações]</f>
        <v>0</v>
      </c>
      <c r="AL76" s="113">
        <f>SUMPRODUCT(N([Nome]=Tabela3[[#This Row],[Nome]]),[Div Base]*[Ações])</f>
        <v>0</v>
      </c>
      <c r="AM76" s="5">
        <f>[Patrimônio Líquido]/[Total Ações]</f>
        <v>1.2835486665612994</v>
      </c>
      <c r="AN76" s="52">
        <f>MAX(Tabela3[[#This Row],[Cotação 1]:[Cotação 5]])</f>
        <v>0.19</v>
      </c>
      <c r="AO76" s="53">
        <f>[Cotação]/[VPA]</f>
        <v>0.14802711026845669</v>
      </c>
      <c r="AP76" s="37">
        <f>IF(Tabela3[[#This Row],[Lucro/Ação]]&gt;0,Tabela3[[#This Row],[Cotação]]/(Tabela3[[#This Row],[Lucro/Ação]]/[Ref]*4),0)</f>
        <v>0</v>
      </c>
      <c r="AQ76" s="84">
        <f>[Lucro Distribuir]/[Total Ações]</f>
        <v>0</v>
      </c>
      <c r="AR7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6" s="10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0</v>
      </c>
      <c r="AU76" s="22">
        <f>((1+Tabela3[[#This Row],[% Yield]])^(1/(3*Tabela3[[#This Row],[Ref]])))^(12)-1</f>
        <v>0</v>
      </c>
      <c r="AV76" s="10">
        <f>IF([Cotação]&gt;0,($BH$1/Tabela3[[#This Row],[Cotação]]-MOD($BH$1/Tabela3[[#This Row],[Cotação]],100)),)</f>
        <v>4000</v>
      </c>
      <c r="AW76" s="7">
        <f>Tabela3[[#This Row],[Ativos]]*[Lucro]</f>
        <v>0</v>
      </c>
      <c r="AX76" s="7">
        <f>SUMPRODUCT(N(Tabela1[Código]=Tabela3[[#This Row],[PAPEL]]),Tabela1[Fechamento])</f>
        <v>0</v>
      </c>
      <c r="AY76" s="7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0.19</v>
      </c>
      <c r="BB76" s="7">
        <f>SUMPRODUCT(N(Tabela17683[Código]=Tabela3[[#This Row],[PAPEL]]),Tabela17683[Fechamento])</f>
        <v>0</v>
      </c>
    </row>
    <row r="77" spans="1:54" ht="11.25" customHeight="1">
      <c r="A77" s="4" t="s">
        <v>14</v>
      </c>
      <c r="B77" s="57" t="s">
        <v>61</v>
      </c>
      <c r="C77" s="14" t="str">
        <f>LEFT([PAPEL],LEN([PAPEL])-(LEN([PAPEL])-4))</f>
        <v>BMIN</v>
      </c>
      <c r="D77" s="15">
        <v>4</v>
      </c>
      <c r="E77" s="6">
        <v>29203000</v>
      </c>
      <c r="F77" s="8">
        <v>71014320</v>
      </c>
      <c r="G77" s="85">
        <v>0.25</v>
      </c>
      <c r="H77" s="15"/>
      <c r="I77" s="19">
        <v>7.0000000000000007E-2</v>
      </c>
      <c r="J77" s="19"/>
      <c r="K77" s="87"/>
      <c r="L77" s="87"/>
      <c r="M77" s="55">
        <v>101368000</v>
      </c>
      <c r="N77" s="55">
        <v>90252000</v>
      </c>
      <c r="O77" s="55">
        <v>24353000</v>
      </c>
      <c r="P77" s="6">
        <v>56653000</v>
      </c>
      <c r="Q77" s="6">
        <v>2123000</v>
      </c>
      <c r="R77" s="6">
        <f>IF(Tabela3[[#This Row],[Ativo || Passivo]]&gt;0,Tabela3[[#This Row],[Ativo || Passivo]]-Tabela3[[#This Row],[Patrimônio Líquido]],0)</f>
        <v>44715000</v>
      </c>
      <c r="S77" s="6">
        <f>Tabela3[[#This Row],[Cotação]]*Tabela3[[#This Row],[Total Ações]]</f>
        <v>38329200</v>
      </c>
      <c r="T77" s="121">
        <f>IF(Tabela3[[#This Row],[Passivo Circulante]]&gt;0,Tabela3[[#This Row],[Ativo Circulante]]/Tabela3[[#This Row],[Passivo Circulante]],0)</f>
        <v>3.7059910483308012</v>
      </c>
      <c r="U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7" s="19">
        <f>IF(Tabela3[[#This Row],[Lucro Líquido]]&gt;0,Tabela3[[#This Row],[Lucro Líquido]]/Tabela3[[#This Row],[Patrimônio Líquido]],0)/Tabela3[[#This Row],[Ref]]*4</f>
        <v>3.7473743667590417E-2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7" s="19">
        <f>IF(Tabela3[[#This Row],[Dívida]]&gt;0,Tabela3[[#This Row],[Dívida]]/Tabela3[[#This Row],[Patrimônio Líquido]],0)</f>
        <v>0.78927859071893813</v>
      </c>
      <c r="Y77" s="19">
        <f>SUMPRODUCT(N([Dívida / PL]&gt;0),N(RIGHT([PAPEL],LEN([PAPEL])-(LEN([PAPEL])-1))="3"),[Dívida / PL])/SUMPRODUCT(N([Dívida / PL]&gt;0),N(RIGHT([PAPEL],LEN([PAPEL])-(LEN([PAPEL])-1))="3"))</f>
        <v>2.2435702141443779</v>
      </c>
      <c r="Z77" s="6">
        <f>Tabela3[[#This Row],[Capital Social]]*20%</f>
        <v>5840600</v>
      </c>
      <c r="AA77" s="6">
        <f>IF(([Lucro Líquido]*5%)&gt;[Teto R. Legal],[Teto R. Legal],[Lucro Líquido]*5%)</f>
        <v>106150</v>
      </c>
      <c r="AB77" s="6">
        <f>IF([Lucro Líquido]&lt;0,0,[Lucro Líquido]-[Reserva Legal])</f>
        <v>2016850</v>
      </c>
      <c r="AC77" s="6">
        <f>Tabela3[[#This Row],[Lucro Distribuir]]*[%Div]</f>
        <v>504212.5</v>
      </c>
      <c r="AD77" s="21">
        <f>SUMPRODUCT(N([Nome]=Tabela3[[#This Row],[Nome]]),[Ações])</f>
        <v>182520000</v>
      </c>
      <c r="AE77" s="6">
        <f>[Capital Social]/[Total Ações]</f>
        <v>0.15999890422967347</v>
      </c>
      <c r="AF77" s="77">
        <f>Tabela3[[#This Row],[Lucro Líquido]]/Tabela3[[#This Row],[Total Ações]]</f>
        <v>1.16316020162174E-2</v>
      </c>
      <c r="AG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1.1199923296077144E-2</v>
      </c>
      <c r="AJ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1.1199923296077144E-2</v>
      </c>
      <c r="AK77" s="6">
        <f>[Div Base]*[Ações]</f>
        <v>795354.9369230771</v>
      </c>
      <c r="AL77" s="6">
        <f>SUMPRODUCT(N([Nome]=Tabela3[[#This Row],[Nome]]),[Div Base]*[Ações])</f>
        <v>795354.9369230771</v>
      </c>
      <c r="AM77" s="6">
        <f>[Patrimônio Líquido]/[Total Ações]</f>
        <v>0.31039338154722768</v>
      </c>
      <c r="AN77" s="48">
        <f>MAX(Tabela3[[#This Row],[Cotação 1]:[Cotação 5]])</f>
        <v>0.21</v>
      </c>
      <c r="AO77" s="44">
        <f>[Cotação]/[VPA]</f>
        <v>0.67656081760895281</v>
      </c>
      <c r="AP77" s="40">
        <f>IF(Tabela3[[#This Row],[Lucro/Ação]]&gt;0,Tabela3[[#This Row],[Cotação]]/(Tabela3[[#This Row],[Lucro/Ação]]/[Ref]*4),0)</f>
        <v>18.054262835609986</v>
      </c>
      <c r="AQ77" s="77">
        <f>[Lucro Distribuir]/[Total Ações]</f>
        <v>1.105002191540653E-2</v>
      </c>
      <c r="AR77" s="77">
        <f>IF([Unit ON]&gt;0,SUMPRODUCT(N([Nome]=Tabela3[[#This Row],[Nome]]),N(RIGHT([PAPEL],1)="3"),[Div Base])*[Unit ON]+SUMPRODUCT(N([Nome]=Tabela3[[#This Row],[Nome]]),N(RIGHT([PAPEL],1)="4"),[Div Base])*[Unit PN],[Div Base])</f>
        <v>1.1199923296077144E-2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5.3332968076557831E-2</v>
      </c>
      <c r="AU77" s="19">
        <f>((1+Tabela3[[#This Row],[% Yield]])^(1/(3*Tabela3[[#This Row],[Ref]])))^(12)-1</f>
        <v>5.3332968076558851E-2</v>
      </c>
      <c r="AV77" s="14">
        <f>IF([Cotação]&gt;0,($BH$1/Tabela3[[#This Row],[Cotação]]-MOD($BH$1/Tabela3[[#This Row],[Cotação]],100)),)</f>
        <v>3600</v>
      </c>
      <c r="AW77" s="17">
        <f>Tabela3[[#This Row],[Ativos]]*[Lucro]</f>
        <v>40.31972386587772</v>
      </c>
      <c r="AX77" s="5">
        <f>SUMPRODUCT(N(Tabela1[Código]=Tabela3[[#This Row],[PAPEL]]),Tabela1[Fechamento])</f>
        <v>0.21</v>
      </c>
      <c r="AY77" s="5">
        <f>SUMPRODUCT(N(Tabela17[Código]=Tabela3[[#This Row],[PAPEL]]),Tabela17[Fechamento])</f>
        <v>0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customHeight="1">
      <c r="A78" s="3" t="s">
        <v>893</v>
      </c>
      <c r="B78" s="58" t="s">
        <v>900</v>
      </c>
      <c r="C78" s="16" t="str">
        <f>LEFT([PAPEL],LEN([PAPEL])-(LEN([PAPEL])-4))</f>
        <v>ESTR</v>
      </c>
      <c r="D78" s="16">
        <v>3</v>
      </c>
      <c r="E78" s="5">
        <v>30602186.559999999</v>
      </c>
      <c r="F78" s="56">
        <v>10777985</v>
      </c>
      <c r="G78" s="80">
        <v>0.25</v>
      </c>
      <c r="H78" s="86"/>
      <c r="I78" s="18">
        <v>0.06</v>
      </c>
      <c r="J78" s="18"/>
      <c r="K78" s="16"/>
      <c r="L78" s="86"/>
      <c r="M78" s="54"/>
      <c r="N78" s="54"/>
      <c r="O78" s="54"/>
      <c r="P78" s="90">
        <v>-246948000</v>
      </c>
      <c r="Q78" s="73">
        <v>-23685000</v>
      </c>
      <c r="R78" s="73">
        <f>IF(Tabela3[[#This Row],[Ativo || Passivo]]&gt;0,Tabela3[[#This Row],[Ativo || Passivo]]-Tabela3[[#This Row],[Patrimônio Líquido]],0)</f>
        <v>0</v>
      </c>
      <c r="S78" s="73">
        <f>Tabela3[[#This Row],[Cotação]]*Tabela3[[#This Row],[Total Ações]]</f>
        <v>3395065.8</v>
      </c>
      <c r="T78" s="37">
        <f>IF(Tabela3[[#This Row],[Passivo Circulante]]&gt;0,Tabela3[[#This Row],[Ativo Circulante]]/Tabela3[[#This Row],[Passivo Circulante]],0)</f>
        <v>0</v>
      </c>
      <c r="U7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8" s="18">
        <f>IF(Tabela3[[#This Row],[Lucro Líquido]]&gt;0,Tabela3[[#This Row],[Lucro Líquido]]/Tabela3[[#This Row],[Patrimônio Líquido]],0)/Tabela3[[#This Row],[Ref]]*4</f>
        <v>0</v>
      </c>
      <c r="W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8" s="18">
        <f>IF(Tabela3[[#This Row],[Dívida]]&gt;0,Tabela3[[#This Row],[Dívida]]/Tabela3[[#This Row],[Patrimônio Líquido]],0)</f>
        <v>0</v>
      </c>
      <c r="Y78" s="18">
        <f>SUMPRODUCT(N([Dívida / PL]&gt;0),N(RIGHT([PAPEL],LEN([PAPEL])-(LEN([PAPEL])-1))="3"),[Dívida / PL])/SUMPRODUCT(N([Dívida / PL]&gt;0),N(RIGHT([PAPEL],LEN([PAPEL])-(LEN([PAPEL])-1))="3"))</f>
        <v>2.2435702141443779</v>
      </c>
      <c r="Z78" s="7">
        <f>Tabela3[[#This Row],[Capital Social]]*20%</f>
        <v>6120437.3119999999</v>
      </c>
      <c r="AA78" s="47">
        <f>IF(([Lucro Líquido]*5%)&gt;[Teto R. Legal],[Teto R. Legal],[Lucro Líquido]*5%)</f>
        <v>-1184250</v>
      </c>
      <c r="AB78" s="47">
        <f>IF([Lucro Líquido]&lt;0,0,[Lucro Líquido]-[Reserva Legal])</f>
        <v>0</v>
      </c>
      <c r="AC78" s="47">
        <f>Tabela3[[#This Row],[Lucro Distribuir]]*[%Div]</f>
        <v>0</v>
      </c>
      <c r="AD78" s="56">
        <f>SUMPRODUCT(N([Nome]=Tabela3[[#This Row],[Nome]]),[Ações])</f>
        <v>16166980</v>
      </c>
      <c r="AE78" s="84">
        <f>[Capital Social]/[Total Ações]</f>
        <v>1.892882069502158</v>
      </c>
      <c r="AF78" s="84">
        <f>Tabela3[[#This Row],[Lucro Líquido]]/Tabela3[[#This Row],[Total Ações]]</f>
        <v>-1.4650231521285979</v>
      </c>
      <c r="AG7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7">
        <f>[Div Base]*[Ações]</f>
        <v>0</v>
      </c>
      <c r="AL78" s="7">
        <f>SUMPRODUCT(N([Nome]=Tabela3[[#This Row],[Nome]]),[Div Base]*[Ações])</f>
        <v>0</v>
      </c>
      <c r="AM78" s="5">
        <f>[Patrimônio Líquido]/[Total Ações]</f>
        <v>-15.274837972212497</v>
      </c>
      <c r="AN78" s="52">
        <f>MAX(Tabela3[[#This Row],[Cotação 1]:[Cotação 5]])</f>
        <v>0.21</v>
      </c>
      <c r="AO78" s="53">
        <f>[Cotação]/[VPA]</f>
        <v>-1.3748100004859322E-2</v>
      </c>
      <c r="AP78" s="37">
        <f>IF(Tabela3[[#This Row],[Lucro/Ação]]&gt;0,Tabela3[[#This Row],[Cotação]]/(Tabela3[[#This Row],[Lucro/Ação]]/[Ref]*4),0)</f>
        <v>0</v>
      </c>
      <c r="AQ78" s="84">
        <f>[Lucro Distribuir]/[Total Ações]</f>
        <v>0</v>
      </c>
      <c r="AR7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0" t="str">
        <f>IF(AND([% A.A.]&gt;=5%,SUMPRODUCT(N([Nome]=Tabela3[[#This Row],[Nome]]),[PL])&gt;0,[Rentabilidade s/ PL]&gt;=[Rentabilidade s/ PL Média]),"Sim","Não")</f>
        <v>Não</v>
      </c>
      <c r="AT78" s="22">
        <f>IF([Cotação]&gt;0,Tabela3[[#This Row],[Lucro]]/Tabela3[[#This Row],[Cotação]],0)</f>
        <v>0</v>
      </c>
      <c r="AU78" s="22">
        <f>((1+Tabela3[[#This Row],[% Yield]])^(1/(3*Tabela3[[#This Row],[Ref]])))^(12)-1</f>
        <v>0</v>
      </c>
      <c r="AV78" s="10">
        <f>IF([Cotação]&gt;0,($BH$1/Tabela3[[#This Row],[Cotação]]-MOD($BH$1/Tabela3[[#This Row],[Cotação]],100)),)</f>
        <v>3600</v>
      </c>
      <c r="AW78" s="7">
        <f>Tabela3[[#This Row],[Ativos]]*[Lucro]</f>
        <v>0</v>
      </c>
      <c r="AX78" s="7">
        <f>SUMPRODUCT(N(Tabela1[Código]=Tabela3[[#This Row],[PAPEL]]),Tabela1[Fechamento])</f>
        <v>0</v>
      </c>
      <c r="AY78" s="7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0.21</v>
      </c>
      <c r="BB78" s="7">
        <f>SUMPRODUCT(N(Tabela17683[Código]=Tabela3[[#This Row],[PAPEL]]),Tabela17683[Fechamento])</f>
        <v>0</v>
      </c>
    </row>
    <row r="79" spans="1:54">
      <c r="A79" s="4" t="s">
        <v>622</v>
      </c>
      <c r="B79" s="57" t="s">
        <v>620</v>
      </c>
      <c r="C79" s="15" t="str">
        <f>LEFT([PAPEL],LEN([PAPEL])-(LEN([PAPEL])-4))</f>
        <v>TIBR</v>
      </c>
      <c r="D79" s="15">
        <v>3</v>
      </c>
      <c r="E79" s="6">
        <v>162504983.90000001</v>
      </c>
      <c r="F79" s="8">
        <v>987379000</v>
      </c>
      <c r="G79" s="85">
        <v>0.25</v>
      </c>
      <c r="H79" s="15"/>
      <c r="I79" s="19">
        <v>0.06</v>
      </c>
      <c r="J79" s="19"/>
      <c r="K79" s="87"/>
      <c r="L79" s="87"/>
      <c r="M79" s="55"/>
      <c r="N79" s="55"/>
      <c r="O79" s="55"/>
      <c r="P79" s="91">
        <v>392415000</v>
      </c>
      <c r="Q79" s="92">
        <v>-19960000</v>
      </c>
      <c r="R79" s="92">
        <f>IF(Tabela3[[#This Row],[Ativo || Passivo]]&gt;0,Tabela3[[#This Row],[Ativo || Passivo]]-Tabela3[[#This Row],[Patrimônio Líquido]],0)</f>
        <v>0</v>
      </c>
      <c r="S79" s="92">
        <f>Tabela3[[#This Row],[Cotação]]*Tabela3[[#This Row],[Total Ações]]</f>
        <v>557159904</v>
      </c>
      <c r="T79" s="40">
        <f>IF(Tabela3[[#This Row],[Passivo Circulante]]&gt;0,Tabela3[[#This Row],[Ativo Circulante]]/Tabela3[[#This Row],[Passivo Circulante]],0)</f>
        <v>0</v>
      </c>
      <c r="U7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79" s="19">
        <f>IF(Tabela3[[#This Row],[Lucro Líquido]]&gt;0,Tabela3[[#This Row],[Lucro Líquido]]/Tabela3[[#This Row],[Patrimônio Líquido]],0)/Tabela3[[#This Row],[Ref]]*4</f>
        <v>0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79" s="19">
        <f>IF(Tabela3[[#This Row],[Dívida]]&gt;0,Tabela3[[#This Row],[Dívida]]/Tabela3[[#This Row],[Patrimônio Líquido]],0)</f>
        <v>0</v>
      </c>
      <c r="Y79" s="19">
        <f>SUMPRODUCT(N([Dívida / PL]&gt;0),N(RIGHT([PAPEL],LEN([PAPEL])-(LEN([PAPEL])-1))="3"),[Dívida / PL])/SUMPRODUCT(N([Dívida / PL]&gt;0),N(RIGHT([PAPEL],LEN([PAPEL])-(LEN([PAPEL])-1))="3"))</f>
        <v>2.2435702141443779</v>
      </c>
      <c r="Z79" s="13">
        <f>Tabela3[[#This Row],[Capital Social]]*20%</f>
        <v>32500996.780000001</v>
      </c>
      <c r="AA79" s="13">
        <f>IF(([Lucro Líquido]*5%)&gt;[Teto R. Legal],[Teto R. Legal],[Lucro Líquido]*5%)</f>
        <v>-998000</v>
      </c>
      <c r="AB79" s="13">
        <f>IF([Lucro Líquido]&lt;0,0,[Lucro Líquido]-[Reserva Legal])</f>
        <v>0</v>
      </c>
      <c r="AC79" s="13">
        <f>Tabela3[[#This Row],[Lucro Distribuir]]*[%Div]</f>
        <v>0</v>
      </c>
      <c r="AD79" s="56">
        <f>SUMPRODUCT(N([Nome]=Tabela3[[#This Row],[Nome]]),[Ações])</f>
        <v>2321499600</v>
      </c>
      <c r="AE79" s="6">
        <f>[Capital Social]/[Total Ações]</f>
        <v>7.0000005125997009E-2</v>
      </c>
      <c r="AF79" s="77">
        <f>Tabela3[[#This Row],[Lucro Líquido]]/Tabela3[[#This Row],[Total Ações]]</f>
        <v>-8.5978907771511147E-3</v>
      </c>
      <c r="AG7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7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9" s="13">
        <f>[Div Base]*[Ações]</f>
        <v>0</v>
      </c>
      <c r="AL79" s="13">
        <f>SUMPRODUCT(N([Nome]=Tabela3[[#This Row],[Nome]]),[Div Base]*[Ações])</f>
        <v>0</v>
      </c>
      <c r="AM79" s="6">
        <f>[Patrimônio Líquido]/[Total Ações]</f>
        <v>0.16903513573726225</v>
      </c>
      <c r="AN79" s="48">
        <f>MAX(Tabela3[[#This Row],[Cotação 1]:[Cotação 5]])</f>
        <v>0.24</v>
      </c>
      <c r="AO79" s="44">
        <f>[Cotação]/[VPA]</f>
        <v>1.4198231566071631</v>
      </c>
      <c r="AP79" s="40">
        <f>IF(Tabela3[[#This Row],[Lucro/Ação]]&gt;0,Tabela3[[#This Row],[Cotação]]/(Tabela3[[#This Row],[Lucro/Ação]]/[Ref]*4),0)</f>
        <v>0</v>
      </c>
      <c r="AQ79" s="77">
        <f>[Lucro Distribuir]/[Total Ações]</f>
        <v>0</v>
      </c>
      <c r="AR7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9" s="14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0</v>
      </c>
      <c r="AU79" s="42">
        <f>((1+Tabela3[[#This Row],[% Yield]])^(1/(3*Tabela3[[#This Row],[Ref]])))^(12)-1</f>
        <v>0</v>
      </c>
      <c r="AV79" s="14">
        <f>IF([Cotação]&gt;0,($BH$1/Tabela3[[#This Row],[Cotação]]-MOD($BH$1/Tabela3[[#This Row],[Cotação]],100)),)</f>
        <v>3200</v>
      </c>
      <c r="AW79" s="17">
        <f>Tabela3[[#This Row],[Ativos]]*[Lucro]</f>
        <v>0</v>
      </c>
      <c r="AX79" s="17">
        <f>SUMPRODUCT(N(Tabela1[Código]=Tabela3[[#This Row],[PAPEL]]),Tabela1[Fechamento])</f>
        <v>0</v>
      </c>
      <c r="AY79" s="17">
        <f>SUMPRODUCT(N(Tabela17[Código]=Tabela3[[#This Row],[PAPEL]]),Tabela17[Fechamento])</f>
        <v>0</v>
      </c>
      <c r="AZ79" s="17">
        <f>SUMPRODUCT(N(Tabela176[Código]=Tabela3[[#This Row],[PAPEL]]),Tabela176[Fechamento])</f>
        <v>0.24</v>
      </c>
      <c r="BA79" s="1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customHeight="1">
      <c r="A80" s="4" t="s">
        <v>622</v>
      </c>
      <c r="B80" s="57" t="s">
        <v>621</v>
      </c>
      <c r="C80" s="15" t="str">
        <f>LEFT([PAPEL],LEN([PAPEL])-(LEN([PAPEL])-4))</f>
        <v>TIBR</v>
      </c>
      <c r="D80" s="15">
        <v>3</v>
      </c>
      <c r="E80" s="6">
        <v>162504983.90000001</v>
      </c>
      <c r="F80" s="8">
        <v>521448800</v>
      </c>
      <c r="G80" s="85">
        <v>0.25</v>
      </c>
      <c r="H80" s="15"/>
      <c r="I80" s="19"/>
      <c r="J80" s="19"/>
      <c r="K80" s="87"/>
      <c r="L80" s="87"/>
      <c r="M80" s="55"/>
      <c r="N80" s="55"/>
      <c r="O80" s="55"/>
      <c r="P80" s="91">
        <v>392415000</v>
      </c>
      <c r="Q80" s="92">
        <v>-19960000</v>
      </c>
      <c r="R80" s="92">
        <f>IF(Tabela3[[#This Row],[Ativo || Passivo]]&gt;0,Tabela3[[#This Row],[Ativo || Passivo]]-Tabela3[[#This Row],[Patrimônio Líquido]],0)</f>
        <v>0</v>
      </c>
      <c r="S80" s="92">
        <f>Tabela3[[#This Row],[Cotação]]*Tabela3[[#This Row],[Total Ações]]</f>
        <v>557159904</v>
      </c>
      <c r="T80" s="40">
        <f>IF(Tabela3[[#This Row],[Passivo Circulante]]&gt;0,Tabela3[[#This Row],[Ativo Circulante]]/Tabela3[[#This Row],[Passivo Circulante]],0)</f>
        <v>0</v>
      </c>
      <c r="U8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0" s="19">
        <f>IF(Tabela3[[#This Row],[Lucro Líquido]]&gt;0,Tabela3[[#This Row],[Lucro Líquido]]/Tabela3[[#This Row],[Patrimônio Líquido]],0)/Tabela3[[#This Row],[Ref]]*4</f>
        <v>0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2.2435702141443779</v>
      </c>
      <c r="Z80" s="13">
        <f>Tabela3[[#This Row],[Capital Social]]*20%</f>
        <v>32500996.780000001</v>
      </c>
      <c r="AA80" s="13">
        <f>IF(([Lucro Líquido]*5%)&gt;[Teto R. Legal],[Teto R. Legal],[Lucro Líquido]*5%)</f>
        <v>-998000</v>
      </c>
      <c r="AB80" s="13">
        <f>IF([Lucro Líquido]&lt;0,0,[Lucro Líquido]-[Reserva Legal])</f>
        <v>0</v>
      </c>
      <c r="AC80" s="13">
        <f>Tabela3[[#This Row],[Lucro Distribuir]]*[%Div]</f>
        <v>0</v>
      </c>
      <c r="AD80" s="56">
        <f>SUMPRODUCT(N([Nome]=Tabela3[[#This Row],[Nome]]),[Ações])</f>
        <v>2321499600</v>
      </c>
      <c r="AE80" s="6">
        <f>[Capital Social]/[Total Ações]</f>
        <v>7.0000005125997009E-2</v>
      </c>
      <c r="AF80" s="77">
        <f>Tabela3[[#This Row],[Lucro Líquido]]/Tabela3[[#This Row],[Total Ações]]</f>
        <v>-8.5978907771511147E-3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13">
        <f>[Div Base]*[Ações]</f>
        <v>0</v>
      </c>
      <c r="AL80" s="13">
        <f>SUMPRODUCT(N([Nome]=Tabela3[[#This Row],[Nome]]),[Div Base]*[Ações])</f>
        <v>0</v>
      </c>
      <c r="AM80" s="6">
        <f>[Patrimônio Líquido]/[Total Ações]</f>
        <v>0.16903513573726225</v>
      </c>
      <c r="AN80" s="48">
        <f>MAX(Tabela3[[#This Row],[Cotação 1]:[Cotação 5]])</f>
        <v>0.24</v>
      </c>
      <c r="AO80" s="44">
        <f>[Cotação]/[VPA]</f>
        <v>1.4198231566071631</v>
      </c>
      <c r="AP80" s="40">
        <f>IF(Tabela3[[#This Row],[Lucro/Ação]]&gt;0,Tabela3[[#This Row],[Cotação]]/(Tabela3[[#This Row],[Lucro/Ação]]/[Ref]*4),0)</f>
        <v>0</v>
      </c>
      <c r="AQ80" s="77">
        <f>[Lucro Distribuir]/[Total Ações]</f>
        <v>0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4" t="str">
        <f>IF(AND([% A.A.]&gt;=5%,SUMPRODUCT(N([Nome]=Tabela3[[#This Row],[Nome]]),[PL])&gt;0,[Rentabilidade s/ PL]&gt;=[Rentabilidade s/ PL Média]),"Sim","Não")</f>
        <v>Não</v>
      </c>
      <c r="AT80" s="42">
        <f>IF([Cotação]&gt;0,Tabela3[[#This Row],[Lucro]]/Tabela3[[#This Row],[Cotação]],0)</f>
        <v>0</v>
      </c>
      <c r="AU80" s="42">
        <f>((1+Tabela3[[#This Row],[% Yield]])^(1/(3*Tabela3[[#This Row],[Ref]])))^(12)-1</f>
        <v>0</v>
      </c>
      <c r="AV80" s="14">
        <f>IF([Cotação]&gt;0,($BH$1/Tabela3[[#This Row],[Cotação]]-MOD($BH$1/Tabela3[[#This Row],[Cotação]],100)),)</f>
        <v>3200</v>
      </c>
      <c r="AW80" s="17">
        <f>Tabela3[[#This Row],[Ativos]]*[Lucro]</f>
        <v>0</v>
      </c>
      <c r="AX80" s="17">
        <f>SUMPRODUCT(N(Tabela1[Código]=Tabela3[[#This Row],[PAPEL]]),Tabela1[Fechamento])</f>
        <v>0</v>
      </c>
      <c r="AY80" s="17">
        <f>SUMPRODUCT(N(Tabela17[Código]=Tabela3[[#This Row],[PAPEL]]),Tabela17[Fechamento])</f>
        <v>0</v>
      </c>
      <c r="AZ80" s="17">
        <f>SUMPRODUCT(N(Tabela176[Código]=Tabela3[[#This Row],[PAPEL]]),Tabela176[Fechamento])</f>
        <v>0.24</v>
      </c>
      <c r="BA80" s="1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customHeight="1">
      <c r="A81" s="4" t="s">
        <v>288</v>
      </c>
      <c r="B81" s="57" t="s">
        <v>699</v>
      </c>
      <c r="C81" s="15" t="str">
        <f>LEFT([PAPEL],LEN([PAPEL])-(LEN([PAPEL])-4))</f>
        <v>JBDU</v>
      </c>
      <c r="D81" s="15">
        <v>4</v>
      </c>
      <c r="E81" s="6">
        <v>96610827.730000004</v>
      </c>
      <c r="F81" s="8">
        <v>92915020</v>
      </c>
      <c r="G81" s="85">
        <v>0.25</v>
      </c>
      <c r="H81" s="15"/>
      <c r="I81" s="19"/>
      <c r="J81" s="19"/>
      <c r="K81" s="87"/>
      <c r="L81" s="87"/>
      <c r="M81" s="55"/>
      <c r="N81" s="55"/>
      <c r="O81" s="55"/>
      <c r="P81" s="91">
        <v>42441000</v>
      </c>
      <c r="Q81" s="92">
        <v>2353000</v>
      </c>
      <c r="R81" s="92">
        <f>IF(Tabela3[[#This Row],[Ativo || Passivo]]&gt;0,Tabela3[[#This Row],[Ativo || Passivo]]-Tabela3[[#This Row],[Patrimônio Líquido]],0)</f>
        <v>0</v>
      </c>
      <c r="S81" s="92">
        <f>Tabela3[[#This Row],[Cotação]]*Tabela3[[#This Row],[Total Ações]]</f>
        <v>72472010</v>
      </c>
      <c r="T81" s="40">
        <f>IF(Tabela3[[#This Row],[Passivo Circulante]]&gt;0,Tabela3[[#This Row],[Ativo Circulante]]/Tabela3[[#This Row],[Passivo Circulante]],0)</f>
        <v>0</v>
      </c>
      <c r="U8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1" s="19">
        <f>IF(Tabela3[[#This Row],[Lucro Líquido]]&gt;0,Tabela3[[#This Row],[Lucro Líquido]]/Tabela3[[#This Row],[Patrimônio Líquido]],0)/Tabela3[[#This Row],[Ref]]*4</f>
        <v>5.5441671968144014E-2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2.2435702141443779</v>
      </c>
      <c r="Z81" s="13">
        <f>Tabela3[[#This Row],[Capital Social]]*20%</f>
        <v>19322165.546</v>
      </c>
      <c r="AA81" s="13">
        <f>IF(([Lucro Líquido]*5%)&gt;[Teto R. Legal],[Teto R. Legal],[Lucro Líquido]*5%)</f>
        <v>117650</v>
      </c>
      <c r="AB81" s="13">
        <f>IF([Lucro Líquido]&lt;0,0,[Lucro Líquido]-[Reserva Legal])</f>
        <v>2235350</v>
      </c>
      <c r="AC81" s="13">
        <f>Tabela3[[#This Row],[Lucro Distribuir]]*[%Div]</f>
        <v>558837.5</v>
      </c>
      <c r="AD81" s="21">
        <f>SUMPRODUCT(N([Nome]=Tabela3[[#This Row],[Nome]]),[Ações])</f>
        <v>278738500</v>
      </c>
      <c r="AE81" s="6">
        <f>[Capital Social]/[Total Ações]</f>
        <v>0.34660022827847609</v>
      </c>
      <c r="AF81" s="77">
        <f>Tabela3[[#This Row],[Lucro Líquido]]/Tabela3[[#This Row],[Total Ações]]</f>
        <v>8.4416038688591641E-3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81" s="13">
        <f>[Div Base]*[Ações]</f>
        <v>186283.55067294257</v>
      </c>
      <c r="AL81" s="13">
        <f>SUMPRODUCT(N([Nome]=Tabela3[[#This Row],[Nome]]),[Div Base]*[Ações])</f>
        <v>558837.5</v>
      </c>
      <c r="AM81" s="6">
        <f>[Patrimônio Líquido]/[Total Ações]</f>
        <v>0.1522609901395035</v>
      </c>
      <c r="AN81" s="48">
        <f>MAX(Tabela3[[#This Row],[Cotação 1]:[Cotação 5]])</f>
        <v>0.26</v>
      </c>
      <c r="AO81" s="44">
        <f>[Cotação]/[VPA]</f>
        <v>1.7075943073914377</v>
      </c>
      <c r="AP81" s="40">
        <f>IF(Tabela3[[#This Row],[Lucro/Ação]]&gt;0,Tabela3[[#This Row],[Cotação]]/(Tabela3[[#This Row],[Lucro/Ação]]/[Ref]*4),0)</f>
        <v>30.799834254143647</v>
      </c>
      <c r="AQ81" s="77">
        <f>[Lucro Distribuir]/[Total Ações]</f>
        <v>8.0195236754162062E-3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81" s="14" t="str">
        <f>IF(AND([% A.A.]&gt;=5%,SUMPRODUCT(N([Nome]=Tabela3[[#This Row],[Nome]]),[PL])&gt;0,[Rentabilidade s/ PL]&gt;=[Rentabilidade s/ PL Média]),"Sim","Não")</f>
        <v>Não</v>
      </c>
      <c r="AT81" s="42">
        <f>IF([Cotação]&gt;0,Tabela3[[#This Row],[Lucro]]/Tabela3[[#This Row],[Cotação]],0)</f>
        <v>7.7110804571309671E-3</v>
      </c>
      <c r="AU81" s="42">
        <f>((1+Tabela3[[#This Row],[% Yield]])^(1/(3*Tabela3[[#This Row],[Ref]])))^(12)-1</f>
        <v>7.7110804571300928E-3</v>
      </c>
      <c r="AV81" s="14">
        <f>IF([Cotação]&gt;0,($BH$1/Tabela3[[#This Row],[Cotação]]-MOD($BH$1/Tabela3[[#This Row],[Cotação]],100)),)</f>
        <v>2900</v>
      </c>
      <c r="AW81" s="17">
        <f>Tabela3[[#This Row],[Ativos]]*[Lucro]</f>
        <v>5.8141546646767495</v>
      </c>
      <c r="AX81" s="17">
        <f>SUMPRODUCT(N(Tabela1[Código]=Tabela3[[#This Row],[PAPEL]]),Tabela1[Fechamento])</f>
        <v>0</v>
      </c>
      <c r="AY81" s="17">
        <f>SUMPRODUCT(N(Tabela17[Código]=Tabela3[[#This Row],[PAPEL]]),Tabela17[Fechamento])</f>
        <v>0</v>
      </c>
      <c r="AZ81" s="17">
        <f>SUMPRODUCT(N(Tabela176[Código]=Tabela3[[#This Row],[PAPEL]]),Tabela176[Fechamento])</f>
        <v>0.26</v>
      </c>
      <c r="BA81" s="1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>
      <c r="A82" s="4" t="s">
        <v>236</v>
      </c>
      <c r="B82" s="115" t="s">
        <v>578</v>
      </c>
      <c r="C82" s="15" t="str">
        <f>LEFT([PAPEL],LEN([PAPEL])-(LEN([PAPEL])-4))</f>
        <v>RPMG</v>
      </c>
      <c r="D82" s="15">
        <v>2</v>
      </c>
      <c r="E82" s="6">
        <v>148873356.06</v>
      </c>
      <c r="F82" s="8">
        <v>991541636</v>
      </c>
      <c r="G82" s="80">
        <v>0.25</v>
      </c>
      <c r="H82" s="15"/>
      <c r="I82" s="19">
        <v>0.1</v>
      </c>
      <c r="J82" s="19"/>
      <c r="K82" s="87"/>
      <c r="L82" s="87"/>
      <c r="M82" s="55"/>
      <c r="N82" s="55"/>
      <c r="O82" s="55"/>
      <c r="P82" s="91">
        <v>-574737000</v>
      </c>
      <c r="Q82" s="92">
        <v>-53772000</v>
      </c>
      <c r="R82" s="92">
        <f>IF(Tabela3[[#This Row],[Ativo || Passivo]]&gt;0,Tabela3[[#This Row],[Ativo || Passivo]]-Tabela3[[#This Row],[Patrimônio Líquido]],0)</f>
        <v>0</v>
      </c>
      <c r="S82" s="92">
        <f>Tabela3[[#This Row],[Cotação]]*Tabela3[[#This Row],[Total Ações]]</f>
        <v>308375057.34000003</v>
      </c>
      <c r="T82" s="40">
        <f>IF(Tabela3[[#This Row],[Passivo Circulante]]&gt;0,Tabela3[[#This Row],[Ativo Circulante]]/Tabela3[[#This Row],[Passivo Circulante]],0)</f>
        <v>0</v>
      </c>
      <c r="U8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2" s="19">
        <f>IF(Tabela3[[#This Row],[Lucro Líquido]]&gt;0,Tabela3[[#This Row],[Lucro Líquido]]/Tabela3[[#This Row],[Patrimônio Líquido]],0)/Tabela3[[#This Row],[Ref]]*4</f>
        <v>0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2.2435702141443779</v>
      </c>
      <c r="Z82" s="13">
        <f>Tabela3[[#This Row],[Capital Social]]*20%</f>
        <v>29774671.212000001</v>
      </c>
      <c r="AA82" s="13">
        <f>IF(([Lucro Líquido]*5%)&gt;[Teto R. Legal],[Teto R. Legal],[Lucro Líquido]*5%)</f>
        <v>-2688600</v>
      </c>
      <c r="AB82" s="13">
        <f>IF([Lucro Líquido]&lt;0,0,[Lucro Líquido]-[Reserva Legal])</f>
        <v>0</v>
      </c>
      <c r="AC82" s="13">
        <f>Tabela3[[#This Row],[Lucro Distribuir]]*[%Div]</f>
        <v>0</v>
      </c>
      <c r="AD82" s="56">
        <f>SUMPRODUCT(N([Nome]=Tabela3[[#This Row],[Nome]]),[Ações])</f>
        <v>1142129842</v>
      </c>
      <c r="AE82" s="6">
        <f>[Capital Social]/[Total Ações]</f>
        <v>0.13034713793950584</v>
      </c>
      <c r="AF82" s="77">
        <f>Tabela3[[#This Row],[Lucro Líquido]]/Tabela3[[#This Row],[Total Ações]]</f>
        <v>-4.7080461452472931E-2</v>
      </c>
      <c r="AG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2" s="13">
        <f>[Div Base]*[Ações]</f>
        <v>0</v>
      </c>
      <c r="AL82" s="13">
        <f>SUMPRODUCT(N([Nome]=Tabela3[[#This Row],[Nome]]),[Div Base]*[Ações])</f>
        <v>0</v>
      </c>
      <c r="AM82" s="6">
        <f>[Patrimônio Líquido]/[Total Ações]</f>
        <v>-0.50321511518652706</v>
      </c>
      <c r="AN82" s="48">
        <f>MAX(Tabela3[[#This Row],[Cotação 1]:[Cotação 5]])</f>
        <v>0.27</v>
      </c>
      <c r="AO82" s="44">
        <f>[Cotação]/[VPA]</f>
        <v>-0.53654986078849987</v>
      </c>
      <c r="AP82" s="40">
        <f>IF(Tabela3[[#This Row],[Lucro/Ação]]&gt;0,Tabela3[[#This Row],[Cotação]]/(Tabela3[[#This Row],[Lucro/Ação]]/[Ref]*4),0)</f>
        <v>0</v>
      </c>
      <c r="AQ82" s="77">
        <f>[Lucro Distribuir]/[Total Ações]</f>
        <v>0</v>
      </c>
      <c r="AR8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2" s="14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0</v>
      </c>
      <c r="AU82" s="42">
        <f>((1+Tabela3[[#This Row],[% Yield]])^(1/(3*Tabela3[[#This Row],[Ref]])))^(12)-1</f>
        <v>0</v>
      </c>
      <c r="AV82" s="14">
        <f>IF([Cotação]&gt;0,($BH$1/Tabela3[[#This Row],[Cotação]]-MOD($BH$1/Tabela3[[#This Row],[Cotação]],100)),)</f>
        <v>2800</v>
      </c>
      <c r="AW82" s="17">
        <f>Tabela3[[#This Row],[Ativos]]*[Lucro]</f>
        <v>0</v>
      </c>
      <c r="AX82" s="17">
        <f>SUMPRODUCT(N(Tabela1[Código]=Tabela3[[#This Row],[PAPEL]]),Tabela1[Fechamento])</f>
        <v>0</v>
      </c>
      <c r="AY82" s="17">
        <f>SUMPRODUCT(N(Tabela17[Código]=Tabela3[[#This Row],[PAPEL]]),Tabela17[Fechamento])</f>
        <v>0</v>
      </c>
      <c r="AZ82" s="17">
        <f>SUMPRODUCT(N(Tabela176[Código]=Tabela3[[#This Row],[PAPEL]]),Tabela176[Fechamento])</f>
        <v>0.27</v>
      </c>
      <c r="BA82" s="1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customHeight="1">
      <c r="A83" s="4" t="s">
        <v>236</v>
      </c>
      <c r="B83" s="115" t="s">
        <v>579</v>
      </c>
      <c r="C83" s="15" t="str">
        <f>LEFT([PAPEL],LEN([PAPEL])-(LEN([PAPEL])-4))</f>
        <v>RPMG</v>
      </c>
      <c r="D83" s="15">
        <v>2</v>
      </c>
      <c r="E83" s="6">
        <v>148873356.06</v>
      </c>
      <c r="F83" s="8">
        <v>150588206</v>
      </c>
      <c r="G83" s="80">
        <v>0.25</v>
      </c>
      <c r="H83" s="15"/>
      <c r="I83" s="19">
        <v>0.1</v>
      </c>
      <c r="J83" s="19"/>
      <c r="K83" s="87"/>
      <c r="L83" s="87"/>
      <c r="M83" s="55"/>
      <c r="N83" s="55"/>
      <c r="O83" s="55"/>
      <c r="P83" s="91">
        <v>-574737000</v>
      </c>
      <c r="Q83" s="92">
        <v>-53772000</v>
      </c>
      <c r="R83" s="92">
        <f>IF(Tabela3[[#This Row],[Ativo || Passivo]]&gt;0,Tabela3[[#This Row],[Ativo || Passivo]]-Tabela3[[#This Row],[Patrimônio Líquido]],0)</f>
        <v>0</v>
      </c>
      <c r="S83" s="92">
        <f>Tabela3[[#This Row],[Cotação]]*Tabela3[[#This Row],[Total Ações]]</f>
        <v>308375057.34000003</v>
      </c>
      <c r="T83" s="40">
        <f>IF(Tabela3[[#This Row],[Passivo Circulante]]&gt;0,Tabela3[[#This Row],[Ativo Circulante]]/Tabela3[[#This Row],[Passivo Circulante]],0)</f>
        <v>0</v>
      </c>
      <c r="U8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3" s="19">
        <f>IF(Tabela3[[#This Row],[Lucro Líquido]]&gt;0,Tabela3[[#This Row],[Lucro Líquido]]/Tabela3[[#This Row],[Patrimônio Líquido]],0)/Tabela3[[#This Row],[Ref]]*4</f>
        <v>0</v>
      </c>
      <c r="W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3" s="19">
        <f>IF(Tabela3[[#This Row],[Dívida]]&gt;0,Tabela3[[#This Row],[Dívida]]/Tabela3[[#This Row],[Patrimônio Líquido]],0)</f>
        <v>0</v>
      </c>
      <c r="Y83" s="19">
        <f>SUMPRODUCT(N([Dívida / PL]&gt;0),N(RIGHT([PAPEL],LEN([PAPEL])-(LEN([PAPEL])-1))="3"),[Dívida / PL])/SUMPRODUCT(N([Dívida / PL]&gt;0),N(RIGHT([PAPEL],LEN([PAPEL])-(LEN([PAPEL])-1))="3"))</f>
        <v>2.2435702141443779</v>
      </c>
      <c r="Z83" s="13">
        <f>Tabela3[[#This Row],[Capital Social]]*20%</f>
        <v>29774671.212000001</v>
      </c>
      <c r="AA83" s="13">
        <f>IF(([Lucro Líquido]*5%)&gt;[Teto R. Legal],[Teto R. Legal],[Lucro Líquido]*5%)</f>
        <v>-2688600</v>
      </c>
      <c r="AB83" s="13">
        <f>IF([Lucro Líquido]&lt;0,0,[Lucro Líquido]-[Reserva Legal])</f>
        <v>0</v>
      </c>
      <c r="AC83" s="13">
        <f>Tabela3[[#This Row],[Lucro Distribuir]]*[%Div]</f>
        <v>0</v>
      </c>
      <c r="AD83" s="56">
        <f>SUMPRODUCT(N([Nome]=Tabela3[[#This Row],[Nome]]),[Ações])</f>
        <v>1142129842</v>
      </c>
      <c r="AE83" s="6">
        <f>[Capital Social]/[Total Ações]</f>
        <v>0.13034713793950584</v>
      </c>
      <c r="AF83" s="77">
        <f>Tabela3[[#This Row],[Lucro Líquido]]/Tabela3[[#This Row],[Total Ações]]</f>
        <v>-4.7080461452472931E-2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3" s="13">
        <f>[Div Base]*[Ações]</f>
        <v>0</v>
      </c>
      <c r="AL83" s="13">
        <f>SUMPRODUCT(N([Nome]=Tabela3[[#This Row],[Nome]]),[Div Base]*[Ações])</f>
        <v>0</v>
      </c>
      <c r="AM83" s="6">
        <f>[Patrimônio Líquido]/[Total Ações]</f>
        <v>-0.50321511518652706</v>
      </c>
      <c r="AN83" s="48">
        <f>MAX(Tabela3[[#This Row],[Cotação 1]:[Cotação 5]])</f>
        <v>0.27</v>
      </c>
      <c r="AO83" s="44">
        <f>[Cotação]/[VPA]</f>
        <v>-0.53654986078849987</v>
      </c>
      <c r="AP83" s="40">
        <f>IF(Tabela3[[#This Row],[Lucro/Ação]]&gt;0,Tabela3[[#This Row],[Cotação]]/(Tabela3[[#This Row],[Lucro/Ação]]/[Ref]*4),0)</f>
        <v>0</v>
      </c>
      <c r="AQ83" s="77">
        <f>[Lucro Distribuir]/[Total Ações]</f>
        <v>0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3" s="14" t="str">
        <f>IF(AND([% A.A.]&gt;=5%,SUMPRODUCT(N([Nome]=Tabela3[[#This Row],[Nome]]),[PL])&gt;0,[Rentabilidade s/ PL]&gt;=[Rentabilidade s/ PL Média]),"Sim","Não")</f>
        <v>Não</v>
      </c>
      <c r="AT83" s="42">
        <f>IF([Cotação]&gt;0,Tabela3[[#This Row],[Lucro]]/Tabela3[[#This Row],[Cotação]],0)</f>
        <v>0</v>
      </c>
      <c r="AU83" s="42">
        <f>((1+Tabela3[[#This Row],[% Yield]])^(1/(3*Tabela3[[#This Row],[Ref]])))^(12)-1</f>
        <v>0</v>
      </c>
      <c r="AV83" s="14">
        <f>IF([Cotação]&gt;0,($BH$1/Tabela3[[#This Row],[Cotação]]-MOD($BH$1/Tabela3[[#This Row],[Cotação]],100)),)</f>
        <v>2800</v>
      </c>
      <c r="AW83" s="17">
        <f>Tabela3[[#This Row],[Ativos]]*[Lucro]</f>
        <v>0</v>
      </c>
      <c r="AX83" s="17">
        <f>SUMPRODUCT(N(Tabela1[Código]=Tabela3[[#This Row],[PAPEL]]),Tabela1[Fechamento])</f>
        <v>0</v>
      </c>
      <c r="AY83" s="17">
        <f>SUMPRODUCT(N(Tabela17[Código]=Tabela3[[#This Row],[PAPEL]]),Tabela17[Fechamento])</f>
        <v>0</v>
      </c>
      <c r="AZ83" s="17">
        <f>SUMPRODUCT(N(Tabela176[Código]=Tabela3[[#This Row],[PAPEL]]),Tabela176[Fechamento])</f>
        <v>0.27</v>
      </c>
      <c r="BA83" s="1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customHeight="1">
      <c r="A84" s="3" t="s">
        <v>905</v>
      </c>
      <c r="B84" s="58" t="s">
        <v>907</v>
      </c>
      <c r="C84" s="16" t="str">
        <f>LEFT([PAPEL],LEN([PAPEL])-(LEN([PAPEL])-4))</f>
        <v>HETA</v>
      </c>
      <c r="D84" s="16">
        <v>3</v>
      </c>
      <c r="E84" s="99">
        <v>15300000</v>
      </c>
      <c r="F84" s="56">
        <v>10164050</v>
      </c>
      <c r="G84" s="80">
        <v>0.3</v>
      </c>
      <c r="H84" s="86"/>
      <c r="I84" s="18">
        <v>0.06</v>
      </c>
      <c r="J84" s="18"/>
      <c r="K84" s="16"/>
      <c r="L84" s="86"/>
      <c r="M84" s="54"/>
      <c r="N84" s="54"/>
      <c r="O84" s="54"/>
      <c r="P84" s="104">
        <v>-407885000</v>
      </c>
      <c r="Q84" s="105">
        <v>-27612000</v>
      </c>
      <c r="R84" s="105">
        <f>IF(Tabela3[[#This Row],[Ativo || Passivo]]&gt;0,Tabela3[[#This Row],[Ativo || Passivo]]-Tabela3[[#This Row],[Patrimônio Líquido]],0)</f>
        <v>0</v>
      </c>
      <c r="S84" s="105">
        <f>Tabela3[[#This Row],[Cotação]]*Tabela3[[#This Row],[Total Ações]]</f>
        <v>4437000</v>
      </c>
      <c r="T84" s="123">
        <f>IF(Tabela3[[#This Row],[Passivo Circulante]]&gt;0,Tabela3[[#This Row],[Ativo Circulante]]/Tabela3[[#This Row],[Passivo Circulante]],0)</f>
        <v>0</v>
      </c>
      <c r="U84" s="123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4" s="103">
        <f>IF(Tabela3[[#This Row],[Lucro Líquido]]&gt;0,Tabela3[[#This Row],[Lucro Líquido]]/Tabela3[[#This Row],[Patrimônio Líquido]],0)/Tabela3[[#This Row],[Ref]]*4</f>
        <v>0</v>
      </c>
      <c r="W84" s="103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4" s="103">
        <f>IF(Tabela3[[#This Row],[Dívida]]&gt;0,Tabela3[[#This Row],[Dívida]]/Tabela3[[#This Row],[Patrimônio Líquido]],0)</f>
        <v>0</v>
      </c>
      <c r="Y84" s="103">
        <f>SUMPRODUCT(N([Dívida / PL]&gt;0),N(RIGHT([PAPEL],LEN([PAPEL])-(LEN([PAPEL])-1))="3"),[Dívida / PL])/SUMPRODUCT(N([Dívida / PL]&gt;0),N(RIGHT([PAPEL],LEN([PAPEL])-(LEN([PAPEL])-1))="3"))</f>
        <v>2.2435702141443779</v>
      </c>
      <c r="Z84" s="7">
        <f>Tabela3[[#This Row],[Capital Social]]*20%</f>
        <v>3060000</v>
      </c>
      <c r="AA84" s="47">
        <f>IF(([Lucro Líquido]*5%)&gt;[Teto R. Legal],[Teto R. Legal],[Lucro Líquido]*5%)</f>
        <v>-1380600</v>
      </c>
      <c r="AB84" s="47">
        <f>IF([Lucro Líquido]&lt;0,0,[Lucro Líquido]-[Reserva Legal])</f>
        <v>0</v>
      </c>
      <c r="AC84" s="47">
        <f>Tabela3[[#This Row],[Lucro Distribuir]]*[%Div]</f>
        <v>0</v>
      </c>
      <c r="AD84" s="56">
        <f>SUMPRODUCT(N([Nome]=Tabela3[[#This Row],[Nome]]),[Ações])</f>
        <v>15300000</v>
      </c>
      <c r="AE84" s="84">
        <f>[Capital Social]/[Total Ações]</f>
        <v>1</v>
      </c>
      <c r="AF84" s="84">
        <f>Tabela3[[#This Row],[Lucro Líquido]]/Tabela3[[#This Row],[Total Ações]]</f>
        <v>-1.8047058823529412</v>
      </c>
      <c r="AG8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4" s="7">
        <f>[Div Base]*[Ações]</f>
        <v>0</v>
      </c>
      <c r="AL84" s="7">
        <f>SUMPRODUCT(N([Nome]=Tabela3[[#This Row],[Nome]]),[Div Base]*[Ações])</f>
        <v>0</v>
      </c>
      <c r="AM84" s="5">
        <f>[Patrimônio Líquido]/[Total Ações]</f>
        <v>-26.659150326797384</v>
      </c>
      <c r="AN84" s="52">
        <f>MAX(Tabela3[[#This Row],[Cotação 1]:[Cotação 5]])</f>
        <v>0.28999999999999998</v>
      </c>
      <c r="AO84" s="53">
        <f>[Cotação]/[VPA]</f>
        <v>-1.0878066121578387E-2</v>
      </c>
      <c r="AP84" s="37">
        <f>IF(Tabela3[[#This Row],[Lucro/Ação]]&gt;0,Tabela3[[#This Row],[Cotação]]/(Tabela3[[#This Row],[Lucro/Ação]]/[Ref]*4),0)</f>
        <v>0</v>
      </c>
      <c r="AQ84" s="84">
        <f>[Lucro Distribuir]/[Total Ações]</f>
        <v>0</v>
      </c>
      <c r="AR8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4" s="10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0</v>
      </c>
      <c r="AU84" s="22">
        <f>((1+Tabela3[[#This Row],[% Yield]])^(1/(3*Tabela3[[#This Row],[Ref]])))^(12)-1</f>
        <v>0</v>
      </c>
      <c r="AV84" s="10">
        <f>IF([Cotação]&gt;0,($BH$1/Tabela3[[#This Row],[Cotação]]-MOD($BH$1/Tabela3[[#This Row],[Cotação]],100)),)</f>
        <v>2600</v>
      </c>
      <c r="AW84" s="7">
        <f>Tabela3[[#This Row],[Ativos]]*[Lucro]</f>
        <v>0</v>
      </c>
      <c r="AX84" s="7">
        <f>SUMPRODUCT(N(Tabela1[Código]=Tabela3[[#This Row],[PAPEL]]),Tabela1[Fechamento])</f>
        <v>0</v>
      </c>
      <c r="AY84" s="7">
        <f>SUMPRODUCT(N(Tabela17[Código]=Tabela3[[#This Row],[PAPEL]]),Tabela17[Fechamento])</f>
        <v>0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0.28999999999999998</v>
      </c>
      <c r="BB84" s="7">
        <f>SUMPRODUCT(N(Tabela17683[Código]=Tabela3[[#This Row],[PAPEL]]),Tabela17683[Fechamento])</f>
        <v>0</v>
      </c>
    </row>
    <row r="85" spans="1:54" ht="11.25" customHeight="1">
      <c r="A85" s="4" t="s">
        <v>14</v>
      </c>
      <c r="B85" s="57" t="s">
        <v>62</v>
      </c>
      <c r="C85" s="14" t="str">
        <f>LEFT([PAPEL],LEN([PAPEL])-(LEN([PAPEL])-4))</f>
        <v>BAZA</v>
      </c>
      <c r="D85" s="15">
        <v>4</v>
      </c>
      <c r="E85" s="6">
        <v>1219669840.8399999</v>
      </c>
      <c r="F85" s="8">
        <v>2964596762</v>
      </c>
      <c r="G85" s="85">
        <v>0.25</v>
      </c>
      <c r="H85" s="15"/>
      <c r="I85" s="19"/>
      <c r="J85" s="19"/>
      <c r="K85" s="87"/>
      <c r="L85" s="87"/>
      <c r="M85" s="55"/>
      <c r="N85" s="55"/>
      <c r="O85" s="55"/>
      <c r="P85" s="6">
        <v>1624994000</v>
      </c>
      <c r="Q85" s="6">
        <v>182498000</v>
      </c>
      <c r="R85" s="6">
        <f>IF(Tabela3[[#This Row],[Ativo || Passivo]]&gt;0,Tabela3[[#This Row],[Ativo || Passivo]]-Tabela3[[#This Row],[Patrimônio Líquido]],0)</f>
        <v>0</v>
      </c>
      <c r="S85" s="6">
        <f>Tabela3[[#This Row],[Cotação]]*Tabela3[[#This Row],[Total Ações]]</f>
        <v>889379028.60000002</v>
      </c>
      <c r="T85" s="121">
        <f>IF(Tabela3[[#This Row],[Passivo Circulante]]&gt;0,Tabela3[[#This Row],[Ativo Circulante]]/Tabela3[[#This Row],[Passivo Circulante]],0)</f>
        <v>0</v>
      </c>
      <c r="U8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5" s="19">
        <f>IF(Tabela3[[#This Row],[Lucro Líquido]]&gt;0,Tabela3[[#This Row],[Lucro Líquido]]/Tabela3[[#This Row],[Patrimônio Líquido]],0)/Tabela3[[#This Row],[Ref]]*4</f>
        <v>0.11230687621000447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5" s="19">
        <f>IF(Tabela3[[#This Row],[Dívida]]&gt;0,Tabela3[[#This Row],[Dívida]]/Tabela3[[#This Row],[Patrimônio Líquido]],0)</f>
        <v>0</v>
      </c>
      <c r="Y85" s="19">
        <f>SUMPRODUCT(N([Dívida / PL]&gt;0),N(RIGHT([PAPEL],LEN([PAPEL])-(LEN([PAPEL])-1))="3"),[Dívida / PL])/SUMPRODUCT(N([Dívida / PL]&gt;0),N(RIGHT([PAPEL],LEN([PAPEL])-(LEN([PAPEL])-1))="3"))</f>
        <v>2.2435702141443779</v>
      </c>
      <c r="Z85" s="6">
        <f>Tabela3[[#This Row],[Capital Social]]*20%</f>
        <v>243933968.16799998</v>
      </c>
      <c r="AA85" s="6">
        <f>IF(([Lucro Líquido]*5%)&gt;[Teto R. Legal],[Teto R. Legal],[Lucro Líquido]*5%)</f>
        <v>9124900</v>
      </c>
      <c r="AB85" s="6">
        <f>IF([Lucro Líquido]&lt;0,0,[Lucro Líquido]-[Reserva Legal])</f>
        <v>173373100</v>
      </c>
      <c r="AC85" s="6">
        <f>Tabela3[[#This Row],[Lucro Distribuir]]*[%Div]</f>
        <v>43343275</v>
      </c>
      <c r="AD85" s="21">
        <f>SUMPRODUCT(N([Nome]=Tabela3[[#This Row],[Nome]]),[Ações])</f>
        <v>2964596762</v>
      </c>
      <c r="AE85" s="6">
        <f>[Capital Social]/[Total Ações]</f>
        <v>0.4114117159114673</v>
      </c>
      <c r="AF85" s="77">
        <f>Tabela3[[#This Row],[Lucro Líquido]]/Tabela3[[#This Row],[Total Ações]]</f>
        <v>6.155913085356058E-2</v>
      </c>
      <c r="AG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85" s="6">
        <f>[Div Base]*[Ações]</f>
        <v>43343275</v>
      </c>
      <c r="AL85" s="6">
        <f>SUMPRODUCT(N([Nome]=Tabela3[[#This Row],[Nome]]),[Div Base]*[Ações])</f>
        <v>43343275</v>
      </c>
      <c r="AM85" s="6">
        <f>[Patrimônio Líquido]/[Total Ações]</f>
        <v>0.54813323040389939</v>
      </c>
      <c r="AN85" s="48">
        <f>MAX(Tabela3[[#This Row],[Cotação 1]:[Cotação 5]])</f>
        <v>0.3</v>
      </c>
      <c r="AO85" s="44">
        <f>[Cotação]/[VPA]</f>
        <v>0.54731219229117145</v>
      </c>
      <c r="AP85" s="40">
        <f>IF(Tabela3[[#This Row],[Lucro/Ação]]&gt;0,Tabela3[[#This Row],[Cotação]]/(Tabela3[[#This Row],[Lucro/Ação]]/[Ref]*4),0)</f>
        <v>4.873363152472904</v>
      </c>
      <c r="AQ85" s="77">
        <f>[Lucro Distribuir]/[Total Ações]</f>
        <v>5.8481174310882553E-2</v>
      </c>
      <c r="AR85" s="77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4.8734311925735463E-2</v>
      </c>
      <c r="AU85" s="19">
        <f>((1+Tabela3[[#This Row],[% Yield]])^(1/(3*Tabela3[[#This Row],[Ref]])))^(12)-1</f>
        <v>4.8734311925736629E-2</v>
      </c>
      <c r="AV85" s="14">
        <f>IF([Cotação]&gt;0,($BH$1/Tabela3[[#This Row],[Cotação]]-MOD($BH$1/Tabela3[[#This Row],[Cotação]],100)),)</f>
        <v>2500</v>
      </c>
      <c r="AW85" s="17">
        <f>Tabela3[[#This Row],[Ativos]]*[Lucro]</f>
        <v>36.550733944301598</v>
      </c>
      <c r="AX85" s="5">
        <f>SUMPRODUCT(N(Tabela1[Código]=Tabela3[[#This Row],[PAPEL]]),Tabela1[Fechamento])</f>
        <v>0.3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customHeight="1">
      <c r="A86" s="3" t="s">
        <v>1131</v>
      </c>
      <c r="B86" s="57" t="s">
        <v>1119</v>
      </c>
      <c r="C86" s="16" t="str">
        <f>LEFT([PAPEL],LEN([PAPEL])-(LEN([PAPEL])-4))</f>
        <v>DTCY</v>
      </c>
      <c r="D86" s="16">
        <v>3</v>
      </c>
      <c r="E86" s="5">
        <v>54109503.509999998</v>
      </c>
      <c r="F86" s="56">
        <v>52884310</v>
      </c>
      <c r="G86" s="80">
        <v>0.25</v>
      </c>
      <c r="H86" s="18"/>
      <c r="J86" s="18"/>
      <c r="K86" s="16"/>
      <c r="L86" s="86"/>
      <c r="M86" s="54"/>
      <c r="N86" s="54"/>
      <c r="O86" s="54"/>
      <c r="P86" s="90">
        <v>3294000</v>
      </c>
      <c r="Q86" s="73">
        <v>-1687000</v>
      </c>
      <c r="R86" s="73">
        <f>IF(Tabela3[[#This Row],[Ativo || Passivo]]&gt;0,Tabela3[[#This Row],[Ativo || Passivo]]-Tabela3[[#This Row],[Patrimônio Líquido]],0)</f>
        <v>0</v>
      </c>
      <c r="S86" s="73">
        <f>Tabela3[[#This Row],[Cotação]]*Tabela3[[#This Row],[Total Ações]]</f>
        <v>17400861.100000001</v>
      </c>
      <c r="T86" s="37">
        <f>IF(Tabela3[[#This Row],[Passivo Circulante]]&gt;0,Tabela3[[#This Row],[Ativo Circulante]]/Tabela3[[#This Row],[Passivo Circulante]],0)</f>
        <v>0</v>
      </c>
      <c r="U8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6" s="18">
        <f>IF(Tabela3[[#This Row],[Lucro Líquido]]&gt;0,Tabela3[[#This Row],[Lucro Líquido]]/Tabela3[[#This Row],[Patrimônio Líquido]],0)/Tabela3[[#This Row],[Ref]]*4</f>
        <v>0</v>
      </c>
      <c r="W8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6" s="18">
        <f>IF(Tabela3[[#This Row],[Dívida]]&gt;0,Tabela3[[#This Row],[Dívida]]/Tabela3[[#This Row],[Patrimônio Líquido]],0)</f>
        <v>0</v>
      </c>
      <c r="Y86" s="18">
        <f>SUMPRODUCT(N([Dívida / PL]&gt;0),N(RIGHT([PAPEL],LEN([PAPEL])-(LEN([PAPEL])-1))="3"),[Dívida / PL])/SUMPRODUCT(N([Dívida / PL]&gt;0),N(RIGHT([PAPEL],LEN([PAPEL])-(LEN([PAPEL])-1))="3"))</f>
        <v>2.2435702141443779</v>
      </c>
      <c r="Z86" s="7">
        <f>Tabela3[[#This Row],[Capital Social]]*20%</f>
        <v>10821900.702</v>
      </c>
      <c r="AA86" s="47">
        <f>IF(([Lucro Líquido]*5%)&gt;[Teto R. Legal],[Teto R. Legal],[Lucro Líquido]*5%)</f>
        <v>-84350</v>
      </c>
      <c r="AB86" s="47">
        <f>IF([Lucro Líquido]&lt;0,0,[Lucro Líquido]-[Reserva Legal])</f>
        <v>0</v>
      </c>
      <c r="AC86" s="47">
        <f>Tabela3[[#This Row],[Lucro Distribuir]]*[%Div]</f>
        <v>0</v>
      </c>
      <c r="AD86" s="56">
        <f>SUMPRODUCT(N([Nome]=Tabela3[[#This Row],[Nome]]),[Ações])</f>
        <v>56131810</v>
      </c>
      <c r="AE86" s="84">
        <f>[Capital Social]/[Total Ações]</f>
        <v>0.96397218457769307</v>
      </c>
      <c r="AF86" s="84">
        <f>Tabela3[[#This Row],[Lucro Líquido]]/Tabela3[[#This Row],[Total Ações]]</f>
        <v>-3.0054259786028634E-2</v>
      </c>
      <c r="AG8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6" s="7">
        <f>[Div Base]*[Ações]</f>
        <v>0</v>
      </c>
      <c r="AL86" s="113">
        <f>SUMPRODUCT(N([Nome]=Tabela3[[#This Row],[Nome]]),[Div Base]*[Ações])</f>
        <v>0</v>
      </c>
      <c r="AM86" s="5">
        <f>[Patrimônio Líquido]/[Total Ações]</f>
        <v>5.8683302747586437E-2</v>
      </c>
      <c r="AN86" s="52">
        <f>MAX(Tabela3[[#This Row],[Cotação 1]:[Cotação 5]])</f>
        <v>0.31</v>
      </c>
      <c r="AO86" s="53">
        <f>[Cotação]/[VPA]</f>
        <v>5.2825929265330904</v>
      </c>
      <c r="AP86" s="37">
        <f>IF(Tabela3[[#This Row],[Lucro/Ação]]&gt;0,Tabela3[[#This Row],[Cotação]]/(Tabela3[[#This Row],[Lucro/Ação]]/[Ref]*4),0)</f>
        <v>0</v>
      </c>
      <c r="AQ86" s="84">
        <f>[Lucro Distribuir]/[Total Ações]</f>
        <v>0</v>
      </c>
      <c r="AR8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6" s="10" t="str">
        <f>IF(AND([% A.A.]&gt;=5%,SUMPRODUCT(N([Nome]=Tabela3[[#This Row],[Nome]]),[PL])&gt;0,[Rentabilidade s/ PL]&gt;=[Rentabilidade s/ PL Média]),"Sim","Não")</f>
        <v>Não</v>
      </c>
      <c r="AT86" s="22">
        <f>IF([Cotação]&gt;0,Tabela3[[#This Row],[Lucro]]/Tabela3[[#This Row],[Cotação]],0)</f>
        <v>0</v>
      </c>
      <c r="AU86" s="22">
        <f>((1+Tabela3[[#This Row],[% Yield]])^(1/(3*Tabela3[[#This Row],[Ref]])))^(12)-1</f>
        <v>0</v>
      </c>
      <c r="AV86" s="10">
        <f>IF([Cotação]&gt;0,($BH$1/Tabela3[[#This Row],[Cotação]]-MOD($BH$1/Tabela3[[#This Row],[Cotação]],100)),)</f>
        <v>2500</v>
      </c>
      <c r="AW86" s="7">
        <f>Tabela3[[#This Row],[Ativos]]*[Lucro]</f>
        <v>0</v>
      </c>
      <c r="AX86" s="7">
        <f>SUMPRODUCT(N(Tabela1[Código]=Tabela3[[#This Row],[PAPEL]]),Tabela1[Fechamento])</f>
        <v>0</v>
      </c>
      <c r="AY86" s="7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0.31</v>
      </c>
    </row>
    <row r="87" spans="1:54" ht="11.25" customHeight="1">
      <c r="A87" s="3" t="s">
        <v>855</v>
      </c>
      <c r="B87" s="58" t="s">
        <v>1015</v>
      </c>
      <c r="C87" s="16" t="str">
        <f>LEFT([PAPEL],LEN([PAPEL])-(LEN([PAPEL])-4))</f>
        <v>SPRI</v>
      </c>
      <c r="D87" s="16">
        <v>3</v>
      </c>
      <c r="E87" s="5">
        <v>78245643.75</v>
      </c>
      <c r="F87" s="56">
        <v>6404160</v>
      </c>
      <c r="G87" s="80">
        <v>0.3</v>
      </c>
      <c r="H87" s="86"/>
      <c r="J87" s="18"/>
      <c r="K87" s="16"/>
      <c r="L87" s="86"/>
      <c r="M87" s="54"/>
      <c r="N87" s="54"/>
      <c r="O87" s="54"/>
      <c r="P87" s="90">
        <v>107145000</v>
      </c>
      <c r="Q87" s="73">
        <v>-10860000</v>
      </c>
      <c r="R87" s="73">
        <f>IF(Tabela3[[#This Row],[Ativo || Passivo]]&gt;0,Tabela3[[#This Row],[Ativo || Passivo]]-Tabela3[[#This Row],[Patrimônio Líquido]],0)</f>
        <v>0</v>
      </c>
      <c r="S87" s="73">
        <f>Tabela3[[#This Row],[Cotação]]*Tabela3[[#This Row],[Total Ações]]</f>
        <v>43000150.200000003</v>
      </c>
      <c r="T87" s="37">
        <f>IF(Tabela3[[#This Row],[Passivo Circulante]]&gt;0,Tabela3[[#This Row],[Ativo Circulante]]/Tabela3[[#This Row],[Passivo Circulante]],0)</f>
        <v>0</v>
      </c>
      <c r="U8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7" s="18">
        <f>IF(Tabela3[[#This Row],[Lucro Líquido]]&gt;0,Tabela3[[#This Row],[Lucro Líquido]]/Tabela3[[#This Row],[Patrimônio Líquido]],0)/Tabela3[[#This Row],[Ref]]*4</f>
        <v>0</v>
      </c>
      <c r="W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7" s="18">
        <f>IF(Tabela3[[#This Row],[Dívida]]&gt;0,Tabela3[[#This Row],[Dívida]]/Tabela3[[#This Row],[Patrimônio Líquido]],0)</f>
        <v>0</v>
      </c>
      <c r="Y87" s="18">
        <f>SUMPRODUCT(N([Dívida / PL]&gt;0),N(RIGHT([PAPEL],LEN([PAPEL])-(LEN([PAPEL])-1))="3"),[Dívida / PL])/SUMPRODUCT(N([Dívida / PL]&gt;0),N(RIGHT([PAPEL],LEN([PAPEL])-(LEN([PAPEL])-1))="3"))</f>
        <v>2.2435702141443779</v>
      </c>
      <c r="Z87" s="7">
        <f>Tabela3[[#This Row],[Capital Social]]*20%</f>
        <v>15649128.75</v>
      </c>
      <c r="AA87" s="47">
        <f>IF(([Lucro Líquido]*5%)&gt;[Teto R. Legal],[Teto R. Legal],[Lucro Líquido]*5%)</f>
        <v>-543000</v>
      </c>
      <c r="AB87" s="47">
        <f>IF([Lucro Líquido]&lt;0,0,[Lucro Líquido]-[Reserva Legal])</f>
        <v>0</v>
      </c>
      <c r="AC87" s="47">
        <f>Tabela3[[#This Row],[Lucro Distribuir]]*[%Div]</f>
        <v>0</v>
      </c>
      <c r="AD87" s="56">
        <f>SUMPRODUCT(N([Nome]=Tabela3[[#This Row],[Nome]]),[Ações])</f>
        <v>126471030</v>
      </c>
      <c r="AE87" s="84">
        <f>[Capital Social]/[Total Ações]</f>
        <v>0.61868432438638321</v>
      </c>
      <c r="AF87" s="84">
        <f>Tabela3[[#This Row],[Lucro Líquido]]/Tabela3[[#This Row],[Total Ações]]</f>
        <v>-8.5869467497813531E-2</v>
      </c>
      <c r="AG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7" s="7">
        <f>[Div Base]*[Ações]</f>
        <v>0</v>
      </c>
      <c r="AL87" s="113">
        <f>SUMPRODUCT(N([Nome]=Tabela3[[#This Row],[Nome]]),[Div Base]*[Ações])</f>
        <v>0</v>
      </c>
      <c r="AM87" s="5">
        <f>[Patrimônio Líquido]/[Total Ações]</f>
        <v>0.84719006400121832</v>
      </c>
      <c r="AN87" s="52">
        <f>MAX(Tabela3[[#This Row],[Cotação 1]:[Cotação 5]])</f>
        <v>0.34</v>
      </c>
      <c r="AO87" s="53">
        <f>[Cotação]/[VPA]</f>
        <v>0.4013267086658267</v>
      </c>
      <c r="AP87" s="37">
        <f>IF(Tabela3[[#This Row],[Lucro/Ação]]&gt;0,Tabela3[[#This Row],[Cotação]]/(Tabela3[[#This Row],[Lucro/Ação]]/[Ref]*4),0)</f>
        <v>0</v>
      </c>
      <c r="AQ87" s="84">
        <f>[Lucro Distribuir]/[Total Ações]</f>
        <v>0</v>
      </c>
      <c r="AR8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7" s="10" t="str">
        <f>IF(AND([% A.A.]&gt;=5%,SUMPRODUCT(N([Nome]=Tabela3[[#This Row],[Nome]]),[PL])&gt;0,[Rentabilidade s/ PL]&gt;=[Rentabilidade s/ PL Média]),"Sim","Não")</f>
        <v>Não</v>
      </c>
      <c r="AT87" s="22">
        <f>IF([Cotação]&gt;0,Tabela3[[#This Row],[Lucro]]/Tabela3[[#This Row],[Cotação]],0)</f>
        <v>0</v>
      </c>
      <c r="AU87" s="22">
        <f>((1+Tabela3[[#This Row],[% Yield]])^(1/(3*Tabela3[[#This Row],[Ref]])))^(12)-1</f>
        <v>0</v>
      </c>
      <c r="AV87" s="10">
        <f>IF([Cotação]&gt;0,($BH$1/Tabela3[[#This Row],[Cotação]]-MOD($BH$1/Tabela3[[#This Row],[Cotação]],100)),)</f>
        <v>2200</v>
      </c>
      <c r="AW87" s="7">
        <f>Tabela3[[#This Row],[Ativos]]*[Lucro]</f>
        <v>0</v>
      </c>
      <c r="AX87" s="7">
        <f>SUMPRODUCT(N(Tabela1[Código]=Tabela3[[#This Row],[PAPEL]]),Tabela1[Fechamento])</f>
        <v>0</v>
      </c>
      <c r="AY87" s="7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0.34</v>
      </c>
      <c r="BB87" s="7">
        <f>SUMPRODUCT(N(Tabela17683[Código]=Tabela3[[#This Row],[PAPEL]]),Tabela17683[Fechamento])</f>
        <v>0</v>
      </c>
    </row>
    <row r="88" spans="1:54" ht="11.25" customHeight="1">
      <c r="A88" s="3" t="s">
        <v>855</v>
      </c>
      <c r="B88" s="58" t="s">
        <v>1013</v>
      </c>
      <c r="C88" s="16" t="str">
        <f>LEFT([PAPEL],LEN([PAPEL])-(LEN([PAPEL])-4))</f>
        <v>SPRI</v>
      </c>
      <c r="D88" s="16">
        <v>3</v>
      </c>
      <c r="E88" s="5">
        <v>78245643.75</v>
      </c>
      <c r="F88" s="56">
        <v>94450230</v>
      </c>
      <c r="G88" s="80">
        <v>0.25</v>
      </c>
      <c r="H88" s="86"/>
      <c r="J88" s="18"/>
      <c r="K88" s="16"/>
      <c r="L88" s="86"/>
      <c r="M88" s="54"/>
      <c r="N88" s="54"/>
      <c r="O88" s="54"/>
      <c r="P88" s="90">
        <v>107145000</v>
      </c>
      <c r="Q88" s="73">
        <v>-10860000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45529570.799999997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8" s="18">
        <f>IF(Tabela3[[#This Row],[Lucro Líquido]]&gt;0,Tabela3[[#This Row],[Lucro Líquido]]/Tabela3[[#This Row],[Patrimônio Líquido]],0)/Tabela3[[#This Row],[Ref]]*4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2.2435702141443779</v>
      </c>
      <c r="Z88" s="7">
        <f>Tabela3[[#This Row],[Capital Social]]*20%</f>
        <v>15649128.75</v>
      </c>
      <c r="AA88" s="47">
        <f>IF(([Lucro Líquido]*5%)&gt;[Teto R. Legal],[Teto R. Legal],[Lucro Líquido]*5%)</f>
        <v>-543000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126471030</v>
      </c>
      <c r="AE88" s="84">
        <f>[Capital Social]/[Total Ações]</f>
        <v>0.61868432438638321</v>
      </c>
      <c r="AF88" s="84">
        <f>Tabela3[[#This Row],[Lucro Líquido]]/Tabela3[[#This Row],[Total Ações]]</f>
        <v>-8.5869467497813531E-2</v>
      </c>
      <c r="AG8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113">
        <f>SUMPRODUCT(N([Nome]=Tabela3[[#This Row],[Nome]]),[Div Base]*[Ações])</f>
        <v>0</v>
      </c>
      <c r="AM88" s="5">
        <f>[Patrimônio Líquido]/[Total Ações]</f>
        <v>0.84719006400121832</v>
      </c>
      <c r="AN88" s="52">
        <f>MAX(Tabela3[[#This Row],[Cotação 1]:[Cotação 5]])</f>
        <v>0.36</v>
      </c>
      <c r="AO88" s="53">
        <f>[Cotação]/[VPA]</f>
        <v>0.42493416211675766</v>
      </c>
      <c r="AP88" s="37">
        <f>IF(Tabela3[[#This Row],[Lucro/Ação]]&gt;0,Tabela3[[#This Row],[Cotação]]/(Tabela3[[#This Row],[Lucro/Ação]]/[Ref]*4),0)</f>
        <v>0</v>
      </c>
      <c r="AQ88" s="84">
        <f>[Lucro Distribuir]/[Total Ações]</f>
        <v>0</v>
      </c>
      <c r="AR8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2100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0.36</v>
      </c>
      <c r="BB88" s="7">
        <f>SUMPRODUCT(N(Tabela17683[Código]=Tabela3[[#This Row],[PAPEL]]),Tabela17683[Fechamento])</f>
        <v>0</v>
      </c>
    </row>
    <row r="89" spans="1:54" ht="11.25" customHeight="1">
      <c r="A89" s="3" t="s">
        <v>1276</v>
      </c>
      <c r="B89" s="57" t="s">
        <v>1250</v>
      </c>
      <c r="C89" s="16" t="str">
        <f>LEFT([PAPEL],LEN([PAPEL])-(LEN([PAPEL])-4))</f>
        <v>PLAS</v>
      </c>
      <c r="D89" s="16">
        <v>3</v>
      </c>
      <c r="E89" s="5">
        <v>289080000</v>
      </c>
      <c r="F89" s="56">
        <v>242017574</v>
      </c>
      <c r="G89" s="80">
        <v>0.25</v>
      </c>
      <c r="H89" s="86"/>
      <c r="J89" s="18"/>
      <c r="K89" s="16"/>
      <c r="L89" s="86"/>
      <c r="M89" s="54"/>
      <c r="N89" s="54"/>
      <c r="O89" s="54"/>
      <c r="P89" s="90">
        <v>368006000</v>
      </c>
      <c r="Q89" s="73">
        <v>-54443000</v>
      </c>
      <c r="R89" s="73">
        <f>IF(Tabela3[[#This Row],[Ativo || Passivo]]&gt;0,Tabela3[[#This Row],[Ativo || Passivo]]-Tabela3[[#This Row],[Patrimônio Líquido]],0)</f>
        <v>0</v>
      </c>
      <c r="S89" s="73">
        <f>Tabela3[[#This Row],[Cotação]]*Tabela3[[#This Row],[Total Ações]]</f>
        <v>99227205.339999989</v>
      </c>
      <c r="T89" s="37">
        <f>IF(Tabela3[[#This Row],[Passivo Circulante]]&gt;0,Tabela3[[#This Row],[Ativo Circulante]]/Tabela3[[#This Row],[Passivo Circulante]],0)</f>
        <v>0</v>
      </c>
      <c r="U8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89" s="18">
        <f>IF(Tabela3[[#This Row],[Lucro Líquido]]&gt;0,Tabela3[[#This Row],[Lucro Líquido]]/Tabela3[[#This Row],[Patrimônio Líquido]],0)/Tabela3[[#This Row],[Ref]]*4</f>
        <v>0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89" s="18">
        <f>IF(Tabela3[[#This Row],[Dívida]]&gt;0,Tabela3[[#This Row],[Dívida]]/Tabela3[[#This Row],[Patrimônio Líquido]],0)</f>
        <v>0</v>
      </c>
      <c r="Y89" s="18">
        <f>SUMPRODUCT(N([Dívida / PL]&gt;0),N(RIGHT([PAPEL],LEN([PAPEL])-(LEN([PAPEL])-1))="3"),[Dívida / PL])/SUMPRODUCT(N([Dívida / PL]&gt;0),N(RIGHT([PAPEL],LEN([PAPEL])-(LEN([PAPEL])-1))="3"))</f>
        <v>2.2435702141443779</v>
      </c>
      <c r="Z89" s="7">
        <f>Tabela3[[#This Row],[Capital Social]]*20%</f>
        <v>57816000</v>
      </c>
      <c r="AA89" s="47">
        <f>IF(([Lucro Líquido]*5%)&gt;[Teto R. Legal],[Teto R. Legal],[Lucro Líquido]*5%)</f>
        <v>-2722150</v>
      </c>
      <c r="AB89" s="47">
        <f>IF([Lucro Líquido]&lt;0,0,[Lucro Líquido]-[Reserva Legal])</f>
        <v>0</v>
      </c>
      <c r="AC89" s="47">
        <f>Tabela3[[#This Row],[Lucro Distribuir]]*[%Div]</f>
        <v>0</v>
      </c>
      <c r="AD89" s="56">
        <f>SUMPRODUCT(N([Nome]=Tabela3[[#This Row],[Nome]]),[Ações])</f>
        <v>242017574</v>
      </c>
      <c r="AE89" s="84">
        <f>[Capital Social]/[Total Ações]</f>
        <v>1.1944587131511366</v>
      </c>
      <c r="AF89" s="84">
        <f>Tabela3[[#This Row],[Lucro Líquido]]/Tabela3[[#This Row],[Total Ações]]</f>
        <v>-0.22495473820425949</v>
      </c>
      <c r="AG8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9" s="7">
        <f>[Div Base]*[Ações]</f>
        <v>0</v>
      </c>
      <c r="AL89" s="113">
        <f>SUMPRODUCT(N([Nome]=Tabela3[[#This Row],[Nome]]),[Div Base]*[Ações])</f>
        <v>0</v>
      </c>
      <c r="AM89" s="5">
        <f>[Patrimônio Líquido]/[Total Ações]</f>
        <v>1.5205755264698257</v>
      </c>
      <c r="AN89" s="52">
        <f>MAX(Tabela3[[#This Row],[Cotação 1]:[Cotação 5]])</f>
        <v>0.41</v>
      </c>
      <c r="AO89" s="53">
        <f>[Cotação]/[VPA]</f>
        <v>0.26963474872692289</v>
      </c>
      <c r="AP89" s="37">
        <f>IF(Tabela3[[#This Row],[Lucro/Ação]]&gt;0,Tabela3[[#This Row],[Cotação]]/(Tabela3[[#This Row],[Lucro/Ação]]/[Ref]*4),0)</f>
        <v>0</v>
      </c>
      <c r="AQ89" s="84">
        <f>[Lucro Distribuir]/[Total Ações]</f>
        <v>0</v>
      </c>
      <c r="AR8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9" s="10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0</v>
      </c>
      <c r="AU89" s="22">
        <f>((1+Tabela3[[#This Row],[% Yield]])^(1/(3*Tabela3[[#This Row],[Ref]])))^(12)-1</f>
        <v>0</v>
      </c>
      <c r="AV89" s="10">
        <f>IF([Cotação]&gt;0,($BH$1/Tabela3[[#This Row],[Cotação]]-MOD($BH$1/Tabela3[[#This Row],[Cotação]],100)),)</f>
        <v>1800</v>
      </c>
      <c r="AW89" s="7">
        <f>Tabela3[[#This Row],[Ativos]]*[Lucro]</f>
        <v>0</v>
      </c>
      <c r="AX89" s="7">
        <f>SUMPRODUCT(N(Tabela1[Código]=Tabela3[[#This Row],[PAPEL]]),Tabela1[Fechamento])</f>
        <v>0</v>
      </c>
      <c r="AY89" s="7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0.41</v>
      </c>
    </row>
    <row r="90" spans="1:54" ht="11.25" customHeight="1">
      <c r="A90" s="24" t="s">
        <v>40</v>
      </c>
      <c r="B90" s="57" t="s">
        <v>39</v>
      </c>
      <c r="C90" s="81" t="str">
        <f>LEFT([PAPEL],LEN([PAPEL])-(LEN([PAPEL])-4))</f>
        <v>UNIP</v>
      </c>
      <c r="D90" s="15">
        <v>3</v>
      </c>
      <c r="E90" s="6">
        <v>384330953.12</v>
      </c>
      <c r="F90" s="8">
        <v>531094273</v>
      </c>
      <c r="G90" s="85">
        <v>0.25</v>
      </c>
      <c r="H90" s="19"/>
      <c r="I90" s="19">
        <v>0.1</v>
      </c>
      <c r="J90" s="19"/>
      <c r="K90" s="87"/>
      <c r="L90" s="87"/>
      <c r="M90" s="13">
        <v>1728469000</v>
      </c>
      <c r="N90" s="13">
        <v>380787000</v>
      </c>
      <c r="O90" s="13">
        <v>247703000</v>
      </c>
      <c r="P90" s="28">
        <v>740932000</v>
      </c>
      <c r="Q90" s="28">
        <v>342727000</v>
      </c>
      <c r="R90" s="28">
        <f>IF(Tabela3[[#This Row],[Ativo || Passivo]]&gt;0,Tabela3[[#This Row],[Ativo || Passivo]]-Tabela3[[#This Row],[Patrimônio Líquido]],0)</f>
        <v>987537000</v>
      </c>
      <c r="S90" s="117">
        <f>Tabela3[[#This Row],[Cotação]]*Tabela3[[#This Row],[Total Ações]]</f>
        <v>342555849.51999998</v>
      </c>
      <c r="T90" s="120">
        <f>IF(Tabela3[[#This Row],[Passivo Circulante]]&gt;0,Tabela3[[#This Row],[Ativo Circulante]]/Tabela3[[#This Row],[Passivo Circulante]],0)</f>
        <v>1.5372724593565681</v>
      </c>
      <c r="U90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0" s="49">
        <f>IF(Tabela3[[#This Row],[Lucro Líquido]]&gt;0,Tabela3[[#This Row],[Lucro Líquido]]/Tabela3[[#This Row],[Patrimônio Líquido]],0)/Tabela3[[#This Row],[Ref]]*4</f>
        <v>0.61674935531645725</v>
      </c>
      <c r="W90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0" s="49">
        <f>IF(Tabela3[[#This Row],[Dívida]]&gt;0,Tabela3[[#This Row],[Dívida]]/Tabela3[[#This Row],[Patrimônio Líquido]],0)</f>
        <v>1.3328308130840616</v>
      </c>
      <c r="Y90" s="49">
        <f>SUMPRODUCT(N([Dívida / PL]&gt;0),N(RIGHT([PAPEL],LEN([PAPEL])-(LEN([PAPEL])-1))="3"),[Dívida / PL])/SUMPRODUCT(N([Dívida / PL]&gt;0),N(RIGHT([PAPEL],LEN([PAPEL])-(LEN([PAPEL])-1))="3"))</f>
        <v>2.2435702141443779</v>
      </c>
      <c r="Z90" s="28">
        <f>Tabela3[[#This Row],[Capital Social]]*20%</f>
        <v>76866190.623999998</v>
      </c>
      <c r="AA90" s="28">
        <f>IF(([Lucro Líquido]*5%)&gt;[Teto R. Legal],[Teto R. Legal],[Lucro Líquido]*5%)</f>
        <v>17136350</v>
      </c>
      <c r="AB90" s="28">
        <f>IF([Lucro Líquido]&lt;0,0,[Lucro Líquido]-[Reserva Legal])</f>
        <v>325590650</v>
      </c>
      <c r="AC90" s="28">
        <f>Tabela3[[#This Row],[Lucro Distribuir]]*[%Div]</f>
        <v>81397662.5</v>
      </c>
      <c r="AD90" s="21">
        <f>SUMPRODUCT(N([Nome]=Tabela3[[#This Row],[Nome]]),[Ações])</f>
        <v>835502072</v>
      </c>
      <c r="AE90" s="5">
        <f>[Capital Social]/[Total Ações]</f>
        <v>0.46</v>
      </c>
      <c r="AF90" s="77">
        <f>Tabela3[[#This Row],[Lucro Líquido]]/Tabela3[[#This Row],[Total Ações]]</f>
        <v>0.4102048474632628</v>
      </c>
      <c r="AG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90" s="28">
        <f>[Div Base]*[Ações]</f>
        <v>51741143.24558714</v>
      </c>
      <c r="AL90" s="28">
        <f>SUMPRODUCT(N([Nome]=Tabela3[[#This Row],[Nome]]),[Div Base]*[Ações])</f>
        <v>81397662.5</v>
      </c>
      <c r="AM90" s="6">
        <f>[Patrimônio Líquido]/[Total Ações]</f>
        <v>0.88681048776621108</v>
      </c>
      <c r="AN90" s="48">
        <f>MAX(Tabela3[[#This Row],[Cotação 1]:[Cotação 5]])</f>
        <v>0.41</v>
      </c>
      <c r="AO90" s="44">
        <f>[Cotação]/[VPA]</f>
        <v>0.46233102298186607</v>
      </c>
      <c r="AP90" s="40">
        <f>IF(Tabela3[[#This Row],[Lucro/Ação]]&gt;0,Tabela3[[#This Row],[Cotação]]/(Tabela3[[#This Row],[Lucro/Ação]]/[Ref]*4),0)</f>
        <v>0.74962546615819581</v>
      </c>
      <c r="AQ90" s="77">
        <f>[Lucro Distribuir]/[Total Ações]</f>
        <v>0.38969460509009962</v>
      </c>
      <c r="AR90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90" s="14" t="str">
        <f>IF(AND([% A.A.]&gt;=5%,SUMPRODUCT(N([Nome]=Tabela3[[#This Row],[Nome]]),[PL])&gt;0,[Rentabilidade s/ PL]&gt;=[Rentabilidade s/ PL Média]),"Sim","Não")</f>
        <v>Sim</v>
      </c>
      <c r="AT90" s="42">
        <f>IF([Cotação]&gt;0,Tabela3[[#This Row],[Lucro]]/Tabela3[[#This Row],[Cotação]],0)</f>
        <v>0.23761866164030465</v>
      </c>
      <c r="AU90" s="19">
        <f>((1+Tabela3[[#This Row],[% Yield]])^(1/(3*Tabela3[[#This Row],[Ref]])))^(12)-1</f>
        <v>0.32876791353525037</v>
      </c>
      <c r="AV90" s="14">
        <f>IF([Cotação]&gt;0,($BH$1/Tabela3[[#This Row],[Cotação]]-MOD($BH$1/Tabela3[[#This Row],[Cotação]],100)),)</f>
        <v>1800</v>
      </c>
      <c r="AW90" s="17">
        <f>Tabela3[[#This Row],[Ativos]]*[Lucro]</f>
        <v>175.36257229054482</v>
      </c>
      <c r="AX90" s="17">
        <f>SUMPRODUCT(N(Tabela1[Código]=Tabela3[[#This Row],[PAPEL]]),Tabela1[Fechamento])</f>
        <v>0.41</v>
      </c>
      <c r="AY90" s="17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customHeight="1">
      <c r="A91" s="4" t="s">
        <v>14</v>
      </c>
      <c r="B91" s="57" t="s">
        <v>59</v>
      </c>
      <c r="C91" s="14" t="str">
        <f>LEFT([PAPEL],LEN([PAPEL])-(LEN([PAPEL])-4))</f>
        <v>BEES</v>
      </c>
      <c r="D91" s="15">
        <v>4</v>
      </c>
      <c r="E91" s="6">
        <v>725702304.53999996</v>
      </c>
      <c r="F91" s="8">
        <v>421832000</v>
      </c>
      <c r="G91" s="85">
        <v>0.25</v>
      </c>
      <c r="H91" s="15"/>
      <c r="I91" s="19"/>
      <c r="J91" s="19"/>
      <c r="K91" s="87"/>
      <c r="L91" s="87"/>
      <c r="M91" s="55">
        <v>13928557000</v>
      </c>
      <c r="N91" s="55">
        <v>8376398000</v>
      </c>
      <c r="O91" s="55">
        <v>10073478000</v>
      </c>
      <c r="P91" s="6">
        <v>967684000</v>
      </c>
      <c r="Q91" s="6">
        <v>109944000</v>
      </c>
      <c r="R91" s="6">
        <f>IF(Tabela3[[#This Row],[Ativo || Passivo]]&gt;0,Tabela3[[#This Row],[Ativo || Passivo]]-Tabela3[[#This Row],[Patrimônio Líquido]],0)</f>
        <v>12960873000</v>
      </c>
      <c r="S91" s="6">
        <f>Tabela3[[#This Row],[Cotação]]*Tabela3[[#This Row],[Total Ações]]</f>
        <v>663417007.25999999</v>
      </c>
      <c r="T91" s="121">
        <f>IF(Tabela3[[#This Row],[Passivo Circulante]]&gt;0,Tabela3[[#This Row],[Ativo Circulante]]/Tabela3[[#This Row],[Passivo Circulante]],0)</f>
        <v>0.83152988471310507</v>
      </c>
      <c r="U9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1" s="19">
        <f>IF(Tabela3[[#This Row],[Lucro Líquido]]&gt;0,Tabela3[[#This Row],[Lucro Líquido]]/Tabela3[[#This Row],[Patrimônio Líquido]],0)/Tabela3[[#This Row],[Ref]]*4</f>
        <v>0.11361560178736034</v>
      </c>
      <c r="W9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1" s="19">
        <f>IF(Tabela3[[#This Row],[Dívida]]&gt;0,Tabela3[[#This Row],[Dívida]]/Tabela3[[#This Row],[Patrimônio Líquido]],0)</f>
        <v>13.393703936408993</v>
      </c>
      <c r="Y91" s="19">
        <f>SUMPRODUCT(N([Dívida / PL]&gt;0),N(RIGHT([PAPEL],LEN([PAPEL])-(LEN([PAPEL])-1))="3"),[Dívida / PL])/SUMPRODUCT(N([Dívida / PL]&gt;0),N(RIGHT([PAPEL],LEN([PAPEL])-(LEN([PAPEL])-1))="3"))</f>
        <v>2.2435702141443779</v>
      </c>
      <c r="Z91" s="6">
        <f>Tabela3[[#This Row],[Capital Social]]*20%</f>
        <v>145140460.90799999</v>
      </c>
      <c r="AA91" s="6">
        <f>IF(([Lucro Líquido]*5%)&gt;[Teto R. Legal],[Teto R. Legal],[Lucro Líquido]*5%)</f>
        <v>5497200</v>
      </c>
      <c r="AB91" s="6">
        <f>IF([Lucro Líquido]&lt;0,0,[Lucro Líquido]-[Reserva Legal])</f>
        <v>104446800</v>
      </c>
      <c r="AC91" s="6">
        <f>Tabela3[[#This Row],[Lucro Distribuir]]*[%Div]</f>
        <v>26111700</v>
      </c>
      <c r="AD91" s="21">
        <f>SUMPRODUCT(N([Nome]=Tabela3[[#This Row],[Nome]]),[Ações])</f>
        <v>1579564303</v>
      </c>
      <c r="AE91" s="6">
        <f>[Capital Social]/[Total Ações]</f>
        <v>0.45943194788696107</v>
      </c>
      <c r="AF91" s="77">
        <f>Tabela3[[#This Row],[Lucro Líquido]]/Tabela3[[#This Row],[Total Ações]]</f>
        <v>6.9604003959312058E-2</v>
      </c>
      <c r="AG9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9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91" s="6">
        <f>[Div Base]*[Ações]</f>
        <v>6973284.097064076</v>
      </c>
      <c r="AL91" s="6">
        <f>SUMPRODUCT(N([Nome]=Tabela3[[#This Row],[Nome]]),[Div Base]*[Ações])</f>
        <v>26111700</v>
      </c>
      <c r="AM91" s="6">
        <f>[Patrimônio Líquido]/[Total Ações]</f>
        <v>0.61262716444156051</v>
      </c>
      <c r="AN91" s="48">
        <f>MAX(Tabela3[[#This Row],[Cotação 1]:[Cotação 5]])</f>
        <v>0.42</v>
      </c>
      <c r="AO91" s="44">
        <f>[Cotação]/[VPA]</f>
        <v>0.6855719504094312</v>
      </c>
      <c r="AP91" s="40">
        <f>IF(Tabela3[[#This Row],[Lucro/Ação]]&gt;0,Tabela3[[#This Row],[Cotação]]/(Tabela3[[#This Row],[Lucro/Ação]]/[Ref]*4),0)</f>
        <v>6.0341356259550318</v>
      </c>
      <c r="AQ91" s="77">
        <f>[Lucro Distribuir]/[Total Ações]</f>
        <v>6.6123803761346467E-2</v>
      </c>
      <c r="AR91" s="77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91" s="15" t="str">
        <f>IF(AND([% A.A.]&gt;=5%,SUMPRODUCT(N([Nome]=Tabela3[[#This Row],[Nome]]),[PL])&gt;0,[Rentabilidade s/ PL]&gt;=[Rentabilidade s/ PL Média]),"Sim","Não")</f>
        <v>Não</v>
      </c>
      <c r="AT91" s="42">
        <f>IF([Cotação]&gt;0,Tabela3[[#This Row],[Lucro]]/Tabela3[[#This Row],[Cotação]],0)</f>
        <v>3.9359407000801469E-2</v>
      </c>
      <c r="AU91" s="19">
        <f>((1+Tabela3[[#This Row],[% Yield]])^(1/(3*Tabela3[[#This Row],[Ref]])))^(12)-1</f>
        <v>3.9359407000800761E-2</v>
      </c>
      <c r="AV91" s="14">
        <f>IF([Cotação]&gt;0,($BH$1/Tabela3[[#This Row],[Cotação]]-MOD($BH$1/Tabela3[[#This Row],[Cotação]],100)),)</f>
        <v>1800</v>
      </c>
      <c r="AW91" s="17">
        <f>Tabela3[[#This Row],[Ativos]]*[Lucro]</f>
        <v>29.75571169260591</v>
      </c>
      <c r="AX91" s="5">
        <f>SUMPRODUCT(N(Tabela1[Código]=Tabela3[[#This Row],[PAPEL]]),Tabela1[Fechamento])</f>
        <v>0.42</v>
      </c>
      <c r="AY91" s="5">
        <f>SUMPRODUCT(N(Tabela17[Código]=Tabela3[[#This Row],[PAPEL]]),Tabela17[Fechamento])</f>
        <v>0</v>
      </c>
      <c r="AZ91" s="7">
        <f>SUMPRODUCT(N(Tabela176[Código]=Tabela3[[#This Row],[PAPEL]]),Tabela176[Fechamento])</f>
        <v>0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customHeight="1">
      <c r="A92" s="3" t="s">
        <v>855</v>
      </c>
      <c r="B92" s="58" t="s">
        <v>1014</v>
      </c>
      <c r="C92" s="16" t="str">
        <f>LEFT([PAPEL],LEN([PAPEL])-(LEN([PAPEL])-4))</f>
        <v>SPRI</v>
      </c>
      <c r="D92" s="16">
        <v>3</v>
      </c>
      <c r="E92" s="5">
        <v>78245643.75</v>
      </c>
      <c r="F92" s="56">
        <v>25616640</v>
      </c>
      <c r="G92" s="80">
        <v>0.25</v>
      </c>
      <c r="H92" s="86"/>
      <c r="I92" s="18">
        <v>0.12</v>
      </c>
      <c r="J92" s="18"/>
      <c r="K92" s="16"/>
      <c r="L92" s="86"/>
      <c r="M92" s="54"/>
      <c r="N92" s="54"/>
      <c r="O92" s="54"/>
      <c r="P92" s="90">
        <v>107145000</v>
      </c>
      <c r="Q92" s="73">
        <v>-10860000</v>
      </c>
      <c r="R92" s="73">
        <f>IF(Tabela3[[#This Row],[Ativo || Passivo]]&gt;0,Tabela3[[#This Row],[Ativo || Passivo]]-Tabela3[[#This Row],[Patrimônio Líquido]],0)</f>
        <v>0</v>
      </c>
      <c r="S92" s="73">
        <f>Tabela3[[#This Row],[Cotação]]*Tabela3[[#This Row],[Total Ações]]</f>
        <v>53117832.600000001</v>
      </c>
      <c r="T92" s="37">
        <f>IF(Tabela3[[#This Row],[Passivo Circulante]]&gt;0,Tabela3[[#This Row],[Ativo Circulante]]/Tabela3[[#This Row],[Passivo Circulante]],0)</f>
        <v>0</v>
      </c>
      <c r="U9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2" s="18">
        <f>IF(Tabela3[[#This Row],[Lucro Líquido]]&gt;0,Tabela3[[#This Row],[Lucro Líquido]]/Tabela3[[#This Row],[Patrimônio Líquido]],0)/Tabela3[[#This Row],[Ref]]*4</f>
        <v>0</v>
      </c>
      <c r="W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2" s="18">
        <f>IF(Tabela3[[#This Row],[Dívida]]&gt;0,Tabela3[[#This Row],[Dívida]]/Tabela3[[#This Row],[Patrimônio Líquido]],0)</f>
        <v>0</v>
      </c>
      <c r="Y92" s="18">
        <f>SUMPRODUCT(N([Dívida / PL]&gt;0),N(RIGHT([PAPEL],LEN([PAPEL])-(LEN([PAPEL])-1))="3"),[Dívida / PL])/SUMPRODUCT(N([Dívida / PL]&gt;0),N(RIGHT([PAPEL],LEN([PAPEL])-(LEN([PAPEL])-1))="3"))</f>
        <v>2.2435702141443779</v>
      </c>
      <c r="Z92" s="7">
        <f>Tabela3[[#This Row],[Capital Social]]*20%</f>
        <v>15649128.75</v>
      </c>
      <c r="AA92" s="47">
        <f>IF(([Lucro Líquido]*5%)&gt;[Teto R. Legal],[Teto R. Legal],[Lucro Líquido]*5%)</f>
        <v>-543000</v>
      </c>
      <c r="AB92" s="47">
        <f>IF([Lucro Líquido]&lt;0,0,[Lucro Líquido]-[Reserva Legal])</f>
        <v>0</v>
      </c>
      <c r="AC92" s="47">
        <f>Tabela3[[#This Row],[Lucro Distribuir]]*[%Div]</f>
        <v>0</v>
      </c>
      <c r="AD92" s="56">
        <f>SUMPRODUCT(N([Nome]=Tabela3[[#This Row],[Nome]]),[Ações])</f>
        <v>126471030</v>
      </c>
      <c r="AE92" s="84">
        <f>[Capital Social]/[Total Ações]</f>
        <v>0.61868432438638321</v>
      </c>
      <c r="AF92" s="84">
        <f>Tabela3[[#This Row],[Lucro Líquido]]/Tabela3[[#This Row],[Total Ações]]</f>
        <v>-8.5869467497813531E-2</v>
      </c>
      <c r="AG9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7">
        <f>[Div Base]*[Ações]</f>
        <v>0</v>
      </c>
      <c r="AL92" s="113">
        <f>SUMPRODUCT(N([Nome]=Tabela3[[#This Row],[Nome]]),[Div Base]*[Ações])</f>
        <v>0</v>
      </c>
      <c r="AM92" s="5">
        <f>[Patrimônio Líquido]/[Total Ações]</f>
        <v>0.84719006400121832</v>
      </c>
      <c r="AN92" s="52">
        <f>MAX(Tabela3[[#This Row],[Cotação 1]:[Cotação 5]])</f>
        <v>0.42</v>
      </c>
      <c r="AO92" s="53">
        <f>[Cotação]/[VPA]</f>
        <v>0.4957565224695506</v>
      </c>
      <c r="AP92" s="37">
        <f>IF(Tabela3[[#This Row],[Lucro/Ação]]&gt;0,Tabela3[[#This Row],[Cotação]]/(Tabela3[[#This Row],[Lucro/Ação]]/[Ref]*4),0)</f>
        <v>0</v>
      </c>
      <c r="AQ92" s="84">
        <f>[Lucro Distribuir]/[Total Ações]</f>
        <v>0</v>
      </c>
      <c r="AR9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0" t="str">
        <f>IF(AND([% A.A.]&gt;=5%,SUMPRODUCT(N([Nome]=Tabela3[[#This Row],[Nome]]),[PL])&gt;0,[Rentabilidade s/ PL]&gt;=[Rentabilidade s/ PL Média]),"Sim","Não")</f>
        <v>Não</v>
      </c>
      <c r="AT92" s="22">
        <f>IF([Cotação]&gt;0,Tabela3[[#This Row],[Lucro]]/Tabela3[[#This Row],[Cotação]],0)</f>
        <v>0</v>
      </c>
      <c r="AU92" s="22">
        <f>((1+Tabela3[[#This Row],[% Yield]])^(1/(3*Tabela3[[#This Row],[Ref]])))^(12)-1</f>
        <v>0</v>
      </c>
      <c r="AV92" s="10">
        <f>IF([Cotação]&gt;0,($BH$1/Tabela3[[#This Row],[Cotação]]-MOD($BH$1/Tabela3[[#This Row],[Cotação]],100)),)</f>
        <v>1800</v>
      </c>
      <c r="AW92" s="7">
        <f>Tabela3[[#This Row],[Ativos]]*[Lucro]</f>
        <v>0</v>
      </c>
      <c r="AX92" s="7">
        <f>SUMPRODUCT(N(Tabela1[Código]=Tabela3[[#This Row],[PAPEL]]),Tabela1[Fechamento])</f>
        <v>0</v>
      </c>
      <c r="AY92" s="7">
        <f>SUMPRODUCT(N(Tabela17[Código]=Tabela3[[#This Row],[PAPEL]]),Tabela17[Fechamento])</f>
        <v>0</v>
      </c>
      <c r="AZ92" s="7">
        <f>SUMPRODUCT(N(Tabela176[Código]=Tabela3[[#This Row],[PAPEL]]),Tabela176[Fechamento])</f>
        <v>0</v>
      </c>
      <c r="BA92" s="7">
        <f>SUMPRODUCT(N(Tabela1768[Código]=Tabela3[[#This Row],[PAPEL]]),Tabela1768[Fechamento])</f>
        <v>0.42</v>
      </c>
      <c r="BB92" s="7">
        <f>SUMPRODUCT(N(Tabela17683[Código]=Tabela3[[#This Row],[PAPEL]]),Tabela17683[Fechamento])</f>
        <v>0</v>
      </c>
    </row>
    <row r="93" spans="1:54" ht="11.25" customHeight="1">
      <c r="A93" s="4" t="s">
        <v>14</v>
      </c>
      <c r="B93" s="57" t="s">
        <v>58</v>
      </c>
      <c r="C93" s="14" t="str">
        <f>LEFT([PAPEL],LEN([PAPEL])-(LEN([PAPEL])-4))</f>
        <v>BEES</v>
      </c>
      <c r="D93" s="15">
        <v>4</v>
      </c>
      <c r="E93" s="6">
        <v>725702304.53999996</v>
      </c>
      <c r="F93" s="8">
        <v>1157732303</v>
      </c>
      <c r="G93" s="80">
        <v>0.25</v>
      </c>
      <c r="H93" s="15"/>
      <c r="I93" s="19"/>
      <c r="J93" s="19"/>
      <c r="K93" s="87"/>
      <c r="L93" s="87"/>
      <c r="M93" s="55">
        <v>13928557000</v>
      </c>
      <c r="N93" s="55">
        <v>8376398000</v>
      </c>
      <c r="O93" s="55">
        <v>10073478000</v>
      </c>
      <c r="P93" s="6">
        <v>967684000</v>
      </c>
      <c r="Q93" s="149">
        <v>109944000</v>
      </c>
      <c r="R93" s="6">
        <f>IF(Tabela3[[#This Row],[Ativo || Passivo]]&gt;0,Tabela3[[#This Row],[Ativo || Passivo]]-Tabela3[[#This Row],[Patrimônio Líquido]],0)</f>
        <v>12960873000</v>
      </c>
      <c r="S93" s="6">
        <f>Tabela3[[#This Row],[Cotação]]*Tabela3[[#This Row],[Total Ações]]</f>
        <v>679212650.28999996</v>
      </c>
      <c r="T93" s="121">
        <f>IF(Tabela3[[#This Row],[Passivo Circulante]]&gt;0,Tabela3[[#This Row],[Ativo Circulante]]/Tabela3[[#This Row],[Passivo Circulante]],0)</f>
        <v>0.83152988471310507</v>
      </c>
      <c r="U9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3" s="19">
        <f>IF(Tabela3[[#This Row],[Lucro Líquido]]&gt;0,Tabela3[[#This Row],[Lucro Líquido]]/Tabela3[[#This Row],[Patrimônio Líquido]],0)/Tabela3[[#This Row],[Ref]]*4</f>
        <v>0.11361560178736034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3" s="19">
        <f>IF(Tabela3[[#This Row],[Dívida]]&gt;0,Tabela3[[#This Row],[Dívida]]/Tabela3[[#This Row],[Patrimônio Líquido]],0)</f>
        <v>13.393703936408993</v>
      </c>
      <c r="Y93" s="19">
        <f>SUMPRODUCT(N([Dívida / PL]&gt;0),N(RIGHT([PAPEL],LEN([PAPEL])-(LEN([PAPEL])-1))="3"),[Dívida / PL])/SUMPRODUCT(N([Dívida / PL]&gt;0),N(RIGHT([PAPEL],LEN([PAPEL])-(LEN([PAPEL])-1))="3"))</f>
        <v>2.2435702141443779</v>
      </c>
      <c r="Z93" s="6">
        <f>Tabela3[[#This Row],[Capital Social]]*20%</f>
        <v>145140460.90799999</v>
      </c>
      <c r="AA93" s="6">
        <f>IF(([Lucro Líquido]*5%)&gt;[Teto R. Legal],[Teto R. Legal],[Lucro Líquido]*5%)</f>
        <v>5497200</v>
      </c>
      <c r="AB93" s="6">
        <f>IF([Lucro Líquido]&lt;0,0,[Lucro Líquido]-[Reserva Legal])</f>
        <v>104446800</v>
      </c>
      <c r="AC93" s="6">
        <f>Tabela3[[#This Row],[Lucro Distribuir]]*[%Div]</f>
        <v>26111700</v>
      </c>
      <c r="AD93" s="21">
        <f>SUMPRODUCT(N([Nome]=Tabela3[[#This Row],[Nome]]),[Ações])</f>
        <v>1579564303</v>
      </c>
      <c r="AE93" s="6">
        <f>[Capital Social]/[Total Ações]</f>
        <v>0.45943194788696107</v>
      </c>
      <c r="AF93" s="77">
        <f>Tabela3[[#This Row],[Lucro Líquido]]/Tabela3[[#This Row],[Total Ações]]</f>
        <v>6.9604003959312058E-2</v>
      </c>
      <c r="AG9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9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93" s="6">
        <f>[Div Base]*[Ações]</f>
        <v>19138415.902935926</v>
      </c>
      <c r="AL93" s="6">
        <f>SUMPRODUCT(N([Nome]=Tabela3[[#This Row],[Nome]]),[Div Base]*[Ações])</f>
        <v>26111700</v>
      </c>
      <c r="AM93" s="6">
        <f>[Patrimônio Líquido]/[Total Ações]</f>
        <v>0.61262716444156051</v>
      </c>
      <c r="AN93" s="48">
        <f>MAX(Tabela3[[#This Row],[Cotação 1]:[Cotação 5]])</f>
        <v>0.43</v>
      </c>
      <c r="AO93" s="44">
        <f>[Cotação]/[VPA]</f>
        <v>0.70189509208584622</v>
      </c>
      <c r="AP93" s="40">
        <f>IF(Tabela3[[#This Row],[Lucro/Ação]]&gt;0,Tabela3[[#This Row],[Cotação]]/(Tabela3[[#This Row],[Lucro/Ação]]/[Ref]*4),0)</f>
        <v>6.1778055218111039</v>
      </c>
      <c r="AQ93" s="77">
        <f>[Lucro Distribuir]/[Total Ações]</f>
        <v>6.6123803761346467E-2</v>
      </c>
      <c r="AR93" s="77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93" s="15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3.84440719542712E-2</v>
      </c>
      <c r="AU93" s="19">
        <f>((1+Tabela3[[#This Row],[% Yield]])^(1/(3*Tabela3[[#This Row],[Ref]])))^(12)-1</f>
        <v>3.8444071954271575E-2</v>
      </c>
      <c r="AV93" s="14">
        <f>IF([Cotação]&gt;0,($BH$1/Tabela3[[#This Row],[Cotação]]-MOD($BH$1/Tabela3[[#This Row],[Cotação]],100)),)</f>
        <v>1800</v>
      </c>
      <c r="AW93" s="17">
        <f>Tabela3[[#This Row],[Ativos]]*[Lucro]</f>
        <v>29.75571169260591</v>
      </c>
      <c r="AX93" s="5">
        <f>SUMPRODUCT(N(Tabela1[Código]=Tabela3[[#This Row],[PAPEL]]),Tabela1[Fechamento])</f>
        <v>0.43</v>
      </c>
      <c r="AY93" s="5">
        <f>SUMPRODUCT(N(Tabela17[Código]=Tabela3[[#This Row],[PAPEL]]),Tabela17[Fechamento])</f>
        <v>0</v>
      </c>
      <c r="AZ93" s="7">
        <f>SUMPRODUCT(N(Tabela176[Código]=Tabela3[[#This Row],[PAPEL]]),Tabela176[Fechamento])</f>
        <v>0</v>
      </c>
      <c r="BA93" s="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customHeight="1">
      <c r="A94" s="4" t="s">
        <v>12</v>
      </c>
      <c r="B94" s="115" t="s">
        <v>457</v>
      </c>
      <c r="C94" s="15" t="str">
        <f>LEFT([PAPEL],LEN([PAPEL])-(LEN([PAPEL])-4))</f>
        <v>CELP</v>
      </c>
      <c r="D94" s="15">
        <v>4</v>
      </c>
      <c r="E94" s="6">
        <v>924523856.14999998</v>
      </c>
      <c r="F94" s="8">
        <v>1201249</v>
      </c>
      <c r="G94" s="80">
        <v>0.25</v>
      </c>
      <c r="H94" s="15"/>
      <c r="I94" s="19">
        <v>0.03</v>
      </c>
      <c r="J94" s="19"/>
      <c r="K94" s="87"/>
      <c r="L94" s="87"/>
      <c r="M94" s="55">
        <v>4469736000</v>
      </c>
      <c r="N94" s="55">
        <v>1095750000</v>
      </c>
      <c r="O94" s="55">
        <v>1001311000</v>
      </c>
      <c r="P94" s="91">
        <v>394077000</v>
      </c>
      <c r="Q94" s="127">
        <v>-228787000</v>
      </c>
      <c r="R94" s="92">
        <f>IF(Tabela3[[#This Row],[Ativo || Passivo]]&gt;0,Tabela3[[#This Row],[Ativo || Passivo]]-Tabela3[[#This Row],[Patrimônio Líquido]],0)</f>
        <v>4075659000</v>
      </c>
      <c r="S94" s="92">
        <f>Tabela3[[#This Row],[Cotação]]*Tabela3[[#This Row],[Total Ações]]</f>
        <v>953724903.5</v>
      </c>
      <c r="T94" s="40">
        <f>IF(Tabela3[[#This Row],[Passivo Circulante]]&gt;0,Tabela3[[#This Row],[Ativo Circulante]]/Tabela3[[#This Row],[Passivo Circulante]],0)</f>
        <v>1.0943153525727771</v>
      </c>
      <c r="U9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4" s="19">
        <f>IF(Tabela3[[#This Row],[Lucro Líquido]]&gt;0,Tabela3[[#This Row],[Lucro Líquido]]/Tabela3[[#This Row],[Patrimônio Líquido]],0)/Tabela3[[#This Row],[Ref]]*4</f>
        <v>0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4" s="19">
        <f>IF(Tabela3[[#This Row],[Dívida]]&gt;0,Tabela3[[#This Row],[Dívida]]/Tabela3[[#This Row],[Patrimônio Líquido]],0)</f>
        <v>10.342290973591455</v>
      </c>
      <c r="Y94" s="19">
        <f>SUMPRODUCT(N([Dívida / PL]&gt;0),N(RIGHT([PAPEL],LEN([PAPEL])-(LEN([PAPEL])-1))="3"),[Dívida / PL])/SUMPRODUCT(N([Dívida / PL]&gt;0),N(RIGHT([PAPEL],LEN([PAPEL])-(LEN([PAPEL])-1))="3"))</f>
        <v>2.2435702141443779</v>
      </c>
      <c r="Z94" s="13">
        <f>Tabela3[[#This Row],[Capital Social]]*20%</f>
        <v>184904771.23000002</v>
      </c>
      <c r="AA94" s="13">
        <f>IF(([Lucro Líquido]*5%)&gt;[Teto R. Legal],[Teto R. Legal],[Lucro Líquido]*5%)</f>
        <v>-11439350</v>
      </c>
      <c r="AB94" s="13">
        <f>IF([Lucro Líquido]&lt;0,0,[Lucro Líquido]-[Reserva Legal])</f>
        <v>0</v>
      </c>
      <c r="AC94" s="13">
        <f>Tabela3[[#This Row],[Lucro Distribuir]]*[%Div]</f>
        <v>0</v>
      </c>
      <c r="AD94" s="56">
        <f>SUMPRODUCT(N([Nome]=Tabela3[[#This Row],[Nome]]),[Ações])</f>
        <v>1907449807</v>
      </c>
      <c r="AE94" s="6">
        <f>[Capital Social]/[Total Ações]</f>
        <v>0.4846910533410434</v>
      </c>
      <c r="AF94" s="77">
        <f>Tabela3[[#This Row],[Lucro Líquido]]/Tabela3[[#This Row],[Total Ações]]</f>
        <v>-0.11994391630143691</v>
      </c>
      <c r="AG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4" s="13">
        <f>[Div Base]*[Ações]</f>
        <v>0</v>
      </c>
      <c r="AL94" s="13">
        <f>SUMPRODUCT(N([Nome]=Tabela3[[#This Row],[Nome]]),[Div Base]*[Ações])</f>
        <v>0</v>
      </c>
      <c r="AM94" s="6">
        <f>[Patrimônio Líquido]/[Total Ações]</f>
        <v>0.20659888325963169</v>
      </c>
      <c r="AN94" s="48">
        <f>MAX(Tabela3[[#This Row],[Cotação 1]:[Cotação 5]])</f>
        <v>0.5</v>
      </c>
      <c r="AO94" s="44">
        <f>[Cotação]/[VPA]</f>
        <v>2.4201486092819424</v>
      </c>
      <c r="AP94" s="40">
        <f>IF(Tabela3[[#This Row],[Lucro/Ação]]&gt;0,Tabela3[[#This Row],[Cotação]]/(Tabela3[[#This Row],[Lucro/Ação]]/[Ref]*4),0)</f>
        <v>0</v>
      </c>
      <c r="AQ94" s="77">
        <f>[Lucro Distribuir]/[Total Ações]</f>
        <v>0</v>
      </c>
      <c r="AR9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4" s="14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0</v>
      </c>
      <c r="AU94" s="42">
        <f>((1+Tabela3[[#This Row],[% Yield]])^(1/(3*Tabela3[[#This Row],[Ref]])))^(12)-1</f>
        <v>0</v>
      </c>
      <c r="AV94" s="14">
        <f>IF([Cotação]&gt;0,($BH$1/Tabela3[[#This Row],[Cotação]]-MOD($BH$1/Tabela3[[#This Row],[Cotação]],100)),)</f>
        <v>1500</v>
      </c>
      <c r="AW94" s="17">
        <f>Tabela3[[#This Row],[Ativos]]*[Lucro]</f>
        <v>0</v>
      </c>
      <c r="AX94" s="17">
        <f>SUMPRODUCT(N(Tabela1[Código]=Tabela3[[#This Row],[PAPEL]]),Tabela1[Fechamento])</f>
        <v>0</v>
      </c>
      <c r="AY94" s="17">
        <f>SUMPRODUCT(N(Tabela17[Código]=Tabela3[[#This Row],[PAPEL]]),Tabela17[Fechamento])</f>
        <v>0.5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customHeight="1">
      <c r="A95" s="4" t="s">
        <v>308</v>
      </c>
      <c r="B95" s="57" t="s">
        <v>673</v>
      </c>
      <c r="C95" s="15" t="str">
        <f>LEFT([PAPEL],LEN([PAPEL])-(LEN([PAPEL])-4))</f>
        <v>MTIG</v>
      </c>
      <c r="D95" s="16">
        <v>3</v>
      </c>
      <c r="E95" s="6">
        <v>48319313.140000001</v>
      </c>
      <c r="F95" s="8">
        <v>104172000</v>
      </c>
      <c r="G95" s="85">
        <v>0.25</v>
      </c>
      <c r="H95" s="15"/>
      <c r="I95" s="19"/>
      <c r="J95" s="19"/>
      <c r="K95" s="87"/>
      <c r="L95" s="87"/>
      <c r="M95" s="55"/>
      <c r="N95" s="55"/>
      <c r="O95" s="55"/>
      <c r="P95" s="91">
        <v>26342000</v>
      </c>
      <c r="Q95" s="92">
        <v>-19296000</v>
      </c>
      <c r="R95" s="92">
        <f>IF(Tabela3[[#This Row],[Ativo || Passivo]]&gt;0,Tabela3[[#This Row],[Ativo || Passivo]]-Tabela3[[#This Row],[Patrimônio Líquido]],0)</f>
        <v>0</v>
      </c>
      <c r="S95" s="92">
        <f>Tabela3[[#This Row],[Cotação]]*Tabela3[[#This Row],[Total Ações]]</f>
        <v>156258000</v>
      </c>
      <c r="T95" s="40">
        <f>IF(Tabela3[[#This Row],[Passivo Circulante]]&gt;0,Tabela3[[#This Row],[Ativo Circulante]]/Tabela3[[#This Row],[Passivo Circulante]],0)</f>
        <v>0</v>
      </c>
      <c r="U9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5" s="19">
        <f>IF(Tabela3[[#This Row],[Lucro Líquido]]&gt;0,Tabela3[[#This Row],[Lucro Líquido]]/Tabela3[[#This Row],[Patrimônio Líquido]],0)/Tabela3[[#This Row],[Ref]]*4</f>
        <v>0</v>
      </c>
      <c r="W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5" s="19">
        <f>IF(Tabela3[[#This Row],[Dívida]]&gt;0,Tabela3[[#This Row],[Dívida]]/Tabela3[[#This Row],[Patrimônio Líquido]],0)</f>
        <v>0</v>
      </c>
      <c r="Y95" s="19">
        <f>SUMPRODUCT(N([Dívida / PL]&gt;0),N(RIGHT([PAPEL],LEN([PAPEL])-(LEN([PAPEL])-1))="3"),[Dívida / PL])/SUMPRODUCT(N([Dívida / PL]&gt;0),N(RIGHT([PAPEL],LEN([PAPEL])-(LEN([PAPEL])-1))="3"))</f>
        <v>2.2435702141443779</v>
      </c>
      <c r="Z95" s="13">
        <f>Tabela3[[#This Row],[Capital Social]]*20%</f>
        <v>9663862.6280000005</v>
      </c>
      <c r="AA95" s="13">
        <f>IF(([Lucro Líquido]*5%)&gt;[Teto R. Legal],[Teto R. Legal],[Lucro Líquido]*5%)</f>
        <v>-964800</v>
      </c>
      <c r="AB95" s="13">
        <f>IF([Lucro Líquido]&lt;0,0,[Lucro Líquido]-[Reserva Legal])</f>
        <v>0</v>
      </c>
      <c r="AC95" s="13">
        <f>Tabela3[[#This Row],[Lucro Distribuir]]*[%Div]</f>
        <v>0</v>
      </c>
      <c r="AD95" s="56">
        <f>SUMPRODUCT(N([Nome]=Tabela3[[#This Row],[Nome]]),[Ações])</f>
        <v>312516000</v>
      </c>
      <c r="AE95" s="6">
        <f>[Capital Social]/[Total Ações]</f>
        <v>0.15461388581704616</v>
      </c>
      <c r="AF95" s="77">
        <f>Tabela3[[#This Row],[Lucro Líquido]]/Tabela3[[#This Row],[Total Ações]]</f>
        <v>-6.1744038705218295E-2</v>
      </c>
      <c r="AG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5" s="13">
        <f>[Div Base]*[Ações]</f>
        <v>0</v>
      </c>
      <c r="AL95" s="13">
        <f>SUMPRODUCT(N([Nome]=Tabela3[[#This Row],[Nome]]),[Div Base]*[Ações])</f>
        <v>0</v>
      </c>
      <c r="AM95" s="6">
        <f>[Patrimônio Líquido]/[Total Ações]</f>
        <v>8.4290084347681399E-2</v>
      </c>
      <c r="AN95" s="48">
        <f>MAX(Tabela3[[#This Row],[Cotação 1]:[Cotação 5]])</f>
        <v>0.5</v>
      </c>
      <c r="AO95" s="44">
        <f>[Cotação]/[VPA]</f>
        <v>5.9318958317515751</v>
      </c>
      <c r="AP95" s="40">
        <f>IF(Tabela3[[#This Row],[Lucro/Ação]]&gt;0,Tabela3[[#This Row],[Cotação]]/(Tabela3[[#This Row],[Lucro/Ação]]/[Ref]*4),0)</f>
        <v>0</v>
      </c>
      <c r="AQ95" s="77">
        <f>[Lucro Distribuir]/[Total Ações]</f>
        <v>0</v>
      </c>
      <c r="AR9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5" s="14" t="str">
        <f>IF(AND([% A.A.]&gt;=5%,SUMPRODUCT(N([Nome]=Tabela3[[#This Row],[Nome]]),[PL])&gt;0,[Rentabilidade s/ PL]&gt;=[Rentabilidade s/ PL Média]),"Sim","Não")</f>
        <v>Não</v>
      </c>
      <c r="AT95" s="42">
        <f>IF([Cotação]&gt;0,Tabela3[[#This Row],[Lucro]]/Tabela3[[#This Row],[Cotação]],0)</f>
        <v>0</v>
      </c>
      <c r="AU95" s="42">
        <f>((1+Tabela3[[#This Row],[% Yield]])^(1/(3*Tabela3[[#This Row],[Ref]])))^(12)-1</f>
        <v>0</v>
      </c>
      <c r="AV95" s="14">
        <f>IF([Cotação]&gt;0,($BH$1/Tabela3[[#This Row],[Cotação]]-MOD($BH$1/Tabela3[[#This Row],[Cotação]],100)),)</f>
        <v>1500</v>
      </c>
      <c r="AW95" s="17">
        <f>Tabela3[[#This Row],[Ativos]]*[Lucro]</f>
        <v>0</v>
      </c>
      <c r="AX95" s="17">
        <f>SUMPRODUCT(N(Tabela1[Código]=Tabela3[[#This Row],[PAPEL]]),Tabela1[Fechamento])</f>
        <v>0</v>
      </c>
      <c r="AY95" s="17">
        <f>SUMPRODUCT(N(Tabela17[Código]=Tabela3[[#This Row],[PAPEL]]),Tabela17[Fechamento])</f>
        <v>0</v>
      </c>
      <c r="AZ95" s="17">
        <f>SUMPRODUCT(N(Tabela176[Código]=Tabela3[[#This Row],[PAPEL]]),Tabela176[Fechamento])</f>
        <v>0.5</v>
      </c>
      <c r="BA95" s="17">
        <f>SUMPRODUCT(N(Tabela1768[Código]=Tabela3[[#This Row],[PAPEL]]),Tabela1768[Fechamento])</f>
        <v>0</v>
      </c>
      <c r="BB95" s="7">
        <f>SUMPRODUCT(N(Tabela17683[Código]=Tabela3[[#This Row],[PAPEL]]),Tabela17683[Fechamento])</f>
        <v>0</v>
      </c>
    </row>
    <row r="96" spans="1:54" ht="11.25" customHeight="1">
      <c r="A96" s="4" t="s">
        <v>40</v>
      </c>
      <c r="B96" s="115" t="s">
        <v>637</v>
      </c>
      <c r="C96" s="15" t="str">
        <f>LEFT([PAPEL],LEN([PAPEL])-(LEN([PAPEL])-4))</f>
        <v>GPCP</v>
      </c>
      <c r="D96" s="15">
        <v>3</v>
      </c>
      <c r="E96" s="6">
        <v>210200000</v>
      </c>
      <c r="F96" s="8">
        <v>358849702</v>
      </c>
      <c r="G96" s="85">
        <v>0.25</v>
      </c>
      <c r="H96" s="15"/>
      <c r="I96" s="19"/>
      <c r="J96" s="19"/>
      <c r="K96" s="87"/>
      <c r="L96" s="87"/>
      <c r="M96" s="55"/>
      <c r="N96" s="55"/>
      <c r="O96" s="55"/>
      <c r="P96" s="91">
        <v>69900000</v>
      </c>
      <c r="Q96" s="92">
        <v>-65107000</v>
      </c>
      <c r="R96" s="92">
        <f>IF(Tabela3[[#This Row],[Ativo || Passivo]]&gt;0,Tabela3[[#This Row],[Ativo || Passivo]]-Tabela3[[#This Row],[Patrimônio Líquido]],0)</f>
        <v>0</v>
      </c>
      <c r="S96" s="92">
        <f>Tabela3[[#This Row],[Cotação]]*Tabela3[[#This Row],[Total Ações]]</f>
        <v>190190342.06</v>
      </c>
      <c r="T96" s="40">
        <f>IF(Tabela3[[#This Row],[Passivo Circulante]]&gt;0,Tabela3[[#This Row],[Ativo Circulante]]/Tabela3[[#This Row],[Passivo Circulante]],0)</f>
        <v>0</v>
      </c>
      <c r="U9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6" s="19">
        <f>IF(Tabela3[[#This Row],[Lucro Líquido]]&gt;0,Tabela3[[#This Row],[Lucro Líquido]]/Tabela3[[#This Row],[Patrimônio Líquido]],0)/Tabela3[[#This Row],[Ref]]*4</f>
        <v>0</v>
      </c>
      <c r="W9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6" s="19">
        <f>IF(Tabela3[[#This Row],[Dívida]]&gt;0,Tabela3[[#This Row],[Dívida]]/Tabela3[[#This Row],[Patrimônio Líquido]],0)</f>
        <v>0</v>
      </c>
      <c r="Y96" s="19">
        <f>SUMPRODUCT(N([Dívida / PL]&gt;0),N(RIGHT([PAPEL],LEN([PAPEL])-(LEN([PAPEL])-1))="3"),[Dívida / PL])/SUMPRODUCT(N([Dívida / PL]&gt;0),N(RIGHT([PAPEL],LEN([PAPEL])-(LEN([PAPEL])-1))="3"))</f>
        <v>2.2435702141443779</v>
      </c>
      <c r="Z96" s="13">
        <f>Tabela3[[#This Row],[Capital Social]]*20%</f>
        <v>42040000</v>
      </c>
      <c r="AA96" s="13">
        <f>IF(([Lucro Líquido]*5%)&gt;[Teto R. Legal],[Teto R. Legal],[Lucro Líquido]*5%)</f>
        <v>-3255350</v>
      </c>
      <c r="AB96" s="13">
        <f>IF([Lucro Líquido]&lt;0,0,[Lucro Líquido]-[Reserva Legal])</f>
        <v>0</v>
      </c>
      <c r="AC96" s="13">
        <f>Tabela3[[#This Row],[Lucro Distribuir]]*[%Div]</f>
        <v>0</v>
      </c>
      <c r="AD96" s="56">
        <f>SUMPRODUCT(N([Nome]=Tabela3[[#This Row],[Nome]]),[Ações])</f>
        <v>358849702</v>
      </c>
      <c r="AE96" s="6">
        <f>[Capital Social]/[Total Ações]</f>
        <v>0.58576055331376586</v>
      </c>
      <c r="AF96" s="77">
        <f>Tabela3[[#This Row],[Lucro Líquido]]/Tabela3[[#This Row],[Total Ações]]</f>
        <v>-0.18143250401807495</v>
      </c>
      <c r="AG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6" s="13">
        <f>[Div Base]*[Ações]</f>
        <v>0</v>
      </c>
      <c r="AL96" s="13">
        <f>SUMPRODUCT(N([Nome]=Tabela3[[#This Row],[Nome]]),[Div Base]*[Ações])</f>
        <v>0</v>
      </c>
      <c r="AM96" s="6">
        <f>[Patrimônio Líquido]/[Total Ações]</f>
        <v>0.19478907077370236</v>
      </c>
      <c r="AN96" s="48">
        <f>MAX(Tabela3[[#This Row],[Cotação 1]:[Cotação 5]])</f>
        <v>0.53</v>
      </c>
      <c r="AO96" s="44">
        <f>[Cotação]/[VPA]</f>
        <v>2.7208918749642348</v>
      </c>
      <c r="AP96" s="40">
        <f>IF(Tabela3[[#This Row],[Lucro/Ação]]&gt;0,Tabela3[[#This Row],[Cotação]]/(Tabela3[[#This Row],[Lucro/Ação]]/[Ref]*4),0)</f>
        <v>0</v>
      </c>
      <c r="AQ96" s="77">
        <f>[Lucro Distribuir]/[Total Ações]</f>
        <v>0</v>
      </c>
      <c r="AR9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6" s="14" t="str">
        <f>IF(AND([% A.A.]&gt;=5%,SUMPRODUCT(N([Nome]=Tabela3[[#This Row],[Nome]]),[PL])&gt;0,[Rentabilidade s/ PL]&gt;=[Rentabilidade s/ PL Média]),"Sim","Não")</f>
        <v>Não</v>
      </c>
      <c r="AT96" s="42">
        <f>IF([Cotação]&gt;0,Tabela3[[#This Row],[Lucro]]/Tabela3[[#This Row],[Cotação]],0)</f>
        <v>0</v>
      </c>
      <c r="AU96" s="42">
        <f>((1+Tabela3[[#This Row],[% Yield]])^(1/(3*Tabela3[[#This Row],[Ref]])))^(12)-1</f>
        <v>0</v>
      </c>
      <c r="AV96" s="14">
        <f>IF([Cotação]&gt;0,($BH$1/Tabela3[[#This Row],[Cotação]]-MOD($BH$1/Tabela3[[#This Row],[Cotação]],100)),)</f>
        <v>1400</v>
      </c>
      <c r="AW96" s="17">
        <f>Tabela3[[#This Row],[Ativos]]*[Lucro]</f>
        <v>0</v>
      </c>
      <c r="AX96" s="17">
        <f>SUMPRODUCT(N(Tabela1[Código]=Tabela3[[#This Row],[PAPEL]]),Tabela1[Fechamento])</f>
        <v>0</v>
      </c>
      <c r="AY96" s="17">
        <f>SUMPRODUCT(N(Tabela17[Código]=Tabela3[[#This Row],[PAPEL]]),Tabela17[Fechamento])</f>
        <v>0</v>
      </c>
      <c r="AZ96" s="17">
        <f>SUMPRODUCT(N(Tabela176[Código]=Tabela3[[#This Row],[PAPEL]]),Tabela176[Fechamento])</f>
        <v>0.53</v>
      </c>
      <c r="BA96" s="17">
        <f>SUMPRODUCT(N(Tabela1768[Código]=Tabela3[[#This Row],[PAPEL]]),Tabela1768[Fechamento])</f>
        <v>0</v>
      </c>
      <c r="BB96" s="7">
        <f>SUMPRODUCT(N(Tabela17683[Código]=Tabela3[[#This Row],[PAPEL]]),Tabela17683[Fechamento])</f>
        <v>0</v>
      </c>
    </row>
    <row r="97" spans="1:54" ht="11.25" customHeight="1">
      <c r="A97" s="4" t="s">
        <v>325</v>
      </c>
      <c r="B97" s="115" t="s">
        <v>606</v>
      </c>
      <c r="C97" s="15" t="str">
        <f>LEFT([PAPEL],LEN([PAPEL])-(LEN([PAPEL])-4))</f>
        <v>MGEL</v>
      </c>
      <c r="D97" s="15">
        <v>3</v>
      </c>
      <c r="E97" s="6">
        <v>171272996.66999999</v>
      </c>
      <c r="F97" s="8">
        <v>11147908</v>
      </c>
      <c r="G97" s="85">
        <v>0.25</v>
      </c>
      <c r="H97" s="9"/>
      <c r="I97" s="19"/>
      <c r="J97" s="19">
        <v>0.1</v>
      </c>
      <c r="K97" s="87"/>
      <c r="L97" s="87"/>
      <c r="M97" s="55"/>
      <c r="N97" s="55"/>
      <c r="O97" s="55"/>
      <c r="P97" s="91">
        <v>-64885000</v>
      </c>
      <c r="Q97" s="92">
        <v>-32917000</v>
      </c>
      <c r="R97" s="92">
        <f>IF(Tabela3[[#This Row],[Ativo || Passivo]]&gt;0,Tabela3[[#This Row],[Ativo || Passivo]]-Tabela3[[#This Row],[Patrimônio Líquido]],0)</f>
        <v>0</v>
      </c>
      <c r="S97" s="92">
        <f>Tabela3[[#This Row],[Cotação]]*Tabela3[[#This Row],[Total Ações]]</f>
        <v>9368804.5200000014</v>
      </c>
      <c r="T97" s="40">
        <f>IF(Tabela3[[#This Row],[Passivo Circulante]]&gt;0,Tabela3[[#This Row],[Ativo Circulante]]/Tabela3[[#This Row],[Passivo Circulante]],0)</f>
        <v>0</v>
      </c>
      <c r="U9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7" s="19">
        <f>IF(Tabela3[[#This Row],[Lucro Líquido]]&gt;0,Tabela3[[#This Row],[Lucro Líquido]]/Tabela3[[#This Row],[Patrimônio Líquido]],0)/Tabela3[[#This Row],[Ref]]*4</f>
        <v>0</v>
      </c>
      <c r="W9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7" s="19">
        <f>IF(Tabela3[[#This Row],[Dívida]]&gt;0,Tabela3[[#This Row],[Dívida]]/Tabela3[[#This Row],[Patrimônio Líquido]],0)</f>
        <v>0</v>
      </c>
      <c r="Y97" s="19">
        <f>SUMPRODUCT(N([Dívida / PL]&gt;0),N(RIGHT([PAPEL],LEN([PAPEL])-(LEN([PAPEL])-1))="3"),[Dívida / PL])/SUMPRODUCT(N([Dívida / PL]&gt;0),N(RIGHT([PAPEL],LEN([PAPEL])-(LEN([PAPEL])-1))="3"))</f>
        <v>2.2435702141443779</v>
      </c>
      <c r="Z97" s="13">
        <f>Tabela3[[#This Row],[Capital Social]]*20%</f>
        <v>34254599.333999999</v>
      </c>
      <c r="AA97" s="13">
        <f>IF(([Lucro Líquido]*5%)&gt;[Teto R. Legal],[Teto R. Legal],[Lucro Líquido]*5%)</f>
        <v>-1645850</v>
      </c>
      <c r="AB97" s="13">
        <f>IF([Lucro Líquido]&lt;0,0,[Lucro Líquido]-[Reserva Legal])</f>
        <v>0</v>
      </c>
      <c r="AC97" s="13">
        <f>Tabela3[[#This Row],[Lucro Distribuir]]*[%Div]</f>
        <v>0</v>
      </c>
      <c r="AD97" s="56">
        <f>SUMPRODUCT(N([Nome]=Tabela3[[#This Row],[Nome]]),[Ações])</f>
        <v>17349638</v>
      </c>
      <c r="AE97" s="6">
        <f>[Capital Social]/[Total Ações]</f>
        <v>9.871848431073893</v>
      </c>
      <c r="AF97" s="77">
        <f>Tabela3[[#This Row],[Lucro Líquido]]/Tabela3[[#This Row],[Total Ações]]</f>
        <v>-1.8972730151487887</v>
      </c>
      <c r="AG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7" s="13">
        <f>[Div Base]*[Ações]</f>
        <v>0</v>
      </c>
      <c r="AL97" s="13">
        <f>SUMPRODUCT(N([Nome]=Tabela3[[#This Row],[Nome]]),[Div Base]*[Ações])</f>
        <v>0</v>
      </c>
      <c r="AM97" s="6">
        <f>[Patrimônio Líquido]/[Total Ações]</f>
        <v>-3.7398474826967569</v>
      </c>
      <c r="AN97" s="48">
        <f>MAX(Tabela3[[#This Row],[Cotação 1]:[Cotação 5]])</f>
        <v>0.54</v>
      </c>
      <c r="AO97" s="44">
        <f>[Cotação]/[VPA]</f>
        <v>-0.14439091500346768</v>
      </c>
      <c r="AP97" s="40">
        <f>IF(Tabela3[[#This Row],[Lucro/Ação]]&gt;0,Tabela3[[#This Row],[Cotação]]/(Tabela3[[#This Row],[Lucro/Ação]]/[Ref]*4),0)</f>
        <v>0</v>
      </c>
      <c r="AQ97" s="77">
        <f>[Lucro Distribuir]/[Total Ações]</f>
        <v>0</v>
      </c>
      <c r="AR9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7" s="14" t="str">
        <f>IF(AND([% A.A.]&gt;=5%,SUMPRODUCT(N([Nome]=Tabela3[[#This Row],[Nome]]),[PL])&gt;0,[Rentabilidade s/ PL]&gt;=[Rentabilidade s/ PL Média]),"Sim","Não")</f>
        <v>Não</v>
      </c>
      <c r="AT97" s="42">
        <f>IF([Cotação]&gt;0,Tabela3[[#This Row],[Lucro]]/Tabela3[[#This Row],[Cotação]],0)</f>
        <v>0</v>
      </c>
      <c r="AU97" s="42">
        <f>((1+Tabela3[[#This Row],[% Yield]])^(1/(3*Tabela3[[#This Row],[Ref]])))^(12)-1</f>
        <v>0</v>
      </c>
      <c r="AV97" s="14">
        <f>IF([Cotação]&gt;0,($BH$1/Tabela3[[#This Row],[Cotação]]-MOD($BH$1/Tabela3[[#This Row],[Cotação]],100)),)</f>
        <v>1400</v>
      </c>
      <c r="AW97" s="17">
        <f>Tabela3[[#This Row],[Ativos]]*[Lucro]</f>
        <v>0</v>
      </c>
      <c r="AX97" s="17">
        <f>SUMPRODUCT(N(Tabela1[Código]=Tabela3[[#This Row],[PAPEL]]),Tabela1[Fechamento])</f>
        <v>0</v>
      </c>
      <c r="AY97" s="17">
        <f>SUMPRODUCT(N(Tabela17[Código]=Tabela3[[#This Row],[PAPEL]]),Tabela17[Fechamento])</f>
        <v>0</v>
      </c>
      <c r="AZ97" s="17">
        <f>SUMPRODUCT(N(Tabela176[Código]=Tabela3[[#This Row],[PAPEL]]),Tabela176[Fechamento])</f>
        <v>0.54</v>
      </c>
      <c r="BA97" s="1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t="11.25" customHeight="1">
      <c r="A98" s="3" t="s">
        <v>876</v>
      </c>
      <c r="B98" s="58" t="s">
        <v>945</v>
      </c>
      <c r="C98" s="16" t="str">
        <f>LEFT([PAPEL],LEN([PAPEL])-(LEN([PAPEL])-4))</f>
        <v>TENE</v>
      </c>
      <c r="D98" s="16">
        <v>3</v>
      </c>
      <c r="E98" s="5">
        <v>44070179.950000003</v>
      </c>
      <c r="F98" s="56">
        <v>286075</v>
      </c>
      <c r="G98" s="80">
        <v>0.25</v>
      </c>
      <c r="H98" s="86"/>
      <c r="I98" s="18">
        <v>0.03</v>
      </c>
      <c r="J98" s="18"/>
      <c r="K98" s="16"/>
      <c r="L98" s="86"/>
      <c r="M98" s="54"/>
      <c r="N98" s="54"/>
      <c r="O98" s="54"/>
      <c r="P98" s="90">
        <v>-37945000</v>
      </c>
      <c r="Q98" s="73">
        <v>-3753000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651667.14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8" s="18">
        <f>IF(Tabela3[[#This Row],[Lucro Líquido]]&gt;0,Tabela3[[#This Row],[Lucro Líquido]]/Tabela3[[#This Row],[Patrimônio Líquido]],0)/Tabela3[[#This Row],[Ref]]*4</f>
        <v>0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2.2435702141443779</v>
      </c>
      <c r="Z98" s="7">
        <f>Tabela3[[#This Row],[Capital Social]]*20%</f>
        <v>8814035.9900000002</v>
      </c>
      <c r="AA98" s="47">
        <f>IF(([Lucro Líquido]*5%)&gt;[Teto R. Legal],[Teto R. Legal],[Lucro Líquido]*5%)</f>
        <v>-187650</v>
      </c>
      <c r="AB98" s="47">
        <f>IF([Lucro Líquido]&lt;0,0,[Lucro Líquido]-[Reserva Legal])</f>
        <v>0</v>
      </c>
      <c r="AC98" s="47">
        <f>Tabela3[[#This Row],[Lucro Distribuir]]*[%Div]</f>
        <v>0</v>
      </c>
      <c r="AD98" s="56">
        <f>SUMPRODUCT(N([Nome]=Tabela3[[#This Row],[Nome]]),[Ações])</f>
        <v>1206791</v>
      </c>
      <c r="AE98" s="84">
        <f>[Capital Social]/[Total Ações]</f>
        <v>36.518485760997557</v>
      </c>
      <c r="AF98" s="84">
        <f>Tabela3[[#This Row],[Lucro Líquido]]/Tabela3[[#This Row],[Total Ações]]</f>
        <v>-3.1099005544456331</v>
      </c>
      <c r="AG9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8" s="7">
        <f>[Div Base]*[Ações]</f>
        <v>0</v>
      </c>
      <c r="AL98" s="7">
        <f>SUMPRODUCT(N([Nome]=Tabela3[[#This Row],[Nome]]),[Div Base]*[Ações])</f>
        <v>0</v>
      </c>
      <c r="AM98" s="5">
        <f>[Patrimônio Líquido]/[Total Ações]</f>
        <v>-31.442892762707046</v>
      </c>
      <c r="AN98" s="52">
        <f>MAX(Tabela3[[#This Row],[Cotação 1]:[Cotação 5]])</f>
        <v>0.54</v>
      </c>
      <c r="AO98" s="53">
        <f>[Cotação]/[VPA]</f>
        <v>-1.7173992357359336E-2</v>
      </c>
      <c r="AP98" s="37">
        <f>IF(Tabela3[[#This Row],[Lucro/Ação]]&gt;0,Tabela3[[#This Row],[Cotação]]/(Tabela3[[#This Row],[Lucro/Ação]]/[Ref]*4),0)</f>
        <v>0</v>
      </c>
      <c r="AQ98" s="84">
        <f>[Lucro Distribuir]/[Total Ações]</f>
        <v>0</v>
      </c>
      <c r="AR9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0</v>
      </c>
      <c r="AU98" s="22">
        <f>((1+Tabela3[[#This Row],[% Yield]])^(1/(3*Tabela3[[#This Row],[Ref]])))^(12)-1</f>
        <v>0</v>
      </c>
      <c r="AV98" s="10">
        <f>IF([Cotação]&gt;0,($BH$1/Tabela3[[#This Row],[Cotação]]-MOD($BH$1/Tabela3[[#This Row],[Cotação]],100)),)</f>
        <v>1400</v>
      </c>
      <c r="AW98" s="7">
        <f>Tabela3[[#This Row],[Ativos]]*[Lucro]</f>
        <v>0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0.54</v>
      </c>
      <c r="BB98" s="7">
        <f>SUMPRODUCT(N(Tabela17683[Código]=Tabela3[[#This Row],[PAPEL]]),Tabela17683[Fechamento])</f>
        <v>0</v>
      </c>
    </row>
    <row r="99" spans="1:54" ht="11.25" customHeight="1">
      <c r="A99" s="24" t="s">
        <v>40</v>
      </c>
      <c r="B99" s="57" t="s">
        <v>413</v>
      </c>
      <c r="C99" s="83" t="str">
        <f>LEFT([PAPEL],LEN([PAPEL])-(LEN([PAPEL])-4))</f>
        <v>UNIP</v>
      </c>
      <c r="D99" s="15">
        <v>3</v>
      </c>
      <c r="E99" s="6">
        <v>384330953.12</v>
      </c>
      <c r="F99" s="8">
        <v>278500690</v>
      </c>
      <c r="G99" s="85">
        <v>0.25</v>
      </c>
      <c r="H99" s="15"/>
      <c r="I99" s="19"/>
      <c r="J99" s="19"/>
      <c r="K99" s="87"/>
      <c r="L99" s="87"/>
      <c r="M99" s="13">
        <v>1728469000</v>
      </c>
      <c r="N99" s="13">
        <v>380787000</v>
      </c>
      <c r="O99" s="13">
        <v>247703000</v>
      </c>
      <c r="P99" s="28">
        <v>740932000</v>
      </c>
      <c r="Q99" s="28">
        <v>342727000</v>
      </c>
      <c r="R99" s="28">
        <f>IF(Tabela3[[#This Row],[Ativo || Passivo]]&gt;0,Tabela3[[#This Row],[Ativo || Passivo]]-Tabela3[[#This Row],[Patrimônio Líquido]],0)</f>
        <v>987537000</v>
      </c>
      <c r="S99" s="117">
        <f>Tabela3[[#This Row],[Cotação]]*Tabela3[[#This Row],[Total Ações]]</f>
        <v>484591201.75999999</v>
      </c>
      <c r="T99" s="120">
        <f>IF(Tabela3[[#This Row],[Passivo Circulante]]&gt;0,Tabela3[[#This Row],[Ativo Circulante]]/Tabela3[[#This Row],[Passivo Circulante]],0)</f>
        <v>1.5372724593565681</v>
      </c>
      <c r="U99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99" s="49">
        <f>IF(Tabela3[[#This Row],[Lucro Líquido]]&gt;0,Tabela3[[#This Row],[Lucro Líquido]]/Tabela3[[#This Row],[Patrimônio Líquido]],0)/Tabela3[[#This Row],[Ref]]*4</f>
        <v>0.61674935531645725</v>
      </c>
      <c r="W99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99" s="49">
        <f>IF(Tabela3[[#This Row],[Dívida]]&gt;0,Tabela3[[#This Row],[Dívida]]/Tabela3[[#This Row],[Patrimônio Líquido]],0)</f>
        <v>1.3328308130840616</v>
      </c>
      <c r="Y99" s="49">
        <f>SUMPRODUCT(N([Dívida / PL]&gt;0),N(RIGHT([PAPEL],LEN([PAPEL])-(LEN([PAPEL])-1))="3"),[Dívida / PL])/SUMPRODUCT(N([Dívida / PL]&gt;0),N(RIGHT([PAPEL],LEN([PAPEL])-(LEN([PAPEL])-1))="3"))</f>
        <v>2.2435702141443779</v>
      </c>
      <c r="Z99" s="13">
        <f>Tabela3[[#This Row],[Capital Social]]*20%</f>
        <v>76866190.623999998</v>
      </c>
      <c r="AA99" s="13">
        <f>IF(([Lucro Líquido]*5%)&gt;[Teto R. Legal],[Teto R. Legal],[Lucro Líquido]*5%)</f>
        <v>17136350</v>
      </c>
      <c r="AB99" s="13">
        <f>IF([Lucro Líquido]&lt;0,0,[Lucro Líquido]-[Reserva Legal])</f>
        <v>325590650</v>
      </c>
      <c r="AC99" s="13">
        <f>Tabela3[[#This Row],[Lucro Distribuir]]*[%Div]</f>
        <v>81397662.5</v>
      </c>
      <c r="AD99" s="21">
        <f>SUMPRODUCT(N([Nome]=Tabela3[[#This Row],[Nome]]),[Ações])</f>
        <v>835502072</v>
      </c>
      <c r="AE99" s="5">
        <f>[Capital Social]/[Total Ações]</f>
        <v>0.46</v>
      </c>
      <c r="AF99" s="77">
        <f>Tabela3[[#This Row],[Lucro Líquido]]/Tabela3[[#This Row],[Total Ações]]</f>
        <v>0.4102048474632628</v>
      </c>
      <c r="AG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99" s="13">
        <f>[Div Base]*[Ações]</f>
        <v>27132554.101717565</v>
      </c>
      <c r="AL99" s="13">
        <f>SUMPRODUCT(N([Nome]=Tabela3[[#This Row],[Nome]]),[Div Base]*[Ações])</f>
        <v>81397662.5</v>
      </c>
      <c r="AM99" s="6">
        <f>[Patrimônio Líquido]/[Total Ações]</f>
        <v>0.88681048776621108</v>
      </c>
      <c r="AN99" s="48">
        <f>MAX(Tabela3[[#This Row],[Cotação 1]:[Cotação 5]])</f>
        <v>0.57999999999999996</v>
      </c>
      <c r="AO99" s="44">
        <f>[Cotação]/[VPA]</f>
        <v>0.65402925202312756</v>
      </c>
      <c r="AP99" s="40">
        <f>IF(Tabela3[[#This Row],[Lucro/Ação]]&gt;0,Tabela3[[#This Row],[Cotação]]/(Tabela3[[#This Row],[Lucro/Ação]]/[Ref]*4),0)</f>
        <v>1.0604457813945207</v>
      </c>
      <c r="AQ99" s="77">
        <f>[Lucro Distribuir]/[Total Ações]</f>
        <v>0.38969460509009962</v>
      </c>
      <c r="AR99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99" s="15" t="str">
        <f>IF(AND([% A.A.]&gt;=5%,SUMPRODUCT(N([Nome]=Tabela3[[#This Row],[Nome]]),[PL])&gt;0,[Rentabilidade s/ PL]&gt;=[Rentabilidade s/ PL Média]),"Sim","Não")</f>
        <v>Sim</v>
      </c>
      <c r="AT99" s="42">
        <f>IF([Cotação]&gt;0,Tabela3[[#This Row],[Lucro]]/Tabela3[[#This Row],[Cotação]],0)</f>
        <v>0.16797181253883606</v>
      </c>
      <c r="AU99" s="19">
        <f>((1+Tabela3[[#This Row],[% Yield]])^(1/(3*Tabela3[[#This Row],[Ref]])))^(12)-1</f>
        <v>0.23001332339324509</v>
      </c>
      <c r="AV99" s="14">
        <f>IF([Cotação]&gt;0,($BH$1/Tabela3[[#This Row],[Cotação]]-MOD($BH$1/Tabela3[[#This Row],[Cotação]],100)),)</f>
        <v>1300</v>
      </c>
      <c r="AW99" s="17">
        <f>Tabela3[[#This Row],[Ativos]]*[Lucro]</f>
        <v>126.65074665428237</v>
      </c>
      <c r="AX99" s="13">
        <f>SUMPRODUCT(N(Tabela1[Código]=Tabela3[[#This Row],[PAPEL]]),Tabela1[Fechamento])</f>
        <v>0</v>
      </c>
      <c r="AY99" s="55">
        <f>SUMPRODUCT(N(Tabela17[Código]=Tabela3[[#This Row],[PAPEL]]),Tabela17[Fechamento])</f>
        <v>0.57999999999999996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0</v>
      </c>
    </row>
    <row r="100" spans="1:54" ht="11.25" customHeight="1">
      <c r="A100" s="3" t="s">
        <v>1019</v>
      </c>
      <c r="B100" s="57" t="s">
        <v>1050</v>
      </c>
      <c r="C100" s="16" t="str">
        <f>LEFT([PAPEL],LEN([PAPEL])-(LEN([PAPEL])-4))</f>
        <v>SGEN</v>
      </c>
      <c r="D100" s="16">
        <v>3</v>
      </c>
      <c r="E100" s="5">
        <v>55000000</v>
      </c>
      <c r="F100" s="56">
        <v>8467571070</v>
      </c>
      <c r="G100" s="80">
        <v>0.25</v>
      </c>
      <c r="H100" s="86"/>
      <c r="J100" s="18">
        <v>0.1</v>
      </c>
      <c r="K100" s="16"/>
      <c r="L100" s="86"/>
      <c r="M100" s="54"/>
      <c r="N100" s="54"/>
      <c r="O100" s="54"/>
      <c r="P100" s="90">
        <v>156980922</v>
      </c>
      <c r="Q100" s="92">
        <v>-493467</v>
      </c>
      <c r="R100" s="92">
        <f>IF(Tabela3[[#This Row],[Ativo || Passivo]]&gt;0,Tabela3[[#This Row],[Ativo || Passivo]]-Tabela3[[#This Row],[Patrimônio Líquido]],0)</f>
        <v>0</v>
      </c>
      <c r="S100" s="92">
        <f>Tabela3[[#This Row],[Cotação]]*Tabela3[[#This Row],[Total Ações]]</f>
        <v>14565019203</v>
      </c>
      <c r="T100" s="40">
        <f>IF(Tabela3[[#This Row],[Passivo Circulante]]&gt;0,Tabela3[[#This Row],[Ativo Circulante]]/Tabela3[[#This Row],[Passivo Circulante]],0)</f>
        <v>0</v>
      </c>
      <c r="U10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0" s="19">
        <f>IF(Tabela3[[#This Row],[Lucro Líquido]]&gt;0,Tabela3[[#This Row],[Lucro Líquido]]/Tabela3[[#This Row],[Patrimônio Líquido]],0)/Tabela3[[#This Row],[Ref]]*4</f>
        <v>0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2.2435702141443779</v>
      </c>
      <c r="Z100" s="7">
        <f>Tabela3[[#This Row],[Capital Social]]*20%</f>
        <v>11000000</v>
      </c>
      <c r="AA100" s="47">
        <f>IF(([Lucro Líquido]*5%)&gt;[Teto R. Legal],[Teto R. Legal],[Lucro Líquido]*5%)</f>
        <v>-24673.350000000002</v>
      </c>
      <c r="AB100" s="47">
        <f>IF([Lucro Líquido]&lt;0,0,[Lucro Líquido]-[Reserva Legal])</f>
        <v>0</v>
      </c>
      <c r="AC100" s="47">
        <f>Tabela3[[#This Row],[Lucro Distribuir]]*[%Div]</f>
        <v>0</v>
      </c>
      <c r="AD100" s="56">
        <f>SUMPRODUCT(N([Nome]=Tabela3[[#This Row],[Nome]]),[Ações])</f>
        <v>24275032005</v>
      </c>
      <c r="AE100" s="84">
        <f>[Capital Social]/[Total Ações]</f>
        <v>2.265702471109883E-3</v>
      </c>
      <c r="AF100" s="84">
        <f>Tabela3[[#This Row],[Lucro Líquido]]/Tabela3[[#This Row],[Total Ações]]</f>
        <v>-2.0328170932930559E-5</v>
      </c>
      <c r="AG10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0" s="7">
        <f>[Div Base]*[Ações]</f>
        <v>0</v>
      </c>
      <c r="AL100" s="113">
        <f>SUMPRODUCT(N([Nome]=Tabela3[[#This Row],[Nome]]),[Div Base]*[Ações])</f>
        <v>0</v>
      </c>
      <c r="AM100" s="5">
        <f>[Patrimônio Líquido]/[Total Ações]</f>
        <v>6.4667647798637784E-3</v>
      </c>
      <c r="AN100" s="52">
        <f>MAX(Tabela3[[#This Row],[Cotação 1]:[Cotação 5]])</f>
        <v>0.6</v>
      </c>
      <c r="AO100" s="53">
        <f>[Cotação]/[VPA]</f>
        <v>92.782097451306853</v>
      </c>
      <c r="AP100" s="37">
        <f>IF(Tabela3[[#This Row],[Lucro/Ação]]&gt;0,Tabela3[[#This Row],[Cotação]]/(Tabela3[[#This Row],[Lucro/Ação]]/[Ref]*4),0)</f>
        <v>0</v>
      </c>
      <c r="AQ100" s="84">
        <f>[Lucro Distribuir]/[Total Ações]</f>
        <v>0</v>
      </c>
      <c r="AR10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0" s="10" t="str">
        <f>IF(AND([% A.A.]&gt;=5%,SUMPRODUCT(N([Nome]=Tabela3[[#This Row],[Nome]]),[PL])&gt;0,[Rentabilidade s/ PL]&gt;=[Rentabilidade s/ PL Média]),"Sim","Não")</f>
        <v>Não</v>
      </c>
      <c r="AT100" s="22">
        <f>IF([Cotação]&gt;0,Tabela3[[#This Row],[Lucro]]/Tabela3[[#This Row],[Cotação]],0)</f>
        <v>0</v>
      </c>
      <c r="AU100" s="22">
        <f>((1+Tabela3[[#This Row],[% Yield]])^(1/(3*Tabela3[[#This Row],[Ref]])))^(12)-1</f>
        <v>0</v>
      </c>
      <c r="AV100" s="10">
        <f>IF([Cotação]&gt;0,($BH$1/Tabela3[[#This Row],[Cotação]]-MOD($BH$1/Tabela3[[#This Row],[Cotação]],100)),)</f>
        <v>1200</v>
      </c>
      <c r="AW100" s="7">
        <f>Tabela3[[#This Row],[Ativos]]*[Lucro]</f>
        <v>0</v>
      </c>
      <c r="AX100" s="7">
        <f>SUMPRODUCT(N(Tabela1[Código]=Tabela3[[#This Row],[PAPEL]]),Tabela1[Fechamento])</f>
        <v>0</v>
      </c>
      <c r="AY100" s="7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0.6</v>
      </c>
      <c r="BB100" s="7">
        <f>SUMPRODUCT(N(Tabela17683[Código]=Tabela3[[#This Row],[PAPEL]]),Tabela17683[Fechamento])</f>
        <v>0</v>
      </c>
    </row>
    <row r="101" spans="1:54" ht="11.25" customHeight="1">
      <c r="A101" s="96" t="s">
        <v>905</v>
      </c>
      <c r="B101" s="58" t="s">
        <v>906</v>
      </c>
      <c r="C101" s="98" t="str">
        <f>LEFT([PAPEL],LEN([PAPEL])-(LEN([PAPEL])-4))</f>
        <v>HETA</v>
      </c>
      <c r="D101" s="16">
        <v>3</v>
      </c>
      <c r="E101" s="99">
        <v>15300000</v>
      </c>
      <c r="F101" s="100">
        <v>5135950</v>
      </c>
      <c r="G101" s="101">
        <v>0.3</v>
      </c>
      <c r="H101" s="102"/>
      <c r="I101" s="103"/>
      <c r="J101" s="103"/>
      <c r="K101" s="98"/>
      <c r="L101" s="102"/>
      <c r="M101" s="126"/>
      <c r="N101" s="126"/>
      <c r="O101" s="126"/>
      <c r="P101" s="104">
        <v>-407885000</v>
      </c>
      <c r="Q101" s="105">
        <v>-27612000</v>
      </c>
      <c r="R101" s="105">
        <f>IF(Tabela3[[#This Row],[Ativo || Passivo]]&gt;0,Tabela3[[#This Row],[Ativo || Passivo]]-Tabela3[[#This Row],[Patrimônio Líquido]],0)</f>
        <v>0</v>
      </c>
      <c r="S101" s="105">
        <f>Tabela3[[#This Row],[Cotação]]*Tabela3[[#This Row],[Total Ações]]</f>
        <v>9333000</v>
      </c>
      <c r="T101" s="123">
        <f>IF(Tabela3[[#This Row],[Passivo Circulante]]&gt;0,Tabela3[[#This Row],[Ativo Circulante]]/Tabela3[[#This Row],[Passivo Circulante]],0)</f>
        <v>0</v>
      </c>
      <c r="U101" s="123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1" s="103">
        <f>IF(Tabela3[[#This Row],[Lucro Líquido]]&gt;0,Tabela3[[#This Row],[Lucro Líquido]]/Tabela3[[#This Row],[Patrimônio Líquido]],0)/Tabela3[[#This Row],[Ref]]*4</f>
        <v>0</v>
      </c>
      <c r="W101" s="103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1" s="103">
        <f>IF(Tabela3[[#This Row],[Dívida]]&gt;0,Tabela3[[#This Row],[Dívida]]/Tabela3[[#This Row],[Patrimônio Líquido]],0)</f>
        <v>0</v>
      </c>
      <c r="Y101" s="103">
        <f>SUMPRODUCT(N([Dívida / PL]&gt;0),N(RIGHT([PAPEL],LEN([PAPEL])-(LEN([PAPEL])-1))="3"),[Dívida / PL])/SUMPRODUCT(N([Dívida / PL]&gt;0),N(RIGHT([PAPEL],LEN([PAPEL])-(LEN([PAPEL])-1))="3"))</f>
        <v>2.2435702141443779</v>
      </c>
      <c r="Z101" s="106">
        <f>Tabela3[[#This Row],[Capital Social]]*20%</f>
        <v>3060000</v>
      </c>
      <c r="AA101" s="107">
        <f>IF(([Lucro Líquido]*5%)&gt;[Teto R. Legal],[Teto R. Legal],[Lucro Líquido]*5%)</f>
        <v>-1380600</v>
      </c>
      <c r="AB101" s="107">
        <f>IF([Lucro Líquido]&lt;0,0,[Lucro Líquido]-[Reserva Legal])</f>
        <v>0</v>
      </c>
      <c r="AC101" s="107">
        <f>Tabela3[[#This Row],[Lucro Distribuir]]*[%Div]</f>
        <v>0</v>
      </c>
      <c r="AD101" s="56">
        <f>SUMPRODUCT(N([Nome]=Tabela3[[#This Row],[Nome]]),[Ações])</f>
        <v>15300000</v>
      </c>
      <c r="AE101" s="108">
        <f>[Capital Social]/[Total Ações]</f>
        <v>1</v>
      </c>
      <c r="AF101" s="108">
        <f>Tabela3[[#This Row],[Lucro Líquido]]/Tabela3[[#This Row],[Total Ações]]</f>
        <v>-1.8047058823529412</v>
      </c>
      <c r="AG101" s="10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1" s="10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10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10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1" s="106">
        <f>[Div Base]*[Ações]</f>
        <v>0</v>
      </c>
      <c r="AL101" s="106">
        <f>SUMPRODUCT(N([Nome]=Tabela3[[#This Row],[Nome]]),[Div Base]*[Ações])</f>
        <v>0</v>
      </c>
      <c r="AM101" s="99">
        <f>[Patrimônio Líquido]/[Total Ações]</f>
        <v>-26.659150326797384</v>
      </c>
      <c r="AN101" s="110">
        <f>MAX(Tabela3[[#This Row],[Cotação 1]:[Cotação 5]])</f>
        <v>0.61</v>
      </c>
      <c r="AO101" s="111">
        <f>[Cotação]/[VPA]</f>
        <v>-2.288144942814764E-2</v>
      </c>
      <c r="AP101" s="37">
        <f>IF(Tabela3[[#This Row],[Lucro/Ação]]&gt;0,Tabela3[[#This Row],[Cotação]]/(Tabela3[[#This Row],[Lucro/Ação]]/[Ref]*4),0)</f>
        <v>0</v>
      </c>
      <c r="AQ101" s="108">
        <f>[Lucro Distribuir]/[Total Ações]</f>
        <v>0</v>
      </c>
      <c r="AR101" s="10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1" s="97" t="str">
        <f>IF(AND([% A.A.]&gt;=5%,SUMPRODUCT(N([Nome]=Tabela3[[#This Row],[Nome]]),[PL])&gt;0,[Rentabilidade s/ PL]&gt;=[Rentabilidade s/ PL Média]),"Sim","Não")</f>
        <v>Não</v>
      </c>
      <c r="AT101" s="112">
        <f>IF([Cotação]&gt;0,Tabela3[[#This Row],[Lucro]]/Tabela3[[#This Row],[Cotação]],0)</f>
        <v>0</v>
      </c>
      <c r="AU101" s="112">
        <f>((1+Tabela3[[#This Row],[% Yield]])^(1/(3*Tabela3[[#This Row],[Ref]])))^(12)-1</f>
        <v>0</v>
      </c>
      <c r="AV101" s="97">
        <f>IF([Cotação]&gt;0,($BH$1/Tabela3[[#This Row],[Cotação]]-MOD($BH$1/Tabela3[[#This Row],[Cotação]],100)),)</f>
        <v>1200</v>
      </c>
      <c r="AW101" s="106">
        <f>Tabela3[[#This Row],[Ativos]]*[Lucro]</f>
        <v>0</v>
      </c>
      <c r="AX101" s="106">
        <f>SUMPRODUCT(N(Tabela1[Código]=Tabela3[[#This Row],[PAPEL]]),Tabela1[Fechamento])</f>
        <v>0</v>
      </c>
      <c r="AY101" s="106">
        <f>SUMPRODUCT(N(Tabela17[Código]=Tabela3[[#This Row],[PAPEL]]),Tabela17[Fechamento])</f>
        <v>0</v>
      </c>
      <c r="AZ101" s="106">
        <f>SUMPRODUCT(N(Tabela176[Código]=Tabela3[[#This Row],[PAPEL]]),Tabela176[Fechamento])</f>
        <v>0</v>
      </c>
      <c r="BA101" s="106">
        <f>SUMPRODUCT(N(Tabela1768[Código]=Tabela3[[#This Row],[PAPEL]]),Tabela1768[Fechamento])</f>
        <v>0.61</v>
      </c>
      <c r="BB101" s="7">
        <f>SUMPRODUCT(N(Tabela17683[Código]=Tabela3[[#This Row],[PAPEL]]),Tabela17683[Fechamento])</f>
        <v>0</v>
      </c>
    </row>
    <row r="102" spans="1:54" ht="11.25" customHeight="1">
      <c r="A102" s="3" t="s">
        <v>876</v>
      </c>
      <c r="B102" s="58" t="s">
        <v>931</v>
      </c>
      <c r="C102" s="16" t="str">
        <f>LEFT([PAPEL],LEN([PAPEL])-(LEN([PAPEL])-4))</f>
        <v>CTKA</v>
      </c>
      <c r="D102" s="16">
        <v>3</v>
      </c>
      <c r="E102" s="5">
        <v>60000000</v>
      </c>
      <c r="F102" s="56">
        <v>8285296</v>
      </c>
      <c r="G102" s="80">
        <v>0.35</v>
      </c>
      <c r="H102" s="86"/>
      <c r="J102" s="18">
        <v>0.1</v>
      </c>
      <c r="K102" s="16"/>
      <c r="L102" s="86"/>
      <c r="M102" s="54"/>
      <c r="N102" s="54"/>
      <c r="O102" s="54"/>
      <c r="P102" s="90">
        <v>3518000</v>
      </c>
      <c r="Q102" s="73">
        <v>-32852000</v>
      </c>
      <c r="R102" s="73">
        <f>IF(Tabela3[[#This Row],[Ativo || Passivo]]&gt;0,Tabela3[[#This Row],[Ativo || Passivo]]-Tabela3[[#This Row],[Patrimônio Líquido]],0)</f>
        <v>0</v>
      </c>
      <c r="S102" s="73">
        <f>Tabela3[[#This Row],[Cotação]]*Tabela3[[#This Row],[Total Ações]]</f>
        <v>9075872.6099999994</v>
      </c>
      <c r="T102" s="37">
        <f>IF(Tabela3[[#This Row],[Passivo Circulante]]&gt;0,Tabela3[[#This Row],[Ativo Circulante]]/Tabela3[[#This Row],[Passivo Circulante]],0)</f>
        <v>0</v>
      </c>
      <c r="U10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2" s="18">
        <f>IF(Tabela3[[#This Row],[Lucro Líquido]]&gt;0,Tabela3[[#This Row],[Lucro Líquido]]/Tabela3[[#This Row],[Patrimônio Líquido]],0)/Tabela3[[#This Row],[Ref]]*4</f>
        <v>0</v>
      </c>
      <c r="W10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2" s="18">
        <f>IF(Tabela3[[#This Row],[Dívida]]&gt;0,Tabela3[[#This Row],[Dívida]]/Tabela3[[#This Row],[Patrimônio Líquido]],0)</f>
        <v>0</v>
      </c>
      <c r="Y102" s="18">
        <f>SUMPRODUCT(N([Dívida / PL]&gt;0),N(RIGHT([PAPEL],LEN([PAPEL])-(LEN([PAPEL])-1))="3"),[Dívida / PL])/SUMPRODUCT(N([Dívida / PL]&gt;0),N(RIGHT([PAPEL],LEN([PAPEL])-(LEN([PAPEL])-1))="3"))</f>
        <v>2.2435702141443779</v>
      </c>
      <c r="Z102" s="7">
        <f>Tabela3[[#This Row],[Capital Social]]*20%</f>
        <v>12000000</v>
      </c>
      <c r="AA102" s="47">
        <f>IF(([Lucro Líquido]*5%)&gt;[Teto R. Legal],[Teto R. Legal],[Lucro Líquido]*5%)</f>
        <v>-1642600</v>
      </c>
      <c r="AB102" s="47">
        <f>IF([Lucro Líquido]&lt;0,0,[Lucro Líquido]-[Reserva Legal])</f>
        <v>0</v>
      </c>
      <c r="AC102" s="47">
        <f>Tabela3[[#This Row],[Lucro Distribuir]]*[%Div]</f>
        <v>0</v>
      </c>
      <c r="AD102" s="56">
        <f>SUMPRODUCT(N([Nome]=Tabela3[[#This Row],[Nome]]),[Ações])</f>
        <v>14406147</v>
      </c>
      <c r="AE102" s="84">
        <f>[Capital Social]/[Total Ações]</f>
        <v>4.1648887797688028</v>
      </c>
      <c r="AF102" s="84">
        <f>Tabela3[[#This Row],[Lucro Líquido]]/Tabela3[[#This Row],[Total Ações]]</f>
        <v>-2.2804154365494118</v>
      </c>
      <c r="AG10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2" s="7">
        <f>[Div Base]*[Ações]</f>
        <v>0</v>
      </c>
      <c r="AL102" s="7">
        <f>SUMPRODUCT(N([Nome]=Tabela3[[#This Row],[Nome]]),[Div Base]*[Ações])</f>
        <v>0</v>
      </c>
      <c r="AM102" s="5">
        <f>[Patrimônio Líquido]/[Total Ações]</f>
        <v>0.24420131212044413</v>
      </c>
      <c r="AN102" s="52">
        <f>MAX(Tabela3[[#This Row],[Cotação 1]:[Cotação 5]])</f>
        <v>0.63</v>
      </c>
      <c r="AO102" s="53">
        <f>[Cotação]/[VPA]</f>
        <v>2.5798387180216031</v>
      </c>
      <c r="AP102" s="37">
        <f>IF(Tabela3[[#This Row],[Lucro/Ação]]&gt;0,Tabela3[[#This Row],[Cotação]]/(Tabela3[[#This Row],[Lucro/Ação]]/[Ref]*4),0)</f>
        <v>0</v>
      </c>
      <c r="AQ102" s="84">
        <f>[Lucro Distribuir]/[Total Ações]</f>
        <v>0</v>
      </c>
      <c r="AR10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2" s="10" t="str">
        <f>IF(AND([% A.A.]&gt;=5%,SUMPRODUCT(N([Nome]=Tabela3[[#This Row],[Nome]]),[PL])&gt;0,[Rentabilidade s/ PL]&gt;=[Rentabilidade s/ PL Média]),"Sim","Não")</f>
        <v>Não</v>
      </c>
      <c r="AT102" s="22">
        <f>IF([Cotação]&gt;0,Tabela3[[#This Row],[Lucro]]/Tabela3[[#This Row],[Cotação]],0)</f>
        <v>0</v>
      </c>
      <c r="AU102" s="22">
        <f>((1+Tabela3[[#This Row],[% Yield]])^(1/(3*Tabela3[[#This Row],[Ref]])))^(12)-1</f>
        <v>0</v>
      </c>
      <c r="AV102" s="10">
        <f>IF([Cotação]&gt;0,($BH$1/Tabela3[[#This Row],[Cotação]]-MOD($BH$1/Tabela3[[#This Row],[Cotação]],100)),)</f>
        <v>1200</v>
      </c>
      <c r="AW102" s="7">
        <f>Tabela3[[#This Row],[Ativos]]*[Lucro]</f>
        <v>0</v>
      </c>
      <c r="AX102" s="7">
        <f>SUMPRODUCT(N(Tabela1[Código]=Tabela3[[#This Row],[PAPEL]]),Tabela1[Fechamento])</f>
        <v>0</v>
      </c>
      <c r="AY102" s="7">
        <f>SUMPRODUCT(N(Tabela17[Código]=Tabela3[[#This Row],[PAPEL]]),Tabela17[Fechamento])</f>
        <v>0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0.63</v>
      </c>
      <c r="BB102" s="7">
        <f>SUMPRODUCT(N(Tabela17683[Código]=Tabela3[[#This Row],[PAPEL]]),Tabela17683[Fechamento])</f>
        <v>0</v>
      </c>
    </row>
    <row r="103" spans="1:54" ht="11.25" customHeight="1">
      <c r="A103" s="24" t="s">
        <v>40</v>
      </c>
      <c r="B103" s="57" t="s">
        <v>73</v>
      </c>
      <c r="C103" s="83" t="str">
        <f>LEFT([PAPEL],LEN([PAPEL])-(LEN([PAPEL])-4))</f>
        <v>UNIP</v>
      </c>
      <c r="D103" s="15">
        <v>3</v>
      </c>
      <c r="E103" s="6">
        <v>384330953.12</v>
      </c>
      <c r="F103" s="8">
        <v>25907109</v>
      </c>
      <c r="G103" s="80">
        <v>0.25</v>
      </c>
      <c r="H103" s="15"/>
      <c r="I103" s="19">
        <v>0.1</v>
      </c>
      <c r="J103" s="19"/>
      <c r="K103" s="87"/>
      <c r="L103" s="87"/>
      <c r="M103" s="13">
        <v>1728469000</v>
      </c>
      <c r="N103" s="13">
        <v>380787000</v>
      </c>
      <c r="O103" s="13">
        <v>247703000</v>
      </c>
      <c r="P103" s="28">
        <v>740932000</v>
      </c>
      <c r="Q103" s="28">
        <v>342727000</v>
      </c>
      <c r="R103" s="28">
        <f>IF(Tabela3[[#This Row],[Ativo || Passivo]]&gt;0,Tabela3[[#This Row],[Ativo || Passivo]]-Tabela3[[#This Row],[Patrimônio Líquido]],0)</f>
        <v>987537000</v>
      </c>
      <c r="S103" s="117">
        <f>Tabela3[[#This Row],[Cotação]]*Tabela3[[#This Row],[Total Ações]]</f>
        <v>534721326.07999998</v>
      </c>
      <c r="T103" s="120">
        <f>IF(Tabela3[[#This Row],[Passivo Circulante]]&gt;0,Tabela3[[#This Row],[Ativo Circulante]]/Tabela3[[#This Row],[Passivo Circulante]],0)</f>
        <v>1.5372724593565681</v>
      </c>
      <c r="U10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3" s="49">
        <f>IF(Tabela3[[#This Row],[Lucro Líquido]]&gt;0,Tabela3[[#This Row],[Lucro Líquido]]/Tabela3[[#This Row],[Patrimônio Líquido]],0)/Tabela3[[#This Row],[Ref]]*4</f>
        <v>0.61674935531645725</v>
      </c>
      <c r="W10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3" s="49">
        <f>IF(Tabela3[[#This Row],[Dívida]]&gt;0,Tabela3[[#This Row],[Dívida]]/Tabela3[[#This Row],[Patrimônio Líquido]],0)</f>
        <v>1.3328308130840616</v>
      </c>
      <c r="Y103" s="49">
        <f>SUMPRODUCT(N([Dívida / PL]&gt;0),N(RIGHT([PAPEL],LEN([PAPEL])-(LEN([PAPEL])-1))="3"),[Dívida / PL])/SUMPRODUCT(N([Dívida / PL]&gt;0),N(RIGHT([PAPEL],LEN([PAPEL])-(LEN([PAPEL])-1))="3"))</f>
        <v>2.2435702141443779</v>
      </c>
      <c r="Z103" s="13">
        <f>Tabela3[[#This Row],[Capital Social]]*20%</f>
        <v>76866190.623999998</v>
      </c>
      <c r="AA103" s="13">
        <f>IF(([Lucro Líquido]*5%)&gt;[Teto R. Legal],[Teto R. Legal],[Lucro Líquido]*5%)</f>
        <v>17136350</v>
      </c>
      <c r="AB103" s="13">
        <f>IF([Lucro Líquido]&lt;0,0,[Lucro Líquido]-[Reserva Legal])</f>
        <v>325590650</v>
      </c>
      <c r="AC103" s="13">
        <f>Tabela3[[#This Row],[Lucro Distribuir]]*[%Div]</f>
        <v>81397662.5</v>
      </c>
      <c r="AD103" s="21">
        <f>SUMPRODUCT(N([Nome]=Tabela3[[#This Row],[Nome]]),[Ações])</f>
        <v>835502072</v>
      </c>
      <c r="AE103" s="5">
        <f>[Capital Social]/[Total Ações]</f>
        <v>0.46</v>
      </c>
      <c r="AF103" s="77">
        <f>Tabela3[[#This Row],[Lucro Líquido]]/Tabela3[[#This Row],[Total Ações]]</f>
        <v>0.4102048474632628</v>
      </c>
      <c r="AG1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1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1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103" s="13">
        <f>[Div Base]*[Ações]</f>
        <v>2523965.1526952912</v>
      </c>
      <c r="AL103" s="13">
        <f>SUMPRODUCT(N([Nome]=Tabela3[[#This Row],[Nome]]),[Div Base]*[Ações])</f>
        <v>81397662.5</v>
      </c>
      <c r="AM103" s="6">
        <f>[Patrimônio Líquido]/[Total Ações]</f>
        <v>0.88681048776621108</v>
      </c>
      <c r="AN103" s="48">
        <f>MAX(Tabela3[[#This Row],[Cotação 1]:[Cotação 5]])</f>
        <v>0.64</v>
      </c>
      <c r="AO103" s="44">
        <f>[Cotação]/[VPA]</f>
        <v>0.72168745050827876</v>
      </c>
      <c r="AP103" s="40">
        <f>IF(Tabela3[[#This Row],[Lucro/Ação]]&gt;0,Tabela3[[#This Row],[Cotação]]/(Tabela3[[#This Row],[Lucro/Ação]]/[Ref]*4),0)</f>
        <v>1.1701470691249887</v>
      </c>
      <c r="AQ103" s="77">
        <f>[Lucro Distribuir]/[Total Ações]</f>
        <v>0.38969460509009962</v>
      </c>
      <c r="AR103" s="77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103" s="15" t="str">
        <f>IF(AND([% A.A.]&gt;=5%,SUMPRODUCT(N([Nome]=Tabela3[[#This Row],[Nome]]),[PL])&gt;0,[Rentabilidade s/ PL]&gt;=[Rentabilidade s/ PL Média]),"Sim","Não")</f>
        <v>Sim</v>
      </c>
      <c r="AT103" s="42">
        <f>IF([Cotação]&gt;0,Tabela3[[#This Row],[Lucro]]/Tabela3[[#This Row],[Cotação]],0)</f>
        <v>0.15222445511332017</v>
      </c>
      <c r="AU103" s="19">
        <f>((1+Tabela3[[#This Row],[% Yield]])^(1/(3*Tabela3[[#This Row],[Ref]])))^(12)-1</f>
        <v>0.20795137200229741</v>
      </c>
      <c r="AV103" s="14">
        <f>IF([Cotação]&gt;0,($BH$1/Tabela3[[#This Row],[Cotação]]-MOD($BH$1/Tabela3[[#This Row],[Cotação]],100)),)</f>
        <v>1200</v>
      </c>
      <c r="AW103" s="17">
        <f>Tabela3[[#This Row],[Ativos]]*[Lucro]</f>
        <v>116.90838152702989</v>
      </c>
      <c r="AX103" s="13">
        <f>SUMPRODUCT(N(Tabela1[Código]=Tabela3[[#This Row],[PAPEL]]),Tabela1[Fechamento])</f>
        <v>0.64</v>
      </c>
      <c r="AY103" s="55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</v>
      </c>
    </row>
    <row r="104" spans="1:54" ht="11.25" customHeight="1">
      <c r="A104" s="3" t="s">
        <v>1141</v>
      </c>
      <c r="B104" s="57" t="s">
        <v>1143</v>
      </c>
      <c r="C104" s="16" t="str">
        <f>LEFT([PAPEL],LEN([PAPEL])-(LEN([PAPEL])-4))</f>
        <v>IMBI</v>
      </c>
      <c r="D104" s="16">
        <v>3</v>
      </c>
      <c r="E104" s="5">
        <v>11238171.720000001</v>
      </c>
      <c r="F104" s="56">
        <v>30006942</v>
      </c>
      <c r="G104" s="80">
        <v>0.25</v>
      </c>
      <c r="H104" s="86"/>
      <c r="J104" s="18">
        <v>0.1</v>
      </c>
      <c r="K104" s="16"/>
      <c r="L104" s="86"/>
      <c r="M104" s="54"/>
      <c r="N104" s="54"/>
      <c r="O104" s="54"/>
      <c r="P104" s="90">
        <v>60300000</v>
      </c>
      <c r="Q104" s="73">
        <v>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119098310.32000001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2.2435702141443779</v>
      </c>
      <c r="Z104" s="7">
        <f>Tabela3[[#This Row],[Capital Social]]*20%</f>
        <v>2247634.344</v>
      </c>
      <c r="AA104" s="47">
        <f>IF(([Lucro Líquido]*5%)&gt;[Teto R. Legal],[Teto R. Legal],[Lucro Líquido]*5%)</f>
        <v>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175144574</v>
      </c>
      <c r="AE104" s="84">
        <f>[Capital Social]/[Total Ações]</f>
        <v>6.4165114929566711E-2</v>
      </c>
      <c r="AF104" s="84">
        <f>Tabela3[[#This Row],[Lucro Líquido]]/Tabela3[[#This Row],[Total Ações]]</f>
        <v>0</v>
      </c>
      <c r="AG1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13">
        <f>SUMPRODUCT(N([Nome]=Tabela3[[#This Row],[Nome]]),[Div Base]*[Ações])</f>
        <v>0</v>
      </c>
      <c r="AM104" s="5">
        <f>[Patrimônio Líquido]/[Total Ações]</f>
        <v>0.34428700029268394</v>
      </c>
      <c r="AN104" s="52">
        <f>MAX(Tabela3[[#This Row],[Cotação 1]:[Cotação 5]])</f>
        <v>0.68</v>
      </c>
      <c r="AO104" s="53">
        <f>[Cotação]/[VPA]</f>
        <v>1.9750963568822555</v>
      </c>
      <c r="AP104" s="37">
        <f>IF(Tabela3[[#This Row],[Lucro/Ação]]&gt;0,Tabela3[[#This Row],[Cotação]]/(Tabela3[[#This Row],[Lucro/Ação]]/[Ref]*4),0)</f>
        <v>0</v>
      </c>
      <c r="AQ104" s="84">
        <f>[Lucro Distribuir]/[Total Ações]</f>
        <v>0</v>
      </c>
      <c r="AR10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1100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0.68</v>
      </c>
    </row>
    <row r="105" spans="1:54" ht="11.25" customHeight="1">
      <c r="A105" s="3" t="s">
        <v>1225</v>
      </c>
      <c r="B105" s="57" t="s">
        <v>1214</v>
      </c>
      <c r="C105" s="16" t="str">
        <f>LEFT([PAPEL],LEN([PAPEL])-(LEN([PAPEL])-4))</f>
        <v>INEP</v>
      </c>
      <c r="D105" s="16">
        <v>3</v>
      </c>
      <c r="E105" s="5">
        <v>398977131.06</v>
      </c>
      <c r="F105" s="56">
        <v>63136159</v>
      </c>
      <c r="G105" s="80">
        <v>0.25</v>
      </c>
      <c r="H105" s="86"/>
      <c r="J105" s="18">
        <v>0.1</v>
      </c>
      <c r="K105" s="16"/>
      <c r="L105" s="86"/>
      <c r="M105" s="54"/>
      <c r="N105" s="54"/>
      <c r="O105" s="54"/>
      <c r="P105" s="90">
        <v>401785000</v>
      </c>
      <c r="Q105" s="73">
        <v>-141541000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70059192.320000008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2.2435702141443779</v>
      </c>
      <c r="Z105" s="7">
        <f>Tabela3[[#This Row],[Capital Social]]*20%</f>
        <v>79795426.211999997</v>
      </c>
      <c r="AA105" s="47">
        <f>IF(([Lucro Líquido]*5%)&gt;[Teto R. Legal],[Teto R. Legal],[Lucro Líquido]*5%)</f>
        <v>-7077050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103028224</v>
      </c>
      <c r="AE105" s="84">
        <f>[Capital Social]/[Total Ações]</f>
        <v>3.8725032381418125</v>
      </c>
      <c r="AF105" s="84">
        <f>Tabela3[[#This Row],[Lucro Líquido]]/Tabela3[[#This Row],[Total Ações]]</f>
        <v>-1.3738080159471642</v>
      </c>
      <c r="AG1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13">
        <f>SUMPRODUCT(N([Nome]=Tabela3[[#This Row],[Nome]]),[Div Base]*[Ações])</f>
        <v>0</v>
      </c>
      <c r="AM105" s="5">
        <f>[Patrimônio Líquido]/[Total Ações]</f>
        <v>3.8997566336773892</v>
      </c>
      <c r="AN105" s="52">
        <f>MAX(Tabela3[[#This Row],[Cotação 1]:[Cotação 5]])</f>
        <v>0.68</v>
      </c>
      <c r="AO105" s="53">
        <f>[Cotação]/[VPA]</f>
        <v>0.17436985532063171</v>
      </c>
      <c r="AP105" s="37">
        <f>IF(Tabela3[[#This Row],[Lucro/Ação]]&gt;0,Tabela3[[#This Row],[Cotação]]/(Tabela3[[#This Row],[Lucro/Ação]]/[Ref]*4),0)</f>
        <v>0</v>
      </c>
      <c r="AQ105" s="84">
        <f>[Lucro Distribuir]/[Total Ações]</f>
        <v>0</v>
      </c>
      <c r="AR10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1100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0.68</v>
      </c>
    </row>
    <row r="106" spans="1:54" ht="11.25" customHeight="1">
      <c r="A106" s="4" t="s">
        <v>12</v>
      </c>
      <c r="B106" s="115" t="s">
        <v>456</v>
      </c>
      <c r="C106" s="15" t="str">
        <f>LEFT([PAPEL],LEN([PAPEL])-(LEN([PAPEL])-4))</f>
        <v>CELP</v>
      </c>
      <c r="D106" s="15">
        <v>4</v>
      </c>
      <c r="E106" s="6">
        <v>924523856.14999998</v>
      </c>
      <c r="F106" s="8">
        <v>1085373</v>
      </c>
      <c r="G106" s="80">
        <v>0.25</v>
      </c>
      <c r="H106" s="15"/>
      <c r="I106" s="19">
        <v>0.1</v>
      </c>
      <c r="J106" s="19"/>
      <c r="K106" s="87"/>
      <c r="L106" s="87"/>
      <c r="M106" s="55">
        <v>4469736000</v>
      </c>
      <c r="N106" s="55">
        <v>1095750000</v>
      </c>
      <c r="O106" s="55">
        <v>1001311000</v>
      </c>
      <c r="P106" s="91">
        <v>394077000</v>
      </c>
      <c r="Q106" s="92">
        <v>-228787000</v>
      </c>
      <c r="R106" s="92">
        <f>IF(Tabela3[[#This Row],[Ativo || Passivo]]&gt;0,Tabela3[[#This Row],[Ativo || Passivo]]-Tabela3[[#This Row],[Patrimônio Líquido]],0)</f>
        <v>4075659000</v>
      </c>
      <c r="S106" s="92">
        <f>Tabela3[[#This Row],[Cotação]]*Tabela3[[#This Row],[Total Ações]]</f>
        <v>1430587355.25</v>
      </c>
      <c r="T106" s="40">
        <f>IF(Tabela3[[#This Row],[Passivo Circulante]]&gt;0,Tabela3[[#This Row],[Ativo Circulante]]/Tabela3[[#This Row],[Passivo Circulante]],0)</f>
        <v>1.0943153525727771</v>
      </c>
      <c r="U1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6" s="19">
        <f>IF(Tabela3[[#This Row],[Lucro Líquido]]&gt;0,Tabela3[[#This Row],[Lucro Líquido]]/Tabela3[[#This Row],[Patrimônio Líquido]],0)/Tabela3[[#This Row],[Ref]]*4</f>
        <v>0</v>
      </c>
      <c r="W1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6" s="19">
        <f>IF(Tabela3[[#This Row],[Dívida]]&gt;0,Tabela3[[#This Row],[Dívida]]/Tabela3[[#This Row],[Patrimônio Líquido]],0)</f>
        <v>10.342290973591455</v>
      </c>
      <c r="Y106" s="19">
        <f>SUMPRODUCT(N([Dívida / PL]&gt;0),N(RIGHT([PAPEL],LEN([PAPEL])-(LEN([PAPEL])-1))="3"),[Dívida / PL])/SUMPRODUCT(N([Dívida / PL]&gt;0),N(RIGHT([PAPEL],LEN([PAPEL])-(LEN([PAPEL])-1))="3"))</f>
        <v>2.2435702141443779</v>
      </c>
      <c r="Z106" s="13">
        <f>Tabela3[[#This Row],[Capital Social]]*20%</f>
        <v>184904771.23000002</v>
      </c>
      <c r="AA106" s="13">
        <f>IF(([Lucro Líquido]*5%)&gt;[Teto R. Legal],[Teto R. Legal],[Lucro Líquido]*5%)</f>
        <v>-11439350</v>
      </c>
      <c r="AB106" s="13">
        <f>IF([Lucro Líquido]&lt;0,0,[Lucro Líquido]-[Reserva Legal])</f>
        <v>0</v>
      </c>
      <c r="AC106" s="13">
        <f>Tabela3[[#This Row],[Lucro Distribuir]]*[%Div]</f>
        <v>0</v>
      </c>
      <c r="AD106" s="56">
        <f>SUMPRODUCT(N([Nome]=Tabela3[[#This Row],[Nome]]),[Ações])</f>
        <v>1907449807</v>
      </c>
      <c r="AE106" s="6">
        <f>[Capital Social]/[Total Ações]</f>
        <v>0.4846910533410434</v>
      </c>
      <c r="AF106" s="77">
        <f>Tabela3[[#This Row],[Lucro Líquido]]/Tabela3[[#This Row],[Total Ações]]</f>
        <v>-0.11994391630143691</v>
      </c>
      <c r="AG1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13">
        <f>[Div Base]*[Ações]</f>
        <v>0</v>
      </c>
      <c r="AL106" s="13">
        <f>SUMPRODUCT(N([Nome]=Tabela3[[#This Row],[Nome]]),[Div Base]*[Ações])</f>
        <v>0</v>
      </c>
      <c r="AM106" s="6">
        <f>[Patrimônio Líquido]/[Total Ações]</f>
        <v>0.20659888325963169</v>
      </c>
      <c r="AN106" s="48">
        <f>MAX(Tabela3[[#This Row],[Cotação 1]:[Cotação 5]])</f>
        <v>0.75</v>
      </c>
      <c r="AO106" s="44">
        <f>[Cotação]/[VPA]</f>
        <v>3.6302229139229136</v>
      </c>
      <c r="AP106" s="40">
        <f>IF(Tabela3[[#This Row],[Lucro/Ação]]&gt;0,Tabela3[[#This Row],[Cotação]]/(Tabela3[[#This Row],[Lucro/Ação]]/[Ref]*4),0)</f>
        <v>0</v>
      </c>
      <c r="AQ106" s="77">
        <f>[Lucro Distribuir]/[Total Ações]</f>
        <v>0</v>
      </c>
      <c r="AR1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4" t="str">
        <f>IF(AND([% A.A.]&gt;=5%,SUMPRODUCT(N([Nome]=Tabela3[[#This Row],[Nome]]),[PL])&gt;0,[Rentabilidade s/ PL]&gt;=[Rentabilidade s/ PL Média]),"Sim","Não")</f>
        <v>Não</v>
      </c>
      <c r="AT106" s="42">
        <f>IF([Cotação]&gt;0,Tabela3[[#This Row],[Lucro]]/Tabela3[[#This Row],[Cotação]],0)</f>
        <v>0</v>
      </c>
      <c r="AU106" s="42">
        <f>((1+Tabela3[[#This Row],[% Yield]])^(1/(3*Tabela3[[#This Row],[Ref]])))^(12)-1</f>
        <v>0</v>
      </c>
      <c r="AV106" s="14">
        <f>IF([Cotação]&gt;0,($BH$1/Tabela3[[#This Row],[Cotação]]-MOD($BH$1/Tabela3[[#This Row],[Cotação]],100)),)</f>
        <v>1000</v>
      </c>
      <c r="AW106" s="17">
        <f>Tabela3[[#This Row],[Ativos]]*[Lucro]</f>
        <v>0</v>
      </c>
      <c r="AX106" s="17">
        <f>SUMPRODUCT(N(Tabela1[Código]=Tabela3[[#This Row],[PAPEL]]),Tabela1[Fechamento])</f>
        <v>0</v>
      </c>
      <c r="AY106" s="17">
        <f>SUMPRODUCT(N(Tabela17[Código]=Tabela3[[#This Row],[PAPEL]]),Tabela17[Fechamento])</f>
        <v>0.75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</v>
      </c>
    </row>
    <row r="107" spans="1:54" ht="11.25" customHeight="1">
      <c r="A107" s="3" t="s">
        <v>855</v>
      </c>
      <c r="B107" s="58" t="s">
        <v>860</v>
      </c>
      <c r="C107" s="16" t="str">
        <f>LEFT([PAPEL],LEN([PAPEL])-(LEN([PAPEL])-4))</f>
        <v>BMTO</v>
      </c>
      <c r="D107" s="16">
        <v>4</v>
      </c>
      <c r="E107" s="5">
        <v>577400000</v>
      </c>
      <c r="F107" s="56">
        <v>986060042</v>
      </c>
      <c r="G107" s="80">
        <v>0.25</v>
      </c>
      <c r="H107" s="86"/>
      <c r="J107" s="18"/>
      <c r="K107" s="16"/>
      <c r="L107" s="86"/>
      <c r="M107" s="54">
        <v>1067544000</v>
      </c>
      <c r="N107" s="54">
        <v>944000</v>
      </c>
      <c r="O107" s="54">
        <v>1139000</v>
      </c>
      <c r="P107" s="90">
        <v>1061800000</v>
      </c>
      <c r="Q107" s="73">
        <v>361449000</v>
      </c>
      <c r="R107" s="73">
        <f>IF(Tabela3[[#This Row],[Ativo || Passivo]]&gt;0,Tabela3[[#This Row],[Ativo || Passivo]]-Tabela3[[#This Row],[Patrimônio Líquido]],0)</f>
        <v>5744000</v>
      </c>
      <c r="S107" s="73">
        <f>Tabela3[[#This Row],[Cotação]]*Tabela3[[#This Row],[Total Ações]]</f>
        <v>2234266405.8000002</v>
      </c>
      <c r="T107" s="37">
        <f>IF(Tabela3[[#This Row],[Passivo Circulante]]&gt;0,Tabela3[[#This Row],[Ativo Circulante]]/Tabela3[[#This Row],[Passivo Circulante]],0)</f>
        <v>0.82879719051799827</v>
      </c>
      <c r="U1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7" s="18">
        <f>IF(Tabela3[[#This Row],[Lucro Líquido]]&gt;0,Tabela3[[#This Row],[Lucro Líquido]]/Tabela3[[#This Row],[Patrimônio Líquido]],0)/Tabela3[[#This Row],[Ref]]*4</f>
        <v>0.34041156526652855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7" s="18">
        <f>IF(Tabela3[[#This Row],[Dívida]]&gt;0,Tabela3[[#This Row],[Dívida]]/Tabela3[[#This Row],[Patrimônio Líquido]],0)</f>
        <v>5.4096816726313807E-3</v>
      </c>
      <c r="Y107" s="18">
        <f>SUMPRODUCT(N([Dívida / PL]&gt;0),N(RIGHT([PAPEL],LEN([PAPEL])-(LEN([PAPEL])-1))="3"),[Dívida / PL])/SUMPRODUCT(N([Dívida / PL]&gt;0),N(RIGHT([PAPEL],LEN([PAPEL])-(LEN([PAPEL])-1))="3"))</f>
        <v>2.2435702141443779</v>
      </c>
      <c r="Z107" s="7">
        <f>Tabela3[[#This Row],[Capital Social]]*20%</f>
        <v>115480000</v>
      </c>
      <c r="AA107" s="47">
        <f>IF(([Lucro Líquido]*5%)&gt;[Teto R. Legal],[Teto R. Legal],[Lucro Líquido]*5%)</f>
        <v>18072450</v>
      </c>
      <c r="AB107" s="47">
        <f>IF([Lucro Líquido]&lt;0,0,[Lucro Líquido]-[Reserva Legal])</f>
        <v>343376550</v>
      </c>
      <c r="AC107" s="47">
        <f>Tabela3[[#This Row],[Lucro Distribuir]]*[%Div]</f>
        <v>85844137.5</v>
      </c>
      <c r="AD107" s="56">
        <f>SUMPRODUCT(N([Nome]=Tabela3[[#This Row],[Nome]]),[Ações])</f>
        <v>2864444110</v>
      </c>
      <c r="AE107" s="84">
        <f>[Capital Social]/[Total Ações]</f>
        <v>0.2015748877711564</v>
      </c>
      <c r="AF107" s="84">
        <f>Tabela3[[#This Row],[Lucro Líquido]]/Tabela3[[#This Row],[Total Ações]]</f>
        <v>0.12618469277796451</v>
      </c>
      <c r="AG1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1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107" s="7">
        <f>[Div Base]*[Ações]</f>
        <v>28631652.73537448</v>
      </c>
      <c r="AL107" s="7">
        <f>SUMPRODUCT(N([Nome]=Tabela3[[#This Row],[Nome]]),[Div Base]*[Ações])</f>
        <v>71613725.012087822</v>
      </c>
      <c r="AM107" s="5">
        <f>[Patrimônio Líquido]/[Total Ações]</f>
        <v>0.37068274304713178</v>
      </c>
      <c r="AN107" s="52">
        <f>MAX(Tabela3[[#This Row],[Cotação 1]:[Cotação 5]])</f>
        <v>0.78</v>
      </c>
      <c r="AO107" s="53">
        <f>[Cotação]/[VPA]</f>
        <v>2.1042252832925219</v>
      </c>
      <c r="AP107" s="37">
        <f>IF(Tabela3[[#This Row],[Lucro/Ação]]&gt;0,Tabela3[[#This Row],[Cotação]]/(Tabela3[[#This Row],[Lucro/Ação]]/[Ref]*4),0)</f>
        <v>6.1814153747831648</v>
      </c>
      <c r="AQ107" s="84">
        <f>[Lucro Distribuir]/[Total Ações]</f>
        <v>0.11987545813906629</v>
      </c>
      <c r="AR107" s="84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107" s="10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3.7226178460879111E-2</v>
      </c>
      <c r="AU107" s="22">
        <f>((1+Tabela3[[#This Row],[% Yield]])^(1/(3*Tabela3[[#This Row],[Ref]])))^(12)-1</f>
        <v>3.7226178460878501E-2</v>
      </c>
      <c r="AV107" s="10">
        <f>IF([Cotação]&gt;0,($BH$1/Tabela3[[#This Row],[Cotação]]-MOD($BH$1/Tabela3[[#This Row],[Cotação]],100)),)</f>
        <v>900</v>
      </c>
      <c r="AW107" s="7">
        <f>Tabela3[[#This Row],[Ativos]]*[Lucro]</f>
        <v>26.132777279537137</v>
      </c>
      <c r="AX107" s="7">
        <f>SUMPRODUCT(N(Tabela1[Código]=Tabela3[[#This Row],[PAPEL]]),Tabela1[Fechamento])</f>
        <v>0</v>
      </c>
      <c r="AY107" s="7">
        <f>SUMPRODUCT(N(Tabela17[Código]=Tabela3[[#This Row],[PAPEL]]),Tabela17[Fechamento])</f>
        <v>0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0.78</v>
      </c>
      <c r="BB107" s="7">
        <f>SUMPRODUCT(N(Tabela17683[Código]=Tabela3[[#This Row],[PAPEL]]),Tabela17683[Fechamento])</f>
        <v>0</v>
      </c>
    </row>
    <row r="108" spans="1:54" ht="11.25" customHeight="1">
      <c r="A108" s="3" t="s">
        <v>876</v>
      </c>
      <c r="B108" s="58" t="s">
        <v>947</v>
      </c>
      <c r="C108" s="16" t="str">
        <f>LEFT([PAPEL],LEN([PAPEL])-(LEN([PAPEL])-4))</f>
        <v>TENE</v>
      </c>
      <c r="D108" s="16">
        <v>3</v>
      </c>
      <c r="E108" s="5">
        <v>44070179.950000003</v>
      </c>
      <c r="F108" s="56">
        <v>739685</v>
      </c>
      <c r="G108" s="80">
        <v>0.25</v>
      </c>
      <c r="H108" s="86"/>
      <c r="I108" s="18">
        <v>0.03</v>
      </c>
      <c r="J108" s="18"/>
      <c r="K108" s="16"/>
      <c r="L108" s="86"/>
      <c r="M108" s="54"/>
      <c r="N108" s="54"/>
      <c r="O108" s="54"/>
      <c r="P108" s="90">
        <v>-37945000</v>
      </c>
      <c r="Q108" s="73">
        <v>-3753000</v>
      </c>
      <c r="R108" s="73">
        <f>IF(Tabela3[[#This Row],[Ativo || Passivo]]&gt;0,Tabela3[[#This Row],[Ativo || Passivo]]-Tabela3[[#This Row],[Patrimônio Líquido]],0)</f>
        <v>0</v>
      </c>
      <c r="S108" s="73">
        <f>Tabela3[[#This Row],[Cotação]]*Tabela3[[#This Row],[Total Ações]]</f>
        <v>941296.98</v>
      </c>
      <c r="T108" s="37">
        <f>IF(Tabela3[[#This Row],[Passivo Circulante]]&gt;0,Tabela3[[#This Row],[Ativo Circulante]]/Tabela3[[#This Row],[Passivo Circulante]],0)</f>
        <v>0</v>
      </c>
      <c r="U10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8" s="18">
        <f>IF(Tabela3[[#This Row],[Lucro Líquido]]&gt;0,Tabela3[[#This Row],[Lucro Líquido]]/Tabela3[[#This Row],[Patrimônio Líquido]],0)/Tabela3[[#This Row],[Ref]]*4</f>
        <v>0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8" s="18">
        <f>IF(Tabela3[[#This Row],[Dívida]]&gt;0,Tabela3[[#This Row],[Dívida]]/Tabela3[[#This Row],[Patrimônio Líquido]],0)</f>
        <v>0</v>
      </c>
      <c r="Y108" s="18">
        <f>SUMPRODUCT(N([Dívida / PL]&gt;0),N(RIGHT([PAPEL],LEN([PAPEL])-(LEN([PAPEL])-1))="3"),[Dívida / PL])/SUMPRODUCT(N([Dívida / PL]&gt;0),N(RIGHT([PAPEL],LEN([PAPEL])-(LEN([PAPEL])-1))="3"))</f>
        <v>2.2435702141443779</v>
      </c>
      <c r="Z108" s="7">
        <f>Tabela3[[#This Row],[Capital Social]]*20%</f>
        <v>8814035.9900000002</v>
      </c>
      <c r="AA108" s="47">
        <f>IF(([Lucro Líquido]*5%)&gt;[Teto R. Legal],[Teto R. Legal],[Lucro Líquido]*5%)</f>
        <v>-187650</v>
      </c>
      <c r="AB108" s="47">
        <f>IF([Lucro Líquido]&lt;0,0,[Lucro Líquido]-[Reserva Legal])</f>
        <v>0</v>
      </c>
      <c r="AC108" s="47">
        <f>Tabela3[[#This Row],[Lucro Distribuir]]*[%Div]</f>
        <v>0</v>
      </c>
      <c r="AD108" s="56">
        <f>SUMPRODUCT(N([Nome]=Tabela3[[#This Row],[Nome]]),[Ações])</f>
        <v>1206791</v>
      </c>
      <c r="AE108" s="84">
        <f>[Capital Social]/[Total Ações]</f>
        <v>36.518485760997557</v>
      </c>
      <c r="AF108" s="84">
        <f>Tabela3[[#This Row],[Lucro Líquido]]/Tabela3[[#This Row],[Total Ações]]</f>
        <v>-3.1099005544456331</v>
      </c>
      <c r="AG10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8" s="7">
        <f>[Div Base]*[Ações]</f>
        <v>0</v>
      </c>
      <c r="AL108" s="7">
        <f>SUMPRODUCT(N([Nome]=Tabela3[[#This Row],[Nome]]),[Div Base]*[Ações])</f>
        <v>0</v>
      </c>
      <c r="AM108" s="5">
        <f>[Patrimônio Líquido]/[Total Ações]</f>
        <v>-31.442892762707046</v>
      </c>
      <c r="AN108" s="52">
        <f>MAX(Tabela3[[#This Row],[Cotação 1]:[Cotação 5]])</f>
        <v>0.78</v>
      </c>
      <c r="AO108" s="53">
        <f>[Cotação]/[VPA]</f>
        <v>-2.4806877849519043E-2</v>
      </c>
      <c r="AP108" s="37">
        <f>IF(Tabela3[[#This Row],[Lucro/Ação]]&gt;0,Tabela3[[#This Row],[Cotação]]/(Tabela3[[#This Row],[Lucro/Ação]]/[Ref]*4),0)</f>
        <v>0</v>
      </c>
      <c r="AQ108" s="84">
        <f>[Lucro Distribuir]/[Total Ações]</f>
        <v>0</v>
      </c>
      <c r="AR10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0</v>
      </c>
      <c r="AU108" s="22">
        <f>((1+Tabela3[[#This Row],[% Yield]])^(1/(3*Tabela3[[#This Row],[Ref]])))^(12)-1</f>
        <v>0</v>
      </c>
      <c r="AV108" s="10">
        <f>IF([Cotação]&gt;0,($BH$1/Tabela3[[#This Row],[Cotação]]-MOD($BH$1/Tabela3[[#This Row],[Cotação]],100)),)</f>
        <v>900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0.78</v>
      </c>
      <c r="BB108" s="7">
        <f>SUMPRODUCT(N(Tabela17683[Código]=Tabela3[[#This Row],[PAPEL]]),Tabela17683[Fechamento])</f>
        <v>0</v>
      </c>
    </row>
    <row r="109" spans="1:54" ht="11.25" customHeight="1">
      <c r="A109" s="4" t="s">
        <v>288</v>
      </c>
      <c r="B109" s="57" t="s">
        <v>686</v>
      </c>
      <c r="C109" s="15" t="str">
        <f>LEFT([PAPEL],LEN([PAPEL])-(LEN([PAPEL])-4))</f>
        <v>BTTL</v>
      </c>
      <c r="D109" s="16">
        <v>4</v>
      </c>
      <c r="E109" s="6">
        <v>151555970</v>
      </c>
      <c r="F109" s="8">
        <v>49911902</v>
      </c>
      <c r="G109" s="80">
        <v>0.25</v>
      </c>
      <c r="H109" s="15"/>
      <c r="I109" s="19"/>
      <c r="J109" s="19"/>
      <c r="K109" s="87"/>
      <c r="L109" s="87"/>
      <c r="M109" s="55">
        <v>333313000</v>
      </c>
      <c r="N109" s="55">
        <v>191473000</v>
      </c>
      <c r="O109" s="55">
        <v>265323000</v>
      </c>
      <c r="P109" s="91">
        <v>-37208000</v>
      </c>
      <c r="Q109" s="92">
        <v>27475000</v>
      </c>
      <c r="R109" s="92">
        <f>IF(Tabela3[[#This Row],[Ativo || Passivo]]&gt;0,Tabela3[[#This Row],[Ativo || Passivo]]-Tabela3[[#This Row],[Patrimônio Líquido]],0)</f>
        <v>370521000</v>
      </c>
      <c r="S109" s="92">
        <f>Tabela3[[#This Row],[Cotação]]*Tabela3[[#This Row],[Total Ações]]</f>
        <v>119742182.40000001</v>
      </c>
      <c r="T109" s="40">
        <f>IF(Tabela3[[#This Row],[Passivo Circulante]]&gt;0,Tabela3[[#This Row],[Ativo Circulante]]/Tabela3[[#This Row],[Passivo Circulante]],0)</f>
        <v>0.72166001439754568</v>
      </c>
      <c r="U10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09" s="19">
        <f>IF(Tabela3[[#This Row],[Lucro Líquido]]&gt;0,Tabela3[[#This Row],[Lucro Líquido]]/Tabela3[[#This Row],[Patrimônio Líquido]],0)/Tabela3[[#This Row],[Ref]]*4</f>
        <v>-0.73841646957643514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09" s="19">
        <f>IF(Tabela3[[#This Row],[Dívida]]&gt;0,Tabela3[[#This Row],[Dívida]]/Tabela3[[#This Row],[Patrimônio Líquido]],0)</f>
        <v>-9.9581004085142979</v>
      </c>
      <c r="Y109" s="19">
        <f>SUMPRODUCT(N([Dívida / PL]&gt;0),N(RIGHT([PAPEL],LEN([PAPEL])-(LEN([PAPEL])-1))="3"),[Dívida / PL])/SUMPRODUCT(N([Dívida / PL]&gt;0),N(RIGHT([PAPEL],LEN([PAPEL])-(LEN([PAPEL])-1))="3"))</f>
        <v>2.2435702141443779</v>
      </c>
      <c r="Z109" s="13">
        <f>Tabela3[[#This Row],[Capital Social]]*20%</f>
        <v>30311194</v>
      </c>
      <c r="AA109" s="13">
        <f>IF(([Lucro Líquido]*5%)&gt;[Teto R. Legal],[Teto R. Legal],[Lucro Líquido]*5%)</f>
        <v>1373750</v>
      </c>
      <c r="AB109" s="13">
        <f>IF([Lucro Líquido]&lt;0,0,[Lucro Líquido]-[Reserva Legal])</f>
        <v>26101250</v>
      </c>
      <c r="AC109" s="13">
        <f>Tabela3[[#This Row],[Lucro Distribuir]]*[%Div]</f>
        <v>6525312.5</v>
      </c>
      <c r="AD109" s="21">
        <f>SUMPRODUCT(N([Nome]=Tabela3[[#This Row],[Nome]]),[Ações])</f>
        <v>149677728</v>
      </c>
      <c r="AE109" s="6">
        <f>[Capital Social]/[Total Ações]</f>
        <v>1.0125485736929412</v>
      </c>
      <c r="AF109" s="77">
        <f>Tabela3[[#This Row],[Lucro Líquido]]/Tabela3[[#This Row],[Total Ações]]</f>
        <v>0.18356104389826119</v>
      </c>
      <c r="AG10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10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109" s="13">
        <f>[Div Base]*[Ações]</f>
        <v>2175946.6980910813</v>
      </c>
      <c r="AL109" s="13">
        <f>SUMPRODUCT(N([Nome]=Tabela3[[#This Row],[Nome]]),[Div Base]*[Ações])</f>
        <v>6525312.5</v>
      </c>
      <c r="AM109" s="6">
        <f>[Patrimônio Líquido]/[Total Ações]</f>
        <v>-0.248587418430082</v>
      </c>
      <c r="AN109" s="48">
        <f>MAX(Tabela3[[#This Row],[Cotação 1]:[Cotação 5]])</f>
        <v>0.8</v>
      </c>
      <c r="AO109" s="44">
        <f>[Cotação]/[VPA]</f>
        <v>-3.2181837884325954</v>
      </c>
      <c r="AP109" s="40">
        <f>IF(Tabela3[[#This Row],[Lucro/Ação]]&gt;0,Tabela3[[#This Row],[Cotação]]/(Tabela3[[#This Row],[Lucro/Ação]]/[Ref]*4),0)</f>
        <v>4.3582231992720661</v>
      </c>
      <c r="AQ109" s="77">
        <f>[Lucro Distribuir]/[Total Ações]</f>
        <v>0.17438299170334814</v>
      </c>
      <c r="AR109" s="77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5.4494684907296295E-2</v>
      </c>
      <c r="AU109" s="42">
        <f>((1+Tabela3[[#This Row],[% Yield]])^(1/(3*Tabela3[[#This Row],[Ref]])))^(12)-1</f>
        <v>5.4494684907294921E-2</v>
      </c>
      <c r="AV109" s="14">
        <f>IF([Cotação]&gt;0,($BH$1/Tabela3[[#This Row],[Cotação]]-MOD($BH$1/Tabela3[[#This Row],[Cotação]],100)),)</f>
        <v>900</v>
      </c>
      <c r="AW109" s="17">
        <f>Tabela3[[#This Row],[Ativos]]*[Lucro]</f>
        <v>39.236173133253331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0.8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t="11.25" customHeight="1">
      <c r="A110" s="4" t="s">
        <v>12</v>
      </c>
      <c r="B110" s="115" t="s">
        <v>489</v>
      </c>
      <c r="C110" s="15" t="str">
        <f>LEFT([PAPEL],LEN([PAPEL])-(LEN([PAPEL])-4))</f>
        <v>REDE</v>
      </c>
      <c r="D110" s="15">
        <v>3</v>
      </c>
      <c r="E110" s="6">
        <v>1343973941.3399999</v>
      </c>
      <c r="F110" s="8">
        <v>294109630</v>
      </c>
      <c r="G110" s="85">
        <v>0.25</v>
      </c>
      <c r="H110" s="15"/>
      <c r="I110" s="19"/>
      <c r="J110" s="19"/>
      <c r="K110" s="87"/>
      <c r="L110" s="87"/>
      <c r="M110" s="55"/>
      <c r="N110" s="55"/>
      <c r="O110" s="55"/>
      <c r="P110" s="91">
        <v>-169584000</v>
      </c>
      <c r="Q110" s="92">
        <v>-121954000</v>
      </c>
      <c r="R110" s="92">
        <f>IF(Tabela3[[#This Row],[Ativo || Passivo]]&gt;0,Tabela3[[#This Row],[Ativo || Passivo]]-Tabela3[[#This Row],[Patrimônio Líquido]],0)</f>
        <v>0</v>
      </c>
      <c r="S110" s="92">
        <f>Tabela3[[#This Row],[Cotação]]*Tabela3[[#This Row],[Total Ações]]</f>
        <v>341273347.20000005</v>
      </c>
      <c r="T110" s="40">
        <f>IF(Tabela3[[#This Row],[Passivo Circulante]]&gt;0,Tabela3[[#This Row],[Ativo Circulante]]/Tabela3[[#This Row],[Passivo Circulante]],0)</f>
        <v>0</v>
      </c>
      <c r="U11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0" s="19">
        <f>IF(Tabela3[[#This Row],[Lucro Líquido]]&gt;0,Tabela3[[#This Row],[Lucro Líquido]]/Tabela3[[#This Row],[Patrimônio Líquido]],0)/Tabela3[[#This Row],[Ref]]*4</f>
        <v>0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0" s="19">
        <f>IF(Tabela3[[#This Row],[Dívida]]&gt;0,Tabela3[[#This Row],[Dívida]]/Tabela3[[#This Row],[Patrimônio Líquido]],0)</f>
        <v>0</v>
      </c>
      <c r="Y110" s="19">
        <f>SUMPRODUCT(N([Dívida / PL]&gt;0),N(RIGHT([PAPEL],LEN([PAPEL])-(LEN([PAPEL])-1))="3"),[Dívida / PL])/SUMPRODUCT(N([Dívida / PL]&gt;0),N(RIGHT([PAPEL],LEN([PAPEL])-(LEN([PAPEL])-1))="3"))</f>
        <v>2.2435702141443779</v>
      </c>
      <c r="Z110" s="13">
        <f>Tabela3[[#This Row],[Capital Social]]*20%</f>
        <v>268794788.26800001</v>
      </c>
      <c r="AA110" s="13">
        <f>IF(([Lucro Líquido]*5%)&gt;[Teto R. Legal],[Teto R. Legal],[Lucro Líquido]*5%)</f>
        <v>-6097700</v>
      </c>
      <c r="AB110" s="13">
        <f>IF([Lucro Líquido]&lt;0,0,[Lucro Líquido]-[Reserva Legal])</f>
        <v>0</v>
      </c>
      <c r="AC110" s="13">
        <f>Tabela3[[#This Row],[Lucro Distribuir]]*[%Div]</f>
        <v>0</v>
      </c>
      <c r="AD110" s="56">
        <f>SUMPRODUCT(N([Nome]=Tabela3[[#This Row],[Nome]]),[Ações])</f>
        <v>426591684</v>
      </c>
      <c r="AE110" s="6">
        <f>[Capital Social]/[Total Ações]</f>
        <v>3.1504925945532496</v>
      </c>
      <c r="AF110" s="77">
        <f>Tabela3[[#This Row],[Lucro Líquido]]/Tabela3[[#This Row],[Total Ações]]</f>
        <v>-0.28587992821725988</v>
      </c>
      <c r="AG1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13">
        <f>[Div Base]*[Ações]</f>
        <v>0</v>
      </c>
      <c r="AL110" s="13">
        <f>SUMPRODUCT(N([Nome]=Tabela3[[#This Row],[Nome]]),[Div Base]*[Ações])</f>
        <v>0</v>
      </c>
      <c r="AM110" s="6">
        <f>[Patrimônio Líquido]/[Total Ações]</f>
        <v>-0.39753236258585856</v>
      </c>
      <c r="AN110" s="48">
        <f>MAX(Tabela3[[#This Row],[Cotação 1]:[Cotação 5]])</f>
        <v>0.8</v>
      </c>
      <c r="AO110" s="44">
        <f>[Cotação]/[VPA]</f>
        <v>-2.0124147749787715</v>
      </c>
      <c r="AP110" s="40">
        <f>IF(Tabela3[[#This Row],[Lucro/Ação]]&gt;0,Tabela3[[#This Row],[Cotação]]/(Tabela3[[#This Row],[Lucro/Ação]]/[Ref]*4),0)</f>
        <v>0</v>
      </c>
      <c r="AQ110" s="77">
        <f>[Lucro Distribuir]/[Total Ações]</f>
        <v>0</v>
      </c>
      <c r="AR11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4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42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900</v>
      </c>
      <c r="AW110" s="17">
        <f>Tabela3[[#This Row],[Ativos]]*[Lucro]</f>
        <v>0</v>
      </c>
      <c r="AX110" s="17">
        <f>SUMPRODUCT(N(Tabela1[Código]=Tabela3[[#This Row],[PAPEL]]),Tabela1[Fechamento])</f>
        <v>0</v>
      </c>
      <c r="AY110" s="17">
        <f>SUMPRODUCT(N(Tabela17[Código]=Tabela3[[#This Row],[PAPEL]]),Tabela17[Fechamento])</f>
        <v>0.8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3" t="s">
        <v>1225</v>
      </c>
      <c r="B111" s="57" t="s">
        <v>1213</v>
      </c>
      <c r="C111" s="16" t="str">
        <f>LEFT([PAPEL],LEN([PAPEL])-(LEN([PAPEL])-4))</f>
        <v>INEP</v>
      </c>
      <c r="D111" s="16">
        <v>3</v>
      </c>
      <c r="E111" s="5">
        <v>398977131.06</v>
      </c>
      <c r="F111" s="56">
        <v>39892065</v>
      </c>
      <c r="G111" s="80">
        <v>0.25</v>
      </c>
      <c r="H111" s="86"/>
      <c r="J111" s="18"/>
      <c r="K111" s="16"/>
      <c r="L111" s="86"/>
      <c r="M111" s="54"/>
      <c r="N111" s="54"/>
      <c r="O111" s="54"/>
      <c r="P111" s="90">
        <v>401785000</v>
      </c>
      <c r="Q111" s="73">
        <v>-141541000</v>
      </c>
      <c r="R111" s="73">
        <f>IF(Tabela3[[#This Row],[Ativo || Passivo]]&gt;0,Tabela3[[#This Row],[Ativo || Passivo]]-Tabela3[[#This Row],[Patrimônio Líquido]],0)</f>
        <v>0</v>
      </c>
      <c r="S111" s="73">
        <f>Tabela3[[#This Row],[Cotação]]*Tabela3[[#This Row],[Total Ações]]</f>
        <v>82422579.200000003</v>
      </c>
      <c r="T111" s="37">
        <f>IF(Tabela3[[#This Row],[Passivo Circulante]]&gt;0,Tabela3[[#This Row],[Ativo Circulante]]/Tabela3[[#This Row],[Passivo Circulante]],0)</f>
        <v>0</v>
      </c>
      <c r="U1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1" s="18">
        <f>IF(Tabela3[[#This Row],[Lucro Líquido]]&gt;0,Tabela3[[#This Row],[Lucro Líquido]]/Tabela3[[#This Row],[Patrimônio Líquido]],0)/Tabela3[[#This Row],[Ref]]*4</f>
        <v>0</v>
      </c>
      <c r="W1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1" s="18">
        <f>IF(Tabela3[[#This Row],[Dívida]]&gt;0,Tabela3[[#This Row],[Dívida]]/Tabela3[[#This Row],[Patrimônio Líquido]],0)</f>
        <v>0</v>
      </c>
      <c r="Y111" s="18">
        <f>SUMPRODUCT(N([Dívida / PL]&gt;0),N(RIGHT([PAPEL],LEN([PAPEL])-(LEN([PAPEL])-1))="3"),[Dívida / PL])/SUMPRODUCT(N([Dívida / PL]&gt;0),N(RIGHT([PAPEL],LEN([PAPEL])-(LEN([PAPEL])-1))="3"))</f>
        <v>2.2435702141443779</v>
      </c>
      <c r="Z111" s="7">
        <f>Tabela3[[#This Row],[Capital Social]]*20%</f>
        <v>79795426.211999997</v>
      </c>
      <c r="AA111" s="47">
        <f>IF(([Lucro Líquido]*5%)&gt;[Teto R. Legal],[Teto R. Legal],[Lucro Líquido]*5%)</f>
        <v>-7077050</v>
      </c>
      <c r="AB111" s="47">
        <f>IF([Lucro Líquido]&lt;0,0,[Lucro Líquido]-[Reserva Legal])</f>
        <v>0</v>
      </c>
      <c r="AC111" s="47">
        <f>Tabela3[[#This Row],[Lucro Distribuir]]*[%Div]</f>
        <v>0</v>
      </c>
      <c r="AD111" s="56">
        <f>SUMPRODUCT(N([Nome]=Tabela3[[#This Row],[Nome]]),[Ações])</f>
        <v>103028224</v>
      </c>
      <c r="AE111" s="84">
        <f>[Capital Social]/[Total Ações]</f>
        <v>3.8725032381418125</v>
      </c>
      <c r="AF111" s="84">
        <f>Tabela3[[#This Row],[Lucro Líquido]]/Tabela3[[#This Row],[Total Ações]]</f>
        <v>-1.3738080159471642</v>
      </c>
      <c r="AG1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1" s="7">
        <f>[Div Base]*[Ações]</f>
        <v>0</v>
      </c>
      <c r="AL111" s="113">
        <f>SUMPRODUCT(N([Nome]=Tabela3[[#This Row],[Nome]]),[Div Base]*[Ações])</f>
        <v>0</v>
      </c>
      <c r="AM111" s="5">
        <f>[Patrimônio Líquido]/[Total Ações]</f>
        <v>3.8997566336773892</v>
      </c>
      <c r="AN111" s="52">
        <f>MAX(Tabela3[[#This Row],[Cotação 1]:[Cotação 5]])</f>
        <v>0.8</v>
      </c>
      <c r="AO111" s="53">
        <f>[Cotação]/[VPA]</f>
        <v>0.20514100625956669</v>
      </c>
      <c r="AP111" s="37">
        <f>IF(Tabela3[[#This Row],[Lucro/Ação]]&gt;0,Tabela3[[#This Row],[Cotação]]/(Tabela3[[#This Row],[Lucro/Ação]]/[Ref]*4),0)</f>
        <v>0</v>
      </c>
      <c r="AQ111" s="84">
        <f>[Lucro Distribuir]/[Total Ações]</f>
        <v>0</v>
      </c>
      <c r="AR11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1" s="10" t="str">
        <f>IF(AND([% A.A.]&gt;=5%,SUMPRODUCT(N([Nome]=Tabela3[[#This Row],[Nome]]),[PL])&gt;0,[Rentabilidade s/ PL]&gt;=[Rentabilidade s/ PL Média]),"Sim","Não")</f>
        <v>Não</v>
      </c>
      <c r="AT111" s="22">
        <f>IF([Cotação]&gt;0,Tabela3[[#This Row],[Lucro]]/Tabela3[[#This Row],[Cotação]],0)</f>
        <v>0</v>
      </c>
      <c r="AU111" s="22">
        <f>((1+Tabela3[[#This Row],[% Yield]])^(1/(3*Tabela3[[#This Row],[Ref]])))^(12)-1</f>
        <v>0</v>
      </c>
      <c r="AV111" s="10">
        <f>IF([Cotação]&gt;0,($BH$1/Tabela3[[#This Row],[Cotação]]-MOD($BH$1/Tabela3[[#This Row],[Cotação]],100)),)</f>
        <v>900</v>
      </c>
      <c r="AW111" s="7">
        <f>Tabela3[[#This Row],[Ativos]]*[Lucro]</f>
        <v>0</v>
      </c>
      <c r="AX111" s="7">
        <f>SUMPRODUCT(N(Tabela1[Código]=Tabela3[[#This Row],[PAPEL]]),Tabela1[Fechamento])</f>
        <v>0</v>
      </c>
      <c r="AY111" s="7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0.8</v>
      </c>
    </row>
    <row r="112" spans="1:54" ht="11.25" customHeight="1">
      <c r="A112" s="4" t="s">
        <v>12</v>
      </c>
      <c r="B112" s="115" t="s">
        <v>490</v>
      </c>
      <c r="C112" s="15" t="str">
        <f>LEFT([PAPEL],LEN([PAPEL])-(LEN([PAPEL])-4))</f>
        <v>REDE</v>
      </c>
      <c r="D112" s="15">
        <v>3</v>
      </c>
      <c r="E112" s="6">
        <v>1343973941.3399999</v>
      </c>
      <c r="F112" s="8">
        <v>132482054</v>
      </c>
      <c r="G112" s="85">
        <v>0.25</v>
      </c>
      <c r="H112" s="15"/>
      <c r="I112" s="19"/>
      <c r="J112" s="19">
        <v>0.1</v>
      </c>
      <c r="K112" s="87"/>
      <c r="L112" s="87"/>
      <c r="M112" s="55"/>
      <c r="N112" s="55"/>
      <c r="O112" s="55"/>
      <c r="P112" s="91">
        <v>-169584000</v>
      </c>
      <c r="Q112" s="92">
        <v>-121954000</v>
      </c>
      <c r="R112" s="92">
        <f>IF(Tabela3[[#This Row],[Ativo || Passivo]]&gt;0,Tabela3[[#This Row],[Ativo || Passivo]]-Tabela3[[#This Row],[Patrimônio Líquido]],0)</f>
        <v>0</v>
      </c>
      <c r="S112" s="92">
        <f>Tabela3[[#This Row],[Cotação]]*Tabela3[[#This Row],[Total Ações]]</f>
        <v>345539264.04000002</v>
      </c>
      <c r="T112" s="40">
        <f>IF(Tabela3[[#This Row],[Passivo Circulante]]&gt;0,Tabela3[[#This Row],[Ativo Circulante]]/Tabela3[[#This Row],[Passivo Circulante]],0)</f>
        <v>0</v>
      </c>
      <c r="U11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2" s="19">
        <f>IF(Tabela3[[#This Row],[Lucro Líquido]]&gt;0,Tabela3[[#This Row],[Lucro Líquido]]/Tabela3[[#This Row],[Patrimônio Líquido]],0)/Tabela3[[#This Row],[Ref]]*4</f>
        <v>0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2" s="19">
        <f>IF(Tabela3[[#This Row],[Dívida]]&gt;0,Tabela3[[#This Row],[Dívida]]/Tabela3[[#This Row],[Patrimônio Líquido]],0)</f>
        <v>0</v>
      </c>
      <c r="Y112" s="19">
        <f>SUMPRODUCT(N([Dívida / PL]&gt;0),N(RIGHT([PAPEL],LEN([PAPEL])-(LEN([PAPEL])-1))="3"),[Dívida / PL])/SUMPRODUCT(N([Dívida / PL]&gt;0),N(RIGHT([PAPEL],LEN([PAPEL])-(LEN([PAPEL])-1))="3"))</f>
        <v>2.2435702141443779</v>
      </c>
      <c r="Z112" s="13">
        <f>Tabela3[[#This Row],[Capital Social]]*20%</f>
        <v>268794788.26800001</v>
      </c>
      <c r="AA112" s="13">
        <f>IF(([Lucro Líquido]*5%)&gt;[Teto R. Legal],[Teto R. Legal],[Lucro Líquido]*5%)</f>
        <v>-6097700</v>
      </c>
      <c r="AB112" s="13">
        <f>IF([Lucro Líquido]&lt;0,0,[Lucro Líquido]-[Reserva Legal])</f>
        <v>0</v>
      </c>
      <c r="AC112" s="13">
        <f>Tabela3[[#This Row],[Lucro Distribuir]]*[%Div]</f>
        <v>0</v>
      </c>
      <c r="AD112" s="56">
        <f>SUMPRODUCT(N([Nome]=Tabela3[[#This Row],[Nome]]),[Ações])</f>
        <v>426591684</v>
      </c>
      <c r="AE112" s="6">
        <f>[Capital Social]/[Total Ações]</f>
        <v>3.1504925945532496</v>
      </c>
      <c r="AF112" s="77">
        <f>Tabela3[[#This Row],[Lucro Líquido]]/Tabela3[[#This Row],[Total Ações]]</f>
        <v>-0.28587992821725988</v>
      </c>
      <c r="AG11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13">
        <f>[Div Base]*[Ações]</f>
        <v>0</v>
      </c>
      <c r="AL112" s="13">
        <f>SUMPRODUCT(N([Nome]=Tabela3[[#This Row],[Nome]]),[Div Base]*[Ações])</f>
        <v>0</v>
      </c>
      <c r="AM112" s="6">
        <f>[Patrimônio Líquido]/[Total Ações]</f>
        <v>-0.39753236258585856</v>
      </c>
      <c r="AN112" s="48">
        <f>MAX(Tabela3[[#This Row],[Cotação 1]:[Cotação 5]])</f>
        <v>0.81</v>
      </c>
      <c r="AO112" s="44">
        <f>[Cotação]/[VPA]</f>
        <v>-2.0375699596660066</v>
      </c>
      <c r="AP112" s="40">
        <f>IF(Tabela3[[#This Row],[Lucro/Ação]]&gt;0,Tabela3[[#This Row],[Cotação]]/(Tabela3[[#This Row],[Lucro/Ação]]/[Ref]*4),0)</f>
        <v>0</v>
      </c>
      <c r="AQ112" s="77">
        <f>[Lucro Distribuir]/[Total Ações]</f>
        <v>0</v>
      </c>
      <c r="AR11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42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900</v>
      </c>
      <c r="AW112" s="17">
        <f>Tabela3[[#This Row],[Ativos]]*[Lucro]</f>
        <v>0</v>
      </c>
      <c r="AX112" s="17">
        <f>SUMPRODUCT(N(Tabela1[Código]=Tabela3[[#This Row],[PAPEL]]),Tabela1[Fechamento])</f>
        <v>0</v>
      </c>
      <c r="AY112" s="17">
        <f>SUMPRODUCT(N(Tabela17[Código]=Tabela3[[#This Row],[PAPEL]]),Tabela17[Fechamento])</f>
        <v>0.81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customHeight="1">
      <c r="A113" s="4" t="s">
        <v>314</v>
      </c>
      <c r="B113" s="115" t="s">
        <v>650</v>
      </c>
      <c r="C113" s="15" t="str">
        <f>LEFT([PAPEL],LEN([PAPEL])-(LEN([PAPEL])-4))</f>
        <v>SNSY</v>
      </c>
      <c r="D113" s="15">
        <v>3</v>
      </c>
      <c r="E113" s="6">
        <v>54625000</v>
      </c>
      <c r="F113" s="8">
        <v>12619870</v>
      </c>
      <c r="G113" s="80">
        <v>0.25</v>
      </c>
      <c r="H113" s="15"/>
      <c r="I113" s="19"/>
      <c r="J113" s="19"/>
      <c r="K113" s="87"/>
      <c r="L113" s="87"/>
      <c r="M113" s="55"/>
      <c r="N113" s="55"/>
      <c r="O113" s="55"/>
      <c r="P113" s="91">
        <v>-350694000</v>
      </c>
      <c r="Q113" s="92">
        <v>-43597000</v>
      </c>
      <c r="R113" s="92">
        <f>IF(Tabela3[[#This Row],[Ativo || Passivo]]&gt;0,Tabela3[[#This Row],[Ativo || Passivo]]-Tabela3[[#This Row],[Patrimônio Líquido]],0)</f>
        <v>0</v>
      </c>
      <c r="S113" s="92">
        <f>Tabela3[[#This Row],[Cotação]]*Tabela3[[#This Row],[Total Ações]]</f>
        <v>15625808.82</v>
      </c>
      <c r="T113" s="40">
        <f>IF(Tabela3[[#This Row],[Passivo Circulante]]&gt;0,Tabela3[[#This Row],[Ativo Circulante]]/Tabela3[[#This Row],[Passivo Circulante]],0)</f>
        <v>0</v>
      </c>
      <c r="U11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3" s="19">
        <f>IF(Tabela3[[#This Row],[Lucro Líquido]]&gt;0,Tabela3[[#This Row],[Lucro Líquido]]/Tabela3[[#This Row],[Patrimônio Líquido]],0)/Tabela3[[#This Row],[Ref]]*4</f>
        <v>0</v>
      </c>
      <c r="W1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3" s="19">
        <f>IF(Tabela3[[#This Row],[Dívida]]&gt;0,Tabela3[[#This Row],[Dívida]]/Tabela3[[#This Row],[Patrimônio Líquido]],0)</f>
        <v>0</v>
      </c>
      <c r="Y113" s="19">
        <f>SUMPRODUCT(N([Dívida / PL]&gt;0),N(RIGHT([PAPEL],LEN([PAPEL])-(LEN([PAPEL])-1))="3"),[Dívida / PL])/SUMPRODUCT(N([Dívida / PL]&gt;0),N(RIGHT([PAPEL],LEN([PAPEL])-(LEN([PAPEL])-1))="3"))</f>
        <v>2.2435702141443779</v>
      </c>
      <c r="Z113" s="13">
        <f>Tabela3[[#This Row],[Capital Social]]*20%</f>
        <v>10925000</v>
      </c>
      <c r="AA113" s="13">
        <f>IF(([Lucro Líquido]*5%)&gt;[Teto R. Legal],[Teto R. Legal],[Lucro Líquido]*5%)</f>
        <v>-2179850</v>
      </c>
      <c r="AB113" s="13">
        <f>IF([Lucro Líquido]&lt;0,0,[Lucro Líquido]-[Reserva Legal])</f>
        <v>0</v>
      </c>
      <c r="AC113" s="13">
        <f>Tabela3[[#This Row],[Lucro Distribuir]]*[%Div]</f>
        <v>0</v>
      </c>
      <c r="AD113" s="56">
        <f>SUMPRODUCT(N([Nome]=Tabela3[[#This Row],[Nome]]),[Ações])</f>
        <v>19291122</v>
      </c>
      <c r="AE113" s="6">
        <f>[Capital Social]/[Total Ações]</f>
        <v>2.8316134230035974</v>
      </c>
      <c r="AF113" s="77">
        <f>Tabela3[[#This Row],[Lucro Líquido]]/Tabela3[[#This Row],[Total Ações]]</f>
        <v>-2.2599514947860473</v>
      </c>
      <c r="AG1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3" s="13">
        <f>[Div Base]*[Ações]</f>
        <v>0</v>
      </c>
      <c r="AL113" s="13">
        <f>SUMPRODUCT(N([Nome]=Tabela3[[#This Row],[Nome]]),[Div Base]*[Ações])</f>
        <v>0</v>
      </c>
      <c r="AM113" s="6">
        <f>[Patrimônio Líquido]/[Total Ações]</f>
        <v>-18.179035931658095</v>
      </c>
      <c r="AN113" s="48">
        <f>MAX(Tabela3[[#This Row],[Cotação 1]:[Cotação 5]])</f>
        <v>0.81</v>
      </c>
      <c r="AO113" s="44">
        <f>[Cotação]/[VPA]</f>
        <v>-4.4556818251809273E-2</v>
      </c>
      <c r="AP113" s="40">
        <f>IF(Tabela3[[#This Row],[Lucro/Ação]]&gt;0,Tabela3[[#This Row],[Cotação]]/(Tabela3[[#This Row],[Lucro/Ação]]/[Ref]*4),0)</f>
        <v>0</v>
      </c>
      <c r="AQ113" s="77">
        <f>[Lucro Distribuir]/[Total Ações]</f>
        <v>0</v>
      </c>
      <c r="AR113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3" s="14" t="str">
        <f>IF(AND([% A.A.]&gt;=5%,SUMPRODUCT(N([Nome]=Tabela3[[#This Row],[Nome]]),[PL])&gt;0,[Rentabilidade s/ PL]&gt;=[Rentabilidade s/ PL Média]),"Sim","Não")</f>
        <v>Não</v>
      </c>
      <c r="AT113" s="42">
        <f>IF([Cotação]&gt;0,Tabela3[[#This Row],[Lucro]]/Tabela3[[#This Row],[Cotação]],0)</f>
        <v>0</v>
      </c>
      <c r="AU113" s="42">
        <f>((1+Tabela3[[#This Row],[% Yield]])^(1/(3*Tabela3[[#This Row],[Ref]])))^(12)-1</f>
        <v>0</v>
      </c>
      <c r="AV113" s="14">
        <f>IF([Cotação]&gt;0,($BH$1/Tabela3[[#This Row],[Cotação]]-MOD($BH$1/Tabela3[[#This Row],[Cotação]],100)),)</f>
        <v>900</v>
      </c>
      <c r="AW113" s="17">
        <f>Tabela3[[#This Row],[Ativos]]*[Lucro]</f>
        <v>0</v>
      </c>
      <c r="AX113" s="17">
        <f>SUMPRODUCT(N(Tabela1[Código]=Tabela3[[#This Row],[PAPEL]]),Tabela1[Fechamento])</f>
        <v>0</v>
      </c>
      <c r="AY113" s="17">
        <f>SUMPRODUCT(N(Tabela17[Código]=Tabela3[[#This Row],[PAPEL]]),Tabela17[Fechamento])</f>
        <v>0</v>
      </c>
      <c r="AZ113" s="17">
        <f>SUMPRODUCT(N(Tabela176[Código]=Tabela3[[#This Row],[PAPEL]]),Tabela176[Fechamento])</f>
        <v>0.81</v>
      </c>
      <c r="BA113" s="17">
        <f>SUMPRODUCT(N(Tabela1768[Código]=Tabela3[[#This Row],[PAPEL]]),Tabela1768[Fechamento])</f>
        <v>0</v>
      </c>
      <c r="BB113" s="7">
        <f>SUMPRODUCT(N(Tabela17683[Código]=Tabela3[[#This Row],[PAPEL]]),Tabela17683[Fechamento])</f>
        <v>0</v>
      </c>
    </row>
    <row r="114" spans="1:54" ht="11.25" customHeight="1">
      <c r="A114" s="3" t="s">
        <v>855</v>
      </c>
      <c r="B114" s="58" t="s">
        <v>861</v>
      </c>
      <c r="C114" s="16" t="str">
        <f>LEFT([PAPEL],LEN([PAPEL])-(LEN([PAPEL])-4))</f>
        <v>BMTO</v>
      </c>
      <c r="D114" s="16">
        <v>3</v>
      </c>
      <c r="E114" s="5">
        <v>577400000</v>
      </c>
      <c r="F114" s="56">
        <v>1878384068</v>
      </c>
      <c r="G114" s="80">
        <v>0.25</v>
      </c>
      <c r="H114" s="86"/>
      <c r="J114" s="18">
        <v>0.1</v>
      </c>
      <c r="K114" s="16"/>
      <c r="L114" s="86"/>
      <c r="M114" s="54">
        <v>1067544000</v>
      </c>
      <c r="N114" s="54">
        <v>944000</v>
      </c>
      <c r="O114" s="54">
        <v>1139000</v>
      </c>
      <c r="P114" s="90">
        <v>1187464000</v>
      </c>
      <c r="Q114" s="73">
        <v>258949000</v>
      </c>
      <c r="R114" s="73">
        <f>IF(Tabela3[[#This Row],[Ativo || Passivo]]&gt;0,Tabela3[[#This Row],[Ativo || Passivo]]-Tabela3[[#This Row],[Patrimônio Líquido]],0)</f>
        <v>-119920000</v>
      </c>
      <c r="S114" s="73">
        <f>Tabela3[[#This Row],[Cotação]]*Tabela3[[#This Row],[Total Ações]]</f>
        <v>2406133052.4000001</v>
      </c>
      <c r="T114" s="37">
        <f>IF(Tabela3[[#This Row],[Passivo Circulante]]&gt;0,Tabela3[[#This Row],[Ativo Circulante]]/Tabela3[[#This Row],[Passivo Circulante]],0)</f>
        <v>0.82879719051799827</v>
      </c>
      <c r="U11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4" s="18">
        <f>IF(Tabela3[[#This Row],[Lucro Líquido]]&gt;0,Tabela3[[#This Row],[Lucro Líquido]]/Tabela3[[#This Row],[Patrimônio Líquido]],0)/Tabela3[[#This Row],[Ref]]*4</f>
        <v>0.29075856896152924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2.2435702141443779</v>
      </c>
      <c r="Z114" s="7">
        <f>Tabela3[[#This Row],[Capital Social]]*20%</f>
        <v>115480000</v>
      </c>
      <c r="AA114" s="47">
        <f>IF(([Lucro Líquido]*5%)&gt;[Teto R. Legal],[Teto R. Legal],[Lucro Líquido]*5%)</f>
        <v>12947450</v>
      </c>
      <c r="AB114" s="47">
        <f>IF([Lucro Líquido]&lt;0,0,[Lucro Líquido]-[Reserva Legal])</f>
        <v>246001550</v>
      </c>
      <c r="AC114" s="47">
        <f>Tabela3[[#This Row],[Lucro Distribuir]]*[%Div]</f>
        <v>61500387.5</v>
      </c>
      <c r="AD114" s="56">
        <f>SUMPRODUCT(N([Nome]=Tabela3[[#This Row],[Nome]]),[Ações])</f>
        <v>2864444110</v>
      </c>
      <c r="AE114" s="84">
        <f>[Capital Social]/[Total Ações]</f>
        <v>0.2015748877711564</v>
      </c>
      <c r="AF114" s="84">
        <f>Tabela3[[#This Row],[Lucro Líquido]]/Tabela3[[#This Row],[Total Ações]]</f>
        <v>9.040113545800689E-2</v>
      </c>
      <c r="AG1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1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114" s="7">
        <f>[Div Base]*[Ações]</f>
        <v>42982072.276713334</v>
      </c>
      <c r="AL114" s="7">
        <f>SUMPRODUCT(N([Nome]=Tabela3[[#This Row],[Nome]]),[Div Base]*[Ações])</f>
        <v>71613725.012087822</v>
      </c>
      <c r="AM114" s="5">
        <f>[Patrimônio Líquido]/[Total Ações]</f>
        <v>0.41455303521352349</v>
      </c>
      <c r="AN114" s="52">
        <f>MAX(Tabela3[[#This Row],[Cotação 1]:[Cotação 5]])</f>
        <v>0.84</v>
      </c>
      <c r="AO114" s="53">
        <f>[Cotação]/[VPA]</f>
        <v>2.0262787355237717</v>
      </c>
      <c r="AP114" s="37">
        <f>IF(Tabela3[[#This Row],[Lucro/Ação]]&gt;0,Tabela3[[#This Row],[Cotação]]/(Tabela3[[#This Row],[Lucro/Ação]]/[Ref]*4),0)</f>
        <v>6.9689390161769307</v>
      </c>
      <c r="AQ114" s="84">
        <f>[Lucro Distribuir]/[Total Ações]</f>
        <v>8.5881078685106554E-2</v>
      </c>
      <c r="AR114" s="84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2.7241039004997553E-2</v>
      </c>
      <c r="AU114" s="22">
        <f>((1+Tabela3[[#This Row],[% Yield]])^(1/(3*Tabela3[[#This Row],[Ref]])))^(12)-1</f>
        <v>3.6485303622634691E-2</v>
      </c>
      <c r="AV114" s="10">
        <f>IF([Cotação]&gt;0,($BH$1/Tabela3[[#This Row],[Cotação]]-MOD($BH$1/Tabela3[[#This Row],[Cotação]],100)),)</f>
        <v>900</v>
      </c>
      <c r="AW114" s="7">
        <f>Tabela3[[#This Row],[Ativos]]*[Lucro]</f>
        <v>20.594225487778147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0.84</v>
      </c>
      <c r="BB114" s="7">
        <f>SUMPRODUCT(N(Tabela17683[Código]=Tabela3[[#This Row],[PAPEL]]),Tabela17683[Fechamento])</f>
        <v>0</v>
      </c>
    </row>
    <row r="115" spans="1:54" ht="11.25" customHeight="1">
      <c r="A115" s="4" t="s">
        <v>288</v>
      </c>
      <c r="B115" s="57" t="s">
        <v>687</v>
      </c>
      <c r="C115" s="15" t="str">
        <f>LEFT([PAPEL],LEN([PAPEL])-(LEN([PAPEL])-4))</f>
        <v>BTTL</v>
      </c>
      <c r="D115" s="16">
        <v>4</v>
      </c>
      <c r="E115" s="6">
        <v>151555970</v>
      </c>
      <c r="F115" s="8">
        <v>99765826</v>
      </c>
      <c r="G115" s="80">
        <v>0.25</v>
      </c>
      <c r="H115" s="15"/>
      <c r="I115" s="19"/>
      <c r="J115" s="19"/>
      <c r="K115" s="87"/>
      <c r="L115" s="87"/>
      <c r="M115" s="55">
        <v>333313000</v>
      </c>
      <c r="N115" s="55">
        <v>191473000</v>
      </c>
      <c r="O115" s="55">
        <v>265323000</v>
      </c>
      <c r="P115" s="91">
        <v>-37208000</v>
      </c>
      <c r="Q115" s="92">
        <v>27475000</v>
      </c>
      <c r="R115" s="92">
        <f>IF(Tabela3[[#This Row],[Ativo || Passivo]]&gt;0,Tabela3[[#This Row],[Ativo || Passivo]]-Tabela3[[#This Row],[Patrimônio Líquido]],0)</f>
        <v>370521000</v>
      </c>
      <c r="S115" s="92">
        <f>Tabela3[[#This Row],[Cotação]]*Tabela3[[#This Row],[Total Ações]]</f>
        <v>128722846.08</v>
      </c>
      <c r="T115" s="40">
        <f>IF(Tabela3[[#This Row],[Passivo Circulante]]&gt;0,Tabela3[[#This Row],[Ativo Circulante]]/Tabela3[[#This Row],[Passivo Circulante]],0)</f>
        <v>0.72166001439754568</v>
      </c>
      <c r="U11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5" s="19">
        <f>IF(Tabela3[[#This Row],[Lucro Líquido]]&gt;0,Tabela3[[#This Row],[Lucro Líquido]]/Tabela3[[#This Row],[Patrimônio Líquido]],0)/Tabela3[[#This Row],[Ref]]*4</f>
        <v>-0.73841646957643514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5" s="19">
        <f>IF(Tabela3[[#This Row],[Dívida]]&gt;0,Tabela3[[#This Row],[Dívida]]/Tabela3[[#This Row],[Patrimônio Líquido]],0)</f>
        <v>-9.9581004085142979</v>
      </c>
      <c r="Y115" s="19">
        <f>SUMPRODUCT(N([Dívida / PL]&gt;0),N(RIGHT([PAPEL],LEN([PAPEL])-(LEN([PAPEL])-1))="3"),[Dívida / PL])/SUMPRODUCT(N([Dívida / PL]&gt;0),N(RIGHT([PAPEL],LEN([PAPEL])-(LEN([PAPEL])-1))="3"))</f>
        <v>2.2435702141443779</v>
      </c>
      <c r="Z115" s="13">
        <f>Tabela3[[#This Row],[Capital Social]]*20%</f>
        <v>30311194</v>
      </c>
      <c r="AA115" s="13">
        <f>IF(([Lucro Líquido]*5%)&gt;[Teto R. Legal],[Teto R. Legal],[Lucro Líquido]*5%)</f>
        <v>1373750</v>
      </c>
      <c r="AB115" s="13">
        <f>IF([Lucro Líquido]&lt;0,0,[Lucro Líquido]-[Reserva Legal])</f>
        <v>26101250</v>
      </c>
      <c r="AC115" s="13">
        <f>Tabela3[[#This Row],[Lucro Distribuir]]*[%Div]</f>
        <v>6525312.5</v>
      </c>
      <c r="AD115" s="21">
        <f>SUMPRODUCT(N([Nome]=Tabela3[[#This Row],[Nome]]),[Ações])</f>
        <v>149677728</v>
      </c>
      <c r="AE115" s="6">
        <f>[Capital Social]/[Total Ações]</f>
        <v>1.0125485736929412</v>
      </c>
      <c r="AF115" s="77">
        <f>Tabela3[[#This Row],[Lucro Líquido]]/Tabela3[[#This Row],[Total Ações]]</f>
        <v>0.18356104389826119</v>
      </c>
      <c r="AG1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1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115" s="13">
        <f>[Div Base]*[Ações]</f>
        <v>4349365.8019089187</v>
      </c>
      <c r="AL115" s="13">
        <f>SUMPRODUCT(N([Nome]=Tabela3[[#This Row],[Nome]]),[Div Base]*[Ações])</f>
        <v>6525312.5</v>
      </c>
      <c r="AM115" s="6">
        <f>[Patrimônio Líquido]/[Total Ações]</f>
        <v>-0.248587418430082</v>
      </c>
      <c r="AN115" s="48">
        <f>MAX(Tabela3[[#This Row],[Cotação 1]:[Cotação 5]])</f>
        <v>0.86</v>
      </c>
      <c r="AO115" s="44">
        <f>[Cotação]/[VPA]</f>
        <v>-3.4595475725650395</v>
      </c>
      <c r="AP115" s="40">
        <f>IF(Tabela3[[#This Row],[Lucro/Ação]]&gt;0,Tabela3[[#This Row],[Cotação]]/(Tabela3[[#This Row],[Lucro/Ação]]/[Ref]*4),0)</f>
        <v>4.6850899392174705</v>
      </c>
      <c r="AQ115" s="77">
        <f>[Lucro Distribuir]/[Total Ações]</f>
        <v>0.17438299170334814</v>
      </c>
      <c r="AR115" s="77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115" s="14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5.0692730146322133E-2</v>
      </c>
      <c r="AU115" s="42">
        <f>((1+Tabela3[[#This Row],[% Yield]])^(1/(3*Tabela3[[#This Row],[Ref]])))^(12)-1</f>
        <v>5.0692730146323806E-2</v>
      </c>
      <c r="AV115" s="14">
        <f>IF([Cotação]&gt;0,($BH$1/Tabela3[[#This Row],[Cotação]]-MOD($BH$1/Tabela3[[#This Row],[Cotação]],100)),)</f>
        <v>900</v>
      </c>
      <c r="AW115" s="17">
        <f>Tabela3[[#This Row],[Ativos]]*[Lucro]</f>
        <v>39.236173133253331</v>
      </c>
      <c r="AX115" s="17">
        <f>SUMPRODUCT(N(Tabela1[Código]=Tabela3[[#This Row],[PAPEL]]),Tabela1[Fechamento])</f>
        <v>0</v>
      </c>
      <c r="AY115" s="17">
        <f>SUMPRODUCT(N(Tabela17[Código]=Tabela3[[#This Row],[PAPEL]]),Tabela17[Fechamento])</f>
        <v>0</v>
      </c>
      <c r="AZ115" s="17">
        <f>SUMPRODUCT(N(Tabela176[Código]=Tabela3[[#This Row],[PAPEL]]),Tabela176[Fechamento])</f>
        <v>0.86</v>
      </c>
      <c r="BA115" s="1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t="11.25" customHeight="1">
      <c r="A116" s="3" t="s">
        <v>1141</v>
      </c>
      <c r="B116" s="57" t="s">
        <v>1144</v>
      </c>
      <c r="C116" s="16" t="str">
        <f>LEFT([PAPEL],LEN([PAPEL])-(LEN([PAPEL])-4))</f>
        <v>LLXL</v>
      </c>
      <c r="D116" s="16">
        <v>3</v>
      </c>
      <c r="E116" s="5">
        <v>624239307.03999996</v>
      </c>
      <c r="F116" s="56">
        <v>1777474711</v>
      </c>
      <c r="G116" s="80">
        <v>0.25</v>
      </c>
      <c r="H116" s="86"/>
      <c r="J116" s="18"/>
      <c r="K116" s="16"/>
      <c r="L116" s="86"/>
      <c r="M116" s="54"/>
      <c r="N116" s="54"/>
      <c r="O116" s="54"/>
      <c r="P116" s="90">
        <v>773839000</v>
      </c>
      <c r="Q116" s="73">
        <v>-103906000</v>
      </c>
      <c r="R116" s="73">
        <f>IF(Tabela3[[#This Row],[Ativo || Passivo]]&gt;0,Tabela3[[#This Row],[Ativo || Passivo]]-Tabela3[[#This Row],[Patrimônio Líquido]],0)</f>
        <v>0</v>
      </c>
      <c r="S116" s="73">
        <f>Tabela3[[#This Row],[Cotação]]*Tabela3[[#This Row],[Total Ações]]</f>
        <v>1528628251.46</v>
      </c>
      <c r="T116" s="37">
        <f>IF(Tabela3[[#This Row],[Passivo Circulante]]&gt;0,Tabela3[[#This Row],[Ativo Circulante]]/Tabela3[[#This Row],[Passivo Circulante]],0)</f>
        <v>0</v>
      </c>
      <c r="U11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6" s="18">
        <f>IF(Tabela3[[#This Row],[Lucro Líquido]]&gt;0,Tabela3[[#This Row],[Lucro Líquido]]/Tabela3[[#This Row],[Patrimônio Líquido]],0)/Tabela3[[#This Row],[Ref]]*4</f>
        <v>0</v>
      </c>
      <c r="W1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6" s="18">
        <f>IF(Tabela3[[#This Row],[Dívida]]&gt;0,Tabela3[[#This Row],[Dívida]]/Tabela3[[#This Row],[Patrimônio Líquido]],0)</f>
        <v>0</v>
      </c>
      <c r="Y116" s="18">
        <f>SUMPRODUCT(N([Dívida / PL]&gt;0),N(RIGHT([PAPEL],LEN([PAPEL])-(LEN([PAPEL])-1))="3"),[Dívida / PL])/SUMPRODUCT(N([Dívida / PL]&gt;0),N(RIGHT([PAPEL],LEN([PAPEL])-(LEN([PAPEL])-1))="3"))</f>
        <v>2.2435702141443779</v>
      </c>
      <c r="Z116" s="7">
        <f>Tabela3[[#This Row],[Capital Social]]*20%</f>
        <v>124847861.40799999</v>
      </c>
      <c r="AA116" s="47">
        <f>IF(([Lucro Líquido]*5%)&gt;[Teto R. Legal],[Teto R. Legal],[Lucro Líquido]*5%)</f>
        <v>-5195300</v>
      </c>
      <c r="AB116" s="47">
        <f>IF([Lucro Líquido]&lt;0,0,[Lucro Líquido]-[Reserva Legal])</f>
        <v>0</v>
      </c>
      <c r="AC116" s="47">
        <f>Tabela3[[#This Row],[Lucro Distribuir]]*[%Div]</f>
        <v>0</v>
      </c>
      <c r="AD116" s="56">
        <f>SUMPRODUCT(N([Nome]=Tabela3[[#This Row],[Nome]]),[Ações])</f>
        <v>1777474711</v>
      </c>
      <c r="AE116" s="84">
        <f>[Capital Social]/[Total Ações]</f>
        <v>0.35119448011094656</v>
      </c>
      <c r="AF116" s="84">
        <f>Tabela3[[#This Row],[Lucro Líquido]]/Tabela3[[#This Row],[Total Ações]]</f>
        <v>-5.8457090476152489E-2</v>
      </c>
      <c r="AG1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6" s="7">
        <f>[Div Base]*[Ações]</f>
        <v>0</v>
      </c>
      <c r="AL116" s="113">
        <f>SUMPRODUCT(N([Nome]=Tabela3[[#This Row],[Nome]]),[Div Base]*[Ações])</f>
        <v>0</v>
      </c>
      <c r="AM116" s="5">
        <f>[Patrimônio Líquido]/[Total Ações]</f>
        <v>0.43535865529397116</v>
      </c>
      <c r="AN116" s="52">
        <f>MAX(Tabela3[[#This Row],[Cotação 1]:[Cotação 5]])</f>
        <v>0.86</v>
      </c>
      <c r="AO116" s="53">
        <f>[Cotação]/[VPA]</f>
        <v>1.9753828011511438</v>
      </c>
      <c r="AP116" s="37">
        <f>IF(Tabela3[[#This Row],[Lucro/Ação]]&gt;0,Tabela3[[#This Row],[Cotação]]/(Tabela3[[#This Row],[Lucro/Ação]]/[Ref]*4),0)</f>
        <v>0</v>
      </c>
      <c r="AQ116" s="84">
        <f>[Lucro Distribuir]/[Total Ações]</f>
        <v>0</v>
      </c>
      <c r="AR11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6" s="10" t="str">
        <f>IF(AND([% A.A.]&gt;=5%,SUMPRODUCT(N([Nome]=Tabela3[[#This Row],[Nome]]),[PL])&gt;0,[Rentabilidade s/ PL]&gt;=[Rentabilidade s/ PL Média]),"Sim","Não")</f>
        <v>Não</v>
      </c>
      <c r="AT116" s="22">
        <f>IF([Cotação]&gt;0,Tabela3[[#This Row],[Lucro]]/Tabela3[[#This Row],[Cotação]],0)</f>
        <v>0</v>
      </c>
      <c r="AU116" s="22">
        <f>((1+Tabela3[[#This Row],[% Yield]])^(1/(3*Tabela3[[#This Row],[Ref]])))^(12)-1</f>
        <v>0</v>
      </c>
      <c r="AV116" s="10">
        <f>IF([Cotação]&gt;0,($BH$1/Tabela3[[#This Row],[Cotação]]-MOD($BH$1/Tabela3[[#This Row],[Cotação]],100)),)</f>
        <v>900</v>
      </c>
      <c r="AW116" s="7">
        <f>Tabela3[[#This Row],[Ativos]]*[Lucro]</f>
        <v>0</v>
      </c>
      <c r="AX116" s="7">
        <f>SUMPRODUCT(N(Tabela1[Código]=Tabela3[[#This Row],[PAPEL]]),Tabela1[Fechamento])</f>
        <v>0</v>
      </c>
      <c r="AY116" s="7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0.86</v>
      </c>
    </row>
    <row r="117" spans="1:54" ht="11.25" customHeight="1">
      <c r="A117" s="4" t="s">
        <v>643</v>
      </c>
      <c r="B117" s="57" t="s">
        <v>644</v>
      </c>
      <c r="C117" s="15" t="str">
        <f>LEFT([PAPEL],LEN([PAPEL])-(LEN([PAPEL])-4))</f>
        <v>CCXC</v>
      </c>
      <c r="D117" s="15">
        <v>3</v>
      </c>
      <c r="E117" s="6">
        <v>742186771.17999995</v>
      </c>
      <c r="F117" s="8">
        <v>170122934</v>
      </c>
      <c r="G117" s="85">
        <v>0.25</v>
      </c>
      <c r="H117" s="15"/>
      <c r="I117" s="19"/>
      <c r="J117" s="19"/>
      <c r="K117" s="87"/>
      <c r="L117" s="87"/>
      <c r="M117" s="55"/>
      <c r="N117" s="55"/>
      <c r="O117" s="55"/>
      <c r="P117" s="91">
        <v>740069000</v>
      </c>
      <c r="Q117" s="92">
        <v>-15716000</v>
      </c>
      <c r="R117" s="92">
        <f>IF(Tabela3[[#This Row],[Ativo || Passivo]]&gt;0,Tabela3[[#This Row],[Ativo || Passivo]]-Tabela3[[#This Row],[Patrimônio Líquido]],0)</f>
        <v>0</v>
      </c>
      <c r="S117" s="92">
        <f>Tabela3[[#This Row],[Cotação]]*Tabela3[[#This Row],[Total Ações]]</f>
        <v>158214328.62</v>
      </c>
      <c r="T117" s="40">
        <f>IF(Tabela3[[#This Row],[Passivo Circulante]]&gt;0,Tabela3[[#This Row],[Ativo Circulante]]/Tabela3[[#This Row],[Passivo Circulante]],0)</f>
        <v>0</v>
      </c>
      <c r="U11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7" s="19">
        <f>IF(Tabela3[[#This Row],[Lucro Líquido]]&gt;0,Tabela3[[#This Row],[Lucro Líquido]]/Tabela3[[#This Row],[Patrimônio Líquido]],0)/Tabela3[[#This Row],[Ref]]*4</f>
        <v>0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7" s="19">
        <f>IF(Tabela3[[#This Row],[Dívida]]&gt;0,Tabela3[[#This Row],[Dívida]]/Tabela3[[#This Row],[Patrimônio Líquido]],0)</f>
        <v>0</v>
      </c>
      <c r="Y117" s="19">
        <f>SUMPRODUCT(N([Dívida / PL]&gt;0),N(RIGHT([PAPEL],LEN([PAPEL])-(LEN([PAPEL])-1))="3"),[Dívida / PL])/SUMPRODUCT(N([Dívida / PL]&gt;0),N(RIGHT([PAPEL],LEN([PAPEL])-(LEN([PAPEL])-1))="3"))</f>
        <v>2.2435702141443779</v>
      </c>
      <c r="Z117" s="13">
        <f>Tabela3[[#This Row],[Capital Social]]*20%</f>
        <v>148437354.236</v>
      </c>
      <c r="AA117" s="13">
        <f>IF(([Lucro Líquido]*5%)&gt;[Teto R. Legal],[Teto R. Legal],[Lucro Líquido]*5%)</f>
        <v>-785800</v>
      </c>
      <c r="AB117" s="13">
        <f>IF([Lucro Líquido]&lt;0,0,[Lucro Líquido]-[Reserva Legal])</f>
        <v>0</v>
      </c>
      <c r="AC117" s="13">
        <f>Tabela3[[#This Row],[Lucro Distribuir]]*[%Div]</f>
        <v>0</v>
      </c>
      <c r="AD117" s="56">
        <f>SUMPRODUCT(N([Nome]=Tabela3[[#This Row],[Nome]]),[Ações])</f>
        <v>170122934</v>
      </c>
      <c r="AE117" s="6">
        <f>[Capital Social]/[Total Ações]</f>
        <v>4.3626497246984934</v>
      </c>
      <c r="AF117" s="77">
        <f>Tabela3[[#This Row],[Lucro Líquido]]/Tabela3[[#This Row],[Total Ações]]</f>
        <v>-9.2380254857349214E-2</v>
      </c>
      <c r="AG1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7" s="13">
        <f>[Div Base]*[Ações]</f>
        <v>0</v>
      </c>
      <c r="AL117" s="13">
        <f>SUMPRODUCT(N([Nome]=Tabela3[[#This Row],[Nome]]),[Div Base]*[Ações])</f>
        <v>0</v>
      </c>
      <c r="AM117" s="6">
        <f>[Patrimônio Líquido]/[Total Ações]</f>
        <v>4.3502012491743178</v>
      </c>
      <c r="AN117" s="48">
        <f>MAX(Tabela3[[#This Row],[Cotação 1]:[Cotação 5]])</f>
        <v>0.93</v>
      </c>
      <c r="AO117" s="44">
        <f>[Cotação]/[VPA]</f>
        <v>0.21378321294365796</v>
      </c>
      <c r="AP117" s="40">
        <f>IF(Tabela3[[#This Row],[Lucro/Ação]]&gt;0,Tabela3[[#This Row],[Cotação]]/(Tabela3[[#This Row],[Lucro/Ação]]/[Ref]*4),0)</f>
        <v>0</v>
      </c>
      <c r="AQ117" s="77">
        <f>[Lucro Distribuir]/[Total Ações]</f>
        <v>0</v>
      </c>
      <c r="AR11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7" s="14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42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800</v>
      </c>
      <c r="AW117" s="17">
        <f>Tabela3[[#This Row],[Ativos]]*[Lucro]</f>
        <v>0</v>
      </c>
      <c r="AX117" s="17">
        <f>SUMPRODUCT(N(Tabela1[Código]=Tabela3[[#This Row],[PAPEL]]),Tabela1[Fechamento])</f>
        <v>0</v>
      </c>
      <c r="AY117" s="17">
        <f>SUMPRODUCT(N(Tabela17[Código]=Tabela3[[#This Row],[PAPEL]]),Tabela17[Fechamento])</f>
        <v>0</v>
      </c>
      <c r="AZ117" s="17">
        <f>SUMPRODUCT(N(Tabela176[Código]=Tabela3[[#This Row],[PAPEL]]),Tabela176[Fechamento])</f>
        <v>0.93</v>
      </c>
      <c r="BA117" s="1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customHeight="1">
      <c r="A118" s="4" t="s">
        <v>14</v>
      </c>
      <c r="B118" s="57" t="s">
        <v>204</v>
      </c>
      <c r="C118" s="14" t="str">
        <f>LEFT([PAPEL],LEN([PAPEL])-(LEN([PAPEL])-4))</f>
        <v>BMIN</v>
      </c>
      <c r="D118" s="15">
        <v>4</v>
      </c>
      <c r="E118" s="6">
        <v>29203000</v>
      </c>
      <c r="F118" s="8">
        <v>111505680</v>
      </c>
      <c r="G118" s="80">
        <v>0.25</v>
      </c>
      <c r="H118" s="15"/>
      <c r="I118" s="19"/>
      <c r="J118" s="19"/>
      <c r="K118" s="87"/>
      <c r="L118" s="87"/>
      <c r="M118" s="55">
        <v>101368000</v>
      </c>
      <c r="N118" s="55">
        <v>90252000</v>
      </c>
      <c r="O118" s="55">
        <v>24353000</v>
      </c>
      <c r="P118" s="6">
        <v>56653000</v>
      </c>
      <c r="Q118" s="6">
        <v>2123000</v>
      </c>
      <c r="R118" s="6">
        <f>IF(Tabela3[[#This Row],[Ativo || Passivo]]&gt;0,Tabela3[[#This Row],[Ativo || Passivo]]-Tabela3[[#This Row],[Patrimônio Líquido]],0)</f>
        <v>44715000</v>
      </c>
      <c r="S118" s="6">
        <f>Tabela3[[#This Row],[Cotação]]*Tabela3[[#This Row],[Total Ações]]</f>
        <v>182520000</v>
      </c>
      <c r="T118" s="121">
        <f>IF(Tabela3[[#This Row],[Passivo Circulante]]&gt;0,Tabela3[[#This Row],[Ativo Circulante]]/Tabela3[[#This Row],[Passivo Circulante]],0)</f>
        <v>3.7059910483308012</v>
      </c>
      <c r="U11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8" s="19">
        <f>IF(Tabela3[[#This Row],[Lucro Líquido]]&gt;0,Tabela3[[#This Row],[Lucro Líquido]]/Tabela3[[#This Row],[Patrimônio Líquido]],0)/Tabela3[[#This Row],[Ref]]*4</f>
        <v>3.7473743667590417E-2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8" s="19">
        <f>IF(Tabela3[[#This Row],[Dívida]]&gt;0,Tabela3[[#This Row],[Dívida]]/Tabela3[[#This Row],[Patrimônio Líquido]],0)</f>
        <v>0.78927859071893813</v>
      </c>
      <c r="Y118" s="19">
        <f>SUMPRODUCT(N([Dívida / PL]&gt;0),N(RIGHT([PAPEL],LEN([PAPEL])-(LEN([PAPEL])-1))="3"),[Dívida / PL])/SUMPRODUCT(N([Dívida / PL]&gt;0),N(RIGHT([PAPEL],LEN([PAPEL])-(LEN([PAPEL])-1))="3"))</f>
        <v>2.2435702141443779</v>
      </c>
      <c r="Z118" s="6">
        <f>Tabela3[[#This Row],[Capital Social]]*20%</f>
        <v>5840600</v>
      </c>
      <c r="AA118" s="6">
        <f>IF(([Lucro Líquido]*5%)&gt;[Teto R. Legal],[Teto R. Legal],[Lucro Líquido]*5%)</f>
        <v>106150</v>
      </c>
      <c r="AB118" s="6">
        <f>IF([Lucro Líquido]&lt;0,0,[Lucro Líquido]-[Reserva Legal])</f>
        <v>2016850</v>
      </c>
      <c r="AC118" s="6">
        <f>Tabela3[[#This Row],[Lucro Distribuir]]*[%Div]</f>
        <v>504212.5</v>
      </c>
      <c r="AD118" s="21">
        <f>SUMPRODUCT(N([Nome]=Tabela3[[#This Row],[Nome]]),[Ações])</f>
        <v>182520000</v>
      </c>
      <c r="AE118" s="6">
        <f>[Capital Social]/[Total Ações]</f>
        <v>0.15999890422967347</v>
      </c>
      <c r="AF118" s="77">
        <f>Tabela3[[#This Row],[Lucro Líquido]]/Tabela3[[#This Row],[Total Ações]]</f>
        <v>1.16316020162174E-2</v>
      </c>
      <c r="AG1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1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6">
        <f>[Div Base]*[Ações]</f>
        <v>0</v>
      </c>
      <c r="AL118" s="6">
        <f>SUMPRODUCT(N([Nome]=Tabela3[[#This Row],[Nome]]),[Div Base]*[Ações])</f>
        <v>795354.9369230771</v>
      </c>
      <c r="AM118" s="6">
        <f>[Patrimônio Líquido]/[Total Ações]</f>
        <v>0.31039338154722768</v>
      </c>
      <c r="AN118" s="48">
        <f>MAX(Tabela3[[#This Row],[Cotação 1]:[Cotação 5]])</f>
        <v>1</v>
      </c>
      <c r="AO118" s="44">
        <f>[Cotação]/[VPA]</f>
        <v>3.2217181790902516</v>
      </c>
      <c r="AP118" s="40">
        <f>IF(Tabela3[[#This Row],[Lucro/Ação]]&gt;0,Tabela3[[#This Row],[Cotação]]/(Tabela3[[#This Row],[Lucro/Ação]]/[Ref]*4),0)</f>
        <v>85.972680169571362</v>
      </c>
      <c r="AQ118" s="77">
        <f>[Lucro Distribuir]/[Total Ações]</f>
        <v>1.105002191540653E-2</v>
      </c>
      <c r="AR11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5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19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700</v>
      </c>
      <c r="AW118" s="17">
        <f>Tabela3[[#This Row],[Ativos]]*[Lucro]</f>
        <v>0</v>
      </c>
      <c r="AX118" s="5">
        <f>SUMPRODUCT(N(Tabela1[Código]=Tabela3[[#This Row],[PAPEL]]),Tabela1[Fechamento])</f>
        <v>1</v>
      </c>
      <c r="AY118" s="5">
        <f>SUMPRODUCT(N(Tabela17[Código]=Tabela3[[#This Row],[PAPEL]]),Tabela17[Fechamento])</f>
        <v>0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customHeight="1">
      <c r="A119" s="4" t="s">
        <v>12</v>
      </c>
      <c r="B119" s="57" t="s">
        <v>477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380669270</v>
      </c>
      <c r="G119" s="85">
        <v>0.5</v>
      </c>
      <c r="H119" s="15"/>
      <c r="I119" s="19"/>
      <c r="J119" s="19"/>
      <c r="K119" s="87"/>
      <c r="L119" s="87"/>
      <c r="M119" s="55"/>
      <c r="N119" s="55"/>
      <c r="O119" s="55"/>
      <c r="P119" s="91">
        <v>435830000</v>
      </c>
      <c r="Q119" s="92">
        <v>-212063000</v>
      </c>
      <c r="R119" s="92">
        <f>IF(Tabela3[[#This Row],[Ativo || Passivo]]&gt;0,Tabela3[[#This Row],[Ativo || Passivo]]-Tabela3[[#This Row],[Patrimônio Líquido]],0)</f>
        <v>0</v>
      </c>
      <c r="S119" s="92">
        <f>Tabela3[[#This Row],[Cotação]]*Tabela3[[#This Row],[Total Ações]]</f>
        <v>387229828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19" s="19">
        <f>IF(Tabela3[[#This Row],[Lucro Líquido]]&gt;0,Tabela3[[#This Row],[Lucro Líquido]]/Tabela3[[#This Row],[Patrimônio Líquido]],0)/Tabela3[[#This Row],[Ref]]*4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2.2435702141443779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7">
        <f>Tabela3[[#This Row],[Lucro Líquido]]/Tabela3[[#This Row],[Total Ações]]</f>
        <v>-0.54764118016239183</v>
      </c>
      <c r="AG1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</v>
      </c>
      <c r="AO119" s="44">
        <f>[Cotação]/[VPA]</f>
        <v>0.8884882362389005</v>
      </c>
      <c r="AP119" s="40">
        <f>IF(Tabela3[[#This Row],[Lucro/Ação]]&gt;0,Tabela3[[#This Row],[Cotação]]/(Tabela3[[#This Row],[Lucro/Ação]]/[Ref]*4),0)</f>
        <v>0</v>
      </c>
      <c r="AQ119" s="77">
        <f>[Lucro Distribuir]/[Total Ações]</f>
        <v>0</v>
      </c>
      <c r="AR11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700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customHeight="1">
      <c r="A120" s="4" t="s">
        <v>12</v>
      </c>
      <c r="B120" s="115" t="s">
        <v>455</v>
      </c>
      <c r="C120" s="15" t="str">
        <f>LEFT([PAPEL],LEN([PAPEL])-(LEN([PAPEL])-4))</f>
        <v>CELP</v>
      </c>
      <c r="D120" s="15">
        <v>4</v>
      </c>
      <c r="E120" s="6">
        <v>924523856.14999998</v>
      </c>
      <c r="F120" s="8">
        <v>2166816</v>
      </c>
      <c r="G120" s="80">
        <v>0.25</v>
      </c>
      <c r="H120" s="15"/>
      <c r="I120" s="19">
        <v>0.06</v>
      </c>
      <c r="J120" s="19"/>
      <c r="K120" s="87"/>
      <c r="L120" s="87"/>
      <c r="M120" s="55">
        <v>4469736000</v>
      </c>
      <c r="N120" s="55">
        <v>1095750000</v>
      </c>
      <c r="O120" s="55">
        <v>1001311000</v>
      </c>
      <c r="P120" s="91">
        <v>394077000</v>
      </c>
      <c r="Q120" s="92">
        <v>-228787000</v>
      </c>
      <c r="R120" s="92">
        <f>IF(Tabela3[[#This Row],[Ativo || Passivo]]&gt;0,Tabela3[[#This Row],[Ativo || Passivo]]-Tabela3[[#This Row],[Patrimônio Líquido]],0)</f>
        <v>4075659000</v>
      </c>
      <c r="S120" s="92">
        <f>Tabela3[[#This Row],[Cotação]]*Tabela3[[#This Row],[Total Ações]]</f>
        <v>1907449807</v>
      </c>
      <c r="T120" s="40">
        <f>IF(Tabela3[[#This Row],[Passivo Circulante]]&gt;0,Tabela3[[#This Row],[Ativo Circulante]]/Tabela3[[#This Row],[Passivo Circulante]],0)</f>
        <v>1.0943153525727771</v>
      </c>
      <c r="U12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0" s="19">
        <f>IF(Tabela3[[#This Row],[Lucro Líquido]]&gt;0,Tabela3[[#This Row],[Lucro Líquido]]/Tabela3[[#This Row],[Patrimônio Líquido]],0)/Tabela3[[#This Row],[Ref]]*4</f>
        <v>0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0" s="19">
        <f>IF(Tabela3[[#This Row],[Dívida]]&gt;0,Tabela3[[#This Row],[Dívida]]/Tabela3[[#This Row],[Patrimônio Líquido]],0)</f>
        <v>10.342290973591455</v>
      </c>
      <c r="Y120" s="19">
        <f>SUMPRODUCT(N([Dívida / PL]&gt;0),N(RIGHT([PAPEL],LEN([PAPEL])-(LEN([PAPEL])-1))="3"),[Dívida / PL])/SUMPRODUCT(N([Dívida / PL]&gt;0),N(RIGHT([PAPEL],LEN([PAPEL])-(LEN([PAPEL])-1))="3"))</f>
        <v>2.2435702141443779</v>
      </c>
      <c r="Z120" s="13">
        <f>Tabela3[[#This Row],[Capital Social]]*20%</f>
        <v>184904771.23000002</v>
      </c>
      <c r="AA120" s="13">
        <f>IF(([Lucro Líquido]*5%)&gt;[Teto R. Legal],[Teto R. Legal],[Lucro Líquido]*5%)</f>
        <v>-11439350</v>
      </c>
      <c r="AB120" s="13">
        <f>IF([Lucro Líquido]&lt;0,0,[Lucro Líquido]-[Reserva Legal])</f>
        <v>0</v>
      </c>
      <c r="AC120" s="13">
        <f>Tabela3[[#This Row],[Lucro Distribuir]]*[%Div]</f>
        <v>0</v>
      </c>
      <c r="AD120" s="56">
        <f>SUMPRODUCT(N([Nome]=Tabela3[[#This Row],[Nome]]),[Ações])</f>
        <v>1907449807</v>
      </c>
      <c r="AE120" s="6">
        <f>[Capital Social]/[Total Ações]</f>
        <v>0.4846910533410434</v>
      </c>
      <c r="AF120" s="77">
        <f>Tabela3[[#This Row],[Lucro Líquido]]/Tabela3[[#This Row],[Total Ações]]</f>
        <v>-0.11994391630143691</v>
      </c>
      <c r="AG1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0" s="13">
        <f>[Div Base]*[Ações]</f>
        <v>0</v>
      </c>
      <c r="AL120" s="13">
        <f>SUMPRODUCT(N([Nome]=Tabela3[[#This Row],[Nome]]),[Div Base]*[Ações])</f>
        <v>0</v>
      </c>
      <c r="AM120" s="6">
        <f>[Patrimônio Líquido]/[Total Ações]</f>
        <v>0.20659888325963169</v>
      </c>
      <c r="AN120" s="48">
        <f>MAX(Tabela3[[#This Row],[Cotação 1]:[Cotação 5]])</f>
        <v>1</v>
      </c>
      <c r="AO120" s="44">
        <f>[Cotação]/[VPA]</f>
        <v>4.8402972185638848</v>
      </c>
      <c r="AP120" s="40">
        <f>IF(Tabela3[[#This Row],[Lucro/Ação]]&gt;0,Tabela3[[#This Row],[Cotação]]/(Tabela3[[#This Row],[Lucro/Ação]]/[Ref]*4),0)</f>
        <v>0</v>
      </c>
      <c r="AQ120" s="77">
        <f>[Lucro Distribuir]/[Total Ações]</f>
        <v>0</v>
      </c>
      <c r="AR12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0</v>
      </c>
      <c r="AU120" s="42">
        <f>((1+Tabela3[[#This Row],[% Yield]])^(1/(3*Tabela3[[#This Row],[Ref]])))^(12)-1</f>
        <v>0</v>
      </c>
      <c r="AV120" s="14">
        <f>IF([Cotação]&gt;0,($BH$1/Tabela3[[#This Row],[Cotação]]-MOD($BH$1/Tabela3[[#This Row],[Cotação]],100)),)</f>
        <v>700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1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customHeight="1">
      <c r="A121" s="3" t="s">
        <v>1085</v>
      </c>
      <c r="B121" s="57" t="s">
        <v>1069</v>
      </c>
      <c r="C121" s="16" t="str">
        <f>LEFT([PAPEL],LEN([PAPEL])-(LEN([PAPEL])-4))</f>
        <v>SULT</v>
      </c>
      <c r="D121" s="16">
        <v>3</v>
      </c>
      <c r="E121" s="5">
        <v>130000000</v>
      </c>
      <c r="F121" s="56">
        <v>5110280</v>
      </c>
      <c r="G121" s="80">
        <v>0.25</v>
      </c>
      <c r="H121" s="86"/>
      <c r="J121" s="18">
        <v>0.1</v>
      </c>
      <c r="K121" s="16"/>
      <c r="L121" s="86"/>
      <c r="M121" s="54"/>
      <c r="N121" s="54"/>
      <c r="O121" s="54"/>
      <c r="P121" s="90">
        <v>198646000</v>
      </c>
      <c r="Q121" s="73">
        <v>-25149000</v>
      </c>
      <c r="R121" s="73">
        <f>IF(Tabela3[[#This Row],[Ativo || Passivo]]&gt;0,Tabela3[[#This Row],[Ativo || Passivo]]-Tabela3[[#This Row],[Patrimônio Líquido]],0)</f>
        <v>0</v>
      </c>
      <c r="S121" s="73">
        <f>Tabela3[[#This Row],[Cotação]]*Tabela3[[#This Row],[Total Ações]]</f>
        <v>12600000</v>
      </c>
      <c r="T121" s="37">
        <f>IF(Tabela3[[#This Row],[Passivo Circulante]]&gt;0,Tabela3[[#This Row],[Ativo Circulante]]/Tabela3[[#This Row],[Passivo Circulante]],0)</f>
        <v>0</v>
      </c>
      <c r="U12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1" s="18">
        <f>IF(Tabela3[[#This Row],[Lucro Líquido]]&gt;0,Tabela3[[#This Row],[Lucro Líquido]]/Tabela3[[#This Row],[Patrimônio Líquido]],0)/Tabela3[[#This Row],[Ref]]*4</f>
        <v>0</v>
      </c>
      <c r="W1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1" s="18">
        <f>IF(Tabela3[[#This Row],[Dívida]]&gt;0,Tabela3[[#This Row],[Dívida]]/Tabela3[[#This Row],[Patrimônio Líquido]],0)</f>
        <v>0</v>
      </c>
      <c r="Y121" s="18">
        <f>SUMPRODUCT(N([Dívida / PL]&gt;0),N(RIGHT([PAPEL],LEN([PAPEL])-(LEN([PAPEL])-1))="3"),[Dívida / PL])/SUMPRODUCT(N([Dívida / PL]&gt;0),N(RIGHT([PAPEL],LEN([PAPEL])-(LEN([PAPEL])-1))="3"))</f>
        <v>2.2435702141443779</v>
      </c>
      <c r="Z121" s="7">
        <f>Tabela3[[#This Row],[Capital Social]]*20%</f>
        <v>26000000</v>
      </c>
      <c r="AA121" s="47">
        <f>IF(([Lucro Líquido]*5%)&gt;[Teto R. Legal],[Teto R. Legal],[Lucro Líquido]*5%)</f>
        <v>-1257450</v>
      </c>
      <c r="AB121" s="47">
        <f>IF([Lucro Líquido]&lt;0,0,[Lucro Líquido]-[Reserva Legal])</f>
        <v>0</v>
      </c>
      <c r="AC121" s="47">
        <f>Tabela3[[#This Row],[Lucro Distribuir]]*[%Div]</f>
        <v>0</v>
      </c>
      <c r="AD121" s="56">
        <f>SUMPRODUCT(N([Nome]=Tabela3[[#This Row],[Nome]]),[Ações])</f>
        <v>12600000</v>
      </c>
      <c r="AE121" s="84">
        <f>[Capital Social]/[Total Ações]</f>
        <v>10.317460317460318</v>
      </c>
      <c r="AF121" s="84">
        <f>Tabela3[[#This Row],[Lucro Líquido]]/Tabela3[[#This Row],[Total Ações]]</f>
        <v>-1.9959523809523809</v>
      </c>
      <c r="AG12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7">
        <f>[Div Base]*[Ações]</f>
        <v>0</v>
      </c>
      <c r="AL121" s="113">
        <f>SUMPRODUCT(N([Nome]=Tabela3[[#This Row],[Nome]]),[Div Base]*[Ações])</f>
        <v>0</v>
      </c>
      <c r="AM121" s="5">
        <f>[Patrimônio Líquido]/[Total Ações]</f>
        <v>15.765555555555556</v>
      </c>
      <c r="AN121" s="52">
        <f>MAX(Tabela3[[#This Row],[Cotação 1]:[Cotação 5]])</f>
        <v>1</v>
      </c>
      <c r="AO121" s="53">
        <f>[Cotação]/[VPA]</f>
        <v>6.3429417154133486E-2</v>
      </c>
      <c r="AP121" s="37">
        <f>IF(Tabela3[[#This Row],[Lucro/Ação]]&gt;0,Tabela3[[#This Row],[Cotação]]/(Tabela3[[#This Row],[Lucro/Ação]]/[Ref]*4),0)</f>
        <v>0</v>
      </c>
      <c r="AQ121" s="84">
        <f>[Lucro Distribuir]/[Total Ações]</f>
        <v>0</v>
      </c>
      <c r="AR12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0" t="str">
        <f>IF(AND([% A.A.]&gt;=5%,SUMPRODUCT(N([Nome]=Tabela3[[#This Row],[Nome]]),[PL])&gt;0,[Rentabilidade s/ PL]&gt;=[Rentabilidade s/ PL Média]),"Sim","Não")</f>
        <v>Não</v>
      </c>
      <c r="AT121" s="22">
        <f>IF([Cotação]&gt;0,Tabela3[[#This Row],[Lucro]]/Tabela3[[#This Row],[Cotação]],0)</f>
        <v>0</v>
      </c>
      <c r="AU121" s="22">
        <f>((1+Tabela3[[#This Row],[% Yield]])^(1/(3*Tabela3[[#This Row],[Ref]])))^(12)-1</f>
        <v>0</v>
      </c>
      <c r="AV121" s="10">
        <f>IF([Cotação]&gt;0,($BH$1/Tabela3[[#This Row],[Cotação]]-MOD($BH$1/Tabela3[[#This Row],[Cotação]],100)),)</f>
        <v>700</v>
      </c>
      <c r="AW121" s="7">
        <f>Tabela3[[#This Row],[Ativos]]*[Lucro]</f>
        <v>0</v>
      </c>
      <c r="AX121" s="7">
        <f>SUMPRODUCT(N(Tabela1[Código]=Tabela3[[#This Row],[PAPEL]]),Tabela1[Fechamento])</f>
        <v>0</v>
      </c>
      <c r="AY121" s="7">
        <f>SUMPRODUCT(N(Tabela17[Código]=Tabela3[[#This Row],[PAPEL]]),Tabela17[Fechamento])</f>
        <v>0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1</v>
      </c>
    </row>
    <row r="122" spans="1:54" ht="11.25" customHeight="1">
      <c r="A122" s="4" t="s">
        <v>12</v>
      </c>
      <c r="B122" s="57" t="s">
        <v>445</v>
      </c>
      <c r="C122" s="15" t="str">
        <f>LEFT([PAPEL],LEN([PAPEL])-(LEN([PAPEL])-4))</f>
        <v>CBEE</v>
      </c>
      <c r="D122" s="15">
        <v>4</v>
      </c>
      <c r="E122" s="6">
        <v>1298230386.6500001</v>
      </c>
      <c r="F122" s="8">
        <v>3922515918</v>
      </c>
      <c r="G122" s="80">
        <v>0.25</v>
      </c>
      <c r="H122" s="15"/>
      <c r="I122" s="19"/>
      <c r="J122" s="19"/>
      <c r="K122" s="87"/>
      <c r="L122" s="87"/>
      <c r="M122" s="55">
        <v>5712410000</v>
      </c>
      <c r="N122" s="55">
        <v>1191490000</v>
      </c>
      <c r="O122" s="55">
        <v>954637000</v>
      </c>
      <c r="P122" s="91">
        <v>2480825000</v>
      </c>
      <c r="Q122" s="92">
        <v>515059000</v>
      </c>
      <c r="R122" s="92">
        <f>IF(Tabela3[[#This Row],[Ativo || Passivo]]&gt;0,Tabela3[[#This Row],[Ativo || Passivo]]-Tabela3[[#This Row],[Patrimônio Líquido]],0)</f>
        <v>3231585000</v>
      </c>
      <c r="S122" s="92">
        <f>Tabela3[[#This Row],[Cotação]]*Tabela3[[#This Row],[Total Ações]]</f>
        <v>4197092032.2600002</v>
      </c>
      <c r="T122" s="40">
        <f>IF(Tabela3[[#This Row],[Passivo Circulante]]&gt;0,Tabela3[[#This Row],[Ativo Circulante]]/Tabela3[[#This Row],[Passivo Circulante]],0)</f>
        <v>1.2481079195547626</v>
      </c>
      <c r="U12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2" s="19">
        <f>IF(Tabela3[[#This Row],[Lucro Líquido]]&gt;0,Tabela3[[#This Row],[Lucro Líquido]]/Tabela3[[#This Row],[Patrimônio Líquido]],0)/Tabela3[[#This Row],[Ref]]*4</f>
        <v>0.20761601483377506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2" s="19">
        <f>IF(Tabela3[[#This Row],[Dívida]]&gt;0,Tabela3[[#This Row],[Dívida]]/Tabela3[[#This Row],[Patrimônio Líquido]],0)</f>
        <v>1.3026251347837916</v>
      </c>
      <c r="Y122" s="19">
        <f>SUMPRODUCT(N([Dívida / PL]&gt;0),N(RIGHT([PAPEL],LEN([PAPEL])-(LEN([PAPEL])-1))="3"),[Dívida / PL])/SUMPRODUCT(N([Dívida / PL]&gt;0),N(RIGHT([PAPEL],LEN([PAPEL])-(LEN([PAPEL])-1))="3"))</f>
        <v>2.2435702141443779</v>
      </c>
      <c r="Z122" s="13">
        <f>Tabela3[[#This Row],[Capital Social]]*20%</f>
        <v>259646077.33000004</v>
      </c>
      <c r="AA122" s="13">
        <f>IF(([Lucro Líquido]*5%)&gt;[Teto R. Legal],[Teto R. Legal],[Lucro Líquido]*5%)</f>
        <v>25752950</v>
      </c>
      <c r="AB122" s="13">
        <f>IF([Lucro Líquido]&lt;0,0,[Lucro Líquido]-[Reserva Legal])</f>
        <v>489306050</v>
      </c>
      <c r="AC122" s="13">
        <f>Tabela3[[#This Row],[Lucro Distribuir]]*[%Div]</f>
        <v>122326512.5</v>
      </c>
      <c r="AD122" s="56">
        <f>SUMPRODUCT(N([Nome]=Tabela3[[#This Row],[Nome]]),[Ações])</f>
        <v>3922515918</v>
      </c>
      <c r="AE122" s="6">
        <f>[Capital Social]/[Total Ações]</f>
        <v>0.33096880007358587</v>
      </c>
      <c r="AF122" s="77">
        <f>Tabela3[[#This Row],[Lucro Líquido]]/Tabela3[[#This Row],[Total Ações]]</f>
        <v>0.13130832628019434</v>
      </c>
      <c r="AG12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2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22" s="13">
        <f>[Div Base]*[Ações]</f>
        <v>122326512.5</v>
      </c>
      <c r="AL122" s="13">
        <f>SUMPRODUCT(N([Nome]=Tabela3[[#This Row],[Nome]]),[Div Base]*[Ações])</f>
        <v>122326512.5</v>
      </c>
      <c r="AM122" s="6">
        <f>[Patrimônio Líquido]/[Total Ações]</f>
        <v>0.63245759911789345</v>
      </c>
      <c r="AN122" s="48">
        <f>MAX(Tabela3[[#This Row],[Cotação 1]:[Cotação 5]])</f>
        <v>1.07</v>
      </c>
      <c r="AO122" s="44">
        <f>[Cotação]/[VPA]</f>
        <v>1.691813018757873</v>
      </c>
      <c r="AP122" s="40">
        <f>IF(Tabela3[[#This Row],[Lucro/Ação]]&gt;0,Tabela3[[#This Row],[Cotação]]/(Tabela3[[#This Row],[Lucro/Ação]]/[Ref]*4),0)</f>
        <v>8.1487597192942935</v>
      </c>
      <c r="AQ122" s="77">
        <f>[Lucro Distribuir]/[Total Ações]</f>
        <v>0.12474290996618462</v>
      </c>
      <c r="AR122" s="77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2.9145539711725375E-2</v>
      </c>
      <c r="AU122" s="42">
        <f>((1+Tabela3[[#This Row],[% Yield]])^(1/(3*Tabela3[[#This Row],[Ref]])))^(12)-1</f>
        <v>2.9145539711726176E-2</v>
      </c>
      <c r="AV122" s="14">
        <f>IF([Cotação]&gt;0,($BH$1/Tabela3[[#This Row],[Cotação]]-MOD($BH$1/Tabela3[[#This Row],[Cotação]],100)),)</f>
        <v>700</v>
      </c>
      <c r="AW122" s="17">
        <f>Tabela3[[#This Row],[Ativos]]*[Lucro]</f>
        <v>21.830009244082309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1.07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customHeight="1">
      <c r="A123" s="3" t="s">
        <v>1141</v>
      </c>
      <c r="B123" s="57" t="s">
        <v>1142</v>
      </c>
      <c r="C123" s="16" t="str">
        <f>LEFT([PAPEL],LEN([PAPEL])-(LEN([PAPEL])-4))</f>
        <v>IMBI</v>
      </c>
      <c r="D123" s="16">
        <v>3</v>
      </c>
      <c r="E123" s="5">
        <v>11238171.720000001</v>
      </c>
      <c r="F123" s="56">
        <v>145137632</v>
      </c>
      <c r="G123" s="80">
        <v>0.25</v>
      </c>
      <c r="H123" s="86"/>
      <c r="J123" s="18"/>
      <c r="K123" s="16"/>
      <c r="L123" s="86"/>
      <c r="M123" s="54"/>
      <c r="N123" s="54"/>
      <c r="O123" s="54"/>
      <c r="P123" s="90">
        <v>60300000</v>
      </c>
      <c r="Q123" s="73">
        <v>0</v>
      </c>
      <c r="R123" s="73">
        <f>IF(Tabela3[[#This Row],[Ativo || Passivo]]&gt;0,Tabela3[[#This Row],[Ativo || Passivo]]-Tabela3[[#This Row],[Patrimônio Líquido]],0)</f>
        <v>0</v>
      </c>
      <c r="S123" s="73">
        <f>Tabela3[[#This Row],[Cotação]]*Tabela3[[#This Row],[Total Ações]]</f>
        <v>187404694.18000001</v>
      </c>
      <c r="T123" s="37">
        <f>IF(Tabela3[[#This Row],[Passivo Circulante]]&gt;0,Tabela3[[#This Row],[Ativo Circulante]]/Tabela3[[#This Row],[Passivo Circulante]],0)</f>
        <v>0</v>
      </c>
      <c r="U12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3" s="18">
        <f>IF(Tabela3[[#This Row],[Lucro Líquido]]&gt;0,Tabela3[[#This Row],[Lucro Líquido]]/Tabela3[[#This Row],[Patrimônio Líquido]],0)/Tabela3[[#This Row],[Ref]]*4</f>
        <v>0</v>
      </c>
      <c r="W12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3" s="18">
        <f>IF(Tabela3[[#This Row],[Dívida]]&gt;0,Tabela3[[#This Row],[Dívida]]/Tabela3[[#This Row],[Patrimônio Líquido]],0)</f>
        <v>0</v>
      </c>
      <c r="Y123" s="18">
        <f>SUMPRODUCT(N([Dívida / PL]&gt;0),N(RIGHT([PAPEL],LEN([PAPEL])-(LEN([PAPEL])-1))="3"),[Dívida / PL])/SUMPRODUCT(N([Dívida / PL]&gt;0),N(RIGHT([PAPEL],LEN([PAPEL])-(LEN([PAPEL])-1))="3"))</f>
        <v>2.2435702141443779</v>
      </c>
      <c r="Z123" s="7">
        <f>Tabela3[[#This Row],[Capital Social]]*20%</f>
        <v>2247634.344</v>
      </c>
      <c r="AA123" s="47">
        <f>IF(([Lucro Líquido]*5%)&gt;[Teto R. Legal],[Teto R. Legal],[Lucro Líquido]*5%)</f>
        <v>0</v>
      </c>
      <c r="AB123" s="47">
        <f>IF([Lucro Líquido]&lt;0,0,[Lucro Líquido]-[Reserva Legal])</f>
        <v>0</v>
      </c>
      <c r="AC123" s="47">
        <f>Tabela3[[#This Row],[Lucro Distribuir]]*[%Div]</f>
        <v>0</v>
      </c>
      <c r="AD123" s="56">
        <f>SUMPRODUCT(N([Nome]=Tabela3[[#This Row],[Nome]]),[Ações])</f>
        <v>175144574</v>
      </c>
      <c r="AE123" s="84">
        <f>[Capital Social]/[Total Ações]</f>
        <v>6.4165114929566711E-2</v>
      </c>
      <c r="AF123" s="84">
        <f>Tabela3[[#This Row],[Lucro Líquido]]/Tabela3[[#This Row],[Total Ações]]</f>
        <v>0</v>
      </c>
      <c r="AG12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7">
        <f>[Div Base]*[Ações]</f>
        <v>0</v>
      </c>
      <c r="AL123" s="113">
        <f>SUMPRODUCT(N([Nome]=Tabela3[[#This Row],[Nome]]),[Div Base]*[Ações])</f>
        <v>0</v>
      </c>
      <c r="AM123" s="5">
        <f>[Patrimônio Líquido]/[Total Ações]</f>
        <v>0.34428700029268394</v>
      </c>
      <c r="AN123" s="52">
        <f>MAX(Tabela3[[#This Row],[Cotação 1]:[Cotação 5]])</f>
        <v>1.07</v>
      </c>
      <c r="AO123" s="53">
        <f>[Cotação]/[VPA]</f>
        <v>3.1078722086235491</v>
      </c>
      <c r="AP123" s="37">
        <f>IF(Tabela3[[#This Row],[Lucro/Ação]]&gt;0,Tabela3[[#This Row],[Cotação]]/(Tabela3[[#This Row],[Lucro/Ação]]/[Ref]*4),0)</f>
        <v>0</v>
      </c>
      <c r="AQ123" s="84">
        <f>[Lucro Distribuir]/[Total Ações]</f>
        <v>0</v>
      </c>
      <c r="AR12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0" t="str">
        <f>IF(AND([% A.A.]&gt;=5%,SUMPRODUCT(N([Nome]=Tabela3[[#This Row],[Nome]]),[PL])&gt;0,[Rentabilidade s/ PL]&gt;=[Rentabilidade s/ PL Média]),"Sim","Não")</f>
        <v>Não</v>
      </c>
      <c r="AT123" s="22">
        <f>IF([Cotação]&gt;0,Tabela3[[#This Row],[Lucro]]/Tabela3[[#This Row],[Cotação]],0)</f>
        <v>0</v>
      </c>
      <c r="AU123" s="22">
        <f>((1+Tabela3[[#This Row],[% Yield]])^(1/(3*Tabela3[[#This Row],[Ref]])))^(12)-1</f>
        <v>0</v>
      </c>
      <c r="AV123" s="10">
        <f>IF([Cotação]&gt;0,($BH$1/Tabela3[[#This Row],[Cotação]]-MOD($BH$1/Tabela3[[#This Row],[Cotação]],100)),)</f>
        <v>700</v>
      </c>
      <c r="AW123" s="7">
        <f>Tabela3[[#This Row],[Ativos]]*[Lucro]</f>
        <v>0</v>
      </c>
      <c r="AX123" s="7">
        <f>SUMPRODUCT(N(Tabela1[Código]=Tabela3[[#This Row],[PAPEL]]),Tabela1[Fechamento])</f>
        <v>0</v>
      </c>
      <c r="AY123" s="7">
        <f>SUMPRODUCT(N(Tabela17[Código]=Tabela3[[#This Row],[PAPEL]]),Tabela17[Fechamento])</f>
        <v>0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1.07</v>
      </c>
    </row>
    <row r="124" spans="1:54" ht="11.25" customHeight="1">
      <c r="A124" s="3" t="s">
        <v>1085</v>
      </c>
      <c r="B124" s="57" t="s">
        <v>1068</v>
      </c>
      <c r="C124" s="16" t="str">
        <f>LEFT([PAPEL],LEN([PAPEL])-(LEN([PAPEL])-4))</f>
        <v>SULT</v>
      </c>
      <c r="D124" s="16">
        <v>3</v>
      </c>
      <c r="E124" s="5">
        <v>130000000</v>
      </c>
      <c r="F124" s="56">
        <v>7489720</v>
      </c>
      <c r="G124" s="80">
        <v>0.25</v>
      </c>
      <c r="H124" s="86"/>
      <c r="J124" s="18"/>
      <c r="K124" s="16"/>
      <c r="L124" s="86"/>
      <c r="M124" s="54"/>
      <c r="N124" s="54"/>
      <c r="O124" s="54"/>
      <c r="P124" s="90">
        <v>198646000</v>
      </c>
      <c r="Q124" s="73">
        <v>-25149000</v>
      </c>
      <c r="R124" s="73">
        <f>IF(Tabela3[[#This Row],[Ativo || Passivo]]&gt;0,Tabela3[[#This Row],[Ativo || Passivo]]-Tabela3[[#This Row],[Patrimônio Líquido]],0)</f>
        <v>0</v>
      </c>
      <c r="S124" s="73">
        <f>Tabela3[[#This Row],[Cotação]]*Tabela3[[#This Row],[Total Ações]]</f>
        <v>14489999.999999998</v>
      </c>
      <c r="T124" s="37">
        <f>IF(Tabela3[[#This Row],[Passivo Circulante]]&gt;0,Tabela3[[#This Row],[Ativo Circulante]]/Tabela3[[#This Row],[Passivo Circulante]],0)</f>
        <v>0</v>
      </c>
      <c r="U1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4" s="18">
        <f>IF(Tabela3[[#This Row],[Lucro Líquido]]&gt;0,Tabela3[[#This Row],[Lucro Líquido]]/Tabela3[[#This Row],[Patrimônio Líquido]],0)/Tabela3[[#This Row],[Ref]]*4</f>
        <v>0</v>
      </c>
      <c r="W1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4" s="18">
        <f>IF(Tabela3[[#This Row],[Dívida]]&gt;0,Tabela3[[#This Row],[Dívida]]/Tabela3[[#This Row],[Patrimônio Líquido]],0)</f>
        <v>0</v>
      </c>
      <c r="Y124" s="18">
        <f>SUMPRODUCT(N([Dívida / PL]&gt;0),N(RIGHT([PAPEL],LEN([PAPEL])-(LEN([PAPEL])-1))="3"),[Dívida / PL])/SUMPRODUCT(N([Dívida / PL]&gt;0),N(RIGHT([PAPEL],LEN([PAPEL])-(LEN([PAPEL])-1))="3"))</f>
        <v>2.2435702141443779</v>
      </c>
      <c r="Z124" s="7">
        <f>Tabela3[[#This Row],[Capital Social]]*20%</f>
        <v>26000000</v>
      </c>
      <c r="AA124" s="47">
        <f>IF(([Lucro Líquido]*5%)&gt;[Teto R. Legal],[Teto R. Legal],[Lucro Líquido]*5%)</f>
        <v>-1257450</v>
      </c>
      <c r="AB124" s="47">
        <f>IF([Lucro Líquido]&lt;0,0,[Lucro Líquido]-[Reserva Legal])</f>
        <v>0</v>
      </c>
      <c r="AC124" s="47">
        <f>Tabela3[[#This Row],[Lucro Distribuir]]*[%Div]</f>
        <v>0</v>
      </c>
      <c r="AD124" s="56">
        <f>SUMPRODUCT(N([Nome]=Tabela3[[#This Row],[Nome]]),[Ações])</f>
        <v>12600000</v>
      </c>
      <c r="AE124" s="84">
        <f>[Capital Social]/[Total Ações]</f>
        <v>10.317460317460318</v>
      </c>
      <c r="AF124" s="84">
        <f>Tabela3[[#This Row],[Lucro Líquido]]/Tabela3[[#This Row],[Total Ações]]</f>
        <v>-1.9959523809523809</v>
      </c>
      <c r="AG1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7">
        <f>[Div Base]*[Ações]</f>
        <v>0</v>
      </c>
      <c r="AL124" s="113">
        <f>SUMPRODUCT(N([Nome]=Tabela3[[#This Row],[Nome]]),[Div Base]*[Ações])</f>
        <v>0</v>
      </c>
      <c r="AM124" s="5">
        <f>[Patrimônio Líquido]/[Total Ações]</f>
        <v>15.765555555555556</v>
      </c>
      <c r="AN124" s="52">
        <f>MAX(Tabela3[[#This Row],[Cotação 1]:[Cotação 5]])</f>
        <v>1.1499999999999999</v>
      </c>
      <c r="AO124" s="53">
        <f>[Cotação]/[VPA]</f>
        <v>7.2943829727253495E-2</v>
      </c>
      <c r="AP124" s="37">
        <f>IF(Tabela3[[#This Row],[Lucro/Ação]]&gt;0,Tabela3[[#This Row],[Cotação]]/(Tabela3[[#This Row],[Lucro/Ação]]/[Ref]*4),0)</f>
        <v>0</v>
      </c>
      <c r="AQ124" s="84">
        <f>[Lucro Distribuir]/[Total Ações]</f>
        <v>0</v>
      </c>
      <c r="AR12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0" t="str">
        <f>IF(AND([% A.A.]&gt;=5%,SUMPRODUCT(N([Nome]=Tabela3[[#This Row],[Nome]]),[PL])&gt;0,[Rentabilidade s/ PL]&gt;=[Rentabilidade s/ PL Média]),"Sim","Não")</f>
        <v>Não</v>
      </c>
      <c r="AT124" s="22">
        <f>IF([Cotação]&gt;0,Tabela3[[#This Row],[Lucro]]/Tabela3[[#This Row],[Cotação]],0)</f>
        <v>0</v>
      </c>
      <c r="AU124" s="22">
        <f>((1+Tabela3[[#This Row],[% Yield]])^(1/(3*Tabela3[[#This Row],[Ref]])))^(12)-1</f>
        <v>0</v>
      </c>
      <c r="AV124" s="10">
        <f>IF([Cotação]&gt;0,($BH$1/Tabela3[[#This Row],[Cotação]]-MOD($BH$1/Tabela3[[#This Row],[Cotação]],100)),)</f>
        <v>600</v>
      </c>
      <c r="AW124" s="7">
        <f>Tabela3[[#This Row],[Ativos]]*[Lucro]</f>
        <v>0</v>
      </c>
      <c r="AX124" s="7">
        <f>SUMPRODUCT(N(Tabela1[Código]=Tabela3[[#This Row],[PAPEL]]),Tabela1[Fechamento])</f>
        <v>0</v>
      </c>
      <c r="AY124" s="7">
        <f>SUMPRODUCT(N(Tabela17[Código]=Tabela3[[#This Row],[PAPEL]]),Tabela17[Fechamento])</f>
        <v>0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1.1499999999999999</v>
      </c>
    </row>
    <row r="125" spans="1:54" ht="11.25" customHeight="1">
      <c r="A125" s="4" t="s">
        <v>12</v>
      </c>
      <c r="B125" s="115" t="s">
        <v>454</v>
      </c>
      <c r="C125" s="15" t="str">
        <f>LEFT([PAPEL],LEN([PAPEL])-(LEN([PAPEL])-4))</f>
        <v>CELP</v>
      </c>
      <c r="D125" s="15">
        <v>4</v>
      </c>
      <c r="E125" s="6">
        <v>924523856.14999998</v>
      </c>
      <c r="F125" s="8">
        <v>1902996369</v>
      </c>
      <c r="G125" s="80">
        <v>0.25</v>
      </c>
      <c r="H125" s="15"/>
      <c r="I125" s="19"/>
      <c r="J125" s="19"/>
      <c r="K125" s="87"/>
      <c r="L125" s="87"/>
      <c r="M125" s="55">
        <v>4469736000</v>
      </c>
      <c r="N125" s="55">
        <v>1095750000</v>
      </c>
      <c r="O125" s="55">
        <v>1001311000</v>
      </c>
      <c r="P125" s="91">
        <v>394077000</v>
      </c>
      <c r="Q125" s="92">
        <v>-228787000</v>
      </c>
      <c r="R125" s="92">
        <f>IF(Tabela3[[#This Row],[Ativo || Passivo]]&gt;0,Tabela3[[#This Row],[Ativo || Passivo]]-Tabela3[[#This Row],[Patrimônio Líquido]],0)</f>
        <v>4075659000</v>
      </c>
      <c r="S125" s="92">
        <f>Tabela3[[#This Row],[Cotação]]*Tabela3[[#This Row],[Total Ações]]</f>
        <v>2288939768.4000001</v>
      </c>
      <c r="T125" s="40">
        <f>IF(Tabela3[[#This Row],[Passivo Circulante]]&gt;0,Tabela3[[#This Row],[Ativo Circulante]]/Tabela3[[#This Row],[Passivo Circulante]],0)</f>
        <v>1.0943153525727771</v>
      </c>
      <c r="U12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5" s="19">
        <f>IF(Tabela3[[#This Row],[Lucro Líquido]]&gt;0,Tabela3[[#This Row],[Lucro Líquido]]/Tabela3[[#This Row],[Patrimônio Líquido]],0)/Tabela3[[#This Row],[Ref]]*4</f>
        <v>0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5" s="19">
        <f>IF(Tabela3[[#This Row],[Dívida]]&gt;0,Tabela3[[#This Row],[Dívida]]/Tabela3[[#This Row],[Patrimônio Líquido]],0)</f>
        <v>10.342290973591455</v>
      </c>
      <c r="Y125" s="19">
        <f>SUMPRODUCT(N([Dívida / PL]&gt;0),N(RIGHT([PAPEL],LEN([PAPEL])-(LEN([PAPEL])-1))="3"),[Dívida / PL])/SUMPRODUCT(N([Dívida / PL]&gt;0),N(RIGHT([PAPEL],LEN([PAPEL])-(LEN([PAPEL])-1))="3"))</f>
        <v>2.2435702141443779</v>
      </c>
      <c r="Z125" s="13">
        <f>Tabela3[[#This Row],[Capital Social]]*20%</f>
        <v>184904771.23000002</v>
      </c>
      <c r="AA125" s="13">
        <f>IF(([Lucro Líquido]*5%)&gt;[Teto R. Legal],[Teto R. Legal],[Lucro Líquido]*5%)</f>
        <v>-11439350</v>
      </c>
      <c r="AB125" s="13">
        <f>IF([Lucro Líquido]&lt;0,0,[Lucro Líquido]-[Reserva Legal])</f>
        <v>0</v>
      </c>
      <c r="AC125" s="13">
        <f>Tabela3[[#This Row],[Lucro Distribuir]]*[%Div]</f>
        <v>0</v>
      </c>
      <c r="AD125" s="56">
        <f>SUMPRODUCT(N([Nome]=Tabela3[[#This Row],[Nome]]),[Ações])</f>
        <v>1907449807</v>
      </c>
      <c r="AE125" s="6">
        <f>[Capital Social]/[Total Ações]</f>
        <v>0.4846910533410434</v>
      </c>
      <c r="AF125" s="77">
        <f>Tabela3[[#This Row],[Lucro Líquido]]/Tabela3[[#This Row],[Total Ações]]</f>
        <v>-0.11994391630143691</v>
      </c>
      <c r="AG1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5" s="13">
        <f>[Div Base]*[Ações]</f>
        <v>0</v>
      </c>
      <c r="AL125" s="13">
        <f>SUMPRODUCT(N([Nome]=Tabela3[[#This Row],[Nome]]),[Div Base]*[Ações])</f>
        <v>0</v>
      </c>
      <c r="AM125" s="6">
        <f>[Patrimônio Líquido]/[Total Ações]</f>
        <v>0.20659888325963169</v>
      </c>
      <c r="AN125" s="48">
        <f>MAX(Tabela3[[#This Row],[Cotação 1]:[Cotação 5]])</f>
        <v>1.2</v>
      </c>
      <c r="AO125" s="44">
        <f>[Cotação]/[VPA]</f>
        <v>5.8083566622766618</v>
      </c>
      <c r="AP125" s="40">
        <f>IF(Tabela3[[#This Row],[Lucro/Ação]]&gt;0,Tabela3[[#This Row],[Cotação]]/(Tabela3[[#This Row],[Lucro/Ação]]/[Ref]*4),0)</f>
        <v>0</v>
      </c>
      <c r="AQ125" s="77">
        <f>[Lucro Distribuir]/[Total Ações]</f>
        <v>0</v>
      </c>
      <c r="AR12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0</v>
      </c>
      <c r="AU125" s="42">
        <f>((1+Tabela3[[#This Row],[% Yield]])^(1/(3*Tabela3[[#This Row],[Ref]])))^(12)-1</f>
        <v>0</v>
      </c>
      <c r="AV125" s="14">
        <f>IF([Cotação]&gt;0,($BH$1/Tabela3[[#This Row],[Cotação]]-MOD($BH$1/Tabela3[[#This Row],[Cotação]],100)),)</f>
        <v>600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1.2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customHeight="1">
      <c r="A126" s="3" t="s">
        <v>1019</v>
      </c>
      <c r="B126" s="57" t="s">
        <v>1046</v>
      </c>
      <c r="C126" s="16" t="str">
        <f>LEFT([PAPEL],LEN([PAPEL])-(LEN([PAPEL])-4))</f>
        <v>PDGR</v>
      </c>
      <c r="D126" s="16">
        <v>4</v>
      </c>
      <c r="E126" s="5">
        <v>4960079848.04</v>
      </c>
      <c r="F126" s="56">
        <v>1339547923</v>
      </c>
      <c r="G126" s="80">
        <v>0.25</v>
      </c>
      <c r="H126" s="86"/>
      <c r="J126" s="18"/>
      <c r="K126" s="16"/>
      <c r="L126" s="86"/>
      <c r="M126" s="54"/>
      <c r="N126" s="54"/>
      <c r="O126" s="54"/>
      <c r="P126" s="90">
        <v>4703629000</v>
      </c>
      <c r="Q126" s="73">
        <v>-270987000</v>
      </c>
      <c r="R126" s="73">
        <f>IF(Tabela3[[#This Row],[Ativo || Passivo]]&gt;0,Tabela3[[#This Row],[Ativo || Passivo]]-Tabela3[[#This Row],[Patrimônio Líquido]],0)</f>
        <v>0</v>
      </c>
      <c r="S126" s="73">
        <f>Tabela3[[#This Row],[Cotação]]*Tabela3[[#This Row],[Total Ações]]</f>
        <v>1728016820.6700001</v>
      </c>
      <c r="T126" s="37">
        <f>IF(Tabela3[[#This Row],[Passivo Circulante]]&gt;0,Tabela3[[#This Row],[Ativo Circulante]]/Tabela3[[#This Row],[Passivo Circulante]],0)</f>
        <v>0</v>
      </c>
      <c r="U12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6" s="18">
        <f>IF(Tabela3[[#This Row],[Lucro Líquido]]&gt;0,Tabela3[[#This Row],[Lucro Líquido]]/Tabela3[[#This Row],[Patrimônio Líquido]],0)/Tabela3[[#This Row],[Ref]]*4</f>
        <v>0</v>
      </c>
      <c r="W1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6" s="18">
        <f>IF(Tabela3[[#This Row],[Dívida]]&gt;0,Tabela3[[#This Row],[Dívida]]/Tabela3[[#This Row],[Patrimônio Líquido]],0)</f>
        <v>0</v>
      </c>
      <c r="Y126" s="18">
        <f>SUMPRODUCT(N([Dívida / PL]&gt;0),N(RIGHT([PAPEL],LEN([PAPEL])-(LEN([PAPEL])-1))="3"),[Dívida / PL])/SUMPRODUCT(N([Dívida / PL]&gt;0),N(RIGHT([PAPEL],LEN([PAPEL])-(LEN([PAPEL])-1))="3"))</f>
        <v>2.2435702141443779</v>
      </c>
      <c r="Z126" s="7">
        <f>Tabela3[[#This Row],[Capital Social]]*20%</f>
        <v>992015969.60800004</v>
      </c>
      <c r="AA126" s="47">
        <f>IF(([Lucro Líquido]*5%)&gt;[Teto R. Legal],[Teto R. Legal],[Lucro Líquido]*5%)</f>
        <v>-13549350</v>
      </c>
      <c r="AB126" s="47">
        <f>IF([Lucro Líquido]&lt;0,0,[Lucro Líquido]-[Reserva Legal])</f>
        <v>0</v>
      </c>
      <c r="AC126" s="47">
        <f>Tabela3[[#This Row],[Lucro Distribuir]]*[%Div]</f>
        <v>0</v>
      </c>
      <c r="AD126" s="56">
        <f>SUMPRODUCT(N([Nome]=Tabela3[[#This Row],[Nome]]),[Ações])</f>
        <v>1339547923</v>
      </c>
      <c r="AE126" s="84">
        <f>[Capital Social]/[Total Ações]</f>
        <v>3.7028013428079496</v>
      </c>
      <c r="AF126" s="84">
        <f>Tabela3[[#This Row],[Lucro Líquido]]/Tabela3[[#This Row],[Total Ações]]</f>
        <v>-0.20229735371699725</v>
      </c>
      <c r="AG12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6" s="7">
        <f>[Div Base]*[Ações]</f>
        <v>0</v>
      </c>
      <c r="AL126" s="113">
        <f>SUMPRODUCT(N([Nome]=Tabela3[[#This Row],[Nome]]),[Div Base]*[Ações])</f>
        <v>0</v>
      </c>
      <c r="AM126" s="5">
        <f>[Patrimônio Líquido]/[Total Ações]</f>
        <v>3.5113555246802468</v>
      </c>
      <c r="AN126" s="52">
        <f>MAX(Tabela3[[#This Row],[Cotação 1]:[Cotação 5]])</f>
        <v>1.29</v>
      </c>
      <c r="AO126" s="53">
        <f>[Cotação]/[VPA]</f>
        <v>0.3673794894686635</v>
      </c>
      <c r="AP126" s="37">
        <f>IF(Tabela3[[#This Row],[Lucro/Ação]]&gt;0,Tabela3[[#This Row],[Cotação]]/(Tabela3[[#This Row],[Lucro/Ação]]/[Ref]*4),0)</f>
        <v>0</v>
      </c>
      <c r="AQ126" s="84">
        <f>[Lucro Distribuir]/[Total Ações]</f>
        <v>0</v>
      </c>
      <c r="AR12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6" s="10" t="str">
        <f>IF(AND([% A.A.]&gt;=5%,SUMPRODUCT(N([Nome]=Tabela3[[#This Row],[Nome]]),[PL])&gt;0,[Rentabilidade s/ PL]&gt;=[Rentabilidade s/ PL Média]),"Sim","Não")</f>
        <v>Não</v>
      </c>
      <c r="AT126" s="22">
        <f>IF([Cotação]&gt;0,Tabela3[[#This Row],[Lucro]]/Tabela3[[#This Row],[Cotação]],0)</f>
        <v>0</v>
      </c>
      <c r="AU126" s="22">
        <f>((1+Tabela3[[#This Row],[% Yield]])^(1/(3*Tabela3[[#This Row],[Ref]])))^(12)-1</f>
        <v>0</v>
      </c>
      <c r="AV126" s="10">
        <f>IF([Cotação]&gt;0,($BH$1/Tabela3[[#This Row],[Cotação]]-MOD($BH$1/Tabela3[[#This Row],[Cotação]],100)),)</f>
        <v>600</v>
      </c>
      <c r="AW126" s="7">
        <f>Tabela3[[#This Row],[Ativos]]*[Lucro]</f>
        <v>0</v>
      </c>
      <c r="AX126" s="7">
        <f>SUMPRODUCT(N(Tabela1[Código]=Tabela3[[#This Row],[PAPEL]]),Tabela1[Fechamento])</f>
        <v>0</v>
      </c>
      <c r="AY126" s="7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1.29</v>
      </c>
      <c r="BB126" s="7">
        <f>SUMPRODUCT(N(Tabela17683[Código]=Tabela3[[#This Row],[PAPEL]]),Tabela17683[Fechamento])</f>
        <v>0</v>
      </c>
    </row>
    <row r="127" spans="1:54" ht="11.25" customHeight="1">
      <c r="A127" s="3" t="s">
        <v>876</v>
      </c>
      <c r="B127" s="58" t="s">
        <v>935</v>
      </c>
      <c r="C127" s="16" t="str">
        <f>LEFT([PAPEL],LEN([PAPEL])-(LEN([PAPEL])-4))</f>
        <v>PTNT</v>
      </c>
      <c r="D127" s="16">
        <v>4</v>
      </c>
      <c r="E127" s="5">
        <v>50000000</v>
      </c>
      <c r="F127" s="56">
        <v>32029564</v>
      </c>
      <c r="G127" s="80">
        <v>0.25</v>
      </c>
      <c r="H127" s="86"/>
      <c r="I127" s="18">
        <v>0.12</v>
      </c>
      <c r="J127" s="18"/>
      <c r="K127" s="16"/>
      <c r="L127" s="86"/>
      <c r="M127" s="54"/>
      <c r="N127" s="54"/>
      <c r="O127" s="54"/>
      <c r="P127" s="90">
        <v>118772709</v>
      </c>
      <c r="Q127" s="92">
        <v>1579998</v>
      </c>
      <c r="R127" s="73">
        <f>IF(Tabela3[[#This Row],[Ativo || Passivo]]&gt;0,Tabela3[[#This Row],[Ativo || Passivo]]-Tabela3[[#This Row],[Patrimônio Líquido]],0)</f>
        <v>0</v>
      </c>
      <c r="S127" s="73">
        <f>Tabela3[[#This Row],[Cotação]]*Tabela3[[#This Row],[Total Ações]]</f>
        <v>62460434.399999999</v>
      </c>
      <c r="T127" s="37">
        <f>IF(Tabela3[[#This Row],[Passivo Circulante]]&gt;0,Tabela3[[#This Row],[Ativo Circulante]]/Tabela3[[#This Row],[Passivo Circulante]],0)</f>
        <v>0</v>
      </c>
      <c r="U12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7" s="18">
        <f>IF(Tabela3[[#This Row],[Lucro Líquido]]&gt;0,Tabela3[[#This Row],[Lucro Líquido]]/Tabela3[[#This Row],[Patrimônio Líquido]],0)/Tabela3[[#This Row],[Ref]]*4</f>
        <v>1.3302702391001286E-2</v>
      </c>
      <c r="W1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7" s="18">
        <f>IF(Tabela3[[#This Row],[Dívida]]&gt;0,Tabela3[[#This Row],[Dívida]]/Tabela3[[#This Row],[Patrimônio Líquido]],0)</f>
        <v>0</v>
      </c>
      <c r="Y127" s="18">
        <f>SUMPRODUCT(N([Dívida / PL]&gt;0),N(RIGHT([PAPEL],LEN([PAPEL])-(LEN([PAPEL])-1))="3"),[Dívida / PL])/SUMPRODUCT(N([Dívida / PL]&gt;0),N(RIGHT([PAPEL],LEN([PAPEL])-(LEN([PAPEL])-1))="3"))</f>
        <v>2.2435702141443779</v>
      </c>
      <c r="Z127" s="7">
        <f>Tabela3[[#This Row],[Capital Social]]*20%</f>
        <v>10000000</v>
      </c>
      <c r="AA127" s="47">
        <f>IF(([Lucro Líquido]*5%)&gt;[Teto R. Legal],[Teto R. Legal],[Lucro Líquido]*5%)</f>
        <v>78999.900000000009</v>
      </c>
      <c r="AB127" s="47">
        <f>IF([Lucro Líquido]&lt;0,0,[Lucro Líquido]-[Reserva Legal])</f>
        <v>1500998.1</v>
      </c>
      <c r="AC127" s="47">
        <f>Tabela3[[#This Row],[Lucro Distribuir]]*[%Div]</f>
        <v>375249.52500000002</v>
      </c>
      <c r="AD127" s="56">
        <f>SUMPRODUCT(N([Nome]=Tabela3[[#This Row],[Nome]]),[Ações])</f>
        <v>48046488</v>
      </c>
      <c r="AE127" s="84">
        <f>[Capital Social]/[Total Ações]</f>
        <v>1.0406587886298786</v>
      </c>
      <c r="AF127" s="84">
        <f>Tabela3[[#This Row],[Lucro Líquido]]/Tabela3[[#This Row],[Total Ações]]</f>
        <v>3.288477609435262E-2</v>
      </c>
      <c r="AG12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12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12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127" s="7">
        <f>[Div Base]*[Ações]</f>
        <v>1500998.1</v>
      </c>
      <c r="AL127" s="7">
        <f>SUMPRODUCT(N([Nome]=Tabela3[[#This Row],[Nome]]),[Div Base]*[Ações])</f>
        <v>1500998.1</v>
      </c>
      <c r="AM127" s="5">
        <f>[Patrimônio Líquido]/[Total Ações]</f>
        <v>2.4720372694045816</v>
      </c>
      <c r="AN127" s="52">
        <f>MAX(Tabela3[[#This Row],[Cotação 1]:[Cotação 5]])</f>
        <v>1.3</v>
      </c>
      <c r="AO127" s="53">
        <f>[Cotação]/[VPA]</f>
        <v>0.52588203911388431</v>
      </c>
      <c r="AP127" s="37">
        <f>IF(Tabela3[[#This Row],[Lucro/Ação]]&gt;0,Tabela3[[#This Row],[Cotação]]/(Tabela3[[#This Row],[Lucro/Ação]]/[Ref]*4),0)</f>
        <v>39.531970546798163</v>
      </c>
      <c r="AQ127" s="84">
        <f>[Lucro Distribuir]/[Total Ações]</f>
        <v>3.1240537289634992E-2</v>
      </c>
      <c r="AR127" s="84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127" s="10" t="str">
        <f>IF(AND([% A.A.]&gt;=5%,SUMPRODUCT(N([Nome]=Tabela3[[#This Row],[Nome]]),[PL])&gt;0,[Rentabilidade s/ PL]&gt;=[Rentabilidade s/ PL Média]),"Sim","Não")</f>
        <v>Não</v>
      </c>
      <c r="AT127" s="22">
        <f>IF([Cotação]&gt;0,Tabela3[[#This Row],[Lucro]]/Tabela3[[#This Row],[Cotação]],0)</f>
        <v>3.6048380898251471E-2</v>
      </c>
      <c r="AU127" s="22">
        <f>((1+Tabela3[[#This Row],[% Yield]])^(1/(3*Tabela3[[#This Row],[Ref]])))^(12)-1</f>
        <v>3.6048380898251686E-2</v>
      </c>
      <c r="AV127" s="10">
        <f>IF([Cotação]&gt;0,($BH$1/Tabela3[[#This Row],[Cotação]]-MOD($BH$1/Tabela3[[#This Row],[Cotação]],100)),)</f>
        <v>500</v>
      </c>
      <c r="AW127" s="7">
        <f>Tabela3[[#This Row],[Ativos]]*[Lucro]</f>
        <v>23.431447583863459</v>
      </c>
      <c r="AX127" s="7">
        <f>SUMPRODUCT(N(Tabela1[Código]=Tabela3[[#This Row],[PAPEL]]),Tabela1[Fechamento])</f>
        <v>0</v>
      </c>
      <c r="AY127" s="7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1.3</v>
      </c>
      <c r="BB127" s="7">
        <f>SUMPRODUCT(N(Tabela17683[Código]=Tabela3[[#This Row],[PAPEL]]),Tabela17683[Fechamento])</f>
        <v>0</v>
      </c>
    </row>
    <row r="128" spans="1:54" ht="11.25" customHeight="1">
      <c r="A128" s="4" t="s">
        <v>12</v>
      </c>
      <c r="B128" s="57" t="s">
        <v>97</v>
      </c>
      <c r="C128" s="14" t="str">
        <f>LEFT([PAPEL],LEN([PAPEL])-(LEN([PAPEL])-4))</f>
        <v>EEEL</v>
      </c>
      <c r="D128" s="15">
        <v>3</v>
      </c>
      <c r="E128" s="6">
        <v>588447186.05999994</v>
      </c>
      <c r="F128" s="8">
        <v>380669270</v>
      </c>
      <c r="G128" s="85">
        <v>0.5</v>
      </c>
      <c r="H128" s="15"/>
      <c r="I128" s="19"/>
      <c r="J128" s="19"/>
      <c r="K128" s="87"/>
      <c r="L128" s="87"/>
      <c r="M128" s="55"/>
      <c r="N128" s="55"/>
      <c r="O128" s="55"/>
      <c r="P128" s="88">
        <v>1791505000</v>
      </c>
      <c r="Q128" s="88">
        <v>-38094000</v>
      </c>
      <c r="R128" s="88">
        <f>IF(Tabela3[[#This Row],[Ativo || Passivo]]&gt;0,Tabela3[[#This Row],[Ativo || Passivo]]-Tabela3[[#This Row],[Patrimônio Líquido]],0)</f>
        <v>0</v>
      </c>
      <c r="S128" s="88">
        <f>Tabela3[[#This Row],[Cotação]]*Tabela3[[#This Row],[Total Ações]]</f>
        <v>507271074.68000001</v>
      </c>
      <c r="T128" s="121">
        <f>IF(Tabela3[[#This Row],[Passivo Circulante]]&gt;0,Tabela3[[#This Row],[Ativo Circulante]]/Tabela3[[#This Row],[Passivo Circulante]],0)</f>
        <v>0</v>
      </c>
      <c r="U12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8" s="19">
        <f>IF(Tabela3[[#This Row],[Lucro Líquido]]&gt;0,Tabela3[[#This Row],[Lucro Líquido]]/Tabela3[[#This Row],[Patrimônio Líquido]],0)/Tabela3[[#This Row],[Ref]]*4</f>
        <v>0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8" s="19">
        <f>IF(Tabela3[[#This Row],[Dívida]]&gt;0,Tabela3[[#This Row],[Dívida]]/Tabela3[[#This Row],[Patrimônio Líquido]],0)</f>
        <v>0</v>
      </c>
      <c r="Y128" s="19">
        <f>SUMPRODUCT(N([Dívida / PL]&gt;0),N(RIGHT([PAPEL],LEN([PAPEL])-(LEN([PAPEL])-1))="3"),[Dívida / PL])/SUMPRODUCT(N([Dívida / PL]&gt;0),N(RIGHT([PAPEL],LEN([PAPEL])-(LEN([PAPEL])-1))="3"))</f>
        <v>2.2435702141443779</v>
      </c>
      <c r="Z128" s="6">
        <f>Tabela3[[#This Row],[Capital Social]]*20%</f>
        <v>117689437.212</v>
      </c>
      <c r="AA128" s="6">
        <f>IF(([Lucro Líquido]*5%)&gt;[Teto R. Legal],[Teto R. Legal],[Lucro Líquido]*5%)</f>
        <v>-1904700</v>
      </c>
      <c r="AB128" s="88">
        <f>IF([Lucro Líquido]&lt;0,0,[Lucro Líquido]-[Reserva Legal])</f>
        <v>0</v>
      </c>
      <c r="AC128" s="88">
        <f>Tabela3[[#This Row],[Lucro Distribuir]]*[%Div]</f>
        <v>0</v>
      </c>
      <c r="AD128" s="21">
        <f>SUMPRODUCT(N([Nome]=Tabela3[[#This Row],[Nome]]),[Ações])</f>
        <v>387229828</v>
      </c>
      <c r="AE128" s="6">
        <f>[Capital Social]/[Total Ações]</f>
        <v>1.5196328988891836</v>
      </c>
      <c r="AF128" s="77">
        <f>Tabela3[[#This Row],[Lucro Líquido]]/Tabela3[[#This Row],[Total Ações]]</f>
        <v>-9.8375686079637439E-2</v>
      </c>
      <c r="AG1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8" s="6">
        <f>[Div Base]*[Ações]</f>
        <v>0</v>
      </c>
      <c r="AL128" s="6">
        <f>SUMPRODUCT(N([Nome]=Tabela3[[#This Row],[Nome]]),[Div Base]*[Ações])</f>
        <v>0</v>
      </c>
      <c r="AM128" s="6">
        <f>[Patrimônio Líquido]/[Total Ações]</f>
        <v>4.6264643642069849</v>
      </c>
      <c r="AN128" s="48">
        <f>MAX(Tabela3[[#This Row],[Cotação 1]:[Cotação 5]])</f>
        <v>1.31</v>
      </c>
      <c r="AO128" s="44">
        <f>[Cotação]/[VPA]</f>
        <v>0.28315359135475482</v>
      </c>
      <c r="AP128" s="40">
        <f>IF(Tabela3[[#This Row],[Lucro/Ação]]&gt;0,Tabela3[[#This Row],[Cotação]]/(Tabela3[[#This Row],[Lucro/Ação]]/[Ref]*4),0)</f>
        <v>0</v>
      </c>
      <c r="AQ128" s="77">
        <f>[Lucro Distribuir]/[Total Ações]</f>
        <v>0</v>
      </c>
      <c r="AR12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8" s="15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0</v>
      </c>
      <c r="AU128" s="19">
        <f>((1+Tabela3[[#This Row],[% Yield]])^(1/(3*Tabela3[[#This Row],[Ref]])))^(12)-1</f>
        <v>0</v>
      </c>
      <c r="AV128" s="14">
        <f>IF([Cotação]&gt;0,($BH$1/Tabela3[[#This Row],[Cotação]]-MOD($BH$1/Tabela3[[#This Row],[Cotação]],100)),)</f>
        <v>500</v>
      </c>
      <c r="AW128" s="17">
        <f>Tabela3[[#This Row],[Ativos]]*[Lucro]</f>
        <v>0</v>
      </c>
      <c r="AX128" s="5">
        <f>SUMPRODUCT(N(Tabela1[Código]=Tabela3[[#This Row],[PAPEL]]),Tabela1[Fechamento])</f>
        <v>1.31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330</v>
      </c>
      <c r="B129" s="58" t="s">
        <v>1108</v>
      </c>
      <c r="C129" s="16" t="str">
        <f>LEFT([PAPEL],LEN([PAPEL])-(LEN([PAPEL])-4))</f>
        <v>HAGA</v>
      </c>
      <c r="D129" s="16">
        <v>3</v>
      </c>
      <c r="E129" s="5">
        <v>10353000</v>
      </c>
      <c r="F129" s="56">
        <v>7933333</v>
      </c>
      <c r="G129" s="80">
        <v>0.25</v>
      </c>
      <c r="H129" s="18"/>
      <c r="J129" s="18">
        <v>0.1</v>
      </c>
      <c r="K129" s="16"/>
      <c r="L129" s="86"/>
      <c r="M129" s="54"/>
      <c r="N129" s="54"/>
      <c r="O129" s="54"/>
      <c r="P129" s="90">
        <v>-90174895</v>
      </c>
      <c r="Q129" s="73">
        <v>2123777</v>
      </c>
      <c r="R129" s="73">
        <f>IF(Tabela3[[#This Row],[Ativo || Passivo]]&gt;0,Tabela3[[#This Row],[Ativo || Passivo]]-Tabela3[[#This Row],[Patrimônio Líquido]],0)</f>
        <v>0</v>
      </c>
      <c r="S129" s="73">
        <f>Tabela3[[#This Row],[Cotação]]*Tabela3[[#This Row],[Total Ações]]</f>
        <v>15589000</v>
      </c>
      <c r="T129" s="37">
        <f>IF(Tabela3[[#This Row],[Passivo Circulante]]&gt;0,Tabela3[[#This Row],[Ativo Circulante]]/Tabela3[[#This Row],[Passivo Circulante]],0)</f>
        <v>0</v>
      </c>
      <c r="U12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29" s="18">
        <f>IF(Tabela3[[#This Row],[Lucro Líquido]]&gt;0,Tabela3[[#This Row],[Lucro Líquido]]/Tabela3[[#This Row],[Patrimônio Líquido]],0)/Tabela3[[#This Row],[Ref]]*4</f>
        <v>-3.140233949445316E-2</v>
      </c>
      <c r="W1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29" s="18">
        <f>IF(Tabela3[[#This Row],[Dívida]]&gt;0,Tabela3[[#This Row],[Dívida]]/Tabela3[[#This Row],[Patrimônio Líquido]],0)</f>
        <v>0</v>
      </c>
      <c r="Y129" s="18">
        <f>SUMPRODUCT(N([Dívida / PL]&gt;0),N(RIGHT([PAPEL],LEN([PAPEL])-(LEN([PAPEL])-1))="3"),[Dívida / PL])/SUMPRODUCT(N([Dívida / PL]&gt;0),N(RIGHT([PAPEL],LEN([PAPEL])-(LEN([PAPEL])-1))="3"))</f>
        <v>2.2435702141443779</v>
      </c>
      <c r="Z129" s="7">
        <f>Tabela3[[#This Row],[Capital Social]]*20%</f>
        <v>2070600</v>
      </c>
      <c r="AA129" s="47">
        <f>IF(([Lucro Líquido]*5%)&gt;[Teto R. Legal],[Teto R. Legal],[Lucro Líquido]*5%)</f>
        <v>106188.85</v>
      </c>
      <c r="AB129" s="47">
        <f>IF([Lucro Líquido]&lt;0,0,[Lucro Líquido]-[Reserva Legal])</f>
        <v>2017588.15</v>
      </c>
      <c r="AC129" s="47">
        <f>Tabela3[[#This Row],[Lucro Distribuir]]*[%Div]</f>
        <v>504397.03749999998</v>
      </c>
      <c r="AD129" s="56">
        <f>SUMPRODUCT(N([Nome]=Tabela3[[#This Row],[Nome]]),[Ações])</f>
        <v>11900000</v>
      </c>
      <c r="AE129" s="84">
        <f>[Capital Social]/[Total Ações]</f>
        <v>0.87</v>
      </c>
      <c r="AF129" s="84">
        <f>Tabela3[[#This Row],[Lucro Líquido]]/Tabela3[[#This Row],[Total Ações]]</f>
        <v>0.17846865546218488</v>
      </c>
      <c r="AG12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12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129" s="7">
        <f>[Div Base]*[Ações]</f>
        <v>358382.42570454086</v>
      </c>
      <c r="AL129" s="113">
        <f>SUMPRODUCT(N([Nome]=Tabela3[[#This Row],[Nome]]),[Div Base]*[Ações])</f>
        <v>521283.54860810976</v>
      </c>
      <c r="AM129" s="5">
        <f>[Patrimônio Líquido]/[Total Ações]</f>
        <v>-7.5777222689075634</v>
      </c>
      <c r="AN129" s="52">
        <f>MAX(Tabela3[[#This Row],[Cotação 1]:[Cotação 5]])</f>
        <v>1.31</v>
      </c>
      <c r="AO129" s="53">
        <f>[Cotação]/[VPA]</f>
        <v>-0.17287516664144714</v>
      </c>
      <c r="AP129" s="37">
        <f>IF(Tabela3[[#This Row],[Lucro/Ação]]&gt;0,Tabela3[[#This Row],[Cotação]]/(Tabela3[[#This Row],[Lucro/Ação]]/[Ref]*4),0)</f>
        <v>5.5051683863230458</v>
      </c>
      <c r="AQ129" s="84">
        <f>[Lucro Distribuir]/[Total Ações]</f>
        <v>0.16954522268907563</v>
      </c>
      <c r="AR129" s="84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129" s="10" t="str">
        <f>IF(AND([% A.A.]&gt;=5%,SUMPRODUCT(N([Nome]=Tabela3[[#This Row],[Nome]]),[PL])&gt;0,[Rentabilidade s/ PL]&gt;=[Rentabilidade s/ PL Média]),"Sim","Não")</f>
        <v>Não</v>
      </c>
      <c r="AT129" s="22">
        <f>IF([Cotação]&gt;0,Tabela3[[#This Row],[Lucro]]/Tabela3[[#This Row],[Cotação]],0)</f>
        <v>3.4484165831287439E-2</v>
      </c>
      <c r="AU129" s="22">
        <f>((1+Tabela3[[#This Row],[% Yield]])^(1/(3*Tabela3[[#This Row],[Ref]])))^(12)-1</f>
        <v>4.6241148570173696E-2</v>
      </c>
      <c r="AV129" s="10">
        <f>IF([Cotação]&gt;0,($BH$1/Tabela3[[#This Row],[Cotação]]-MOD($BH$1/Tabela3[[#This Row],[Cotação]],100)),)</f>
        <v>500</v>
      </c>
      <c r="AW129" s="7">
        <f>Tabela3[[#This Row],[Ativos]]*[Lucro]</f>
        <v>22.587128619493274</v>
      </c>
      <c r="AX129" s="7">
        <f>SUMPRODUCT(N(Tabela1[Código]=Tabela3[[#This Row],[PAPEL]]),Tabela1[Fechamento])</f>
        <v>0</v>
      </c>
      <c r="AY129" s="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1.31</v>
      </c>
    </row>
    <row r="130" spans="1:54" ht="11.25" customHeight="1">
      <c r="A130" s="3" t="s">
        <v>1188</v>
      </c>
      <c r="B130" s="58" t="s">
        <v>1190</v>
      </c>
      <c r="C130" s="16" t="str">
        <f>LEFT([PAPEL],LEN([PAPEL])-(LEN([PAPEL])-4))</f>
        <v>FJTA</v>
      </c>
      <c r="D130" s="16">
        <v>3</v>
      </c>
      <c r="E130" s="5">
        <v>257797469.78999999</v>
      </c>
      <c r="F130" s="56">
        <v>94275078</v>
      </c>
      <c r="G130" s="80">
        <v>0.35</v>
      </c>
      <c r="H130" s="86"/>
      <c r="J130" s="18"/>
      <c r="K130" s="16"/>
      <c r="L130" s="86"/>
      <c r="M130" s="54"/>
      <c r="N130" s="54"/>
      <c r="O130" s="54"/>
      <c r="P130" s="90">
        <v>291810000</v>
      </c>
      <c r="Q130" s="73">
        <v>-84282000</v>
      </c>
      <c r="R130" s="73">
        <f>IF(Tabela3[[#This Row],[Ativo || Passivo]]&gt;0,Tabela3[[#This Row],[Ativo || Passivo]]-Tabela3[[#This Row],[Patrimônio Líquido]],0)</f>
        <v>0</v>
      </c>
      <c r="S130" s="73">
        <f>Tabela3[[#This Row],[Cotação]]*Tabela3[[#This Row],[Total Ações]]</f>
        <v>197977663.79999998</v>
      </c>
      <c r="T130" s="37">
        <f>IF(Tabela3[[#This Row],[Passivo Circulante]]&gt;0,Tabela3[[#This Row],[Ativo Circulante]]/Tabela3[[#This Row],[Passivo Circulante]],0)</f>
        <v>0</v>
      </c>
      <c r="U13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0" s="18">
        <f>IF(Tabela3[[#This Row],[Lucro Líquido]]&gt;0,Tabela3[[#This Row],[Lucro Líquido]]/Tabela3[[#This Row],[Patrimônio Líquido]],0)/Tabela3[[#This Row],[Ref]]*4</f>
        <v>0</v>
      </c>
      <c r="W13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0" s="18">
        <f>IF(Tabela3[[#This Row],[Dívida]]&gt;0,Tabela3[[#This Row],[Dívida]]/Tabela3[[#This Row],[Patrimônio Líquido]],0)</f>
        <v>0</v>
      </c>
      <c r="Y130" s="18">
        <f>SUMPRODUCT(N([Dívida / PL]&gt;0),N(RIGHT([PAPEL],LEN([PAPEL])-(LEN([PAPEL])-1))="3"),[Dívida / PL])/SUMPRODUCT(N([Dívida / PL]&gt;0),N(RIGHT([PAPEL],LEN([PAPEL])-(LEN([PAPEL])-1))="3"))</f>
        <v>2.2435702141443779</v>
      </c>
      <c r="Z130" s="7">
        <f>Tabela3[[#This Row],[Capital Social]]*20%</f>
        <v>51559493.958000004</v>
      </c>
      <c r="AA130" s="47">
        <f>IF(([Lucro Líquido]*5%)&gt;[Teto R. Legal],[Teto R. Legal],[Lucro Líquido]*5%)</f>
        <v>-4214100</v>
      </c>
      <c r="AB130" s="47">
        <f>IF([Lucro Líquido]&lt;0,0,[Lucro Líquido]-[Reserva Legal])</f>
        <v>0</v>
      </c>
      <c r="AC130" s="47">
        <f>Tabela3[[#This Row],[Lucro Distribuir]]*[%Div]</f>
        <v>0</v>
      </c>
      <c r="AD130" s="56">
        <f>SUMPRODUCT(N([Nome]=Tabela3[[#This Row],[Nome]]),[Ações])</f>
        <v>141412617</v>
      </c>
      <c r="AE130" s="84">
        <f>[Capital Social]/[Total Ações]</f>
        <v>1.8230160452373214</v>
      </c>
      <c r="AF130" s="84">
        <f>Tabela3[[#This Row],[Lucro Líquido]]/Tabela3[[#This Row],[Total Ações]]</f>
        <v>-0.59600056761554732</v>
      </c>
      <c r="AG13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0" s="7">
        <f>[Div Base]*[Ações]</f>
        <v>0</v>
      </c>
      <c r="AL130" s="113">
        <f>SUMPRODUCT(N([Nome]=Tabela3[[#This Row],[Nome]]),[Div Base]*[Ações])</f>
        <v>0</v>
      </c>
      <c r="AM130" s="5">
        <f>[Patrimônio Líquido]/[Total Ações]</f>
        <v>2.0635358159024806</v>
      </c>
      <c r="AN130" s="52">
        <f>MAX(Tabela3[[#This Row],[Cotação 1]:[Cotação 5]])</f>
        <v>1.4</v>
      </c>
      <c r="AO130" s="53">
        <f>[Cotação]/[VPA]</f>
        <v>0.67844715328467153</v>
      </c>
      <c r="AP130" s="37">
        <f>IF(Tabela3[[#This Row],[Lucro/Ação]]&gt;0,Tabela3[[#This Row],[Cotação]]/(Tabela3[[#This Row],[Lucro/Ação]]/[Ref]*4),0)</f>
        <v>0</v>
      </c>
      <c r="AQ130" s="84">
        <f>[Lucro Distribuir]/[Total Ações]</f>
        <v>0</v>
      </c>
      <c r="AR13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0" s="10" t="str">
        <f>IF(AND([% A.A.]&gt;=5%,SUMPRODUCT(N([Nome]=Tabela3[[#This Row],[Nome]]),[PL])&gt;0,[Rentabilidade s/ PL]&gt;=[Rentabilidade s/ PL Média]),"Sim","Não")</f>
        <v>Não</v>
      </c>
      <c r="AT130" s="22">
        <f>IF([Cotação]&gt;0,Tabela3[[#This Row],[Lucro]]/Tabela3[[#This Row],[Cotação]],0)</f>
        <v>0</v>
      </c>
      <c r="AU130" s="22">
        <f>((1+Tabela3[[#This Row],[% Yield]])^(1/(3*Tabela3[[#This Row],[Ref]])))^(12)-1</f>
        <v>0</v>
      </c>
      <c r="AV130" s="10">
        <f>IF([Cotação]&gt;0,($BH$1/Tabela3[[#This Row],[Cotação]]-MOD($BH$1/Tabela3[[#This Row],[Cotação]],100)),)</f>
        <v>500</v>
      </c>
      <c r="AW130" s="7">
        <f>Tabela3[[#This Row],[Ativos]]*[Lucro]</f>
        <v>0</v>
      </c>
      <c r="AX130" s="7">
        <f>SUMPRODUCT(N(Tabela1[Código]=Tabela3[[#This Row],[PAPEL]]),Tabela1[Fechamento])</f>
        <v>0</v>
      </c>
      <c r="AY130" s="7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1.4</v>
      </c>
    </row>
    <row r="131" spans="1:54" ht="11.25" customHeight="1">
      <c r="A131" s="3" t="s">
        <v>876</v>
      </c>
      <c r="B131" s="58" t="s">
        <v>942</v>
      </c>
      <c r="C131" s="16" t="str">
        <f>LEFT([PAPEL],LEN([PAPEL])-(LEN([PAPEL])-4))</f>
        <v>SGPS</v>
      </c>
      <c r="D131" s="16">
        <v>3</v>
      </c>
      <c r="E131" s="5">
        <v>1860263807.6800001</v>
      </c>
      <c r="F131" s="56">
        <v>200000000</v>
      </c>
      <c r="G131" s="80">
        <v>0.33</v>
      </c>
      <c r="H131" s="86"/>
      <c r="J131" s="18"/>
      <c r="K131" s="16"/>
      <c r="L131" s="86"/>
      <c r="M131" s="54"/>
      <c r="N131" s="54"/>
      <c r="O131" s="54"/>
      <c r="P131" s="90">
        <v>1147616000</v>
      </c>
      <c r="Q131" s="73">
        <v>-49149000</v>
      </c>
      <c r="R131" s="73">
        <f>IF(Tabela3[[#This Row],[Ativo || Passivo]]&gt;0,Tabela3[[#This Row],[Ativo || Passivo]]-Tabela3[[#This Row],[Patrimônio Líquido]],0)</f>
        <v>0</v>
      </c>
      <c r="S131" s="73">
        <f>Tabela3[[#This Row],[Cotação]]*Tabela3[[#This Row],[Total Ações]]</f>
        <v>280000000</v>
      </c>
      <c r="T131" s="37">
        <f>IF(Tabela3[[#This Row],[Passivo Circulante]]&gt;0,Tabela3[[#This Row],[Ativo Circulante]]/Tabela3[[#This Row],[Passivo Circulante]],0)</f>
        <v>0</v>
      </c>
      <c r="U13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1" s="18">
        <f>IF(Tabela3[[#This Row],[Lucro Líquido]]&gt;0,Tabela3[[#This Row],[Lucro Líquido]]/Tabela3[[#This Row],[Patrimônio Líquido]],0)/Tabela3[[#This Row],[Ref]]*4</f>
        <v>0</v>
      </c>
      <c r="W1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1" s="18">
        <f>IF(Tabela3[[#This Row],[Dívida]]&gt;0,Tabela3[[#This Row],[Dívida]]/Tabela3[[#This Row],[Patrimônio Líquido]],0)</f>
        <v>0</v>
      </c>
      <c r="Y131" s="18">
        <f>SUMPRODUCT(N([Dívida / PL]&gt;0),N(RIGHT([PAPEL],LEN([PAPEL])-(LEN([PAPEL])-1))="3"),[Dívida / PL])/SUMPRODUCT(N([Dívida / PL]&gt;0),N(RIGHT([PAPEL],LEN([PAPEL])-(LEN([PAPEL])-1))="3"))</f>
        <v>2.2435702141443779</v>
      </c>
      <c r="Z131" s="7">
        <f>Tabela3[[#This Row],[Capital Social]]*20%</f>
        <v>372052761.53600001</v>
      </c>
      <c r="AA131" s="47">
        <f>IF(([Lucro Líquido]*5%)&gt;[Teto R. Legal],[Teto R. Legal],[Lucro Líquido]*5%)</f>
        <v>-2457450</v>
      </c>
      <c r="AB131" s="47">
        <f>IF([Lucro Líquido]&lt;0,0,[Lucro Líquido]-[Reserva Legal])</f>
        <v>0</v>
      </c>
      <c r="AC131" s="47">
        <f>Tabela3[[#This Row],[Lucro Distribuir]]*[%Div]</f>
        <v>0</v>
      </c>
      <c r="AD131" s="56">
        <f>SUMPRODUCT(N([Nome]=Tabela3[[#This Row],[Nome]]),[Ações])</f>
        <v>200000000</v>
      </c>
      <c r="AE131" s="84">
        <f>[Capital Social]/[Total Ações]</f>
        <v>9.3013190384000008</v>
      </c>
      <c r="AF131" s="84">
        <f>Tabela3[[#This Row],[Lucro Líquido]]/Tabela3[[#This Row],[Total Ações]]</f>
        <v>-0.24574499999999999</v>
      </c>
      <c r="AG1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1" s="7">
        <f>[Div Base]*[Ações]</f>
        <v>0</v>
      </c>
      <c r="AL131" s="7">
        <f>SUMPRODUCT(N([Nome]=Tabela3[[#This Row],[Nome]]),[Div Base]*[Ações])</f>
        <v>0</v>
      </c>
      <c r="AM131" s="5">
        <f>[Patrimônio Líquido]/[Total Ações]</f>
        <v>5.7380800000000001</v>
      </c>
      <c r="AN131" s="52">
        <f>MAX(Tabela3[[#This Row],[Cotação 1]:[Cotação 5]])</f>
        <v>1.4</v>
      </c>
      <c r="AO131" s="53">
        <f>[Cotação]/[VPA]</f>
        <v>0.24398405041407578</v>
      </c>
      <c r="AP131" s="37">
        <f>IF(Tabela3[[#This Row],[Lucro/Ação]]&gt;0,Tabela3[[#This Row],[Cotação]]/(Tabela3[[#This Row],[Lucro/Ação]]/[Ref]*4),0)</f>
        <v>0</v>
      </c>
      <c r="AQ131" s="84">
        <f>[Lucro Distribuir]/[Total Ações]</f>
        <v>0</v>
      </c>
      <c r="AR13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1" s="10" t="str">
        <f>IF(AND([% A.A.]&gt;=5%,SUMPRODUCT(N([Nome]=Tabela3[[#This Row],[Nome]]),[PL])&gt;0,[Rentabilidade s/ PL]&gt;=[Rentabilidade s/ PL Média]),"Sim","Não")</f>
        <v>Não</v>
      </c>
      <c r="AT131" s="22">
        <f>IF([Cotação]&gt;0,Tabela3[[#This Row],[Lucro]]/Tabela3[[#This Row],[Cotação]],0)</f>
        <v>0</v>
      </c>
      <c r="AU131" s="22">
        <f>((1+Tabela3[[#This Row],[% Yield]])^(1/(3*Tabela3[[#This Row],[Ref]])))^(12)-1</f>
        <v>0</v>
      </c>
      <c r="AV131" s="10">
        <f>IF([Cotação]&gt;0,($BH$1/Tabela3[[#This Row],[Cotação]]-MOD($BH$1/Tabela3[[#This Row],[Cotação]],100)),)</f>
        <v>500</v>
      </c>
      <c r="AW131" s="7">
        <f>Tabela3[[#This Row],[Ativos]]*[Lucro]</f>
        <v>0</v>
      </c>
      <c r="AX131" s="7">
        <f>SUMPRODUCT(N(Tabela1[Código]=Tabela3[[#This Row],[PAPEL]]),Tabela1[Fechamento])</f>
        <v>0</v>
      </c>
      <c r="AY131" s="7">
        <f>SUMPRODUCT(N(Tabela17[Código]=Tabela3[[#This Row],[PAPEL]]),Tabela17[Fechamento])</f>
        <v>0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1.4</v>
      </c>
      <c r="BB131" s="7">
        <f>SUMPRODUCT(N(Tabela17683[Código]=Tabela3[[#This Row],[PAPEL]]),Tabela17683[Fechamento])</f>
        <v>0</v>
      </c>
    </row>
    <row r="132" spans="1:54" ht="11.25" customHeight="1">
      <c r="A132" s="3" t="s">
        <v>1019</v>
      </c>
      <c r="B132" s="58" t="s">
        <v>1020</v>
      </c>
      <c r="C132" s="16" t="str">
        <f>LEFT([PAPEL],LEN([PAPEL])-(LEN([PAPEL])-4))</f>
        <v>BISA</v>
      </c>
      <c r="D132" s="16">
        <v>3</v>
      </c>
      <c r="E132" s="5">
        <v>2543247634.8000002</v>
      </c>
      <c r="F132" s="56">
        <v>575902712</v>
      </c>
      <c r="G132" s="80">
        <v>0.25</v>
      </c>
      <c r="H132" s="86"/>
      <c r="J132" s="18"/>
      <c r="K132" s="16"/>
      <c r="L132" s="86"/>
      <c r="M132" s="54"/>
      <c r="N132" s="54"/>
      <c r="O132" s="54"/>
      <c r="P132" s="90">
        <v>2596093000</v>
      </c>
      <c r="Q132" s="73">
        <v>-261426000</v>
      </c>
      <c r="R132" s="73">
        <f>IF(Tabela3[[#This Row],[Ativo || Passivo]]&gt;0,Tabela3[[#This Row],[Ativo || Passivo]]-Tabela3[[#This Row],[Patrimônio Líquido]],0)</f>
        <v>0</v>
      </c>
      <c r="S132" s="73">
        <f>Tabela3[[#This Row],[Cotação]]*Tabela3[[#This Row],[Total Ações]]</f>
        <v>840817959.51999998</v>
      </c>
      <c r="T132" s="37">
        <f>IF(Tabela3[[#This Row],[Passivo Circulante]]&gt;0,Tabela3[[#This Row],[Ativo Circulante]]/Tabela3[[#This Row],[Passivo Circulante]],0)</f>
        <v>0</v>
      </c>
      <c r="U13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2" s="18">
        <f>IF(Tabela3[[#This Row],[Lucro Líquido]]&gt;0,Tabela3[[#This Row],[Lucro Líquido]]/Tabela3[[#This Row],[Patrimônio Líquido]],0)/Tabela3[[#This Row],[Ref]]*4</f>
        <v>0</v>
      </c>
      <c r="W13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2" s="18">
        <f>IF(Tabela3[[#This Row],[Dívida]]&gt;0,Tabela3[[#This Row],[Dívida]]/Tabela3[[#This Row],[Patrimônio Líquido]],0)</f>
        <v>0</v>
      </c>
      <c r="Y132" s="18">
        <f>SUMPRODUCT(N([Dívida / PL]&gt;0),N(RIGHT([PAPEL],LEN([PAPEL])-(LEN([PAPEL])-1))="3"),[Dívida / PL])/SUMPRODUCT(N([Dívida / PL]&gt;0),N(RIGHT([PAPEL],LEN([PAPEL])-(LEN([PAPEL])-1))="3"))</f>
        <v>2.2435702141443779</v>
      </c>
      <c r="Z132" s="7">
        <f>Tabela3[[#This Row],[Capital Social]]*20%</f>
        <v>508649526.96000004</v>
      </c>
      <c r="AA132" s="47">
        <f>IF(([Lucro Líquido]*5%)&gt;[Teto R. Legal],[Teto R. Legal],[Lucro Líquido]*5%)</f>
        <v>-13071300</v>
      </c>
      <c r="AB132" s="47">
        <f>IF([Lucro Líquido]&lt;0,0,[Lucro Líquido]-[Reserva Legal])</f>
        <v>0</v>
      </c>
      <c r="AC132" s="47">
        <f>Tabela3[[#This Row],[Lucro Distribuir]]*[%Div]</f>
        <v>0</v>
      </c>
      <c r="AD132" s="56">
        <f>SUMPRODUCT(N([Nome]=Tabela3[[#This Row],[Nome]]),[Ações])</f>
        <v>575902712</v>
      </c>
      <c r="AE132" s="84">
        <f>[Capital Social]/[Total Ações]</f>
        <v>4.4161063697161405</v>
      </c>
      <c r="AF132" s="84">
        <f>Tabela3[[#This Row],[Lucro Líquido]]/Tabela3[[#This Row],[Total Ações]]</f>
        <v>-0.45394125527229673</v>
      </c>
      <c r="AG13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2" s="7">
        <f>[Div Base]*[Ações]</f>
        <v>0</v>
      </c>
      <c r="AL132" s="113">
        <f>SUMPRODUCT(N([Nome]=Tabela3[[#This Row],[Nome]]),[Div Base]*[Ações])</f>
        <v>0</v>
      </c>
      <c r="AM132" s="5">
        <f>[Patrimônio Líquido]/[Total Ações]</f>
        <v>4.5078672940856022</v>
      </c>
      <c r="AN132" s="52">
        <f>MAX(Tabela3[[#This Row],[Cotação 1]:[Cotação 5]])</f>
        <v>1.46</v>
      </c>
      <c r="AO132" s="53">
        <f>[Cotação]/[VPA]</f>
        <v>0.32387821219039536</v>
      </c>
      <c r="AP132" s="37">
        <f>IF(Tabela3[[#This Row],[Lucro/Ação]]&gt;0,Tabela3[[#This Row],[Cotação]]/(Tabela3[[#This Row],[Lucro/Ação]]/[Ref]*4),0)</f>
        <v>0</v>
      </c>
      <c r="AQ132" s="84">
        <f>[Lucro Distribuir]/[Total Ações]</f>
        <v>0</v>
      </c>
      <c r="AR13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2" s="10" t="str">
        <f>IF(AND([% A.A.]&gt;=5%,SUMPRODUCT(N([Nome]=Tabela3[[#This Row],[Nome]]),[PL])&gt;0,[Rentabilidade s/ PL]&gt;=[Rentabilidade s/ PL Média]),"Sim","Não")</f>
        <v>Não</v>
      </c>
      <c r="AT132" s="22">
        <f>IF([Cotação]&gt;0,Tabela3[[#This Row],[Lucro]]/Tabela3[[#This Row],[Cotação]],0)</f>
        <v>0</v>
      </c>
      <c r="AU132" s="22">
        <f>((1+Tabela3[[#This Row],[% Yield]])^(1/(3*Tabela3[[#This Row],[Ref]])))^(12)-1</f>
        <v>0</v>
      </c>
      <c r="AV132" s="10">
        <f>IF([Cotação]&gt;0,($BH$1/Tabela3[[#This Row],[Cotação]]-MOD($BH$1/Tabela3[[#This Row],[Cotação]],100)),)</f>
        <v>500</v>
      </c>
      <c r="AW132" s="7">
        <f>Tabela3[[#This Row],[Ativos]]*[Lucro]</f>
        <v>0</v>
      </c>
      <c r="AX132" s="7">
        <f>SUMPRODUCT(N(Tabela1[Código]=Tabela3[[#This Row],[PAPEL]]),Tabela1[Fechamento])</f>
        <v>0</v>
      </c>
      <c r="AY132" s="7">
        <f>SUMPRODUCT(N(Tabela17[Código]=Tabela3[[#This Row],[PAPEL]]),Tabela17[Fechamento])</f>
        <v>0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1.46</v>
      </c>
      <c r="BB132" s="7">
        <f>SUMPRODUCT(N(Tabela17683[Código]=Tabela3[[#This Row],[PAPEL]]),Tabela17683[Fechamento])</f>
        <v>0</v>
      </c>
    </row>
    <row r="133" spans="1:54" ht="11.25" customHeight="1">
      <c r="A133" s="3" t="s">
        <v>1276</v>
      </c>
      <c r="B133" s="58" t="s">
        <v>1257</v>
      </c>
      <c r="C133" s="16" t="str">
        <f>LEFT([PAPEL],LEN([PAPEL])-(LEN([PAPEL])-4))</f>
        <v>MWET</v>
      </c>
      <c r="D133" s="16">
        <v>3</v>
      </c>
      <c r="E133" s="5">
        <v>47147375.020000003</v>
      </c>
      <c r="F133" s="56">
        <v>13720024</v>
      </c>
      <c r="G133" s="80">
        <v>0.25</v>
      </c>
      <c r="H133" s="86"/>
      <c r="J133" s="18">
        <v>0.1</v>
      </c>
      <c r="K133" s="16"/>
      <c r="L133" s="86"/>
      <c r="M133" s="54"/>
      <c r="N133" s="54"/>
      <c r="O133" s="54"/>
      <c r="P133" s="90">
        <v>-10141000</v>
      </c>
      <c r="Q133" s="73">
        <v>4196000</v>
      </c>
      <c r="R133" s="73">
        <f>IF(Tabela3[[#This Row],[Ativo || Passivo]]&gt;0,Tabela3[[#This Row],[Ativo || Passivo]]-Tabela3[[#This Row],[Patrimônio Líquido]],0)</f>
        <v>0</v>
      </c>
      <c r="S133" s="73">
        <f>Tabela3[[#This Row],[Cotação]]*Tabela3[[#This Row],[Total Ações]]</f>
        <v>30046852.559999999</v>
      </c>
      <c r="T133" s="37">
        <f>IF(Tabela3[[#This Row],[Passivo Circulante]]&gt;0,Tabela3[[#This Row],[Ativo Circulante]]/Tabela3[[#This Row],[Passivo Circulante]],0)</f>
        <v>0</v>
      </c>
      <c r="U13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3" s="18">
        <f>IF(Tabela3[[#This Row],[Lucro Líquido]]&gt;0,Tabela3[[#This Row],[Lucro Líquido]]/Tabela3[[#This Row],[Patrimônio Líquido]],0)/Tabela3[[#This Row],[Ref]]*4</f>
        <v>-0.55168786773165046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3" s="18">
        <f>IF(Tabela3[[#This Row],[Dívida]]&gt;0,Tabela3[[#This Row],[Dívida]]/Tabela3[[#This Row],[Patrimônio Líquido]],0)</f>
        <v>0</v>
      </c>
      <c r="Y133" s="18">
        <f>SUMPRODUCT(N([Dívida / PL]&gt;0),N(RIGHT([PAPEL],LEN([PAPEL])-(LEN([PAPEL])-1))="3"),[Dívida / PL])/SUMPRODUCT(N([Dívida / PL]&gt;0),N(RIGHT([PAPEL],LEN([PAPEL])-(LEN([PAPEL])-1))="3"))</f>
        <v>2.2435702141443779</v>
      </c>
      <c r="Z133" s="7">
        <f>Tabela3[[#This Row],[Capital Social]]*20%</f>
        <v>9429475.0040000007</v>
      </c>
      <c r="AA133" s="47">
        <f>IF(([Lucro Líquido]*5%)&gt;[Teto R. Legal],[Teto R. Legal],[Lucro Líquido]*5%)</f>
        <v>209800</v>
      </c>
      <c r="AB133" s="47">
        <f>IF([Lucro Líquido]&lt;0,0,[Lucro Líquido]-[Reserva Legal])</f>
        <v>3986200</v>
      </c>
      <c r="AC133" s="47">
        <f>Tabela3[[#This Row],[Lucro Distribuir]]*[%Div]</f>
        <v>996550</v>
      </c>
      <c r="AD133" s="56">
        <f>SUMPRODUCT(N([Nome]=Tabela3[[#This Row],[Nome]]),[Ações])</f>
        <v>20580036</v>
      </c>
      <c r="AE133" s="84">
        <f>[Capital Social]/[Total Ações]</f>
        <v>2.2909277233528651</v>
      </c>
      <c r="AF133" s="84">
        <f>Tabela3[[#This Row],[Lucro Líquido]]/Tabela3[[#This Row],[Total Ações]]</f>
        <v>0.20388691253990032</v>
      </c>
      <c r="AG13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13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133" s="7">
        <f>[Div Base]*[Ações]</f>
        <v>708065.2636505533</v>
      </c>
      <c r="AL133" s="113">
        <f>SUMPRODUCT(N([Nome]=Tabela3[[#This Row],[Nome]]),[Div Base]*[Ações])</f>
        <v>1029913.1103235433</v>
      </c>
      <c r="AM133" s="5">
        <f>[Patrimônio Líquido]/[Total Ações]</f>
        <v>-0.49275909915803839</v>
      </c>
      <c r="AN133" s="52">
        <f>MAX(Tabela3[[#This Row],[Cotação 1]:[Cotação 5]])</f>
        <v>1.46</v>
      </c>
      <c r="AO133" s="53">
        <f>[Cotação]/[VPA]</f>
        <v>-2.9629082496795189</v>
      </c>
      <c r="AP133" s="37">
        <f>IF(Tabela3[[#This Row],[Lucro/Ação]]&gt;0,Tabela3[[#This Row],[Cotação]]/(Tabela3[[#This Row],[Lucro/Ação]]/[Ref]*4),0)</f>
        <v>5.3706242659675878</v>
      </c>
      <c r="AQ133" s="84">
        <f>[Lucro Distribuir]/[Total Ações]</f>
        <v>0.19369256691290529</v>
      </c>
      <c r="AR133" s="84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3.5348058281809931E-2</v>
      </c>
      <c r="AU133" s="22">
        <f>((1+Tabela3[[#This Row],[% Yield]])^(1/(3*Tabela3[[#This Row],[Ref]])))^(12)-1</f>
        <v>4.7406258209505614E-2</v>
      </c>
      <c r="AV133" s="10">
        <f>IF([Cotação]&gt;0,($BH$1/Tabela3[[#This Row],[Cotação]]-MOD($BH$1/Tabela3[[#This Row],[Cotação]],100)),)</f>
        <v>500</v>
      </c>
      <c r="AW133" s="7">
        <f>Tabela3[[#This Row],[Ativos]]*[Lucro]</f>
        <v>25.804082545721247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0</v>
      </c>
      <c r="BB133" s="7">
        <f>SUMPRODUCT(N(Tabela17683[Código]=Tabela3[[#This Row],[PAPEL]]),Tabela17683[Fechamento])</f>
        <v>1.46</v>
      </c>
    </row>
    <row r="134" spans="1:54" ht="11.25" customHeight="1">
      <c r="A134" s="3" t="s">
        <v>1019</v>
      </c>
      <c r="B134" s="57" t="s">
        <v>1048</v>
      </c>
      <c r="C134" s="16" t="str">
        <f>LEFT([PAPEL],LEN([PAPEL])-(LEN([PAPEL])-4))</f>
        <v>RSID</v>
      </c>
      <c r="D134" s="16">
        <v>3</v>
      </c>
      <c r="E134" s="5">
        <v>2633562618.8600001</v>
      </c>
      <c r="F134" s="56">
        <v>428833420</v>
      </c>
      <c r="G134" s="80">
        <v>0.25</v>
      </c>
      <c r="H134" s="86"/>
      <c r="J134" s="18"/>
      <c r="K134" s="16"/>
      <c r="L134" s="86"/>
      <c r="M134" s="54"/>
      <c r="N134" s="54"/>
      <c r="O134" s="54"/>
      <c r="P134" s="90">
        <v>2386747000</v>
      </c>
      <c r="Q134" s="73">
        <v>38536000</v>
      </c>
      <c r="R134" s="73">
        <f>IF(Tabela3[[#This Row],[Ativo || Passivo]]&gt;0,Tabela3[[#This Row],[Ativo || Passivo]]-Tabela3[[#This Row],[Patrimônio Líquido]],0)</f>
        <v>0</v>
      </c>
      <c r="S134" s="73">
        <f>Tabela3[[#This Row],[Cotação]]*Tabela3[[#This Row],[Total Ações]]</f>
        <v>638961795.79999995</v>
      </c>
      <c r="T134" s="37">
        <f>IF(Tabela3[[#This Row],[Passivo Circulante]]&gt;0,Tabela3[[#This Row],[Ativo Circulante]]/Tabela3[[#This Row],[Passivo Circulante]],0)</f>
        <v>0</v>
      </c>
      <c r="U13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4" s="18">
        <f>IF(Tabela3[[#This Row],[Lucro Líquido]]&gt;0,Tabela3[[#This Row],[Lucro Líquido]]/Tabela3[[#This Row],[Patrimônio Líquido]],0)/Tabela3[[#This Row],[Ref]]*4</f>
        <v>2.1527767012311457E-2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4" s="18">
        <f>IF(Tabela3[[#This Row],[Dívida]]&gt;0,Tabela3[[#This Row],[Dívida]]/Tabela3[[#This Row],[Patrimônio Líquido]],0)</f>
        <v>0</v>
      </c>
      <c r="Y134" s="18">
        <f>SUMPRODUCT(N([Dívida / PL]&gt;0),N(RIGHT([PAPEL],LEN([PAPEL])-(LEN([PAPEL])-1))="3"),[Dívida / PL])/SUMPRODUCT(N([Dívida / PL]&gt;0),N(RIGHT([PAPEL],LEN([PAPEL])-(LEN([PAPEL])-1))="3"))</f>
        <v>2.2435702141443779</v>
      </c>
      <c r="Z134" s="7">
        <f>Tabela3[[#This Row],[Capital Social]]*20%</f>
        <v>526712523.77200007</v>
      </c>
      <c r="AA134" s="47">
        <f>IF(([Lucro Líquido]*5%)&gt;[Teto R. Legal],[Teto R. Legal],[Lucro Líquido]*5%)</f>
        <v>1926800</v>
      </c>
      <c r="AB134" s="47">
        <f>IF([Lucro Líquido]&lt;0,0,[Lucro Líquido]-[Reserva Legal])</f>
        <v>36609200</v>
      </c>
      <c r="AC134" s="47">
        <f>Tabela3[[#This Row],[Lucro Distribuir]]*[%Div]</f>
        <v>9152300</v>
      </c>
      <c r="AD134" s="56">
        <f>SUMPRODUCT(N([Nome]=Tabela3[[#This Row],[Nome]]),[Ações])</f>
        <v>428833420</v>
      </c>
      <c r="AE134" s="84">
        <f>[Capital Social]/[Total Ações]</f>
        <v>6.1412252311398685</v>
      </c>
      <c r="AF134" s="84">
        <f>Tabela3[[#This Row],[Lucro Líquido]]/Tabela3[[#This Row],[Total Ações]]</f>
        <v>8.9862399250506181E-2</v>
      </c>
      <c r="AG13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13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134" s="7">
        <f>[Div Base]*[Ações]</f>
        <v>9152300</v>
      </c>
      <c r="AL134" s="113">
        <f>SUMPRODUCT(N([Nome]=Tabela3[[#This Row],[Nome]]),[Div Base]*[Ações])</f>
        <v>9152300</v>
      </c>
      <c r="AM134" s="5">
        <f>[Patrimônio Líquido]/[Total Ações]</f>
        <v>5.5656739626309912</v>
      </c>
      <c r="AN134" s="52">
        <f>MAX(Tabela3[[#This Row],[Cotação 1]:[Cotação 5]])</f>
        <v>1.49</v>
      </c>
      <c r="AO134" s="53">
        <f>[Cotação]/[VPA]</f>
        <v>0.26771241183083083</v>
      </c>
      <c r="AP134" s="37">
        <f>IF(Tabela3[[#This Row],[Lucro/Ação]]&gt;0,Tabela3[[#This Row],[Cotação]]/(Tabela3[[#This Row],[Lucro/Ação]]/[Ref]*4),0)</f>
        <v>12.435679542505708</v>
      </c>
      <c r="AQ134" s="84">
        <f>[Lucro Distribuir]/[Total Ações]</f>
        <v>8.5369279287980868E-2</v>
      </c>
      <c r="AR134" s="84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1.432370457852028E-2</v>
      </c>
      <c r="AU134" s="22">
        <f>((1+Tabela3[[#This Row],[% Yield]])^(1/(3*Tabela3[[#This Row],[Ref]])))^(12)-1</f>
        <v>1.9143721509189193E-2</v>
      </c>
      <c r="AV134" s="10">
        <f>IF([Cotação]&gt;0,($BH$1/Tabela3[[#This Row],[Cotação]]-MOD($BH$1/Tabela3[[#This Row],[Cotação]],100)),)</f>
        <v>500</v>
      </c>
      <c r="AW134" s="7">
        <f>Tabela3[[#This Row],[Ativos]]*[Lucro]</f>
        <v>10.671159910997609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1.49</v>
      </c>
      <c r="BB134" s="7">
        <f>SUMPRODUCT(N(Tabela17683[Código]=Tabela3[[#This Row],[PAPEL]]),Tabela17683[Fechamento])</f>
        <v>0</v>
      </c>
    </row>
    <row r="135" spans="1:54" ht="11.25" customHeight="1">
      <c r="A135" s="3" t="s">
        <v>1085</v>
      </c>
      <c r="B135" s="57" t="s">
        <v>1065</v>
      </c>
      <c r="C135" s="16" t="str">
        <f>LEFT([PAPEL],LEN([PAPEL])-(LEN([PAPEL])-4))</f>
        <v>AZEV</v>
      </c>
      <c r="D135" s="16">
        <v>3</v>
      </c>
      <c r="E135" s="5">
        <v>53896441</v>
      </c>
      <c r="F135" s="56">
        <v>18000000</v>
      </c>
      <c r="G135" s="80">
        <v>0.25</v>
      </c>
      <c r="H135" s="86"/>
      <c r="J135" s="18"/>
      <c r="K135" s="16"/>
      <c r="L135" s="86"/>
      <c r="M135" s="54"/>
      <c r="N135" s="54"/>
      <c r="O135" s="54"/>
      <c r="P135" s="90">
        <v>35138000</v>
      </c>
      <c r="Q135" s="73">
        <v>2840000</v>
      </c>
      <c r="R135" s="73">
        <f>IF(Tabela3[[#This Row],[Ativo || Passivo]]&gt;0,Tabela3[[#This Row],[Ativo || Passivo]]-Tabela3[[#This Row],[Patrimônio Líquido]],0)</f>
        <v>0</v>
      </c>
      <c r="S135" s="73">
        <f>Tabela3[[#This Row],[Cotação]]*Tabela3[[#This Row],[Total Ações]]</f>
        <v>40770000</v>
      </c>
      <c r="T135" s="37">
        <f>IF(Tabela3[[#This Row],[Passivo Circulante]]&gt;0,Tabela3[[#This Row],[Ativo Circulante]]/Tabela3[[#This Row],[Passivo Circulante]],0)</f>
        <v>0</v>
      </c>
      <c r="U1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5" s="18">
        <f>IF(Tabela3[[#This Row],[Lucro Líquido]]&gt;0,Tabela3[[#This Row],[Lucro Líquido]]/Tabela3[[#This Row],[Patrimônio Líquido]],0)/Tabela3[[#This Row],[Ref]]*4</f>
        <v>0.10776557193541654</v>
      </c>
      <c r="W1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5" s="18">
        <f>IF(Tabela3[[#This Row],[Dívida]]&gt;0,Tabela3[[#This Row],[Dívida]]/Tabela3[[#This Row],[Patrimônio Líquido]],0)</f>
        <v>0</v>
      </c>
      <c r="Y135" s="18">
        <f>SUMPRODUCT(N([Dívida / PL]&gt;0),N(RIGHT([PAPEL],LEN([PAPEL])-(LEN([PAPEL])-1))="3"),[Dívida / PL])/SUMPRODUCT(N([Dívida / PL]&gt;0),N(RIGHT([PAPEL],LEN([PAPEL])-(LEN([PAPEL])-1))="3"))</f>
        <v>2.2435702141443779</v>
      </c>
      <c r="Z135" s="7">
        <f>Tabela3[[#This Row],[Capital Social]]*20%</f>
        <v>10779288.200000001</v>
      </c>
      <c r="AA135" s="47">
        <f>IF(([Lucro Líquido]*5%)&gt;[Teto R. Legal],[Teto R. Legal],[Lucro Líquido]*5%)</f>
        <v>142000</v>
      </c>
      <c r="AB135" s="47">
        <f>IF([Lucro Líquido]&lt;0,0,[Lucro Líquido]-[Reserva Legal])</f>
        <v>2698000</v>
      </c>
      <c r="AC135" s="47">
        <f>Tabela3[[#This Row],[Lucro Distribuir]]*[%Div]</f>
        <v>674500</v>
      </c>
      <c r="AD135" s="56">
        <f>SUMPRODUCT(N([Nome]=Tabela3[[#This Row],[Nome]]),[Ações])</f>
        <v>27000000</v>
      </c>
      <c r="AE135" s="84">
        <f>[Capital Social]/[Total Ações]</f>
        <v>1.9961644814814814</v>
      </c>
      <c r="AF135" s="84">
        <f>Tabela3[[#This Row],[Lucro Líquido]]/Tabela3[[#This Row],[Total Ações]]</f>
        <v>0.10518518518518519</v>
      </c>
      <c r="AG1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1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135" s="7">
        <f>[Div Base]*[Ações]</f>
        <v>449666.66666666669</v>
      </c>
      <c r="AL135" s="113">
        <f>SUMPRODUCT(N([Nome]=Tabela3[[#This Row],[Nome]]),[Div Base]*[Ações])</f>
        <v>674500</v>
      </c>
      <c r="AM135" s="5">
        <f>[Patrimônio Líquido]/[Total Ações]</f>
        <v>1.3014074074074073</v>
      </c>
      <c r="AN135" s="52">
        <f>MAX(Tabela3[[#This Row],[Cotação 1]:[Cotação 5]])</f>
        <v>1.51</v>
      </c>
      <c r="AO135" s="53">
        <f>[Cotação]/[VPA]</f>
        <v>1.1602823154419717</v>
      </c>
      <c r="AP135" s="37">
        <f>IF(Tabela3[[#This Row],[Lucro/Ação]]&gt;0,Tabela3[[#This Row],[Cotação]]/(Tabela3[[#This Row],[Lucro/Ação]]/[Ref]*4),0)</f>
        <v>10.766725352112676</v>
      </c>
      <c r="AQ135" s="84">
        <f>[Lucro Distribuir]/[Total Ações]</f>
        <v>9.9925925925925932E-2</v>
      </c>
      <c r="AR135" s="84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135" s="10" t="str">
        <f>IF(AND([% A.A.]&gt;=5%,SUMPRODUCT(N([Nome]=Tabela3[[#This Row],[Nome]]),[PL])&gt;0,[Rentabilidade s/ PL]&gt;=[Rentabilidade s/ PL Média]),"Sim","Não")</f>
        <v>Não</v>
      </c>
      <c r="AT135" s="22">
        <f>IF([Cotação]&gt;0,Tabela3[[#This Row],[Lucro]]/Tabela3[[#This Row],[Cotação]],0)</f>
        <v>1.6544027471179789E-2</v>
      </c>
      <c r="AU135" s="22">
        <f>((1+Tabela3[[#This Row],[% Yield]])^(1/(3*Tabela3[[#This Row],[Ref]])))^(12)-1</f>
        <v>2.2119304507920878E-2</v>
      </c>
      <c r="AV135" s="10">
        <f>IF([Cotação]&gt;0,($BH$1/Tabela3[[#This Row],[Cotação]]-MOD($BH$1/Tabela3[[#This Row],[Cotação]],100)),)</f>
        <v>500</v>
      </c>
      <c r="AW135" s="7">
        <f>Tabela3[[#This Row],[Ativos]]*[Lucro]</f>
        <v>12.490740740740742</v>
      </c>
      <c r="AX135" s="7">
        <f>SUMPRODUCT(N(Tabela1[Código]=Tabela3[[#This Row],[PAPEL]]),Tabela1[Fechamento])</f>
        <v>0</v>
      </c>
      <c r="AY135" s="7">
        <f>SUMPRODUCT(N(Tabela17[Código]=Tabela3[[#This Row],[PAPEL]]),Tabela17[Fechamento])</f>
        <v>0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1.51</v>
      </c>
    </row>
    <row r="136" spans="1:54">
      <c r="A136" s="4" t="s">
        <v>641</v>
      </c>
      <c r="B136" s="57" t="s">
        <v>322</v>
      </c>
      <c r="C136" s="15" t="str">
        <f>LEFT([PAPEL],LEN([PAPEL])-(LEN([PAPEL])-4))</f>
        <v>NUTR</v>
      </c>
      <c r="D136" s="15">
        <v>3</v>
      </c>
      <c r="E136" s="6">
        <v>22877961</v>
      </c>
      <c r="F136" s="8">
        <v>12414678</v>
      </c>
      <c r="G136" s="85">
        <v>0.25</v>
      </c>
      <c r="H136" s="15"/>
      <c r="I136" s="19"/>
      <c r="J136" s="19"/>
      <c r="K136" s="87"/>
      <c r="L136" s="87"/>
      <c r="M136" s="55">
        <v>75140000</v>
      </c>
      <c r="N136" s="55">
        <v>15537000</v>
      </c>
      <c r="O136" s="55">
        <v>22268000</v>
      </c>
      <c r="P136" s="91">
        <v>30856000</v>
      </c>
      <c r="Q136" s="92">
        <v>-1763000</v>
      </c>
      <c r="R136" s="92">
        <f>IF(Tabela3[[#This Row],[Ativo || Passivo]]&gt;0,Tabela3[[#This Row],[Ativo || Passivo]]-Tabela3[[#This Row],[Patrimônio Líquido]],0)</f>
        <v>44284000</v>
      </c>
      <c r="S136" s="92">
        <f>Tabela3[[#This Row],[Cotação]]*Tabela3[[#This Row],[Total Ações]]</f>
        <v>18746163.780000001</v>
      </c>
      <c r="T136" s="40">
        <f>IF(Tabela3[[#This Row],[Passivo Circulante]]&gt;0,Tabela3[[#This Row],[Ativo Circulante]]/Tabela3[[#This Row],[Passivo Circulante]],0)</f>
        <v>0.69772768097718696</v>
      </c>
      <c r="U13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6" s="19">
        <f>IF(Tabela3[[#This Row],[Lucro Líquido]]&gt;0,Tabela3[[#This Row],[Lucro Líquido]]/Tabela3[[#This Row],[Patrimônio Líquido]],0)/Tabela3[[#This Row],[Ref]]*4</f>
        <v>0</v>
      </c>
      <c r="W1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6" s="19">
        <f>IF(Tabela3[[#This Row],[Dívida]]&gt;0,Tabela3[[#This Row],[Dívida]]/Tabela3[[#This Row],[Patrimônio Líquido]],0)</f>
        <v>1.4351827845475758</v>
      </c>
      <c r="Y136" s="19">
        <f>SUMPRODUCT(N([Dívida / PL]&gt;0),N(RIGHT([PAPEL],LEN([PAPEL])-(LEN([PAPEL])-1))="3"),[Dívida / PL])/SUMPRODUCT(N([Dívida / PL]&gt;0),N(RIGHT([PAPEL],LEN([PAPEL])-(LEN([PAPEL])-1))="3"))</f>
        <v>2.2435702141443779</v>
      </c>
      <c r="Z136" s="13">
        <f>Tabela3[[#This Row],[Capital Social]]*20%</f>
        <v>4575592.2</v>
      </c>
      <c r="AA136" s="13">
        <f>IF(([Lucro Líquido]*5%)&gt;[Teto R. Legal],[Teto R. Legal],[Lucro Líquido]*5%)</f>
        <v>-88150</v>
      </c>
      <c r="AB136" s="13">
        <f>IF([Lucro Líquido]&lt;0,0,[Lucro Líquido]-[Reserva Legal])</f>
        <v>0</v>
      </c>
      <c r="AC136" s="13">
        <f>Tabela3[[#This Row],[Lucro Distribuir]]*[%Div]</f>
        <v>0</v>
      </c>
      <c r="AD136" s="56">
        <f>SUMPRODUCT(N([Nome]=Tabela3[[#This Row],[Nome]]),[Ações])</f>
        <v>12414678</v>
      </c>
      <c r="AE136" s="6">
        <f>[Capital Social]/[Total Ações]</f>
        <v>1.8428154963020387</v>
      </c>
      <c r="AF136" s="77">
        <f>Tabela3[[#This Row],[Lucro Líquido]]/Tabela3[[#This Row],[Total Ações]]</f>
        <v>-0.1420093215466402</v>
      </c>
      <c r="AG1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6" s="13">
        <f>[Div Base]*[Ações]</f>
        <v>0</v>
      </c>
      <c r="AL136" s="13">
        <f>SUMPRODUCT(N([Nome]=Tabela3[[#This Row],[Nome]]),[Div Base]*[Ações])</f>
        <v>0</v>
      </c>
      <c r="AM136" s="6">
        <f>[Patrimônio Líquido]/[Total Ações]</f>
        <v>2.4854450514141404</v>
      </c>
      <c r="AN136" s="48">
        <f>MAX(Tabela3[[#This Row],[Cotação 1]:[Cotação 5]])</f>
        <v>1.51</v>
      </c>
      <c r="AO136" s="44">
        <f>[Cotação]/[VPA]</f>
        <v>0.60753706831734511</v>
      </c>
      <c r="AP136" s="40">
        <f>IF(Tabela3[[#This Row],[Lucro/Ação]]&gt;0,Tabela3[[#This Row],[Cotação]]/(Tabela3[[#This Row],[Lucro/Ação]]/[Ref]*4),0)</f>
        <v>0</v>
      </c>
      <c r="AQ136" s="77">
        <f>[Lucro Distribuir]/[Total Ações]</f>
        <v>0</v>
      </c>
      <c r="AR13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6" s="14" t="str">
        <f>IF(AND([% A.A.]&gt;=5%,SUMPRODUCT(N([Nome]=Tabela3[[#This Row],[Nome]]),[PL])&gt;0,[Rentabilidade s/ PL]&gt;=[Rentabilidade s/ PL Média]),"Sim","Não")</f>
        <v>Não</v>
      </c>
      <c r="AT136" s="42">
        <f>IF([Cotação]&gt;0,Tabela3[[#This Row],[Lucro]]/Tabela3[[#This Row],[Cotação]],0)</f>
        <v>0</v>
      </c>
      <c r="AU136" s="42">
        <f>((1+Tabela3[[#This Row],[% Yield]])^(1/(3*Tabela3[[#This Row],[Ref]])))^(12)-1</f>
        <v>0</v>
      </c>
      <c r="AV136" s="14">
        <f>IF([Cotação]&gt;0,($BH$1/Tabela3[[#This Row],[Cotação]]-MOD($BH$1/Tabela3[[#This Row],[Cotação]],100)),)</f>
        <v>500</v>
      </c>
      <c r="AW136" s="17">
        <f>Tabela3[[#This Row],[Ativos]]*[Lucro]</f>
        <v>0</v>
      </c>
      <c r="AX136" s="17">
        <f>SUMPRODUCT(N(Tabela1[Código]=Tabela3[[#This Row],[PAPEL]]),Tabela1[Fechamento])</f>
        <v>0</v>
      </c>
      <c r="AY136" s="17">
        <f>SUMPRODUCT(N(Tabela17[Código]=Tabela3[[#This Row],[PAPEL]]),Tabela17[Fechamento])</f>
        <v>1.51</v>
      </c>
      <c r="AZ136" s="17">
        <f>SUMPRODUCT(N(Tabela176[Código]=Tabela3[[#This Row],[PAPEL]]),Tabela176[Fechamento])</f>
        <v>1.51</v>
      </c>
      <c r="BA136" s="1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customHeight="1">
      <c r="A137" s="4" t="s">
        <v>283</v>
      </c>
      <c r="B137" s="57" t="s">
        <v>519</v>
      </c>
      <c r="C137" s="15" t="str">
        <f>LEFT([PAPEL],LEN([PAPEL])-(LEN([PAPEL])-4))</f>
        <v>MLFT</v>
      </c>
      <c r="D137" s="15">
        <v>3</v>
      </c>
      <c r="E137" s="6">
        <v>784003710.15999997</v>
      </c>
      <c r="F137" s="8">
        <v>578115845</v>
      </c>
      <c r="G137" s="85">
        <v>0.25</v>
      </c>
      <c r="H137" s="19"/>
      <c r="I137" s="19"/>
      <c r="J137" s="19"/>
      <c r="K137" s="87"/>
      <c r="L137" s="87"/>
      <c r="M137" s="55"/>
      <c r="N137" s="55"/>
      <c r="O137" s="55"/>
      <c r="P137" s="91">
        <v>1718473000</v>
      </c>
      <c r="Q137" s="92">
        <v>-19305000</v>
      </c>
      <c r="R137" s="92">
        <f>IF(Tabela3[[#This Row],[Ativo || Passivo]]&gt;0,Tabela3[[#This Row],[Ativo || Passivo]]-Tabela3[[#This Row],[Patrimônio Líquido]],0)</f>
        <v>0</v>
      </c>
      <c r="S137" s="92">
        <f>Tabela3[[#This Row],[Cotação]]*Tabela3[[#This Row],[Total Ações]]</f>
        <v>1484465676.54</v>
      </c>
      <c r="T137" s="40">
        <f>IF(Tabela3[[#This Row],[Passivo Circulante]]&gt;0,Tabela3[[#This Row],[Ativo Circulante]]/Tabela3[[#This Row],[Passivo Circulante]],0)</f>
        <v>0</v>
      </c>
      <c r="U13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7" s="19">
        <f>IF(Tabela3[[#This Row],[Lucro Líquido]]&gt;0,Tabela3[[#This Row],[Lucro Líquido]]/Tabela3[[#This Row],[Patrimônio Líquido]],0)/Tabela3[[#This Row],[Ref]]*4</f>
        <v>0</v>
      </c>
      <c r="W13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7" s="19">
        <f>IF(Tabela3[[#This Row],[Dívida]]&gt;0,Tabela3[[#This Row],[Dívida]]/Tabela3[[#This Row],[Patrimônio Líquido]],0)</f>
        <v>0</v>
      </c>
      <c r="Y137" s="19">
        <f>SUMPRODUCT(N([Dívida / PL]&gt;0),N(RIGHT([PAPEL],LEN([PAPEL])-(LEN([PAPEL])-1))="3"),[Dívida / PL])/SUMPRODUCT(N([Dívida / PL]&gt;0),N(RIGHT([PAPEL],LEN([PAPEL])-(LEN([PAPEL])-1))="3"))</f>
        <v>2.2435702141443779</v>
      </c>
      <c r="Z137" s="13">
        <f>Tabela3[[#This Row],[Capital Social]]*20%</f>
        <v>156800742.03200001</v>
      </c>
      <c r="AA137" s="13">
        <f>IF(([Lucro Líquido]*5%)&gt;[Teto R. Legal],[Teto R. Legal],[Lucro Líquido]*5%)</f>
        <v>-965250</v>
      </c>
      <c r="AB137" s="13">
        <f>IF([Lucro Líquido]&lt;0,0,[Lucro Líquido]-[Reserva Legal])</f>
        <v>0</v>
      </c>
      <c r="AC137" s="13">
        <f>Tabela3[[#This Row],[Lucro Distribuir]]*[%Div]</f>
        <v>0</v>
      </c>
      <c r="AD137" s="56">
        <f>SUMPRODUCT(N([Nome]=Tabela3[[#This Row],[Nome]]),[Ações])</f>
        <v>963938751</v>
      </c>
      <c r="AE137" s="6">
        <f>[Capital Social]/[Total Ações]</f>
        <v>0.81333353322155211</v>
      </c>
      <c r="AF137" s="77">
        <f>Tabela3[[#This Row],[Lucro Líquido]]/Tabela3[[#This Row],[Total Ações]]</f>
        <v>-2.0027206064672464E-2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7" s="13">
        <f>[Div Base]*[Ações]</f>
        <v>0</v>
      </c>
      <c r="AL137" s="13">
        <f>SUMPRODUCT(N([Nome]=Tabela3[[#This Row],[Nome]]),[Div Base]*[Ações])</f>
        <v>0</v>
      </c>
      <c r="AM137" s="6">
        <f>[Patrimônio Líquido]/[Total Ações]</f>
        <v>1.782761610338041</v>
      </c>
      <c r="AN137" s="48">
        <f>MAX(Tabela3[[#This Row],[Cotação 1]:[Cotação 5]])</f>
        <v>1.54</v>
      </c>
      <c r="AO137" s="44">
        <f>[Cotação]/[VPA]</f>
        <v>0.86382833861224473</v>
      </c>
      <c r="AP137" s="40">
        <f>IF(Tabela3[[#This Row],[Lucro/Ação]]&gt;0,Tabela3[[#This Row],[Cotação]]/(Tabela3[[#This Row],[Lucro/Ação]]/[Ref]*4),0)</f>
        <v>0</v>
      </c>
      <c r="AQ137" s="77">
        <f>[Lucro Distribuir]/[Total Ações]</f>
        <v>0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7" s="14" t="str">
        <f>IF(AND([% A.A.]&gt;=5%,SUMPRODUCT(N([Nome]=Tabela3[[#This Row],[Nome]]),[PL])&gt;0,[Rentabilidade s/ PL]&gt;=[Rentabilidade s/ PL Média]),"Sim","Não")</f>
        <v>Não</v>
      </c>
      <c r="AT137" s="42">
        <f>IF([Cotação]&gt;0,Tabela3[[#This Row],[Lucro]]/Tabela3[[#This Row],[Cotação]],0)</f>
        <v>0</v>
      </c>
      <c r="AU137" s="42">
        <f>((1+Tabela3[[#This Row],[% Yield]])^(1/(3*Tabela3[[#This Row],[Ref]])))^(12)-1</f>
        <v>0</v>
      </c>
      <c r="AV137" s="14">
        <f>IF([Cotação]&gt;0,($BH$1/Tabela3[[#This Row],[Cotação]]-MOD($BH$1/Tabela3[[#This Row],[Cotação]],100)),)</f>
        <v>500</v>
      </c>
      <c r="AW137" s="17">
        <f>Tabela3[[#This Row],[Ativos]]*[Lucro]</f>
        <v>0</v>
      </c>
      <c r="AX137" s="17">
        <f>SUMPRODUCT(N(Tabela1[Código]=Tabela3[[#This Row],[PAPEL]]),Tabela1[Fechamento])</f>
        <v>0</v>
      </c>
      <c r="AY137" s="17">
        <f>SUMPRODUCT(N(Tabela17[Código]=Tabela3[[#This Row],[PAPEL]]),Tabela17[Fechamento])</f>
        <v>1.54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customHeight="1">
      <c r="A138" s="4" t="s">
        <v>559</v>
      </c>
      <c r="B138" s="57" t="s">
        <v>557</v>
      </c>
      <c r="C138" s="15" t="str">
        <f>LEFT([PAPEL],LEN([PAPEL])-(LEN([PAPEL])-4))</f>
        <v>IDNT</v>
      </c>
      <c r="D138" s="15">
        <v>3</v>
      </c>
      <c r="E138" s="6">
        <v>103029730.59999999</v>
      </c>
      <c r="F138" s="8">
        <v>122269681</v>
      </c>
      <c r="G138" s="85">
        <v>0.25</v>
      </c>
      <c r="H138" s="15"/>
      <c r="I138" s="19"/>
      <c r="J138" s="19"/>
      <c r="K138" s="87"/>
      <c r="L138" s="87"/>
      <c r="M138" s="55"/>
      <c r="N138" s="55"/>
      <c r="O138" s="55"/>
      <c r="P138" s="91">
        <v>151280000</v>
      </c>
      <c r="Q138" s="92">
        <v>349000</v>
      </c>
      <c r="R138" s="92">
        <f>IF(Tabela3[[#This Row],[Ativo || Passivo]]&gt;0,Tabela3[[#This Row],[Ativo || Passivo]]-Tabela3[[#This Row],[Patrimônio Líquido]],0)</f>
        <v>0</v>
      </c>
      <c r="S138" s="92">
        <f>Tabela3[[#This Row],[Cotação]]*Tabela3[[#This Row],[Total Ações]]</f>
        <v>189518005.55000001</v>
      </c>
      <c r="T138" s="40">
        <f>IF(Tabela3[[#This Row],[Passivo Circulante]]&gt;0,Tabela3[[#This Row],[Ativo Circulante]]/Tabela3[[#This Row],[Passivo Circulante]],0)</f>
        <v>0</v>
      </c>
      <c r="U13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8" s="19">
        <f>IF(Tabela3[[#This Row],[Lucro Líquido]]&gt;0,Tabela3[[#This Row],[Lucro Líquido]]/Tabela3[[#This Row],[Patrimônio Líquido]],0)/Tabela3[[#This Row],[Ref]]*4</f>
        <v>3.0759739115106648E-3</v>
      </c>
      <c r="W13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8" s="19">
        <f>IF(Tabela3[[#This Row],[Dívida]]&gt;0,Tabela3[[#This Row],[Dívida]]/Tabela3[[#This Row],[Patrimônio Líquido]],0)</f>
        <v>0</v>
      </c>
      <c r="Y138" s="19">
        <f>SUMPRODUCT(N([Dívida / PL]&gt;0),N(RIGHT([PAPEL],LEN([PAPEL])-(LEN([PAPEL])-1))="3"),[Dívida / PL])/SUMPRODUCT(N([Dívida / PL]&gt;0),N(RIGHT([PAPEL],LEN([PAPEL])-(LEN([PAPEL])-1))="3"))</f>
        <v>2.2435702141443779</v>
      </c>
      <c r="Z138" s="13">
        <f>Tabela3[[#This Row],[Capital Social]]*20%</f>
        <v>20605946.120000001</v>
      </c>
      <c r="AA138" s="13">
        <f>IF(([Lucro Líquido]*5%)&gt;[Teto R. Legal],[Teto R. Legal],[Lucro Líquido]*5%)</f>
        <v>17450</v>
      </c>
      <c r="AB138" s="13">
        <f>IF([Lucro Líquido]&lt;0,0,[Lucro Líquido]-[Reserva Legal])</f>
        <v>331550</v>
      </c>
      <c r="AC138" s="13">
        <f>Tabela3[[#This Row],[Lucro Distribuir]]*[%Div]</f>
        <v>82887.5</v>
      </c>
      <c r="AD138" s="56">
        <f>SUMPRODUCT(N([Nome]=Tabela3[[#This Row],[Nome]]),[Ações])</f>
        <v>122269681</v>
      </c>
      <c r="AE138" s="6">
        <f>[Capital Social]/[Total Ações]</f>
        <v>0.84264332545367482</v>
      </c>
      <c r="AF138" s="77">
        <f>Tabela3[[#This Row],[Lucro Líquido]]/Tabela3[[#This Row],[Total Ações]]</f>
        <v>2.8543462054178418E-3</v>
      </c>
      <c r="AG1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1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138" s="13">
        <f>[Div Base]*[Ações]</f>
        <v>82887.5</v>
      </c>
      <c r="AL138" s="13">
        <f>SUMPRODUCT(N([Nome]=Tabela3[[#This Row],[Nome]]),[Div Base]*[Ações])</f>
        <v>82887.5</v>
      </c>
      <c r="AM138" s="6">
        <f>[Patrimônio Líquido]/[Total Ações]</f>
        <v>1.2372650256607769</v>
      </c>
      <c r="AN138" s="48">
        <f>MAX(Tabela3[[#This Row],[Cotação 1]:[Cotação 5]])</f>
        <v>1.55</v>
      </c>
      <c r="AO138" s="44">
        <f>[Cotação]/[VPA]</f>
        <v>1.252763125</v>
      </c>
      <c r="AP138" s="40">
        <f>IF(Tabela3[[#This Row],[Lucro/Ação]]&gt;0,Tabela3[[#This Row],[Cotação]]/(Tabela3[[#This Row],[Lucro/Ação]]/[Ref]*4),0)</f>
        <v>407.27365089541547</v>
      </c>
      <c r="AQ138" s="77">
        <f>[Lucro Distribuir]/[Total Ações]</f>
        <v>2.7116288951469498E-3</v>
      </c>
      <c r="AR138" s="77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138" s="14" t="str">
        <f>IF(AND([% A.A.]&gt;=5%,SUMPRODUCT(N([Nome]=Tabela3[[#This Row],[Nome]]),[PL])&gt;0,[Rentabilidade s/ PL]&gt;=[Rentabilidade s/ PL Média]),"Sim","Não")</f>
        <v>Não</v>
      </c>
      <c r="AT138" s="42">
        <f>IF([Cotação]&gt;0,Tabela3[[#This Row],[Lucro]]/Tabela3[[#This Row],[Cotação]],0)</f>
        <v>4.3735949921724996E-4</v>
      </c>
      <c r="AU138" s="42">
        <f>((1+Tabela3[[#This Row],[% Yield]])^(1/(3*Tabela3[[#This Row],[Ref]])))^(12)-1</f>
        <v>5.8318850223249008E-4</v>
      </c>
      <c r="AV138" s="14">
        <f>IF([Cotação]&gt;0,($BH$1/Tabela3[[#This Row],[Cotação]]-MOD($BH$1/Tabela3[[#This Row],[Cotação]],100)),)</f>
        <v>500</v>
      </c>
      <c r="AW138" s="17">
        <f>Tabela3[[#This Row],[Ativos]]*[Lucro]</f>
        <v>0.33895361189336876</v>
      </c>
      <c r="AX138" s="17">
        <f>SUMPRODUCT(N(Tabela1[Código]=Tabela3[[#This Row],[PAPEL]]),Tabela1[Fechamento])</f>
        <v>0</v>
      </c>
      <c r="AY138" s="17">
        <f>SUMPRODUCT(N(Tabela17[Código]=Tabela3[[#This Row],[PAPEL]]),Tabela17[Fechamento])</f>
        <v>0</v>
      </c>
      <c r="AZ138" s="17">
        <f>SUMPRODUCT(N(Tabela176[Código]=Tabela3[[#This Row],[PAPEL]]),Tabela176[Fechamento])</f>
        <v>1.55</v>
      </c>
      <c r="BA138" s="1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customHeight="1">
      <c r="A139" s="4" t="s">
        <v>12</v>
      </c>
      <c r="B139" s="57" t="s">
        <v>98</v>
      </c>
      <c r="C139" s="14" t="str">
        <f>LEFT([PAPEL],LEN([PAPEL])-(LEN([PAPEL])-4))</f>
        <v>EEEL</v>
      </c>
      <c r="D139" s="15">
        <v>3</v>
      </c>
      <c r="E139" s="6">
        <v>588447186.05999994</v>
      </c>
      <c r="F139" s="8">
        <v>6560558</v>
      </c>
      <c r="G139" s="80">
        <v>0.5</v>
      </c>
      <c r="H139" s="15"/>
      <c r="I139" s="19">
        <v>0.1</v>
      </c>
      <c r="J139" s="19"/>
      <c r="K139" s="87"/>
      <c r="L139" s="87"/>
      <c r="M139" s="55"/>
      <c r="N139" s="55"/>
      <c r="O139" s="55"/>
      <c r="P139" s="88">
        <v>1791505000</v>
      </c>
      <c r="Q139" s="88">
        <v>-38094000</v>
      </c>
      <c r="R139" s="88">
        <f>IF(Tabela3[[#This Row],[Ativo || Passivo]]&gt;0,Tabela3[[#This Row],[Ativo || Passivo]]-Tabela3[[#This Row],[Patrimônio Líquido]],0)</f>
        <v>0</v>
      </c>
      <c r="S139" s="88">
        <f>Tabela3[[#This Row],[Cotação]]*Tabela3[[#This Row],[Total Ações]]</f>
        <v>607950829.96000004</v>
      </c>
      <c r="T139" s="121">
        <f>IF(Tabela3[[#This Row],[Passivo Circulante]]&gt;0,Tabela3[[#This Row],[Ativo Circulante]]/Tabela3[[#This Row],[Passivo Circulante]],0)</f>
        <v>0</v>
      </c>
      <c r="U13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39" s="19">
        <f>IF(Tabela3[[#This Row],[Lucro Líquido]]&gt;0,Tabela3[[#This Row],[Lucro Líquido]]/Tabela3[[#This Row],[Patrimônio Líquido]],0)/Tabela3[[#This Row],[Ref]]*4</f>
        <v>0</v>
      </c>
      <c r="W13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39" s="19">
        <f>IF(Tabela3[[#This Row],[Dívida]]&gt;0,Tabela3[[#This Row],[Dívida]]/Tabela3[[#This Row],[Patrimônio Líquido]],0)</f>
        <v>0</v>
      </c>
      <c r="Y139" s="19">
        <f>SUMPRODUCT(N([Dívida / PL]&gt;0),N(RIGHT([PAPEL],LEN([PAPEL])-(LEN([PAPEL])-1))="3"),[Dívida / PL])/SUMPRODUCT(N([Dívida / PL]&gt;0),N(RIGHT([PAPEL],LEN([PAPEL])-(LEN([PAPEL])-1))="3"))</f>
        <v>2.2435702141443779</v>
      </c>
      <c r="Z139" s="6">
        <f>Tabela3[[#This Row],[Capital Social]]*20%</f>
        <v>117689437.212</v>
      </c>
      <c r="AA139" s="6">
        <f>IF(([Lucro Líquido]*5%)&gt;[Teto R. Legal],[Teto R. Legal],[Lucro Líquido]*5%)</f>
        <v>-1904700</v>
      </c>
      <c r="AB139" s="88">
        <f>IF([Lucro Líquido]&lt;0,0,[Lucro Líquido]-[Reserva Legal])</f>
        <v>0</v>
      </c>
      <c r="AC139" s="88">
        <f>Tabela3[[#This Row],[Lucro Distribuir]]*[%Div]</f>
        <v>0</v>
      </c>
      <c r="AD139" s="21">
        <f>SUMPRODUCT(N([Nome]=Tabela3[[#This Row],[Nome]]),[Ações])</f>
        <v>387229828</v>
      </c>
      <c r="AE139" s="6">
        <f>[Capital Social]/[Total Ações]</f>
        <v>1.5196328988891836</v>
      </c>
      <c r="AF139" s="77">
        <f>Tabela3[[#This Row],[Lucro Líquido]]/Tabela3[[#This Row],[Total Ações]]</f>
        <v>-9.8375686079637439E-2</v>
      </c>
      <c r="AG1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6">
        <f>[Div Base]*[Ações]</f>
        <v>0</v>
      </c>
      <c r="AL139" s="6">
        <f>SUMPRODUCT(N([Nome]=Tabela3[[#This Row],[Nome]]),[Div Base]*[Ações])</f>
        <v>0</v>
      </c>
      <c r="AM139" s="6">
        <f>[Patrimônio Líquido]/[Total Ações]</f>
        <v>4.6264643642069849</v>
      </c>
      <c r="AN139" s="48">
        <f>MAX(Tabela3[[#This Row],[Cotação 1]:[Cotação 5]])</f>
        <v>1.57</v>
      </c>
      <c r="AO139" s="44">
        <f>[Cotação]/[VPA]</f>
        <v>0.33935201406638549</v>
      </c>
      <c r="AP139" s="40">
        <f>IF(Tabela3[[#This Row],[Lucro/Ação]]&gt;0,Tabela3[[#This Row],[Cotação]]/(Tabela3[[#This Row],[Lucro/Ação]]/[Ref]*4),0)</f>
        <v>0</v>
      </c>
      <c r="AQ139" s="77">
        <f>[Lucro Distribuir]/[Total Ações]</f>
        <v>0</v>
      </c>
      <c r="AR13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5" t="str">
        <f>IF(AND([% A.A.]&gt;=5%,SUMPRODUCT(N([Nome]=Tabela3[[#This Row],[Nome]]),[PL])&gt;0,[Rentabilidade s/ PL]&gt;=[Rentabilidade s/ PL Média]),"Sim","Não")</f>
        <v>Não</v>
      </c>
      <c r="AT139" s="42">
        <f>IF([Cotação]&gt;0,Tabela3[[#This Row],[Lucro]]/Tabela3[[#This Row],[Cotação]],0)</f>
        <v>0</v>
      </c>
      <c r="AU139" s="19">
        <f>((1+Tabela3[[#This Row],[% Yield]])^(1/(3*Tabela3[[#This Row],[Ref]])))^(12)-1</f>
        <v>0</v>
      </c>
      <c r="AV139" s="14">
        <f>IF([Cotação]&gt;0,($BH$1/Tabela3[[#This Row],[Cotação]]-MOD($BH$1/Tabela3[[#This Row],[Cotação]],100)),)</f>
        <v>400</v>
      </c>
      <c r="AW139" s="17">
        <f>Tabela3[[#This Row],[Ativos]]*[Lucro]</f>
        <v>0</v>
      </c>
      <c r="AX139" s="5">
        <f>SUMPRODUCT(N(Tabela1[Código]=Tabela3[[#This Row],[PAPEL]]),Tabela1[Fechamento])</f>
        <v>1.57</v>
      </c>
      <c r="AY139" s="5">
        <f>SUMPRODUCT(N(Tabela17[Código]=Tabela3[[#This Row],[PAPEL]]),Tabela17[Fechamento])</f>
        <v>0</v>
      </c>
      <c r="AZ139" s="7">
        <f>SUMPRODUCT(N(Tabela176[Código]=Tabela3[[#This Row],[PAPEL]]),Tabela176[Fechamento])</f>
        <v>0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customHeight="1">
      <c r="A140" s="4" t="s">
        <v>12</v>
      </c>
      <c r="B140" s="57" t="s">
        <v>478</v>
      </c>
      <c r="C140" s="15" t="str">
        <f>LEFT([PAPEL],LEN([PAPEL])-(LEN([PAPEL])-4))</f>
        <v>CEED</v>
      </c>
      <c r="D140" s="15">
        <v>3</v>
      </c>
      <c r="E140" s="6">
        <v>23702962.149999999</v>
      </c>
      <c r="F140" s="8">
        <v>6560558</v>
      </c>
      <c r="G140" s="85">
        <v>0.5</v>
      </c>
      <c r="H140" s="15"/>
      <c r="I140" s="19">
        <v>0.1</v>
      </c>
      <c r="J140" s="19"/>
      <c r="K140" s="87"/>
      <c r="L140" s="87"/>
      <c r="M140" s="55"/>
      <c r="N140" s="55"/>
      <c r="O140" s="55"/>
      <c r="P140" s="91">
        <v>435830000</v>
      </c>
      <c r="Q140" s="92">
        <v>-212063000</v>
      </c>
      <c r="R140" s="92">
        <f>IF(Tabela3[[#This Row],[Ativo || Passivo]]&gt;0,Tabela3[[#This Row],[Ativo || Passivo]]-Tabela3[[#This Row],[Patrimônio Líquido]],0)</f>
        <v>0</v>
      </c>
      <c r="S140" s="92">
        <f>Tabela3[[#This Row],[Cotação]]*Tabela3[[#This Row],[Total Ações]]</f>
        <v>615695426.51999998</v>
      </c>
      <c r="T140" s="40">
        <f>IF(Tabela3[[#This Row],[Passivo Circulante]]&gt;0,Tabela3[[#This Row],[Ativo Circulante]]/Tabela3[[#This Row],[Passivo Circulante]],0)</f>
        <v>0</v>
      </c>
      <c r="U14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0" s="19">
        <f>IF(Tabela3[[#This Row],[Lucro Líquido]]&gt;0,Tabela3[[#This Row],[Lucro Líquido]]/Tabela3[[#This Row],[Patrimônio Líquido]],0)/Tabela3[[#This Row],[Ref]]*4</f>
        <v>0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0" s="19">
        <f>IF(Tabela3[[#This Row],[Dívida]]&gt;0,Tabela3[[#This Row],[Dívida]]/Tabela3[[#This Row],[Patrimônio Líquido]],0)</f>
        <v>0</v>
      </c>
      <c r="Y140" s="19">
        <f>SUMPRODUCT(N([Dívida / PL]&gt;0),N(RIGHT([PAPEL],LEN([PAPEL])-(LEN([PAPEL])-1))="3"),[Dívida / PL])/SUMPRODUCT(N([Dívida / PL]&gt;0),N(RIGHT([PAPEL],LEN([PAPEL])-(LEN([PAPEL])-1))="3"))</f>
        <v>2.2435702141443779</v>
      </c>
      <c r="Z140" s="13">
        <f>Tabela3[[#This Row],[Capital Social]]*20%</f>
        <v>4740592.43</v>
      </c>
      <c r="AA140" s="13">
        <f>IF(([Lucro Líquido]*5%)&gt;[Teto R. Legal],[Teto R. Legal],[Lucro Líquido]*5%)</f>
        <v>-10603150</v>
      </c>
      <c r="AB140" s="13">
        <f>IF([Lucro Líquido]&lt;0,0,[Lucro Líquido]-[Reserva Legal])</f>
        <v>0</v>
      </c>
      <c r="AC140" s="13">
        <f>Tabela3[[#This Row],[Lucro Distribuir]]*[%Div]</f>
        <v>0</v>
      </c>
      <c r="AD140" s="56">
        <f>SUMPRODUCT(N([Nome]=Tabela3[[#This Row],[Nome]]),[Ações])</f>
        <v>387229828</v>
      </c>
      <c r="AE140" s="6">
        <f>[Capital Social]/[Total Ações]</f>
        <v>6.1211612422584341E-2</v>
      </c>
      <c r="AF140" s="77">
        <f>Tabela3[[#This Row],[Lucro Líquido]]/Tabela3[[#This Row],[Total Ações]]</f>
        <v>-0.54764118016239183</v>
      </c>
      <c r="AG1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0" s="13">
        <f>[Div Base]*[Ações]</f>
        <v>0</v>
      </c>
      <c r="AL140" s="13">
        <f>SUMPRODUCT(N([Nome]=Tabela3[[#This Row],[Nome]]),[Div Base]*[Ações])</f>
        <v>0</v>
      </c>
      <c r="AM140" s="6">
        <f>[Patrimônio Líquido]/[Total Ações]</f>
        <v>1.1255073046697219</v>
      </c>
      <c r="AN140" s="48">
        <f>MAX(Tabela3[[#This Row],[Cotação 1]:[Cotação 5]])</f>
        <v>1.59</v>
      </c>
      <c r="AO140" s="44">
        <f>[Cotação]/[VPA]</f>
        <v>1.4126962956198519</v>
      </c>
      <c r="AP140" s="40">
        <f>IF(Tabela3[[#This Row],[Lucro/Ação]]&gt;0,Tabela3[[#This Row],[Cotação]]/(Tabela3[[#This Row],[Lucro/Ação]]/[Ref]*4),0)</f>
        <v>0</v>
      </c>
      <c r="AQ140" s="77">
        <f>[Lucro Distribuir]/[Total Ações]</f>
        <v>0</v>
      </c>
      <c r="AR14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0" s="14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0</v>
      </c>
      <c r="AU140" s="42">
        <f>((1+Tabela3[[#This Row],[% Yield]])^(1/(3*Tabela3[[#This Row],[Ref]])))^(12)-1</f>
        <v>0</v>
      </c>
      <c r="AV140" s="14">
        <f>IF([Cotação]&gt;0,($BH$1/Tabela3[[#This Row],[Cotação]]-MOD($BH$1/Tabela3[[#This Row],[Cotação]],100)),)</f>
        <v>400</v>
      </c>
      <c r="AW140" s="17">
        <f>Tabela3[[#This Row],[Ativos]]*[Lucro]</f>
        <v>0</v>
      </c>
      <c r="AX140" s="17">
        <f>SUMPRODUCT(N(Tabela1[Código]=Tabela3[[#This Row],[PAPEL]]),Tabela1[Fechamento])</f>
        <v>0</v>
      </c>
      <c r="AY140" s="17">
        <f>SUMPRODUCT(N(Tabela17[Código]=Tabela3[[#This Row],[PAPEL]]),Tabela17[Fechamento])</f>
        <v>1.59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3" t="s">
        <v>876</v>
      </c>
      <c r="B141" s="58" t="s">
        <v>930</v>
      </c>
      <c r="C141" s="16" t="str">
        <f>LEFT([PAPEL],LEN([PAPEL])-(LEN([PAPEL])-4))</f>
        <v>CTKA</v>
      </c>
      <c r="D141" s="16">
        <v>3</v>
      </c>
      <c r="E141" s="5">
        <v>60000000</v>
      </c>
      <c r="F141" s="56">
        <v>6120851</v>
      </c>
      <c r="G141" s="80">
        <v>0.35</v>
      </c>
      <c r="H141" s="86"/>
      <c r="J141" s="18"/>
      <c r="K141" s="16"/>
      <c r="L141" s="86"/>
      <c r="M141" s="54"/>
      <c r="N141" s="54"/>
      <c r="O141" s="54"/>
      <c r="P141" s="90">
        <v>3518000</v>
      </c>
      <c r="Q141" s="73">
        <v>-32852000</v>
      </c>
      <c r="R141" s="73">
        <f>IF(Tabela3[[#This Row],[Ativo || Passivo]]&gt;0,Tabela3[[#This Row],[Ativo || Passivo]]-Tabela3[[#This Row],[Patrimônio Líquido]],0)</f>
        <v>0</v>
      </c>
      <c r="S141" s="73">
        <f>Tabela3[[#This Row],[Cotação]]*Tabela3[[#This Row],[Total Ações]]</f>
        <v>23626081.079999998</v>
      </c>
      <c r="T141" s="37">
        <f>IF(Tabela3[[#This Row],[Passivo Circulante]]&gt;0,Tabela3[[#This Row],[Ativo Circulante]]/Tabela3[[#This Row],[Passivo Circulante]],0)</f>
        <v>0</v>
      </c>
      <c r="U14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1" s="18">
        <f>IF(Tabela3[[#This Row],[Lucro Líquido]]&gt;0,Tabela3[[#This Row],[Lucro Líquido]]/Tabela3[[#This Row],[Patrimônio Líquido]],0)/Tabela3[[#This Row],[Ref]]*4</f>
        <v>0</v>
      </c>
      <c r="W1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1" s="18">
        <f>IF(Tabela3[[#This Row],[Dívida]]&gt;0,Tabela3[[#This Row],[Dívida]]/Tabela3[[#This Row],[Patrimônio Líquido]],0)</f>
        <v>0</v>
      </c>
      <c r="Y141" s="18">
        <f>SUMPRODUCT(N([Dívida / PL]&gt;0),N(RIGHT([PAPEL],LEN([PAPEL])-(LEN([PAPEL])-1))="3"),[Dívida / PL])/SUMPRODUCT(N([Dívida / PL]&gt;0),N(RIGHT([PAPEL],LEN([PAPEL])-(LEN([PAPEL])-1))="3"))</f>
        <v>2.2435702141443779</v>
      </c>
      <c r="Z141" s="7">
        <f>Tabela3[[#This Row],[Capital Social]]*20%</f>
        <v>12000000</v>
      </c>
      <c r="AA141" s="47">
        <f>IF(([Lucro Líquido]*5%)&gt;[Teto R. Legal],[Teto R. Legal],[Lucro Líquido]*5%)</f>
        <v>-1642600</v>
      </c>
      <c r="AB141" s="47">
        <f>IF([Lucro Líquido]&lt;0,0,[Lucro Líquido]-[Reserva Legal])</f>
        <v>0</v>
      </c>
      <c r="AC141" s="47">
        <f>Tabela3[[#This Row],[Lucro Distribuir]]*[%Div]</f>
        <v>0</v>
      </c>
      <c r="AD141" s="56">
        <f>SUMPRODUCT(N([Nome]=Tabela3[[#This Row],[Nome]]),[Ações])</f>
        <v>14406147</v>
      </c>
      <c r="AE141" s="84">
        <f>[Capital Social]/[Total Ações]</f>
        <v>4.1648887797688028</v>
      </c>
      <c r="AF141" s="84">
        <f>Tabela3[[#This Row],[Lucro Líquido]]/Tabela3[[#This Row],[Total Ações]]</f>
        <v>-2.2804154365494118</v>
      </c>
      <c r="AG1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1" s="7">
        <f>[Div Base]*[Ações]</f>
        <v>0</v>
      </c>
      <c r="AL141" s="7">
        <f>SUMPRODUCT(N([Nome]=Tabela3[[#This Row],[Nome]]),[Div Base]*[Ações])</f>
        <v>0</v>
      </c>
      <c r="AM141" s="5">
        <f>[Patrimônio Líquido]/[Total Ações]</f>
        <v>0.24420131212044413</v>
      </c>
      <c r="AN141" s="52">
        <f>MAX(Tabela3[[#This Row],[Cotação 1]:[Cotação 5]])</f>
        <v>1.64</v>
      </c>
      <c r="AO141" s="53">
        <f>[Cotação]/[VPA]</f>
        <v>6.715770631040364</v>
      </c>
      <c r="AP141" s="37">
        <f>IF(Tabela3[[#This Row],[Lucro/Ação]]&gt;0,Tabela3[[#This Row],[Cotação]]/(Tabela3[[#This Row],[Lucro/Ação]]/[Ref]*4),0)</f>
        <v>0</v>
      </c>
      <c r="AQ141" s="84">
        <f>[Lucro Distribuir]/[Total Ações]</f>
        <v>0</v>
      </c>
      <c r="AR14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1" s="10" t="str">
        <f>IF(AND([% A.A.]&gt;=5%,SUMPRODUCT(N([Nome]=Tabela3[[#This Row],[Nome]]),[PL])&gt;0,[Rentabilidade s/ PL]&gt;=[Rentabilidade s/ PL Média]),"Sim","Não")</f>
        <v>Não</v>
      </c>
      <c r="AT141" s="22">
        <f>IF([Cotação]&gt;0,Tabela3[[#This Row],[Lucro]]/Tabela3[[#This Row],[Cotação]],0)</f>
        <v>0</v>
      </c>
      <c r="AU141" s="22">
        <f>((1+Tabela3[[#This Row],[% Yield]])^(1/(3*Tabela3[[#This Row],[Ref]])))^(12)-1</f>
        <v>0</v>
      </c>
      <c r="AV141" s="10">
        <f>IF([Cotação]&gt;0,($BH$1/Tabela3[[#This Row],[Cotação]]-MOD($BH$1/Tabela3[[#This Row],[Cotação]],100)),)</f>
        <v>400</v>
      </c>
      <c r="AW141" s="7">
        <f>Tabela3[[#This Row],[Ativos]]*[Lucro]</f>
        <v>0</v>
      </c>
      <c r="AX141" s="7">
        <f>SUMPRODUCT(N(Tabela1[Código]=Tabela3[[#This Row],[PAPEL]]),Tabela1[Fechamento])</f>
        <v>0</v>
      </c>
      <c r="AY141" s="7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1.64</v>
      </c>
      <c r="BB141" s="7">
        <f>SUMPRODUCT(N(Tabela17683[Código]=Tabela3[[#This Row],[PAPEL]]),Tabela17683[Fechamento])</f>
        <v>0</v>
      </c>
    </row>
    <row r="142" spans="1:54">
      <c r="A142" s="4" t="s">
        <v>12</v>
      </c>
      <c r="B142" s="57" t="s">
        <v>487</v>
      </c>
      <c r="C142" s="15" t="str">
        <f>LEFT([PAPEL],LEN([PAPEL])-(LEN([PAPEL])-4))</f>
        <v>ENEV</v>
      </c>
      <c r="D142" s="15">
        <v>3</v>
      </c>
      <c r="E142" s="6">
        <v>3736568320.8499999</v>
      </c>
      <c r="F142" s="8">
        <v>578479962</v>
      </c>
      <c r="G142" s="80">
        <v>0.25</v>
      </c>
      <c r="H142" s="15"/>
      <c r="I142" s="19"/>
      <c r="J142" s="19"/>
      <c r="K142" s="87"/>
      <c r="L142" s="87"/>
      <c r="M142" s="55"/>
      <c r="N142" s="55"/>
      <c r="O142" s="55"/>
      <c r="P142" s="91">
        <v>2723103000</v>
      </c>
      <c r="Q142" s="92">
        <v>-662181000</v>
      </c>
      <c r="R142" s="92">
        <f>IF(Tabela3[[#This Row],[Ativo || Passivo]]&gt;0,Tabela3[[#This Row],[Ativo || Passivo]]-Tabela3[[#This Row],[Patrimônio Líquido]],0)</f>
        <v>0</v>
      </c>
      <c r="S142" s="92">
        <f>Tabela3[[#This Row],[Cotação]]*Tabela3[[#This Row],[Total Ações]]</f>
        <v>966061536.53999996</v>
      </c>
      <c r="T142" s="40">
        <f>IF(Tabela3[[#This Row],[Passivo Circulante]]&gt;0,Tabela3[[#This Row],[Ativo Circulante]]/Tabela3[[#This Row],[Passivo Circulante]],0)</f>
        <v>0</v>
      </c>
      <c r="U14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2" s="19">
        <f>IF(Tabela3[[#This Row],[Lucro Líquido]]&gt;0,Tabela3[[#This Row],[Lucro Líquido]]/Tabela3[[#This Row],[Patrimônio Líquido]],0)/Tabela3[[#This Row],[Ref]]*4</f>
        <v>0</v>
      </c>
      <c r="W1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2" s="19">
        <f>IF(Tabela3[[#This Row],[Dívida]]&gt;0,Tabela3[[#This Row],[Dívida]]/Tabela3[[#This Row],[Patrimônio Líquido]],0)</f>
        <v>0</v>
      </c>
      <c r="Y142" s="19">
        <f>SUMPRODUCT(N([Dívida / PL]&gt;0),N(RIGHT([PAPEL],LEN([PAPEL])-(LEN([PAPEL])-1))="3"),[Dívida / PL])/SUMPRODUCT(N([Dívida / PL]&gt;0),N(RIGHT([PAPEL],LEN([PAPEL])-(LEN([PAPEL])-1))="3"))</f>
        <v>2.2435702141443779</v>
      </c>
      <c r="Z142" s="13">
        <f>Tabela3[[#This Row],[Capital Social]]*20%</f>
        <v>747313664.17000008</v>
      </c>
      <c r="AA142" s="13">
        <f>IF(([Lucro Líquido]*5%)&gt;[Teto R. Legal],[Teto R. Legal],[Lucro Líquido]*5%)</f>
        <v>-33109050</v>
      </c>
      <c r="AB142" s="13">
        <f>IF([Lucro Líquido]&lt;0,0,[Lucro Líquido]-[Reserva Legal])</f>
        <v>0</v>
      </c>
      <c r="AC142" s="13">
        <f>Tabela3[[#This Row],[Lucro Distribuir]]*[%Div]</f>
        <v>0</v>
      </c>
      <c r="AD142" s="56">
        <f>SUMPRODUCT(N([Nome]=Tabela3[[#This Row],[Nome]]),[Ações])</f>
        <v>578479962</v>
      </c>
      <c r="AE142" s="6">
        <f>[Capital Social]/[Total Ações]</f>
        <v>6.4592873847028773</v>
      </c>
      <c r="AF142" s="77">
        <f>Tabela3[[#This Row],[Lucro Líquido]]/Tabela3[[#This Row],[Total Ações]]</f>
        <v>-1.1446913350474879</v>
      </c>
      <c r="AG1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2" s="13">
        <f>[Div Base]*[Ações]</f>
        <v>0</v>
      </c>
      <c r="AL142" s="13">
        <f>SUMPRODUCT(N([Nome]=Tabela3[[#This Row],[Nome]]),[Div Base]*[Ações])</f>
        <v>0</v>
      </c>
      <c r="AM142" s="6">
        <f>[Patrimônio Líquido]/[Total Ações]</f>
        <v>4.707341963212202</v>
      </c>
      <c r="AN142" s="48">
        <f>MAX(Tabela3[[#This Row],[Cotação 1]:[Cotação 5]])</f>
        <v>1.67</v>
      </c>
      <c r="AO142" s="44">
        <f>[Cotação]/[VPA]</f>
        <v>0.35476496355077275</v>
      </c>
      <c r="AP142" s="40">
        <f>IF(Tabela3[[#This Row],[Lucro/Ação]]&gt;0,Tabela3[[#This Row],[Cotação]]/(Tabela3[[#This Row],[Lucro/Ação]]/[Ref]*4),0)</f>
        <v>0</v>
      </c>
      <c r="AQ142" s="77">
        <f>[Lucro Distribuir]/[Total Ações]</f>
        <v>0</v>
      </c>
      <c r="AR14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2" s="14" t="str">
        <f>IF(AND([% A.A.]&gt;=5%,SUMPRODUCT(N([Nome]=Tabela3[[#This Row],[Nome]]),[PL])&gt;0,[Rentabilidade s/ PL]&gt;=[Rentabilidade s/ PL Média]),"Sim","Não")</f>
        <v>Não</v>
      </c>
      <c r="AT142" s="42">
        <f>IF([Cotação]&gt;0,Tabela3[[#This Row],[Lucro]]/Tabela3[[#This Row],[Cotação]],0)</f>
        <v>0</v>
      </c>
      <c r="AU142" s="42">
        <f>((1+Tabela3[[#This Row],[% Yield]])^(1/(3*Tabela3[[#This Row],[Ref]])))^(12)-1</f>
        <v>0</v>
      </c>
      <c r="AV142" s="14">
        <f>IF([Cotação]&gt;0,($BH$1/Tabela3[[#This Row],[Cotação]]-MOD($BH$1/Tabela3[[#This Row],[Cotação]],100)),)</f>
        <v>400</v>
      </c>
      <c r="AW142" s="17">
        <f>Tabela3[[#This Row],[Ativos]]*[Lucro]</f>
        <v>0</v>
      </c>
      <c r="AX142" s="17">
        <f>SUMPRODUCT(N(Tabela1[Código]=Tabela3[[#This Row],[PAPEL]]),Tabela1[Fechamento])</f>
        <v>0</v>
      </c>
      <c r="AY142" s="17">
        <f>SUMPRODUCT(N(Tabela17[Código]=Tabela3[[#This Row],[PAPEL]]),Tabela17[Fechamento])</f>
        <v>1.67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3" t="s">
        <v>1185</v>
      </c>
      <c r="B143" s="58" t="s">
        <v>1186</v>
      </c>
      <c r="C143" s="16" t="str">
        <f>LEFT([PAPEL],LEN([PAPEL])-(LEN([PAPEL])-4))</f>
        <v>FRIO</v>
      </c>
      <c r="D143" s="16">
        <v>3</v>
      </c>
      <c r="E143" s="5">
        <v>239988057.16999999</v>
      </c>
      <c r="F143" s="56">
        <v>41439330</v>
      </c>
      <c r="G143" s="80">
        <v>0.25</v>
      </c>
      <c r="H143" s="86"/>
      <c r="J143" s="18"/>
      <c r="K143" s="16"/>
      <c r="L143" s="86"/>
      <c r="M143" s="54"/>
      <c r="N143" s="54"/>
      <c r="O143" s="54"/>
      <c r="P143" s="90">
        <v>253972000</v>
      </c>
      <c r="Q143" s="73">
        <v>-9691000</v>
      </c>
      <c r="R143" s="73">
        <f>IF(Tabela3[[#This Row],[Ativo || Passivo]]&gt;0,Tabela3[[#This Row],[Ativo || Passivo]]-Tabela3[[#This Row],[Patrimônio Líquido]],0)</f>
        <v>0</v>
      </c>
      <c r="S143" s="73">
        <f>Tabela3[[#This Row],[Cotação]]*Tabela3[[#This Row],[Total Ações]]</f>
        <v>72518827.5</v>
      </c>
      <c r="T143" s="37">
        <f>IF(Tabela3[[#This Row],[Passivo Circulante]]&gt;0,Tabela3[[#This Row],[Ativo Circulante]]/Tabela3[[#This Row],[Passivo Circulante]],0)</f>
        <v>0</v>
      </c>
      <c r="U14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3" s="18">
        <f>IF(Tabela3[[#This Row],[Lucro Líquido]]&gt;0,Tabela3[[#This Row],[Lucro Líquido]]/Tabela3[[#This Row],[Patrimônio Líquido]],0)/Tabela3[[#This Row],[Ref]]*4</f>
        <v>0</v>
      </c>
      <c r="W14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3" s="18">
        <f>IF(Tabela3[[#This Row],[Dívida]]&gt;0,Tabela3[[#This Row],[Dívida]]/Tabela3[[#This Row],[Patrimônio Líquido]],0)</f>
        <v>0</v>
      </c>
      <c r="Y143" s="18">
        <f>SUMPRODUCT(N([Dívida / PL]&gt;0),N(RIGHT([PAPEL],LEN([PAPEL])-(LEN([PAPEL])-1))="3"),[Dívida / PL])/SUMPRODUCT(N([Dívida / PL]&gt;0),N(RIGHT([PAPEL],LEN([PAPEL])-(LEN([PAPEL])-1))="3"))</f>
        <v>2.2435702141443779</v>
      </c>
      <c r="Z143" s="7">
        <f>Tabela3[[#This Row],[Capital Social]]*20%</f>
        <v>47997611.434</v>
      </c>
      <c r="AA143" s="47">
        <f>IF(([Lucro Líquido]*5%)&gt;[Teto R. Legal],[Teto R. Legal],[Lucro Líquido]*5%)</f>
        <v>-484550</v>
      </c>
      <c r="AB143" s="47">
        <f>IF([Lucro Líquido]&lt;0,0,[Lucro Líquido]-[Reserva Legal])</f>
        <v>0</v>
      </c>
      <c r="AC143" s="47">
        <f>Tabela3[[#This Row],[Lucro Distribuir]]*[%Div]</f>
        <v>0</v>
      </c>
      <c r="AD143" s="56">
        <f>SUMPRODUCT(N([Nome]=Tabela3[[#This Row],[Nome]]),[Ações])</f>
        <v>41439330</v>
      </c>
      <c r="AE143" s="84">
        <f>[Capital Social]/[Total Ações]</f>
        <v>5.7913112294527922</v>
      </c>
      <c r="AF143" s="84">
        <f>Tabela3[[#This Row],[Lucro Líquido]]/Tabela3[[#This Row],[Total Ações]]</f>
        <v>-0.23385995864315373</v>
      </c>
      <c r="AG14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3" s="7">
        <f>[Div Base]*[Ações]</f>
        <v>0</v>
      </c>
      <c r="AL143" s="113">
        <f>SUMPRODUCT(N([Nome]=Tabela3[[#This Row],[Nome]]),[Div Base]*[Ações])</f>
        <v>0</v>
      </c>
      <c r="AM143" s="5">
        <f>[Patrimônio Líquido]/[Total Ações]</f>
        <v>6.1287670432895514</v>
      </c>
      <c r="AN143" s="52">
        <f>MAX(Tabela3[[#This Row],[Cotação 1]:[Cotação 5]])</f>
        <v>1.75</v>
      </c>
      <c r="AO143" s="53">
        <f>[Cotação]/[VPA]</f>
        <v>0.28553867158584412</v>
      </c>
      <c r="AP143" s="37">
        <f>IF(Tabela3[[#This Row],[Lucro/Ação]]&gt;0,Tabela3[[#This Row],[Cotação]]/(Tabela3[[#This Row],[Lucro/Ação]]/[Ref]*4),0)</f>
        <v>0</v>
      </c>
      <c r="AQ143" s="84">
        <f>[Lucro Distribuir]/[Total Ações]</f>
        <v>0</v>
      </c>
      <c r="AR14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3" s="10" t="str">
        <f>IF(AND([% A.A.]&gt;=5%,SUMPRODUCT(N([Nome]=Tabela3[[#This Row],[Nome]]),[PL])&gt;0,[Rentabilidade s/ PL]&gt;=[Rentabilidade s/ PL Média]),"Sim","Não")</f>
        <v>Não</v>
      </c>
      <c r="AT143" s="22">
        <f>IF([Cotação]&gt;0,Tabela3[[#This Row],[Lucro]]/Tabela3[[#This Row],[Cotação]],0)</f>
        <v>0</v>
      </c>
      <c r="AU143" s="22">
        <f>((1+Tabela3[[#This Row],[% Yield]])^(1/(3*Tabela3[[#This Row],[Ref]])))^(12)-1</f>
        <v>0</v>
      </c>
      <c r="AV143" s="10">
        <f>IF([Cotação]&gt;0,($BH$1/Tabela3[[#This Row],[Cotação]]-MOD($BH$1/Tabela3[[#This Row],[Cotação]],100)),)</f>
        <v>400</v>
      </c>
      <c r="AW143" s="7">
        <f>Tabela3[[#This Row],[Ativos]]*[Lucro]</f>
        <v>0</v>
      </c>
      <c r="AX143" s="7">
        <f>SUMPRODUCT(N(Tabela1[Código]=Tabela3[[#This Row],[PAPEL]]),Tabela1[Fechamento])</f>
        <v>0</v>
      </c>
      <c r="AY143" s="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1.75</v>
      </c>
    </row>
    <row r="144" spans="1:54" ht="11.25" customHeight="1">
      <c r="A144" s="4" t="s">
        <v>250</v>
      </c>
      <c r="B144" s="57" t="s">
        <v>78</v>
      </c>
      <c r="C144" s="15" t="str">
        <f>LEFT([PAPEL],LEN([PAPEL])-(LEN([PAPEL])-4))</f>
        <v>TERI</v>
      </c>
      <c r="D144" s="15">
        <v>4</v>
      </c>
      <c r="E144" s="6">
        <v>2807005993.8800001</v>
      </c>
      <c r="F144" s="38">
        <v>817720079</v>
      </c>
      <c r="G144" s="80">
        <v>0.25</v>
      </c>
      <c r="H144" s="15"/>
      <c r="I144" s="19"/>
      <c r="J144" s="19"/>
      <c r="K144" s="87"/>
      <c r="L144" s="87"/>
      <c r="M144" s="55"/>
      <c r="N144" s="55"/>
      <c r="O144" s="55"/>
      <c r="P144" s="6">
        <v>3779000000</v>
      </c>
      <c r="Q144" s="6">
        <v>41000000</v>
      </c>
      <c r="R144" s="6">
        <f>IF(Tabela3[[#This Row],[Ativo || Passivo]]&gt;0,Tabela3[[#This Row],[Ativo || Passivo]]-Tabela3[[#This Row],[Patrimônio Líquido]],0)</f>
        <v>0</v>
      </c>
      <c r="S144" s="6">
        <f>Tabela3[[#This Row],[Cotação]]*Tabela3[[#This Row],[Total Ações]]</f>
        <v>1439187339.04</v>
      </c>
      <c r="T144" s="121">
        <f>IF(Tabela3[[#This Row],[Passivo Circulante]]&gt;0,Tabela3[[#This Row],[Ativo Circulante]]/Tabela3[[#This Row],[Passivo Circulante]],0)</f>
        <v>0</v>
      </c>
      <c r="U14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4" s="19">
        <f>IF(Tabela3[[#This Row],[Lucro Líquido]]&gt;0,Tabela3[[#This Row],[Lucro Líquido]]/Tabela3[[#This Row],[Patrimônio Líquido]],0)/Tabela3[[#This Row],[Ref]]*4</f>
        <v>1.0849431066419687E-2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2.2435702141443779</v>
      </c>
      <c r="Z144" s="6">
        <f>Tabela3[[#This Row],[Capital Social]]*20%</f>
        <v>561401198.77600002</v>
      </c>
      <c r="AA144" s="6">
        <f>IF(([Lucro Líquido]*5%)&gt;[Teto R. Legal],[Teto R. Legal],[Lucro Líquido]*5%)</f>
        <v>2050000</v>
      </c>
      <c r="AB144" s="6">
        <f>IF([Lucro Líquido]&lt;0,0,[Lucro Líquido]-[Reserva Legal])</f>
        <v>38950000</v>
      </c>
      <c r="AC144" s="6">
        <f>Tabela3[[#This Row],[Lucro Distribuir]]*[%Div]</f>
        <v>9737500</v>
      </c>
      <c r="AD144" s="56">
        <f>SUMPRODUCT(N([Nome]=Tabela3[[#This Row],[Nome]]),[Ações])</f>
        <v>817720079</v>
      </c>
      <c r="AE144" s="6">
        <f>[Capital Social]/[Total Ações]</f>
        <v>3.4327223532443063</v>
      </c>
      <c r="AF144" s="77">
        <f>Tabela3[[#This Row],[Lucro Líquido]]/Tabela3[[#This Row],[Total Ações]]</f>
        <v>5.0139407179703117E-2</v>
      </c>
      <c r="AG1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144" s="6">
        <f>[Div Base]*[Ações]</f>
        <v>9737500</v>
      </c>
      <c r="AL144" s="6">
        <f>SUMPRODUCT(N([Nome]=Tabela3[[#This Row],[Nome]]),[Div Base]*[Ações])</f>
        <v>9737500</v>
      </c>
      <c r="AM144" s="6">
        <f>[Patrimônio Líquido]/[Total Ações]</f>
        <v>4.6213858471243432</v>
      </c>
      <c r="AN144" s="48">
        <f>MAX(Tabela3[[#This Row],[Cotação 1]:[Cotação 5]])</f>
        <v>1.76</v>
      </c>
      <c r="AO144" s="44">
        <f>[Cotação]/[VPA]</f>
        <v>0.38083814211166978</v>
      </c>
      <c r="AP144" s="40">
        <f>IF(Tabela3[[#This Row],[Lucro/Ação]]&gt;0,Tabela3[[#This Row],[Cotação]]/(Tabela3[[#This Row],[Lucro/Ação]]/[Ref]*4),0)</f>
        <v>35.102130220487808</v>
      </c>
      <c r="AQ144" s="77">
        <f>[Lucro Distribuir]/[Total Ações]</f>
        <v>4.7632436820717959E-2</v>
      </c>
      <c r="AR144" s="77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6.7659711393065281E-3</v>
      </c>
      <c r="AU144" s="19">
        <f>((1+Tabela3[[#This Row],[% Yield]])^(1/(3*Tabela3[[#This Row],[Ref]])))^(12)-1</f>
        <v>6.765971139306215E-3</v>
      </c>
      <c r="AV144" s="14">
        <f>IF([Cotação]&gt;0,($BH$1/Tabela3[[#This Row],[Cotação]]-MOD($BH$1/Tabela3[[#This Row],[Cotação]],100)),)</f>
        <v>400</v>
      </c>
      <c r="AW144" s="17">
        <f>Tabela3[[#This Row],[Ativos]]*[Lucro]</f>
        <v>4.7632436820717956</v>
      </c>
      <c r="AX144" s="13">
        <f>SUMPRODUCT(N(Tabela1[Código]=Tabela3[[#This Row],[PAPEL]]),Tabela1[Fechamento])</f>
        <v>0</v>
      </c>
      <c r="AY144" s="13">
        <f>SUMPRODUCT(N(Tabela17[Código]=Tabela3[[#This Row],[PAPEL]]),Tabela17[Fechamento])</f>
        <v>1.76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customHeight="1">
      <c r="A145" s="4" t="s">
        <v>283</v>
      </c>
      <c r="B145" s="57" t="s">
        <v>518</v>
      </c>
      <c r="C145" s="15" t="str">
        <f>LEFT([PAPEL],LEN([PAPEL])-(LEN([PAPEL])-4))</f>
        <v>MLFT</v>
      </c>
      <c r="D145" s="15">
        <v>3</v>
      </c>
      <c r="E145" s="6">
        <v>784003710.15999997</v>
      </c>
      <c r="F145" s="8">
        <v>385822906</v>
      </c>
      <c r="G145" s="85">
        <v>0.25</v>
      </c>
      <c r="H145" s="19"/>
      <c r="I145" s="19"/>
      <c r="J145" s="19"/>
      <c r="K145" s="87"/>
      <c r="L145" s="87"/>
      <c r="M145" s="55"/>
      <c r="N145" s="55"/>
      <c r="O145" s="55"/>
      <c r="P145" s="91">
        <v>1718473000</v>
      </c>
      <c r="Q145" s="92">
        <v>-19305000</v>
      </c>
      <c r="R145" s="92">
        <f>IF(Tabela3[[#This Row],[Ativo || Passivo]]&gt;0,Tabela3[[#This Row],[Ativo || Passivo]]-Tabela3[[#This Row],[Patrimônio Líquido]],0)</f>
        <v>0</v>
      </c>
      <c r="S145" s="92">
        <f>Tabela3[[#This Row],[Cotação]]*Tabela3[[#This Row],[Total Ações]]</f>
        <v>1802565464.3700001</v>
      </c>
      <c r="T145" s="40">
        <f>IF(Tabela3[[#This Row],[Passivo Circulante]]&gt;0,Tabela3[[#This Row],[Ativo Circulante]]/Tabela3[[#This Row],[Passivo Circulante]],0)</f>
        <v>0</v>
      </c>
      <c r="U14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5" s="19">
        <f>IF(Tabela3[[#This Row],[Lucro Líquido]]&gt;0,Tabela3[[#This Row],[Lucro Líquido]]/Tabela3[[#This Row],[Patrimônio Líquido]],0)/Tabela3[[#This Row],[Ref]]*4</f>
        <v>0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2.2435702141443779</v>
      </c>
      <c r="Z145" s="13">
        <f>Tabela3[[#This Row],[Capital Social]]*20%</f>
        <v>156800742.03200001</v>
      </c>
      <c r="AA145" s="13">
        <f>IF(([Lucro Líquido]*5%)&gt;[Teto R. Legal],[Teto R. Legal],[Lucro Líquido]*5%)</f>
        <v>-965250</v>
      </c>
      <c r="AB145" s="13">
        <f>IF([Lucro Líquido]&lt;0,0,[Lucro Líquido]-[Reserva Legal])</f>
        <v>0</v>
      </c>
      <c r="AC145" s="13">
        <f>Tabela3[[#This Row],[Lucro Distribuir]]*[%Div]</f>
        <v>0</v>
      </c>
      <c r="AD145" s="56">
        <f>SUMPRODUCT(N([Nome]=Tabela3[[#This Row],[Nome]]),[Ações])</f>
        <v>963938751</v>
      </c>
      <c r="AE145" s="6">
        <f>[Capital Social]/[Total Ações]</f>
        <v>0.81333353322155211</v>
      </c>
      <c r="AF145" s="77">
        <f>Tabela3[[#This Row],[Lucro Líquido]]/Tabela3[[#This Row],[Total Ações]]</f>
        <v>-2.0027206064672464E-2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5" s="13">
        <f>[Div Base]*[Ações]</f>
        <v>0</v>
      </c>
      <c r="AL145" s="13">
        <f>SUMPRODUCT(N([Nome]=Tabela3[[#This Row],[Nome]]),[Div Base]*[Ações])</f>
        <v>0</v>
      </c>
      <c r="AM145" s="6">
        <f>[Patrimônio Líquido]/[Total Ações]</f>
        <v>1.782761610338041</v>
      </c>
      <c r="AN145" s="48">
        <f>MAX(Tabela3[[#This Row],[Cotação 1]:[Cotação 5]])</f>
        <v>1.87</v>
      </c>
      <c r="AO145" s="44">
        <f>[Cotação]/[VPA]</f>
        <v>1.0489344111720116</v>
      </c>
      <c r="AP145" s="40">
        <f>IF(Tabela3[[#This Row],[Lucro/Ação]]&gt;0,Tabela3[[#This Row],[Cotação]]/(Tabela3[[#This Row],[Lucro/Ação]]/[Ref]*4),0)</f>
        <v>0</v>
      </c>
      <c r="AQ145" s="77">
        <f>[Lucro Distribuir]/[Total Ações]</f>
        <v>0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5" s="14" t="str">
        <f>IF(AND([% A.A.]&gt;=5%,SUMPRODUCT(N([Nome]=Tabela3[[#This Row],[Nome]]),[PL])&gt;0,[Rentabilidade s/ PL]&gt;=[Rentabilidade s/ PL Média]),"Sim","Não")</f>
        <v>Não</v>
      </c>
      <c r="AT145" s="42">
        <f>IF([Cotação]&gt;0,Tabela3[[#This Row],[Lucro]]/Tabela3[[#This Row],[Cotação]],0)</f>
        <v>0</v>
      </c>
      <c r="AU145" s="42">
        <f>((1+Tabela3[[#This Row],[% Yield]])^(1/(3*Tabela3[[#This Row],[Ref]])))^(12)-1</f>
        <v>0</v>
      </c>
      <c r="AV145" s="14">
        <f>IF([Cotação]&gt;0,($BH$1/Tabela3[[#This Row],[Cotação]]-MOD($BH$1/Tabela3[[#This Row],[Cotação]],100)),)</f>
        <v>400</v>
      </c>
      <c r="AW145" s="17">
        <f>Tabela3[[#This Row],[Ativos]]*[Lucro]</f>
        <v>0</v>
      </c>
      <c r="AX145" s="17">
        <f>SUMPRODUCT(N(Tabela1[Código]=Tabela3[[#This Row],[PAPEL]]),Tabela1[Fechamento])</f>
        <v>0</v>
      </c>
      <c r="AY145" s="17">
        <f>SUMPRODUCT(N(Tabela17[Código]=Tabela3[[#This Row],[PAPEL]]),Tabela17[Fechamento])</f>
        <v>1.87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customHeight="1">
      <c r="A146" s="3" t="s">
        <v>1188</v>
      </c>
      <c r="B146" s="58" t="s">
        <v>1189</v>
      </c>
      <c r="C146" s="16" t="str">
        <f>LEFT([PAPEL],LEN([PAPEL])-(LEN([PAPEL])-4))</f>
        <v>FJTA</v>
      </c>
      <c r="D146" s="16">
        <v>3</v>
      </c>
      <c r="E146" s="5">
        <v>257797469.78999999</v>
      </c>
      <c r="F146" s="56">
        <v>47137539</v>
      </c>
      <c r="G146" s="80">
        <v>0.35</v>
      </c>
      <c r="H146" s="86"/>
      <c r="J146" s="18"/>
      <c r="K146" s="16"/>
      <c r="L146" s="86"/>
      <c r="M146" s="54"/>
      <c r="N146" s="54"/>
      <c r="O146" s="54"/>
      <c r="P146" s="90">
        <v>291810000</v>
      </c>
      <c r="Q146" s="73">
        <v>-84282000</v>
      </c>
      <c r="R146" s="73">
        <f>IF(Tabela3[[#This Row],[Ativo || Passivo]]&gt;0,Tabela3[[#This Row],[Ativo || Passivo]]-Tabela3[[#This Row],[Patrimônio Líquido]],0)</f>
        <v>0</v>
      </c>
      <c r="S146" s="73">
        <f>Tabela3[[#This Row],[Cotação]]*Tabela3[[#This Row],[Total Ações]]</f>
        <v>272926350.81</v>
      </c>
      <c r="T146" s="37">
        <f>IF(Tabela3[[#This Row],[Passivo Circulante]]&gt;0,Tabela3[[#This Row],[Ativo Circulante]]/Tabela3[[#This Row],[Passivo Circulante]],0)</f>
        <v>0</v>
      </c>
      <c r="U14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6" s="18">
        <f>IF(Tabela3[[#This Row],[Lucro Líquido]]&gt;0,Tabela3[[#This Row],[Lucro Líquido]]/Tabela3[[#This Row],[Patrimônio Líquido]],0)/Tabela3[[#This Row],[Ref]]*4</f>
        <v>0</v>
      </c>
      <c r="W1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6" s="18">
        <f>IF(Tabela3[[#This Row],[Dívida]]&gt;0,Tabela3[[#This Row],[Dívida]]/Tabela3[[#This Row],[Patrimônio Líquido]],0)</f>
        <v>0</v>
      </c>
      <c r="Y146" s="18">
        <f>SUMPRODUCT(N([Dívida / PL]&gt;0),N(RIGHT([PAPEL],LEN([PAPEL])-(LEN([PAPEL])-1))="3"),[Dívida / PL])/SUMPRODUCT(N([Dívida / PL]&gt;0),N(RIGHT([PAPEL],LEN([PAPEL])-(LEN([PAPEL])-1))="3"))</f>
        <v>2.2435702141443779</v>
      </c>
      <c r="Z146" s="7">
        <f>Tabela3[[#This Row],[Capital Social]]*20%</f>
        <v>51559493.958000004</v>
      </c>
      <c r="AA146" s="47">
        <f>IF(([Lucro Líquido]*5%)&gt;[Teto R. Legal],[Teto R. Legal],[Lucro Líquido]*5%)</f>
        <v>-4214100</v>
      </c>
      <c r="AB146" s="47">
        <f>IF([Lucro Líquido]&lt;0,0,[Lucro Líquido]-[Reserva Legal])</f>
        <v>0</v>
      </c>
      <c r="AC146" s="47">
        <f>Tabela3[[#This Row],[Lucro Distribuir]]*[%Div]</f>
        <v>0</v>
      </c>
      <c r="AD146" s="56">
        <f>SUMPRODUCT(N([Nome]=Tabela3[[#This Row],[Nome]]),[Ações])</f>
        <v>141412617</v>
      </c>
      <c r="AE146" s="84">
        <f>[Capital Social]/[Total Ações]</f>
        <v>1.8230160452373214</v>
      </c>
      <c r="AF146" s="84">
        <f>Tabela3[[#This Row],[Lucro Líquido]]/Tabela3[[#This Row],[Total Ações]]</f>
        <v>-0.59600056761554732</v>
      </c>
      <c r="AG1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6" s="7">
        <f>[Div Base]*[Ações]</f>
        <v>0</v>
      </c>
      <c r="AL146" s="113">
        <f>SUMPRODUCT(N([Nome]=Tabela3[[#This Row],[Nome]]),[Div Base]*[Ações])</f>
        <v>0</v>
      </c>
      <c r="AM146" s="5">
        <f>[Patrimônio Líquido]/[Total Ações]</f>
        <v>2.0635358159024806</v>
      </c>
      <c r="AN146" s="52">
        <f>MAX(Tabela3[[#This Row],[Cotação 1]:[Cotação 5]])</f>
        <v>1.93</v>
      </c>
      <c r="AO146" s="53">
        <f>[Cotação]/[VPA]</f>
        <v>0.93528786131386854</v>
      </c>
      <c r="AP146" s="37">
        <f>IF(Tabela3[[#This Row],[Lucro/Ação]]&gt;0,Tabela3[[#This Row],[Cotação]]/(Tabela3[[#This Row],[Lucro/Ação]]/[Ref]*4),0)</f>
        <v>0</v>
      </c>
      <c r="AQ146" s="84">
        <f>[Lucro Distribuir]/[Total Ações]</f>
        <v>0</v>
      </c>
      <c r="AR14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0</v>
      </c>
      <c r="AU146" s="22">
        <f>((1+Tabela3[[#This Row],[% Yield]])^(1/(3*Tabela3[[#This Row],[Ref]])))^(12)-1</f>
        <v>0</v>
      </c>
      <c r="AV146" s="10">
        <f>IF([Cotação]&gt;0,($BH$1/Tabela3[[#This Row],[Cotação]]-MOD($BH$1/Tabela3[[#This Row],[Cotação]],100)),)</f>
        <v>400</v>
      </c>
      <c r="AW146" s="7">
        <f>Tabela3[[#This Row],[Ativos]]*[Lucro]</f>
        <v>0</v>
      </c>
      <c r="AX146" s="7">
        <f>SUMPRODUCT(N(Tabela1[Código]=Tabela3[[#This Row],[PAPEL]]),Tabela1[Fechamento])</f>
        <v>0</v>
      </c>
      <c r="AY146" s="7">
        <f>SUMPRODUCT(N(Tabela17[Código]=Tabela3[[#This Row],[PAPEL]]),Tabela17[Fechamento])</f>
        <v>0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1.93</v>
      </c>
    </row>
    <row r="147" spans="1:54" ht="11.25" customHeight="1">
      <c r="A147" s="4" t="s">
        <v>12</v>
      </c>
      <c r="B147" s="57" t="s">
        <v>64</v>
      </c>
      <c r="C147" s="14" t="str">
        <f>LEFT([PAPEL],LEN([PAPEL])-(LEN([PAPEL])-4))</f>
        <v>ENGI</v>
      </c>
      <c r="D147" s="15">
        <v>3</v>
      </c>
      <c r="E147" s="6">
        <v>1010000001.6</v>
      </c>
      <c r="F147" s="8">
        <v>652976492</v>
      </c>
      <c r="G147" s="85">
        <v>0.25</v>
      </c>
      <c r="H147" s="15"/>
      <c r="I147" s="19"/>
      <c r="J147" s="19"/>
      <c r="K147" s="87"/>
      <c r="L147" s="87"/>
      <c r="M147" s="55"/>
      <c r="N147" s="55"/>
      <c r="O147" s="55"/>
      <c r="P147" s="88">
        <v>1825587000</v>
      </c>
      <c r="Q147" s="88">
        <v>190026000</v>
      </c>
      <c r="R147" s="88">
        <f>IF(Tabela3[[#This Row],[Ativo || Passivo]]&gt;0,Tabela3[[#This Row],[Ativo || Passivo]]-Tabela3[[#This Row],[Patrimônio Líquido]],0)</f>
        <v>0</v>
      </c>
      <c r="S147" s="88">
        <f>Tabela3[[#This Row],[Cotação]]*Tabela3[[#This Row],[Total Ações]]</f>
        <v>2416640324.6599998</v>
      </c>
      <c r="T147" s="121">
        <f>IF(Tabela3[[#This Row],[Passivo Circulante]]&gt;0,Tabela3[[#This Row],[Ativo Circulante]]/Tabela3[[#This Row],[Passivo Circulante]],0)</f>
        <v>0</v>
      </c>
      <c r="U14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7" s="19">
        <f>IF(Tabela3[[#This Row],[Lucro Líquido]]&gt;0,Tabela3[[#This Row],[Lucro Líquido]]/Tabela3[[#This Row],[Patrimônio Líquido]],0)/Tabela3[[#This Row],[Ref]]*4</f>
        <v>0.1387871407936187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2.2435702141443779</v>
      </c>
      <c r="Z147" s="6">
        <f>Tabela3[[#This Row],[Capital Social]]*20%</f>
        <v>202000000.32000002</v>
      </c>
      <c r="AA147" s="6">
        <f>IF(([Lucro Líquido]*5%)&gt;[Teto R. Legal],[Teto R. Legal],[Lucro Líquido]*5%)</f>
        <v>9501300</v>
      </c>
      <c r="AB147" s="88">
        <f>IF([Lucro Líquido]&lt;0,0,[Lucro Líquido]-[Reserva Legal])</f>
        <v>180524700</v>
      </c>
      <c r="AC147" s="88">
        <f>Tabela3[[#This Row],[Lucro Distribuir]]*[%Div]</f>
        <v>45131175</v>
      </c>
      <c r="AD147" s="56">
        <f>SUMPRODUCT(N([Nome]=Tabela3[[#This Row],[Nome]]),[Ações])</f>
        <v>1245690889</v>
      </c>
      <c r="AE147" s="6">
        <f>[Capital Social]/[Total Ações]</f>
        <v>0.81079504596103702</v>
      </c>
      <c r="AF147" s="77">
        <f>Tabela3[[#This Row],[Lucro Líquido]]/Tabela3[[#This Row],[Total Ações]]</f>
        <v>0.15254667243536371</v>
      </c>
      <c r="AG1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1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147" s="6">
        <f>[Div Base]*[Ações]</f>
        <v>23657230.370365258</v>
      </c>
      <c r="AL147" s="6">
        <f>SUMPRODUCT(N([Nome]=Tabela3[[#This Row],[Nome]]),[Div Base]*[Ações])</f>
        <v>45131175</v>
      </c>
      <c r="AM147" s="6">
        <f>[Patrimônio Líquido]/[Total Ações]</f>
        <v>1.4655216764614227</v>
      </c>
      <c r="AN147" s="48">
        <f>MAX(Tabela3[[#This Row],[Cotação 1]:[Cotação 5]])</f>
        <v>1.94</v>
      </c>
      <c r="AO147" s="44">
        <f>[Cotação]/[VPA]</f>
        <v>1.3237606997968323</v>
      </c>
      <c r="AP147" s="40">
        <f>IF(Tabela3[[#This Row],[Lucro/Ação]]&gt;0,Tabela3[[#This Row],[Cotação]]/(Tabela3[[#This Row],[Lucro/Ação]]/[Ref]*4),0)</f>
        <v>9.5380644937797978</v>
      </c>
      <c r="AQ147" s="77">
        <f>[Lucro Distribuir]/[Total Ações]</f>
        <v>0.14491933881359551</v>
      </c>
      <c r="AR147" s="77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1.8675172527525194E-2</v>
      </c>
      <c r="AU147" s="19">
        <f>((1+Tabela3[[#This Row],[% Yield]])^(1/(3*Tabela3[[#This Row],[Ref]])))^(12)-1</f>
        <v>2.4977413557714545E-2</v>
      </c>
      <c r="AV147" s="14">
        <f>IF([Cotação]&gt;0,($BH$1/Tabela3[[#This Row],[Cotação]]-MOD($BH$1/Tabela3[[#This Row],[Cotação]],100)),)</f>
        <v>300</v>
      </c>
      <c r="AW147" s="17">
        <f>Tabela3[[#This Row],[Ativos]]*[Lucro]</f>
        <v>10.868950411019663</v>
      </c>
      <c r="AX147" s="5">
        <f>SUMPRODUCT(N(Tabela1[Código]=Tabela3[[#This Row],[PAPEL]]),Tabela1[Fechamento])</f>
        <v>1.94</v>
      </c>
      <c r="AY147" s="5">
        <f>SUMPRODUCT(N(Tabela17[Código]=Tabela3[[#This Row],[PAPEL]]),Tabela17[Fechamento])</f>
        <v>0</v>
      </c>
      <c r="AZ147" s="7">
        <f>SUMPRODUCT(N(Tabela176[Código]=Tabela3[[#This Row],[PAPEL]]),Tabela176[Fechamento])</f>
        <v>0</v>
      </c>
      <c r="BA147" s="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customHeight="1">
      <c r="A148" s="3" t="s">
        <v>1085</v>
      </c>
      <c r="B148" s="57" t="s">
        <v>1064</v>
      </c>
      <c r="C148" s="16" t="str">
        <f>LEFT([PAPEL],LEN([PAPEL])-(LEN([PAPEL])-4))</f>
        <v>AZEV</v>
      </c>
      <c r="D148" s="16">
        <v>3</v>
      </c>
      <c r="E148" s="5">
        <v>53896441</v>
      </c>
      <c r="F148" s="56">
        <v>9000000</v>
      </c>
      <c r="G148" s="80">
        <v>0.25</v>
      </c>
      <c r="H148" s="86"/>
      <c r="J148" s="18"/>
      <c r="K148" s="16"/>
      <c r="L148" s="86"/>
      <c r="M148" s="54"/>
      <c r="N148" s="54"/>
      <c r="O148" s="54"/>
      <c r="P148" s="90">
        <v>35138000</v>
      </c>
      <c r="Q148" s="73">
        <v>2840000</v>
      </c>
      <c r="R148" s="73">
        <f>IF(Tabela3[[#This Row],[Ativo || Passivo]]&gt;0,Tabela3[[#This Row],[Ativo || Passivo]]-Tabela3[[#This Row],[Patrimônio Líquido]],0)</f>
        <v>0</v>
      </c>
      <c r="S148" s="73">
        <f>Tabela3[[#This Row],[Cotação]]*Tabela3[[#This Row],[Total Ações]]</f>
        <v>52650000</v>
      </c>
      <c r="T148" s="37">
        <f>IF(Tabela3[[#This Row],[Passivo Circulante]]&gt;0,Tabela3[[#This Row],[Ativo Circulante]]/Tabela3[[#This Row],[Passivo Circulante]],0)</f>
        <v>0</v>
      </c>
      <c r="U14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8" s="18">
        <f>IF(Tabela3[[#This Row],[Lucro Líquido]]&gt;0,Tabela3[[#This Row],[Lucro Líquido]]/Tabela3[[#This Row],[Patrimônio Líquido]],0)/Tabela3[[#This Row],[Ref]]*4</f>
        <v>0.10776557193541654</v>
      </c>
      <c r="W14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8" s="18">
        <f>IF(Tabela3[[#This Row],[Dívida]]&gt;0,Tabela3[[#This Row],[Dívida]]/Tabela3[[#This Row],[Patrimônio Líquido]],0)</f>
        <v>0</v>
      </c>
      <c r="Y148" s="18">
        <f>SUMPRODUCT(N([Dívida / PL]&gt;0),N(RIGHT([PAPEL],LEN([PAPEL])-(LEN([PAPEL])-1))="3"),[Dívida / PL])/SUMPRODUCT(N([Dívida / PL]&gt;0),N(RIGHT([PAPEL],LEN([PAPEL])-(LEN([PAPEL])-1))="3"))</f>
        <v>2.2435702141443779</v>
      </c>
      <c r="Z148" s="7">
        <f>Tabela3[[#This Row],[Capital Social]]*20%</f>
        <v>10779288.200000001</v>
      </c>
      <c r="AA148" s="47">
        <f>IF(([Lucro Líquido]*5%)&gt;[Teto R. Legal],[Teto R. Legal],[Lucro Líquido]*5%)</f>
        <v>142000</v>
      </c>
      <c r="AB148" s="47">
        <f>IF([Lucro Líquido]&lt;0,0,[Lucro Líquido]-[Reserva Legal])</f>
        <v>2698000</v>
      </c>
      <c r="AC148" s="47">
        <f>Tabela3[[#This Row],[Lucro Distribuir]]*[%Div]</f>
        <v>674500</v>
      </c>
      <c r="AD148" s="56">
        <f>SUMPRODUCT(N([Nome]=Tabela3[[#This Row],[Nome]]),[Ações])</f>
        <v>27000000</v>
      </c>
      <c r="AE148" s="84">
        <f>[Capital Social]/[Total Ações]</f>
        <v>1.9961644814814814</v>
      </c>
      <c r="AF148" s="84">
        <f>Tabela3[[#This Row],[Lucro Líquido]]/Tabela3[[#This Row],[Total Ações]]</f>
        <v>0.10518518518518519</v>
      </c>
      <c r="AG14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14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148" s="7">
        <f>[Div Base]*[Ações]</f>
        <v>224833.33333333334</v>
      </c>
      <c r="AL148" s="113">
        <f>SUMPRODUCT(N([Nome]=Tabela3[[#This Row],[Nome]]),[Div Base]*[Ações])</f>
        <v>674500</v>
      </c>
      <c r="AM148" s="5">
        <f>[Patrimônio Líquido]/[Total Ações]</f>
        <v>1.3014074074074073</v>
      </c>
      <c r="AN148" s="52">
        <f>MAX(Tabela3[[#This Row],[Cotação 1]:[Cotação 5]])</f>
        <v>1.95</v>
      </c>
      <c r="AO148" s="53">
        <f>[Cotação]/[VPA]</f>
        <v>1.4983778245773807</v>
      </c>
      <c r="AP148" s="37">
        <f>IF(Tabela3[[#This Row],[Lucro/Ação]]&gt;0,Tabela3[[#This Row],[Cotação]]/(Tabela3[[#This Row],[Lucro/Ação]]/[Ref]*4),0)</f>
        <v>13.904049295774648</v>
      </c>
      <c r="AQ148" s="84">
        <f>[Lucro Distribuir]/[Total Ações]</f>
        <v>9.9925925925925932E-2</v>
      </c>
      <c r="AR148" s="84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148" s="10" t="str">
        <f>IF(AND([% A.A.]&gt;=5%,SUMPRODUCT(N([Nome]=Tabela3[[#This Row],[Nome]]),[PL])&gt;0,[Rentabilidade s/ PL]&gt;=[Rentabilidade s/ PL Média]),"Sim","Não")</f>
        <v>Não</v>
      </c>
      <c r="AT148" s="22">
        <f>IF([Cotação]&gt;0,Tabela3[[#This Row],[Lucro]]/Tabela3[[#This Row],[Cotação]],0)</f>
        <v>1.2811016144349478E-2</v>
      </c>
      <c r="AU148" s="22">
        <f>((1+Tabela3[[#This Row],[% Yield]])^(1/(3*Tabela3[[#This Row],[Ref]])))^(12)-1</f>
        <v>1.7117723164410625E-2</v>
      </c>
      <c r="AV148" s="10">
        <f>IF([Cotação]&gt;0,($BH$1/Tabela3[[#This Row],[Cotação]]-MOD($BH$1/Tabela3[[#This Row],[Cotação]],100)),)</f>
        <v>300</v>
      </c>
      <c r="AW148" s="7">
        <f>Tabela3[[#This Row],[Ativos]]*[Lucro]</f>
        <v>7.4944444444444445</v>
      </c>
      <c r="AX148" s="7">
        <f>SUMPRODUCT(N(Tabela1[Código]=Tabela3[[#This Row],[PAPEL]]),Tabela1[Fechamento])</f>
        <v>0</v>
      </c>
      <c r="AY148" s="7">
        <f>SUMPRODUCT(N(Tabela17[Código]=Tabela3[[#This Row],[PAPEL]]),Tabela17[Fechamento])</f>
        <v>0</v>
      </c>
      <c r="AZ148" s="7">
        <f>SUMPRODUCT(N(Tabela176[Código]=Tabela3[[#This Row],[PAPEL]]),Tabela176[Fechamento])</f>
        <v>0</v>
      </c>
      <c r="BA148" s="7">
        <f>SUMPRODUCT(N(Tabela1768[Código]=Tabela3[[#This Row],[PAPEL]]),Tabela1768[Fechamento])</f>
        <v>0</v>
      </c>
      <c r="BB148" s="7">
        <f>SUMPRODUCT(N(Tabela17683[Código]=Tabela3[[#This Row],[PAPEL]]),Tabela17683[Fechamento])</f>
        <v>1.95</v>
      </c>
    </row>
    <row r="149" spans="1:54" ht="11.25" customHeight="1">
      <c r="A149" s="4" t="s">
        <v>330</v>
      </c>
      <c r="B149" s="58" t="s">
        <v>1107</v>
      </c>
      <c r="C149" s="16" t="str">
        <f>LEFT([PAPEL],LEN([PAPEL])-(LEN([PAPEL])-4))</f>
        <v>HAGA</v>
      </c>
      <c r="D149" s="16">
        <v>3</v>
      </c>
      <c r="E149" s="5">
        <v>10353000</v>
      </c>
      <c r="F149" s="56">
        <v>3966667</v>
      </c>
      <c r="G149" s="80">
        <v>0.25</v>
      </c>
      <c r="H149" s="18"/>
      <c r="J149" s="18"/>
      <c r="K149" s="16"/>
      <c r="L149" s="86"/>
      <c r="M149" s="54"/>
      <c r="N149" s="54"/>
      <c r="O149" s="54"/>
      <c r="P149" s="90">
        <v>-90174895</v>
      </c>
      <c r="Q149" s="73">
        <v>2123777</v>
      </c>
      <c r="R149" s="73">
        <f>IF(Tabela3[[#This Row],[Ativo || Passivo]]&gt;0,Tabela3[[#This Row],[Ativo || Passivo]]-Tabela3[[#This Row],[Patrimônio Líquido]],0)</f>
        <v>0</v>
      </c>
      <c r="S149" s="73">
        <f>Tabela3[[#This Row],[Cotação]]*Tabela3[[#This Row],[Total Ações]]</f>
        <v>23562000</v>
      </c>
      <c r="T149" s="37">
        <f>IF(Tabela3[[#This Row],[Passivo Circulante]]&gt;0,Tabela3[[#This Row],[Ativo Circulante]]/Tabela3[[#This Row],[Passivo Circulante]],0)</f>
        <v>0</v>
      </c>
      <c r="U14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49" s="18">
        <f>IF(Tabela3[[#This Row],[Lucro Líquido]]&gt;0,Tabela3[[#This Row],[Lucro Líquido]]/Tabela3[[#This Row],[Patrimônio Líquido]],0)/Tabela3[[#This Row],[Ref]]*4</f>
        <v>-3.140233949445316E-2</v>
      </c>
      <c r="W14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49" s="18">
        <f>IF(Tabela3[[#This Row],[Dívida]]&gt;0,Tabela3[[#This Row],[Dívida]]/Tabela3[[#This Row],[Patrimônio Líquido]],0)</f>
        <v>0</v>
      </c>
      <c r="Y149" s="18">
        <f>SUMPRODUCT(N([Dívida / PL]&gt;0),N(RIGHT([PAPEL],LEN([PAPEL])-(LEN([PAPEL])-1))="3"),[Dívida / PL])/SUMPRODUCT(N([Dívida / PL]&gt;0),N(RIGHT([PAPEL],LEN([PAPEL])-(LEN([PAPEL])-1))="3"))</f>
        <v>2.2435702141443779</v>
      </c>
      <c r="Z149" s="7">
        <f>Tabela3[[#This Row],[Capital Social]]*20%</f>
        <v>2070600</v>
      </c>
      <c r="AA149" s="47">
        <f>IF(([Lucro Líquido]*5%)&gt;[Teto R. Legal],[Teto R. Legal],[Lucro Líquido]*5%)</f>
        <v>106188.85</v>
      </c>
      <c r="AB149" s="47">
        <f>IF([Lucro Líquido]&lt;0,0,[Lucro Líquido]-[Reserva Legal])</f>
        <v>2017588.15</v>
      </c>
      <c r="AC149" s="47">
        <f>Tabela3[[#This Row],[Lucro Distribuir]]*[%Div]</f>
        <v>504397.03749999998</v>
      </c>
      <c r="AD149" s="56">
        <f>SUMPRODUCT(N([Nome]=Tabela3[[#This Row],[Nome]]),[Ações])</f>
        <v>11900000</v>
      </c>
      <c r="AE149" s="84">
        <f>[Capital Social]/[Total Ações]</f>
        <v>0.87</v>
      </c>
      <c r="AF149" s="84">
        <f>Tabela3[[#This Row],[Lucro Líquido]]/Tabela3[[#This Row],[Total Ações]]</f>
        <v>0.17846865546218488</v>
      </c>
      <c r="AG14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14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149" s="7">
        <f>[Div Base]*[Ações]</f>
        <v>162901.1229035689</v>
      </c>
      <c r="AL149" s="113">
        <f>SUMPRODUCT(N([Nome]=Tabela3[[#This Row],[Nome]]),[Div Base]*[Ações])</f>
        <v>521283.54860810976</v>
      </c>
      <c r="AM149" s="5">
        <f>[Patrimônio Líquido]/[Total Ações]</f>
        <v>-7.5777222689075634</v>
      </c>
      <c r="AN149" s="52">
        <f>MAX(Tabela3[[#This Row],[Cotação 1]:[Cotação 5]])</f>
        <v>1.98</v>
      </c>
      <c r="AO149" s="53">
        <f>[Cotação]/[VPA]</f>
        <v>-0.2612922366031033</v>
      </c>
      <c r="AP149" s="37">
        <f>IF(Tabela3[[#This Row],[Lucro/Ação]]&gt;0,Tabela3[[#This Row],[Cotação]]/(Tabela3[[#This Row],[Lucro/Ação]]/[Ref]*4),0)</f>
        <v>8.3207888587172754</v>
      </c>
      <c r="AQ149" s="84">
        <f>[Lucro Distribuir]/[Total Ações]</f>
        <v>0.16954522268907563</v>
      </c>
      <c r="AR149" s="84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149" s="10" t="str">
        <f>IF(AND([% A.A.]&gt;=5%,SUMPRODUCT(N([Nome]=Tabela3[[#This Row],[Nome]]),[PL])&gt;0,[Rentabilidade s/ PL]&gt;=[Rentabilidade s/ PL Média]),"Sim","Não")</f>
        <v>Não</v>
      </c>
      <c r="AT149" s="22">
        <f>IF([Cotação]&gt;0,Tabela3[[#This Row],[Lucro]]/Tabela3[[#This Row],[Cotação]],0)</f>
        <v>2.0741164911433671E-2</v>
      </c>
      <c r="AU149" s="22">
        <f>((1+Tabela3[[#This Row],[% Yield]])^(1/(3*Tabela3[[#This Row],[Ref]])))^(12)-1</f>
        <v>2.7750048778378167E-2</v>
      </c>
      <c r="AV149" s="10">
        <f>IF([Cotação]&gt;0,($BH$1/Tabela3[[#This Row],[Cotação]]-MOD($BH$1/Tabela3[[#This Row],[Cotação]],100)),)</f>
        <v>300</v>
      </c>
      <c r="AW149" s="7">
        <f>Tabela3[[#This Row],[Ativos]]*[Lucro]</f>
        <v>12.320251957391601</v>
      </c>
      <c r="AX149" s="7">
        <f>SUMPRODUCT(N(Tabela1[Código]=Tabela3[[#This Row],[PAPEL]]),Tabela1[Fechamento])</f>
        <v>0</v>
      </c>
      <c r="AY149" s="7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1.98</v>
      </c>
    </row>
    <row r="150" spans="1:54">
      <c r="A150" s="4" t="s">
        <v>283</v>
      </c>
      <c r="B150" s="57" t="s">
        <v>524</v>
      </c>
      <c r="C150" s="16" t="str">
        <f>LEFT([PAPEL],LEN([PAPEL])-(LEN([PAPEL])-4))</f>
        <v>LFFE</v>
      </c>
      <c r="D150" s="16">
        <v>3</v>
      </c>
      <c r="E150" s="5">
        <v>226047458.49000001</v>
      </c>
      <c r="F150" s="56">
        <v>336676262</v>
      </c>
      <c r="G150" s="80">
        <v>0.25</v>
      </c>
      <c r="H150" s="18"/>
      <c r="J150" s="18"/>
      <c r="K150" s="86"/>
      <c r="L150" s="86"/>
      <c r="M150" s="54"/>
      <c r="N150" s="54"/>
      <c r="O150" s="54"/>
      <c r="P150" s="90">
        <v>708697000</v>
      </c>
      <c r="Q150" s="73">
        <v>-95683000</v>
      </c>
      <c r="R150" s="73">
        <f>IF(Tabela3[[#This Row],[Ativo || Passivo]]&gt;0,Tabela3[[#This Row],[Ativo || Passivo]]-Tabela3[[#This Row],[Patrimônio Líquido]],0)</f>
        <v>0</v>
      </c>
      <c r="S150" s="73">
        <f>Tabela3[[#This Row],[Cotação]]*Tabela3[[#This Row],[Total Ações]]</f>
        <v>1082164879.53</v>
      </c>
      <c r="T150" s="37">
        <f>IF(Tabela3[[#This Row],[Passivo Circulante]]&gt;0,Tabela3[[#This Row],[Ativo Circulante]]/Tabela3[[#This Row],[Passivo Circulante]],0)</f>
        <v>0</v>
      </c>
      <c r="U15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0" s="18">
        <f>IF(Tabela3[[#This Row],[Lucro Líquido]]&gt;0,Tabela3[[#This Row],[Lucro Líquido]]/Tabela3[[#This Row],[Patrimônio Líquido]],0)/Tabela3[[#This Row],[Ref]]*4</f>
        <v>0</v>
      </c>
      <c r="W15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0" s="18">
        <f>IF(Tabela3[[#This Row],[Dívida]]&gt;0,Tabela3[[#This Row],[Dívida]]/Tabela3[[#This Row],[Patrimônio Líquido]],0)</f>
        <v>0</v>
      </c>
      <c r="Y150" s="18">
        <f>SUMPRODUCT(N([Dívida / PL]&gt;0),N(RIGHT([PAPEL],LEN([PAPEL])-(LEN([PAPEL])-1))="3"),[Dívida / PL])/SUMPRODUCT(N([Dívida / PL]&gt;0),N(RIGHT([PAPEL],LEN([PAPEL])-(LEN([PAPEL])-1))="3"))</f>
        <v>2.2435702141443779</v>
      </c>
      <c r="Z150" s="47">
        <f>Tabela3[[#This Row],[Capital Social]]*20%</f>
        <v>45209491.698000006</v>
      </c>
      <c r="AA150" s="47">
        <f>IF(([Lucro Líquido]*5%)&gt;[Teto R. Legal],[Teto R. Legal],[Lucro Líquido]*5%)</f>
        <v>-4784150</v>
      </c>
      <c r="AB150" s="47">
        <f>IF([Lucro Líquido]&lt;0,0,[Lucro Líquido]-[Reserva Legal])</f>
        <v>0</v>
      </c>
      <c r="AC150" s="47">
        <f>Tabela3[[#This Row],[Lucro Distribuir]]*[%Div]</f>
        <v>0</v>
      </c>
      <c r="AD150" s="56">
        <f>SUMPRODUCT(N([Nome]=Tabela3[[#This Row],[Nome]]),[Ações])</f>
        <v>543801447</v>
      </c>
      <c r="AE150" s="5">
        <f>[Capital Social]/[Total Ações]</f>
        <v>0.41568013424208489</v>
      </c>
      <c r="AF150" s="76">
        <f>Tabela3[[#This Row],[Lucro Líquido]]/Tabela3[[#This Row],[Total Ações]]</f>
        <v>-0.17595208789505115</v>
      </c>
      <c r="AG15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0" s="47">
        <f>[Div Base]*[Ações]</f>
        <v>0</v>
      </c>
      <c r="AL150" s="47">
        <f>SUMPRODUCT(N([Nome]=Tabela3[[#This Row],[Nome]]),[Div Base]*[Ações])</f>
        <v>0</v>
      </c>
      <c r="AM150" s="5">
        <f>[Patrimônio Líquido]/[Total Ações]</f>
        <v>1.3032274995031412</v>
      </c>
      <c r="AN150" s="52">
        <f>MAX(Tabela3[[#This Row],[Cotação 1]:[Cotação 5]])</f>
        <v>1.99</v>
      </c>
      <c r="AO150" s="53">
        <f>[Cotação]/[VPA]</f>
        <v>1.5269782142862183</v>
      </c>
      <c r="AP150" s="37">
        <f>IF(Tabela3[[#This Row],[Lucro/Ação]]&gt;0,Tabela3[[#This Row],[Cotação]]/(Tabela3[[#This Row],[Lucro/Ação]]/[Ref]*4),0)</f>
        <v>0</v>
      </c>
      <c r="AQ150" s="76">
        <f>[Lucro Distribuir]/[Total Ações]</f>
        <v>0</v>
      </c>
      <c r="AR150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0" s="10" t="str">
        <f>IF(AND([% A.A.]&gt;=5%,SUMPRODUCT(N([Nome]=Tabela3[[#This Row],[Nome]]),[PL])&gt;0,[Rentabilidade s/ PL]&gt;=[Rentabilidade s/ PL Média]),"Sim","Não")</f>
        <v>Não</v>
      </c>
      <c r="AT150" s="22">
        <f>IF([Cotação]&gt;0,Tabela3[[#This Row],[Lucro]]/Tabela3[[#This Row],[Cotação]],0)</f>
        <v>0</v>
      </c>
      <c r="AU150" s="22">
        <f>((1+Tabela3[[#This Row],[% Yield]])^(1/(3*Tabela3[[#This Row],[Ref]])))^(12)-1</f>
        <v>0</v>
      </c>
      <c r="AV150" s="10">
        <f>IF([Cotação]&gt;0,($BH$1/Tabela3[[#This Row],[Cotação]]-MOD($BH$1/Tabela3[[#This Row],[Cotação]],100)),)</f>
        <v>300</v>
      </c>
      <c r="AW150" s="7">
        <f>Tabela3[[#This Row],[Ativos]]*[Lucro]</f>
        <v>0</v>
      </c>
      <c r="AX150" s="7">
        <f>SUMPRODUCT(N(Tabela1[Código]=Tabela3[[#This Row],[PAPEL]]),Tabela1[Fechamento])</f>
        <v>0</v>
      </c>
      <c r="AY150" s="7">
        <f>SUMPRODUCT(N(Tabela17[Código]=Tabela3[[#This Row],[PAPEL]]),Tabela17[Fechamento])</f>
        <v>1.99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4" t="s">
        <v>283</v>
      </c>
      <c r="B151" s="57" t="s">
        <v>525</v>
      </c>
      <c r="C151" s="15" t="str">
        <f>LEFT([PAPEL],LEN([PAPEL])-(LEN([PAPEL])-4))</f>
        <v>LFFE</v>
      </c>
      <c r="D151" s="15">
        <v>3</v>
      </c>
      <c r="E151" s="5">
        <v>226047458.49000001</v>
      </c>
      <c r="F151" s="8">
        <v>207125185</v>
      </c>
      <c r="G151" s="85">
        <v>0.25</v>
      </c>
      <c r="H151" s="19"/>
      <c r="I151" s="19"/>
      <c r="J151" s="19">
        <v>0.1</v>
      </c>
      <c r="K151" s="87"/>
      <c r="L151" s="87"/>
      <c r="M151" s="55"/>
      <c r="N151" s="55"/>
      <c r="O151" s="55"/>
      <c r="P151" s="90">
        <v>708697000</v>
      </c>
      <c r="Q151" s="73">
        <v>-95683000</v>
      </c>
      <c r="R151" s="73">
        <f>IF(Tabela3[[#This Row],[Ativo || Passivo]]&gt;0,Tabela3[[#This Row],[Ativo || Passivo]]-Tabela3[[#This Row],[Patrimônio Líquido]],0)</f>
        <v>0</v>
      </c>
      <c r="S151" s="73">
        <f>Tabela3[[#This Row],[Cotação]]*Tabela3[[#This Row],[Total Ações]]</f>
        <v>1087602894</v>
      </c>
      <c r="T151" s="37">
        <f>IF(Tabela3[[#This Row],[Passivo Circulante]]&gt;0,Tabela3[[#This Row],[Ativo Circulante]]/Tabela3[[#This Row],[Passivo Circulante]],0)</f>
        <v>0</v>
      </c>
      <c r="U15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1" s="18">
        <f>IF(Tabela3[[#This Row],[Lucro Líquido]]&gt;0,Tabela3[[#This Row],[Lucro Líquido]]/Tabela3[[#This Row],[Patrimônio Líquido]],0)/Tabela3[[#This Row],[Ref]]*4</f>
        <v>0</v>
      </c>
      <c r="W1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1" s="18">
        <f>IF(Tabela3[[#This Row],[Dívida]]&gt;0,Tabela3[[#This Row],[Dívida]]/Tabela3[[#This Row],[Patrimônio Líquido]],0)</f>
        <v>0</v>
      </c>
      <c r="Y151" s="18">
        <f>SUMPRODUCT(N([Dívida / PL]&gt;0),N(RIGHT([PAPEL],LEN([PAPEL])-(LEN([PAPEL])-1))="3"),[Dívida / PL])/SUMPRODUCT(N([Dívida / PL]&gt;0),N(RIGHT([PAPEL],LEN([PAPEL])-(LEN([PAPEL])-1))="3"))</f>
        <v>2.2435702141443779</v>
      </c>
      <c r="Z151" s="13">
        <f>Tabela3[[#This Row],[Capital Social]]*20%</f>
        <v>45209491.698000006</v>
      </c>
      <c r="AA151" s="13">
        <f>IF(([Lucro Líquido]*5%)&gt;[Teto R. Legal],[Teto R. Legal],[Lucro Líquido]*5%)</f>
        <v>-4784150</v>
      </c>
      <c r="AB151" s="13">
        <f>IF([Lucro Líquido]&lt;0,0,[Lucro Líquido]-[Reserva Legal])</f>
        <v>0</v>
      </c>
      <c r="AC151" s="13">
        <f>Tabela3[[#This Row],[Lucro Distribuir]]*[%Div]</f>
        <v>0</v>
      </c>
      <c r="AD151" s="56">
        <f>SUMPRODUCT(N([Nome]=Tabela3[[#This Row],[Nome]]),[Ações])</f>
        <v>543801447</v>
      </c>
      <c r="AE151" s="6">
        <f>[Capital Social]/[Total Ações]</f>
        <v>0.41568013424208489</v>
      </c>
      <c r="AF151" s="77">
        <f>Tabela3[[#This Row],[Lucro Líquido]]/Tabela3[[#This Row],[Total Ações]]</f>
        <v>-0.17595208789505115</v>
      </c>
      <c r="AG1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1" s="13">
        <f>[Div Base]*[Ações]</f>
        <v>0</v>
      </c>
      <c r="AL151" s="13">
        <f>SUMPRODUCT(N([Nome]=Tabela3[[#This Row],[Nome]]),[Div Base]*[Ações])</f>
        <v>0</v>
      </c>
      <c r="AM151" s="6">
        <f>[Patrimônio Líquido]/[Total Ações]</f>
        <v>1.3032274995031412</v>
      </c>
      <c r="AN151" s="48">
        <f>MAX(Tabela3[[#This Row],[Cotação 1]:[Cotação 5]])</f>
        <v>2</v>
      </c>
      <c r="AO151" s="44">
        <f>[Cotação]/[VPA]</f>
        <v>1.5346514716444406</v>
      </c>
      <c r="AP151" s="40">
        <f>IF(Tabela3[[#This Row],[Lucro/Ação]]&gt;0,Tabela3[[#This Row],[Cotação]]/(Tabela3[[#This Row],[Lucro/Ação]]/[Ref]*4),0)</f>
        <v>0</v>
      </c>
      <c r="AQ151" s="77">
        <f>[Lucro Distribuir]/[Total Ações]</f>
        <v>0</v>
      </c>
      <c r="AR15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1" s="14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0</v>
      </c>
      <c r="AU151" s="42">
        <f>((1+Tabela3[[#This Row],[% Yield]])^(1/(3*Tabela3[[#This Row],[Ref]])))^(12)-1</f>
        <v>0</v>
      </c>
      <c r="AV151" s="14">
        <f>IF([Cotação]&gt;0,($BH$1/Tabela3[[#This Row],[Cotação]]-MOD($BH$1/Tabela3[[#This Row],[Cotação]],100)),)</f>
        <v>300</v>
      </c>
      <c r="AW151" s="17">
        <f>Tabela3[[#This Row],[Ativos]]*[Lucro]</f>
        <v>0</v>
      </c>
      <c r="AX151" s="17">
        <f>SUMPRODUCT(N(Tabela1[Código]=Tabela3[[#This Row],[PAPEL]]),Tabela1[Fechamento])</f>
        <v>0</v>
      </c>
      <c r="AY151" s="17">
        <f>SUMPRODUCT(N(Tabela17[Código]=Tabela3[[#This Row],[PAPEL]]),Tabela17[Fechamento])</f>
        <v>2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customHeight="1">
      <c r="A152" s="4" t="s">
        <v>314</v>
      </c>
      <c r="B152" s="115" t="s">
        <v>649</v>
      </c>
      <c r="C152" s="15" t="str">
        <f>LEFT([PAPEL],LEN([PAPEL])-(LEN([PAPEL])-4))</f>
        <v>SNSY</v>
      </c>
      <c r="D152" s="15">
        <v>3</v>
      </c>
      <c r="E152" s="6">
        <v>54625000</v>
      </c>
      <c r="F152" s="8">
        <v>6644806</v>
      </c>
      <c r="G152" s="80">
        <v>0.25</v>
      </c>
      <c r="H152" s="15"/>
      <c r="I152" s="19"/>
      <c r="J152" s="19"/>
      <c r="K152" s="87"/>
      <c r="L152" s="87"/>
      <c r="M152" s="55"/>
      <c r="N152" s="55"/>
      <c r="O152" s="55"/>
      <c r="P152" s="91">
        <v>-350694000</v>
      </c>
      <c r="Q152" s="92">
        <v>-43597000</v>
      </c>
      <c r="R152" s="92">
        <f>IF(Tabela3[[#This Row],[Ativo || Passivo]]&gt;0,Tabela3[[#This Row],[Ativo || Passivo]]-Tabela3[[#This Row],[Patrimônio Líquido]],0)</f>
        <v>0</v>
      </c>
      <c r="S152" s="92">
        <f>Tabela3[[#This Row],[Cotação]]*Tabela3[[#This Row],[Total Ações]]</f>
        <v>38582244</v>
      </c>
      <c r="T152" s="40">
        <f>IF(Tabela3[[#This Row],[Passivo Circulante]]&gt;0,Tabela3[[#This Row],[Ativo Circulante]]/Tabela3[[#This Row],[Passivo Circulante]],0)</f>
        <v>0</v>
      </c>
      <c r="U15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2" s="19">
        <f>IF(Tabela3[[#This Row],[Lucro Líquido]]&gt;0,Tabela3[[#This Row],[Lucro Líquido]]/Tabela3[[#This Row],[Patrimônio Líquido]],0)/Tabela3[[#This Row],[Ref]]*4</f>
        <v>0</v>
      </c>
      <c r="W15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2" s="19">
        <f>IF(Tabela3[[#This Row],[Dívida]]&gt;0,Tabela3[[#This Row],[Dívida]]/Tabela3[[#This Row],[Patrimônio Líquido]],0)</f>
        <v>0</v>
      </c>
      <c r="Y152" s="19">
        <f>SUMPRODUCT(N([Dívida / PL]&gt;0),N(RIGHT([PAPEL],LEN([PAPEL])-(LEN([PAPEL])-1))="3"),[Dívida / PL])/SUMPRODUCT(N([Dívida / PL]&gt;0),N(RIGHT([PAPEL],LEN([PAPEL])-(LEN([PAPEL])-1))="3"))</f>
        <v>2.2435702141443779</v>
      </c>
      <c r="Z152" s="13">
        <f>Tabela3[[#This Row],[Capital Social]]*20%</f>
        <v>10925000</v>
      </c>
      <c r="AA152" s="13">
        <f>IF(([Lucro Líquido]*5%)&gt;[Teto R. Legal],[Teto R. Legal],[Lucro Líquido]*5%)</f>
        <v>-2179850</v>
      </c>
      <c r="AB152" s="13">
        <f>IF([Lucro Líquido]&lt;0,0,[Lucro Líquido]-[Reserva Legal])</f>
        <v>0</v>
      </c>
      <c r="AC152" s="13">
        <f>Tabela3[[#This Row],[Lucro Distribuir]]*[%Div]</f>
        <v>0</v>
      </c>
      <c r="AD152" s="56">
        <f>SUMPRODUCT(N([Nome]=Tabela3[[#This Row],[Nome]]),[Ações])</f>
        <v>19291122</v>
      </c>
      <c r="AE152" s="6">
        <f>[Capital Social]/[Total Ações]</f>
        <v>2.8316134230035974</v>
      </c>
      <c r="AF152" s="77">
        <f>Tabela3[[#This Row],[Lucro Líquido]]/Tabela3[[#This Row],[Total Ações]]</f>
        <v>-2.2599514947860473</v>
      </c>
      <c r="AG15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2" s="13">
        <f>[Div Base]*[Ações]</f>
        <v>0</v>
      </c>
      <c r="AL152" s="13">
        <f>SUMPRODUCT(N([Nome]=Tabela3[[#This Row],[Nome]]),[Div Base]*[Ações])</f>
        <v>0</v>
      </c>
      <c r="AM152" s="6">
        <f>[Patrimônio Líquido]/[Total Ações]</f>
        <v>-18.179035931658095</v>
      </c>
      <c r="AN152" s="48">
        <f>MAX(Tabela3[[#This Row],[Cotação 1]:[Cotação 5]])</f>
        <v>2</v>
      </c>
      <c r="AO152" s="44">
        <f>[Cotação]/[VPA]</f>
        <v>-0.11001683518965252</v>
      </c>
      <c r="AP152" s="40">
        <f>IF(Tabela3[[#This Row],[Lucro/Ação]]&gt;0,Tabela3[[#This Row],[Cotação]]/(Tabela3[[#This Row],[Lucro/Ação]]/[Ref]*4),0)</f>
        <v>0</v>
      </c>
      <c r="AQ152" s="77">
        <f>[Lucro Distribuir]/[Total Ações]</f>
        <v>0</v>
      </c>
      <c r="AR15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2" s="14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0</v>
      </c>
      <c r="AU152" s="42">
        <f>((1+Tabela3[[#This Row],[% Yield]])^(1/(3*Tabela3[[#This Row],[Ref]])))^(12)-1</f>
        <v>0</v>
      </c>
      <c r="AV152" s="14">
        <f>IF([Cotação]&gt;0,($BH$1/Tabela3[[#This Row],[Cotação]]-MOD($BH$1/Tabela3[[#This Row],[Cotação]],100)),)</f>
        <v>300</v>
      </c>
      <c r="AW152" s="17">
        <f>Tabela3[[#This Row],[Ativos]]*[Lucro]</f>
        <v>0</v>
      </c>
      <c r="AX152" s="17">
        <f>SUMPRODUCT(N(Tabela1[Código]=Tabela3[[#This Row],[PAPEL]]),Tabela1[Fechamento])</f>
        <v>0</v>
      </c>
      <c r="AY152" s="17">
        <f>SUMPRODUCT(N(Tabela17[Código]=Tabela3[[#This Row],[PAPEL]]),Tabela17[Fechamento])</f>
        <v>0</v>
      </c>
      <c r="AZ152" s="17">
        <f>SUMPRODUCT(N(Tabela176[Código]=Tabela3[[#This Row],[PAPEL]]),Tabela176[Fechamento])</f>
        <v>2</v>
      </c>
      <c r="BA152" s="1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customHeight="1">
      <c r="A153" s="3" t="s">
        <v>876</v>
      </c>
      <c r="B153" s="58" t="s">
        <v>911</v>
      </c>
      <c r="C153" s="16" t="str">
        <f>LEFT([PAPEL],LEN([PAPEL])-(LEN([PAPEL])-4))</f>
        <v>CTNM</v>
      </c>
      <c r="D153" s="16">
        <v>3</v>
      </c>
      <c r="E153" s="5">
        <v>882235698</v>
      </c>
      <c r="F153" s="56">
        <v>55651200</v>
      </c>
      <c r="G153" s="80">
        <v>0.25</v>
      </c>
      <c r="H153" s="86"/>
      <c r="J153" s="18"/>
      <c r="K153" s="16"/>
      <c r="L153" s="86"/>
      <c r="M153" s="54"/>
      <c r="N153" s="54"/>
      <c r="O153" s="54"/>
      <c r="P153" s="90">
        <v>1000768000</v>
      </c>
      <c r="Q153" s="73">
        <v>-24156000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247542572.56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3" s="18">
        <f>IF(Tabela3[[#This Row],[Lucro Líquido]]&gt;0,Tabela3[[#This Row],[Lucro Líquido]]/Tabela3[[#This Row],[Patrimônio Líquido]],0)/Tabela3[[#This Row],[Ref]]*4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2.2435702141443779</v>
      </c>
      <c r="Z153" s="7">
        <f>Tabela3[[#This Row],[Capital Social]]*20%</f>
        <v>176447139.60000002</v>
      </c>
      <c r="AA153" s="47">
        <f>IF(([Lucro Líquido]*5%)&gt;[Teto R. Legal],[Teto R. Legal],[Lucro Líquido]*5%)</f>
        <v>-1207800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122545828</v>
      </c>
      <c r="AE153" s="84">
        <f>[Capital Social]/[Total Ações]</f>
        <v>7.1992307889910379</v>
      </c>
      <c r="AF153" s="84">
        <f>Tabela3[[#This Row],[Lucro Líquido]]/Tabela3[[#This Row],[Total Ações]]</f>
        <v>-0.19711809364901431</v>
      </c>
      <c r="AG1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7">
        <f>SUMPRODUCT(N([Nome]=Tabela3[[#This Row],[Nome]]),[Div Base]*[Ações])</f>
        <v>0</v>
      </c>
      <c r="AM153" s="5">
        <f>[Patrimônio Líquido]/[Total Ações]</f>
        <v>8.1664795638738514</v>
      </c>
      <c r="AN153" s="52">
        <f>MAX(Tabela3[[#This Row],[Cotação 1]:[Cotação 5]])</f>
        <v>2.02</v>
      </c>
      <c r="AO153" s="53">
        <f>[Cotação]/[VPA]</f>
        <v>0.24735260575877727</v>
      </c>
      <c r="AP153" s="37">
        <f>IF(Tabela3[[#This Row],[Lucro/Ação]]&gt;0,Tabela3[[#This Row],[Cotação]]/(Tabela3[[#This Row],[Lucro/Ação]]/[Ref]*4),0)</f>
        <v>0</v>
      </c>
      <c r="AQ153" s="84">
        <f>[Lucro Distribuir]/[Total Ações]</f>
        <v>0</v>
      </c>
      <c r="AR15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300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2.02</v>
      </c>
      <c r="BB153" s="7">
        <f>SUMPRODUCT(N(Tabela17683[Código]=Tabela3[[#This Row],[PAPEL]]),Tabela17683[Fechamento])</f>
        <v>0</v>
      </c>
    </row>
    <row r="154" spans="1:54" ht="11.25" customHeight="1">
      <c r="A154" s="3" t="s">
        <v>1131</v>
      </c>
      <c r="B154" s="57" t="s">
        <v>1118</v>
      </c>
      <c r="C154" s="16" t="str">
        <f>LEFT([PAPEL],LEN([PAPEL])-(LEN([PAPEL])-4))</f>
        <v>CARD</v>
      </c>
      <c r="D154" s="16">
        <v>3</v>
      </c>
      <c r="E154" s="5">
        <v>129231849.61</v>
      </c>
      <c r="F154" s="56">
        <v>42900000</v>
      </c>
      <c r="G154" s="80">
        <v>0.25</v>
      </c>
      <c r="H154" s="18"/>
      <c r="J154" s="18"/>
      <c r="K154" s="16"/>
      <c r="L154" s="86"/>
      <c r="M154" s="54"/>
      <c r="N154" s="54"/>
      <c r="O154" s="54"/>
      <c r="P154" s="90">
        <v>154722000</v>
      </c>
      <c r="Q154" s="73">
        <v>-1870000</v>
      </c>
      <c r="R154" s="73">
        <f>IF(Tabela3[[#This Row],[Ativo || Passivo]]&gt;0,Tabela3[[#This Row],[Ativo || Passivo]]-Tabela3[[#This Row],[Patrimônio Líquido]],0)</f>
        <v>0</v>
      </c>
      <c r="S154" s="73">
        <f>Tabela3[[#This Row],[Cotação]]*Tabela3[[#This Row],[Total Ações]]</f>
        <v>87944999.999999985</v>
      </c>
      <c r="T154" s="37">
        <f>IF(Tabela3[[#This Row],[Passivo Circulante]]&gt;0,Tabela3[[#This Row],[Ativo Circulante]]/Tabela3[[#This Row],[Passivo Circulante]],0)</f>
        <v>0</v>
      </c>
      <c r="U1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4" s="18">
        <f>IF(Tabela3[[#This Row],[Lucro Líquido]]&gt;0,Tabela3[[#This Row],[Lucro Líquido]]/Tabela3[[#This Row],[Patrimônio Líquido]],0)/Tabela3[[#This Row],[Ref]]*4</f>
        <v>0</v>
      </c>
      <c r="W1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4" s="18">
        <f>IF(Tabela3[[#This Row],[Dívida]]&gt;0,Tabela3[[#This Row],[Dívida]]/Tabela3[[#This Row],[Patrimônio Líquido]],0)</f>
        <v>0</v>
      </c>
      <c r="Y154" s="18">
        <f>SUMPRODUCT(N([Dívida / PL]&gt;0),N(RIGHT([PAPEL],LEN([PAPEL])-(LEN([PAPEL])-1))="3"),[Dívida / PL])/SUMPRODUCT(N([Dívida / PL]&gt;0),N(RIGHT([PAPEL],LEN([PAPEL])-(LEN([PAPEL])-1))="3"))</f>
        <v>2.2435702141443779</v>
      </c>
      <c r="Z154" s="7">
        <f>Tabela3[[#This Row],[Capital Social]]*20%</f>
        <v>25846369.922000002</v>
      </c>
      <c r="AA154" s="47">
        <f>IF(([Lucro Líquido]*5%)&gt;[Teto R. Legal],[Teto R. Legal],[Lucro Líquido]*5%)</f>
        <v>-93500</v>
      </c>
      <c r="AB154" s="47">
        <f>IF([Lucro Líquido]&lt;0,0,[Lucro Líquido]-[Reserva Legal])</f>
        <v>0</v>
      </c>
      <c r="AC154" s="47">
        <f>Tabela3[[#This Row],[Lucro Distribuir]]*[%Div]</f>
        <v>0</v>
      </c>
      <c r="AD154" s="56">
        <f>SUMPRODUCT(N([Nome]=Tabela3[[#This Row],[Nome]]),[Ações])</f>
        <v>42900000</v>
      </c>
      <c r="AE154" s="84">
        <f>[Capital Social]/[Total Ações]</f>
        <v>3.012397426806527</v>
      </c>
      <c r="AF154" s="84">
        <f>Tabela3[[#This Row],[Lucro Líquido]]/Tabela3[[#This Row],[Total Ações]]</f>
        <v>-4.3589743589743588E-2</v>
      </c>
      <c r="AG1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4" s="7">
        <f>[Div Base]*[Ações]</f>
        <v>0</v>
      </c>
      <c r="AL154" s="113">
        <f>SUMPRODUCT(N([Nome]=Tabela3[[#This Row],[Nome]]),[Div Base]*[Ações])</f>
        <v>0</v>
      </c>
      <c r="AM154" s="5">
        <f>[Patrimônio Líquido]/[Total Ações]</f>
        <v>3.6065734265734264</v>
      </c>
      <c r="AN154" s="52">
        <f>MAX(Tabela3[[#This Row],[Cotação 1]:[Cotação 5]])</f>
        <v>2.0499999999999998</v>
      </c>
      <c r="AO154" s="53">
        <f>[Cotação]/[VPA]</f>
        <v>0.56840656144568968</v>
      </c>
      <c r="AP154" s="37">
        <f>IF(Tabela3[[#This Row],[Lucro/Ação]]&gt;0,Tabela3[[#This Row],[Cotação]]/(Tabela3[[#This Row],[Lucro/Ação]]/[Ref]*4),0)</f>
        <v>0</v>
      </c>
      <c r="AQ154" s="84">
        <f>[Lucro Distribuir]/[Total Ações]</f>
        <v>0</v>
      </c>
      <c r="AR15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4" s="10" t="str">
        <f>IF(AND([% A.A.]&gt;=5%,SUMPRODUCT(N([Nome]=Tabela3[[#This Row],[Nome]]),[PL])&gt;0,[Rentabilidade s/ PL]&gt;=[Rentabilidade s/ PL Média]),"Sim","Não")</f>
        <v>Não</v>
      </c>
      <c r="AT154" s="22">
        <f>IF([Cotação]&gt;0,Tabela3[[#This Row],[Lucro]]/Tabela3[[#This Row],[Cotação]],0)</f>
        <v>0</v>
      </c>
      <c r="AU154" s="22">
        <f>((1+Tabela3[[#This Row],[% Yield]])^(1/(3*Tabela3[[#This Row],[Ref]])))^(12)-1</f>
        <v>0</v>
      </c>
      <c r="AV154" s="10">
        <f>IF([Cotação]&gt;0,($BH$1/Tabela3[[#This Row],[Cotação]]-MOD($BH$1/Tabela3[[#This Row],[Cotação]],100)),)</f>
        <v>300</v>
      </c>
      <c r="AW154" s="7">
        <f>Tabela3[[#This Row],[Ativos]]*[Lucro]</f>
        <v>0</v>
      </c>
      <c r="AX154" s="7">
        <f>SUMPRODUCT(N(Tabela1[Código]=Tabela3[[#This Row],[PAPEL]]),Tabela1[Fechamento])</f>
        <v>0</v>
      </c>
      <c r="AY154" s="7">
        <f>SUMPRODUCT(N(Tabela17[Código]=Tabela3[[#This Row],[PAPEL]]),Tabela17[Fechamento])</f>
        <v>0</v>
      </c>
      <c r="AZ154" s="7">
        <f>SUMPRODUCT(N(Tabela176[Código]=Tabela3[[#This Row],[PAPEL]]),Tabela176[Fechamento])</f>
        <v>0</v>
      </c>
      <c r="BA154" s="7">
        <f>SUMPRODUCT(N(Tabela1768[Código]=Tabela3[[#This Row],[PAPEL]]),Tabela1768[Fechamento])</f>
        <v>0</v>
      </c>
      <c r="BB154" s="7">
        <f>SUMPRODUCT(N(Tabela17683[Código]=Tabela3[[#This Row],[PAPEL]]),Tabela17683[Fechamento])</f>
        <v>2.0499999999999998</v>
      </c>
    </row>
    <row r="155" spans="1:54" ht="11.25" customHeight="1">
      <c r="A155" s="3" t="s">
        <v>957</v>
      </c>
      <c r="B155" s="58" t="s">
        <v>959</v>
      </c>
      <c r="C155" s="16" t="str">
        <f>LEFT([PAPEL],LEN([PAPEL])-(LEN([PAPEL])-4))</f>
        <v>CAMB</v>
      </c>
      <c r="D155" s="16">
        <v>3</v>
      </c>
      <c r="E155" s="5">
        <v>32340000</v>
      </c>
      <c r="F155" s="56">
        <v>25464982</v>
      </c>
      <c r="G155" s="80">
        <v>0.25</v>
      </c>
      <c r="H155" s="86"/>
      <c r="J155" s="18"/>
      <c r="K155" s="16"/>
      <c r="L155" s="86"/>
      <c r="M155" s="54"/>
      <c r="N155" s="54"/>
      <c r="O155" s="54"/>
      <c r="P155" s="90">
        <v>29017000</v>
      </c>
      <c r="Q155" s="73">
        <v>1159000</v>
      </c>
      <c r="R155" s="73">
        <f>IF(Tabela3[[#This Row],[Ativo || Passivo]]&gt;0,Tabela3[[#This Row],[Ativo || Passivo]]-Tabela3[[#This Row],[Patrimônio Líquido]],0)</f>
        <v>0</v>
      </c>
      <c r="S155" s="73">
        <f>Tabela3[[#This Row],[Cotação]]*Tabela3[[#This Row],[Total Ações]]</f>
        <v>83658380.329999998</v>
      </c>
      <c r="T155" s="37">
        <f>IF(Tabela3[[#This Row],[Passivo Circulante]]&gt;0,Tabela3[[#This Row],[Ativo Circulante]]/Tabela3[[#This Row],[Passivo Circulante]],0)</f>
        <v>0</v>
      </c>
      <c r="U15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5" s="18">
        <f>IF(Tabela3[[#This Row],[Lucro Líquido]]&gt;0,Tabela3[[#This Row],[Lucro Líquido]]/Tabela3[[#This Row],[Patrimônio Líquido]],0)/Tabela3[[#This Row],[Ref]]*4</f>
        <v>5.3256137206924681E-2</v>
      </c>
      <c r="W1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5" s="18">
        <f>IF(Tabela3[[#This Row],[Dívida]]&gt;0,Tabela3[[#This Row],[Dívida]]/Tabela3[[#This Row],[Patrimônio Líquido]],0)</f>
        <v>0</v>
      </c>
      <c r="Y155" s="18">
        <f>SUMPRODUCT(N([Dívida / PL]&gt;0),N(RIGHT([PAPEL],LEN([PAPEL])-(LEN([PAPEL])-1))="3"),[Dívida / PL])/SUMPRODUCT(N([Dívida / PL]&gt;0),N(RIGHT([PAPEL],LEN([PAPEL])-(LEN([PAPEL])-1))="3"))</f>
        <v>2.2435702141443779</v>
      </c>
      <c r="Z155" s="7">
        <f>Tabela3[[#This Row],[Capital Social]]*20%</f>
        <v>6468000</v>
      </c>
      <c r="AA155" s="47">
        <f>IF(([Lucro Líquido]*5%)&gt;[Teto R. Legal],[Teto R. Legal],[Lucro Líquido]*5%)</f>
        <v>57950</v>
      </c>
      <c r="AB155" s="47">
        <f>IF([Lucro Líquido]&lt;0,0,[Lucro Líquido]-[Reserva Legal])</f>
        <v>1101050</v>
      </c>
      <c r="AC155" s="47">
        <f>Tabela3[[#This Row],[Lucro Distribuir]]*[%Div]</f>
        <v>275262.5</v>
      </c>
      <c r="AD155" s="56">
        <f>SUMPRODUCT(N([Nome]=Tabela3[[#This Row],[Nome]]),[Ações])</f>
        <v>38552249</v>
      </c>
      <c r="AE155" s="84">
        <f>[Capital Social]/[Total Ações]</f>
        <v>0.83886156680509094</v>
      </c>
      <c r="AF155" s="84">
        <f>Tabela3[[#This Row],[Lucro Líquido]]/Tabela3[[#This Row],[Total Ações]]</f>
        <v>3.0063096967442807E-2</v>
      </c>
      <c r="AG15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15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155" s="7">
        <f>[Div Base]*[Ações]</f>
        <v>181819.60299579409</v>
      </c>
      <c r="AL155" s="7">
        <f>SUMPRODUCT(N([Nome]=Tabela3[[#This Row],[Nome]]),[Div Base]*[Ações])</f>
        <v>275262.5</v>
      </c>
      <c r="AM155" s="5">
        <f>[Patrimônio Líquido]/[Total Ações]</f>
        <v>0.75266685479231055</v>
      </c>
      <c r="AN155" s="52">
        <f>MAX(Tabela3[[#This Row],[Cotação 1]:[Cotação 5]])</f>
        <v>2.17</v>
      </c>
      <c r="AO155" s="53">
        <f>[Cotação]/[VPA]</f>
        <v>2.8830816531688321</v>
      </c>
      <c r="AP155" s="37">
        <f>IF(Tabela3[[#This Row],[Lucro/Ação]]&gt;0,Tabela3[[#This Row],[Cotação]]/(Tabela3[[#This Row],[Lucro/Ação]]/[Ref]*4),0)</f>
        <v>54.136139126402071</v>
      </c>
      <c r="AQ155" s="84">
        <f>[Lucro Distribuir]/[Total Ações]</f>
        <v>2.8559942119070668E-2</v>
      </c>
      <c r="AR155" s="84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155" s="10" t="str">
        <f>IF(AND([% A.A.]&gt;=5%,SUMPRODUCT(N([Nome]=Tabela3[[#This Row],[Nome]]),[PL])&gt;0,[Rentabilidade s/ PL]&gt;=[Rentabilidade s/ PL Média]),"Sim","Não")</f>
        <v>Não</v>
      </c>
      <c r="AT155" s="22">
        <f>IF([Cotação]&gt;0,Tabela3[[#This Row],[Lucro]]/Tabela3[[#This Row],[Cotação]],0)</f>
        <v>3.2903159123353304E-3</v>
      </c>
      <c r="AU155" s="22">
        <f>((1+Tabela3[[#This Row],[% Yield]])^(1/(3*Tabela3[[#This Row],[Ref]])))^(12)-1</f>
        <v>4.3894919439444458E-3</v>
      </c>
      <c r="AV155" s="10">
        <f>IF([Cotação]&gt;0,($BH$1/Tabela3[[#This Row],[Cotação]]-MOD($BH$1/Tabela3[[#This Row],[Cotação]],100)),)</f>
        <v>300</v>
      </c>
      <c r="AW155" s="7">
        <f>Tabela3[[#This Row],[Ativos]]*[Lucro]</f>
        <v>2.1419956589303002</v>
      </c>
      <c r="AX155" s="7">
        <f>SUMPRODUCT(N(Tabela1[Código]=Tabela3[[#This Row],[PAPEL]]),Tabela1[Fechamento])</f>
        <v>0</v>
      </c>
      <c r="AY155" s="7">
        <f>SUMPRODUCT(N(Tabela17[Código]=Tabela3[[#This Row],[PAPEL]]),Tabela17[Fechamento])</f>
        <v>0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2.17</v>
      </c>
      <c r="BB155" s="7">
        <f>SUMPRODUCT(N(Tabela17683[Código]=Tabela3[[#This Row],[PAPEL]]),Tabela17683[Fechamento])</f>
        <v>0</v>
      </c>
    </row>
    <row r="156" spans="1:54">
      <c r="A156" s="3" t="s">
        <v>876</v>
      </c>
      <c r="B156" s="58" t="s">
        <v>934</v>
      </c>
      <c r="C156" s="16" t="str">
        <f>LEFT([PAPEL],LEN([PAPEL])-(LEN([PAPEL])-4))</f>
        <v>PTNT</v>
      </c>
      <c r="D156" s="16">
        <v>4</v>
      </c>
      <c r="E156" s="5">
        <v>50000000</v>
      </c>
      <c r="F156" s="56">
        <v>16016924</v>
      </c>
      <c r="G156" s="80">
        <v>0.25</v>
      </c>
      <c r="H156" s="86"/>
      <c r="J156" s="18"/>
      <c r="K156" s="16"/>
      <c r="L156" s="86"/>
      <c r="M156" s="54"/>
      <c r="N156" s="54"/>
      <c r="O156" s="54"/>
      <c r="P156" s="90">
        <v>118772709</v>
      </c>
      <c r="Q156" s="73">
        <v>1579998</v>
      </c>
      <c r="R156" s="73">
        <f>IF(Tabela3[[#This Row],[Ativo || Passivo]]&gt;0,Tabela3[[#This Row],[Ativo || Passivo]]-Tabela3[[#This Row],[Patrimônio Líquido]],0)</f>
        <v>0</v>
      </c>
      <c r="S156" s="73">
        <f>Tabela3[[#This Row],[Cotação]]*Tabela3[[#This Row],[Total Ações]]</f>
        <v>108104598</v>
      </c>
      <c r="T156" s="37">
        <f>IF(Tabela3[[#This Row],[Passivo Circulante]]&gt;0,Tabela3[[#This Row],[Ativo Circulante]]/Tabela3[[#This Row],[Passivo Circulante]],0)</f>
        <v>0</v>
      </c>
      <c r="U1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6" s="18">
        <f>IF(Tabela3[[#This Row],[Lucro Líquido]]&gt;0,Tabela3[[#This Row],[Lucro Líquido]]/Tabela3[[#This Row],[Patrimônio Líquido]],0)/Tabela3[[#This Row],[Ref]]*4</f>
        <v>1.3302702391001286E-2</v>
      </c>
      <c r="W1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6" s="18">
        <f>IF(Tabela3[[#This Row],[Dívida]]&gt;0,Tabela3[[#This Row],[Dívida]]/Tabela3[[#This Row],[Patrimônio Líquido]],0)</f>
        <v>0</v>
      </c>
      <c r="Y156" s="18">
        <f>SUMPRODUCT(N([Dívida / PL]&gt;0),N(RIGHT([PAPEL],LEN([PAPEL])-(LEN([PAPEL])-1))="3"),[Dívida / PL])/SUMPRODUCT(N([Dívida / PL]&gt;0),N(RIGHT([PAPEL],LEN([PAPEL])-(LEN([PAPEL])-1))="3"))</f>
        <v>2.2435702141443779</v>
      </c>
      <c r="Z156" s="7">
        <f>Tabela3[[#This Row],[Capital Social]]*20%</f>
        <v>10000000</v>
      </c>
      <c r="AA156" s="47">
        <f>IF(([Lucro Líquido]*5%)&gt;[Teto R. Legal],[Teto R. Legal],[Lucro Líquido]*5%)</f>
        <v>78999.900000000009</v>
      </c>
      <c r="AB156" s="47">
        <f>IF([Lucro Líquido]&lt;0,0,[Lucro Líquido]-[Reserva Legal])</f>
        <v>1500998.1</v>
      </c>
      <c r="AC156" s="47">
        <f>Tabela3[[#This Row],[Lucro Distribuir]]*[%Div]</f>
        <v>375249.52500000002</v>
      </c>
      <c r="AD156" s="56">
        <f>SUMPRODUCT(N([Nome]=Tabela3[[#This Row],[Nome]]),[Ações])</f>
        <v>48046488</v>
      </c>
      <c r="AE156" s="84">
        <f>[Capital Social]/[Total Ações]</f>
        <v>1.0406587886298786</v>
      </c>
      <c r="AF156" s="84">
        <f>Tabela3[[#This Row],[Lucro Líquido]]/Tabela3[[#This Row],[Total Ações]]</f>
        <v>3.288477609435262E-2</v>
      </c>
      <c r="AG1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1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6" s="7">
        <f>[Div Base]*[Ações]</f>
        <v>0</v>
      </c>
      <c r="AL156" s="7">
        <f>SUMPRODUCT(N([Nome]=Tabela3[[#This Row],[Nome]]),[Div Base]*[Ações])</f>
        <v>1500998.1</v>
      </c>
      <c r="AM156" s="5">
        <f>[Patrimônio Líquido]/[Total Ações]</f>
        <v>2.4720372694045816</v>
      </c>
      <c r="AN156" s="52">
        <f>MAX(Tabela3[[#This Row],[Cotação 1]:[Cotação 5]])</f>
        <v>2.25</v>
      </c>
      <c r="AO156" s="53">
        <f>[Cotação]/[VPA]</f>
        <v>0.91018045231249212</v>
      </c>
      <c r="AP156" s="37">
        <f>IF(Tabela3[[#This Row],[Lucro/Ação]]&gt;0,Tabela3[[#This Row],[Cotação]]/(Tabela3[[#This Row],[Lucro/Ação]]/[Ref]*4),0)</f>
        <v>68.420718254073734</v>
      </c>
      <c r="AQ156" s="84">
        <f>[Lucro Distribuir]/[Total Ações]</f>
        <v>3.1240537289634992E-2</v>
      </c>
      <c r="AR15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6" s="10" t="str">
        <f>IF(AND([% A.A.]&gt;=5%,SUMPRODUCT(N([Nome]=Tabela3[[#This Row],[Nome]]),[PL])&gt;0,[Rentabilidade s/ PL]&gt;=[Rentabilidade s/ PL Média]),"Sim","Não")</f>
        <v>Não</v>
      </c>
      <c r="AT156" s="22">
        <f>IF([Cotação]&gt;0,Tabela3[[#This Row],[Lucro]]/Tabela3[[#This Row],[Cotação]],0)</f>
        <v>0</v>
      </c>
      <c r="AU156" s="22">
        <f>((1+Tabela3[[#This Row],[% Yield]])^(1/(3*Tabela3[[#This Row],[Ref]])))^(12)-1</f>
        <v>0</v>
      </c>
      <c r="AV156" s="10">
        <f>IF([Cotação]&gt;0,($BH$1/Tabela3[[#This Row],[Cotação]]-MOD($BH$1/Tabela3[[#This Row],[Cotação]],100)),)</f>
        <v>300</v>
      </c>
      <c r="AW156" s="7">
        <f>Tabela3[[#This Row],[Ativos]]*[Lucro]</f>
        <v>0</v>
      </c>
      <c r="AX156" s="7">
        <f>SUMPRODUCT(N(Tabela1[Código]=Tabela3[[#This Row],[PAPEL]]),Tabela1[Fechamento])</f>
        <v>0</v>
      </c>
      <c r="AY156" s="7">
        <f>SUMPRODUCT(N(Tabela17[Código]=Tabela3[[#This Row],[PAPEL]]),Tabela17[Fechamento])</f>
        <v>0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2.25</v>
      </c>
      <c r="BB156" s="7">
        <f>SUMPRODUCT(N(Tabela17683[Código]=Tabela3[[#This Row],[PAPEL]]),Tabela17683[Fechamento])</f>
        <v>0</v>
      </c>
    </row>
    <row r="157" spans="1:54" ht="11.25" customHeight="1">
      <c r="A157" s="3" t="s">
        <v>876</v>
      </c>
      <c r="B157" s="58" t="s">
        <v>912</v>
      </c>
      <c r="C157" s="16" t="str">
        <f>LEFT([PAPEL],LEN([PAPEL])-(LEN([PAPEL])-4))</f>
        <v>CTNM</v>
      </c>
      <c r="D157" s="16">
        <v>3</v>
      </c>
      <c r="E157" s="5">
        <v>882235698</v>
      </c>
      <c r="F157" s="56">
        <v>66894628</v>
      </c>
      <c r="G157" s="80">
        <v>0.25</v>
      </c>
      <c r="H157" s="86"/>
      <c r="J157" s="18"/>
      <c r="K157" s="16"/>
      <c r="L157" s="86"/>
      <c r="M157" s="54"/>
      <c r="N157" s="54"/>
      <c r="O157" s="54"/>
      <c r="P157" s="90">
        <v>1000768000</v>
      </c>
      <c r="Q157" s="73">
        <v>-24156000</v>
      </c>
      <c r="R157" s="73">
        <f>IF(Tabela3[[#This Row],[Ativo || Passivo]]&gt;0,Tabela3[[#This Row],[Ativo || Passivo]]-Tabela3[[#This Row],[Patrimônio Líquido]],0)</f>
        <v>0</v>
      </c>
      <c r="S157" s="73">
        <f>Tabela3[[#This Row],[Cotação]]*Tabela3[[#This Row],[Total Ações]]</f>
        <v>276953571.27999997</v>
      </c>
      <c r="T157" s="37">
        <f>IF(Tabela3[[#This Row],[Passivo Circulante]]&gt;0,Tabela3[[#This Row],[Ativo Circulante]]/Tabela3[[#This Row],[Passivo Circulante]],0)</f>
        <v>0</v>
      </c>
      <c r="U15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7" s="18">
        <f>IF(Tabela3[[#This Row],[Lucro Líquido]]&gt;0,Tabela3[[#This Row],[Lucro Líquido]]/Tabela3[[#This Row],[Patrimônio Líquido]],0)/Tabela3[[#This Row],[Ref]]*4</f>
        <v>0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7" s="18">
        <f>IF(Tabela3[[#This Row],[Dívida]]&gt;0,Tabela3[[#This Row],[Dívida]]/Tabela3[[#This Row],[Patrimônio Líquido]],0)</f>
        <v>0</v>
      </c>
      <c r="Y157" s="18">
        <f>SUMPRODUCT(N([Dívida / PL]&gt;0),N(RIGHT([PAPEL],LEN([PAPEL])-(LEN([PAPEL])-1))="3"),[Dívida / PL])/SUMPRODUCT(N([Dívida / PL]&gt;0),N(RIGHT([PAPEL],LEN([PAPEL])-(LEN([PAPEL])-1))="3"))</f>
        <v>2.2435702141443779</v>
      </c>
      <c r="Z157" s="7">
        <f>Tabela3[[#This Row],[Capital Social]]*20%</f>
        <v>176447139.60000002</v>
      </c>
      <c r="AA157" s="47">
        <f>IF(([Lucro Líquido]*5%)&gt;[Teto R. Legal],[Teto R. Legal],[Lucro Líquido]*5%)</f>
        <v>-1207800</v>
      </c>
      <c r="AB157" s="47">
        <f>IF([Lucro Líquido]&lt;0,0,[Lucro Líquido]-[Reserva Legal])</f>
        <v>0</v>
      </c>
      <c r="AC157" s="47">
        <f>Tabela3[[#This Row],[Lucro Distribuir]]*[%Div]</f>
        <v>0</v>
      </c>
      <c r="AD157" s="56">
        <f>SUMPRODUCT(N([Nome]=Tabela3[[#This Row],[Nome]]),[Ações])</f>
        <v>122545828</v>
      </c>
      <c r="AE157" s="84">
        <f>[Capital Social]/[Total Ações]</f>
        <v>7.1992307889910379</v>
      </c>
      <c r="AF157" s="84">
        <f>Tabela3[[#This Row],[Lucro Líquido]]/Tabela3[[#This Row],[Total Ações]]</f>
        <v>-0.19711809364901431</v>
      </c>
      <c r="AG15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7" s="7">
        <f>[Div Base]*[Ações]</f>
        <v>0</v>
      </c>
      <c r="AL157" s="7">
        <f>SUMPRODUCT(N([Nome]=Tabela3[[#This Row],[Nome]]),[Div Base]*[Ações])</f>
        <v>0</v>
      </c>
      <c r="AM157" s="5">
        <f>[Patrimônio Líquido]/[Total Ações]</f>
        <v>8.1664795638738514</v>
      </c>
      <c r="AN157" s="52">
        <f>MAX(Tabela3[[#This Row],[Cotação 1]:[Cotação 5]])</f>
        <v>2.2599999999999998</v>
      </c>
      <c r="AO157" s="53">
        <f>[Cotação]/[VPA]</f>
        <v>0.27674103416576068</v>
      </c>
      <c r="AP157" s="37">
        <f>IF(Tabela3[[#This Row],[Lucro/Ação]]&gt;0,Tabela3[[#This Row],[Cotação]]/(Tabela3[[#This Row],[Lucro/Ação]]/[Ref]*4),0)</f>
        <v>0</v>
      </c>
      <c r="AQ157" s="84">
        <f>[Lucro Distribuir]/[Total Ações]</f>
        <v>0</v>
      </c>
      <c r="AR15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0</v>
      </c>
      <c r="AU157" s="22">
        <f>((1+Tabela3[[#This Row],[% Yield]])^(1/(3*Tabela3[[#This Row],[Ref]])))^(12)-1</f>
        <v>0</v>
      </c>
      <c r="AV157" s="10">
        <f>IF([Cotação]&gt;0,($BH$1/Tabela3[[#This Row],[Cotação]]-MOD($BH$1/Tabela3[[#This Row],[Cotação]],100)),)</f>
        <v>300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0</v>
      </c>
      <c r="BA157" s="7">
        <f>SUMPRODUCT(N(Tabela1768[Código]=Tabela3[[#This Row],[PAPEL]]),Tabela1768[Fechamento])</f>
        <v>2.2599999999999998</v>
      </c>
      <c r="BB157" s="7">
        <f>SUMPRODUCT(N(Tabela17683[Código]=Tabela3[[#This Row],[PAPEL]]),Tabela17683[Fechamento])</f>
        <v>0</v>
      </c>
    </row>
    <row r="158" spans="1:54" ht="11.25" customHeight="1">
      <c r="A158" s="4" t="s">
        <v>14</v>
      </c>
      <c r="B158" s="57" t="s">
        <v>187</v>
      </c>
      <c r="C158" s="14" t="str">
        <f>LEFT([PAPEL],LEN([PAPEL])-(LEN([PAPEL])-4))</f>
        <v>RPAD</v>
      </c>
      <c r="D158" s="15">
        <v>3</v>
      </c>
      <c r="E158" s="6">
        <v>267646990</v>
      </c>
      <c r="F158" s="8">
        <v>24356756</v>
      </c>
      <c r="G158" s="85">
        <v>0.25</v>
      </c>
      <c r="H158" s="15"/>
      <c r="I158" s="19"/>
      <c r="J158" s="19"/>
      <c r="K158" s="87"/>
      <c r="L158" s="87"/>
      <c r="M158" s="13">
        <v>731259000</v>
      </c>
      <c r="N158" s="13">
        <v>6491000</v>
      </c>
      <c r="O158" s="13">
        <v>4087000</v>
      </c>
      <c r="P158" s="6">
        <v>727021000</v>
      </c>
      <c r="Q158" s="6">
        <v>31097000</v>
      </c>
      <c r="R158" s="6">
        <f>IF(Tabela3[[#This Row],[Ativo || Passivo]]&gt;0,Tabela3[[#This Row],[Ativo || Passivo]]-Tabela3[[#This Row],[Patrimônio Líquido]],0)</f>
        <v>4238000</v>
      </c>
      <c r="S158" s="6">
        <f>Tabela3[[#This Row],[Cotação]]*Tabela3[[#This Row],[Total Ações]]</f>
        <v>193922396.00999999</v>
      </c>
      <c r="T158" s="121">
        <f>IF(Tabela3[[#This Row],[Passivo Circulante]]&gt;0,Tabela3[[#This Row],[Ativo Circulante]]/Tabela3[[#This Row],[Passivo Circulante]],0)</f>
        <v>1.5882065084413997</v>
      </c>
      <c r="U15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8" s="19">
        <f>IF(Tabela3[[#This Row],[Lucro Líquido]]&gt;0,Tabela3[[#This Row],[Lucro Líquido]]/Tabela3[[#This Row],[Patrimônio Líquido]],0)/Tabela3[[#This Row],[Ref]]*4</f>
        <v>5.7030906489175227E-2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8" s="19">
        <f>IF(Tabela3[[#This Row],[Dívida]]&gt;0,Tabela3[[#This Row],[Dívida]]/Tabela3[[#This Row],[Patrimônio Líquido]],0)</f>
        <v>5.829267655267179E-3</v>
      </c>
      <c r="Y158" s="19">
        <f>SUMPRODUCT(N([Dívida / PL]&gt;0),N(RIGHT([PAPEL],LEN([PAPEL])-(LEN([PAPEL])-1))="3"),[Dívida / PL])/SUMPRODUCT(N([Dívida / PL]&gt;0),N(RIGHT([PAPEL],LEN([PAPEL])-(LEN([PAPEL])-1))="3"))</f>
        <v>2.2435702141443779</v>
      </c>
      <c r="Z158" s="6">
        <f>Tabela3[[#This Row],[Capital Social]]*20%</f>
        <v>53529398</v>
      </c>
      <c r="AA158" s="6">
        <f>IF(([Lucro Líquido]*5%)&gt;[Teto R. Legal],[Teto R. Legal],[Lucro Líquido]*5%)</f>
        <v>1554850</v>
      </c>
      <c r="AB158" s="6">
        <f>IF([Lucro Líquido]&lt;0,0,[Lucro Líquido]-[Reserva Legal])</f>
        <v>29542150</v>
      </c>
      <c r="AC158" s="6">
        <f>Tabela3[[#This Row],[Lucro Distribuir]]*[%Div]</f>
        <v>7385537.5</v>
      </c>
      <c r="AD158" s="21">
        <f>SUMPRODUCT(N([Nome]=Tabela3[[#This Row],[Nome]]),[Ações])</f>
        <v>84682269</v>
      </c>
      <c r="AE158" s="6">
        <f>[Capital Social]/[Total Ações]</f>
        <v>3.1606024869267495</v>
      </c>
      <c r="AF158" s="77">
        <f>Tabela3[[#This Row],[Lucro Líquido]]/Tabela3[[#This Row],[Total Ações]]</f>
        <v>0.36721973049635692</v>
      </c>
      <c r="AG1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1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1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158" s="6">
        <f>[Div Base]*[Ações]</f>
        <v>677269.3420888345</v>
      </c>
      <c r="AL158" s="6">
        <f>SUMPRODUCT(N([Nome]=Tabela3[[#This Row],[Nome]]),[Div Base]*[Ações])</f>
        <v>7385537.5</v>
      </c>
      <c r="AM158" s="6">
        <f>[Patrimônio Líquido]/[Total Ações]</f>
        <v>8.5852801133611578</v>
      </c>
      <c r="AN158" s="48">
        <f>MAX(Tabela3[[#This Row],[Cotação 1]:[Cotação 5]])</f>
        <v>2.29</v>
      </c>
      <c r="AO158" s="44">
        <f>[Cotação]/[VPA]</f>
        <v>0.26673561837966164</v>
      </c>
      <c r="AP158" s="40">
        <f>IF(Tabela3[[#This Row],[Lucro/Ação]]&gt;0,Tabela3[[#This Row],[Cotação]]/(Tabela3[[#This Row],[Lucro/Ação]]/[Ref]*4),0)</f>
        <v>4.6770362738367046</v>
      </c>
      <c r="AQ158" s="77">
        <f>[Lucro Distribuir]/[Total Ações]</f>
        <v>0.3488587439715391</v>
      </c>
      <c r="AR158" s="77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1.2142454619392031E-2</v>
      </c>
      <c r="AU158" s="19">
        <f>((1+Tabela3[[#This Row],[% Yield]])^(1/(3*Tabela3[[#This Row],[Ref]])))^(12)-1</f>
        <v>1.6222615795948192E-2</v>
      </c>
      <c r="AV158" s="14">
        <f>IF([Cotação]&gt;0,($BH$1/Tabela3[[#This Row],[Cotação]]-MOD($BH$1/Tabela3[[#This Row],[Cotação]],100)),)</f>
        <v>300</v>
      </c>
      <c r="AW158" s="17">
        <f>Tabela3[[#This Row],[Ativos]]*[Lucro]</f>
        <v>8.3418663235223249</v>
      </c>
      <c r="AX158" s="5">
        <f>SUMPRODUCT(N(Tabela1[Código]=Tabela3[[#This Row],[PAPEL]]),Tabela1[Fechamento])</f>
        <v>2.29</v>
      </c>
      <c r="AY158" s="5">
        <f>SUMPRODUCT(N(Tabela17[Código]=Tabela3[[#This Row],[PAPEL]]),Tabela17[Fechamento])</f>
        <v>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customHeight="1">
      <c r="A159" s="4" t="s">
        <v>559</v>
      </c>
      <c r="B159" s="57" t="s">
        <v>562</v>
      </c>
      <c r="C159" s="15" t="str">
        <f>LEFT([PAPEL],LEN([PAPEL])-(LEN([PAPEL])-4))</f>
        <v>TELB</v>
      </c>
      <c r="D159" s="15">
        <v>3</v>
      </c>
      <c r="E159" s="6">
        <v>263145011.81999999</v>
      </c>
      <c r="F159" s="8">
        <v>21002999</v>
      </c>
      <c r="G159" s="85">
        <v>0.25</v>
      </c>
      <c r="H159" s="15"/>
      <c r="I159" s="19">
        <v>0.06</v>
      </c>
      <c r="J159" s="19"/>
      <c r="K159" s="87"/>
      <c r="L159" s="87"/>
      <c r="M159" s="55"/>
      <c r="N159" s="55"/>
      <c r="O159" s="55"/>
      <c r="P159" s="91">
        <v>133454000</v>
      </c>
      <c r="Q159" s="92">
        <v>-128852000</v>
      </c>
      <c r="R159" s="92">
        <f>IF(Tabela3[[#This Row],[Ativo || Passivo]]&gt;0,Tabela3[[#This Row],[Ativo || Passivo]]-Tabela3[[#This Row],[Patrimônio Líquido]],0)</f>
        <v>0</v>
      </c>
      <c r="S159" s="92">
        <f>Tabela3[[#This Row],[Cotação]]*Tabela3[[#This Row],[Total Ações]]</f>
        <v>274787105.75999999</v>
      </c>
      <c r="T159" s="40">
        <f>IF(Tabela3[[#This Row],[Passivo Circulante]]&gt;0,Tabela3[[#This Row],[Ativo Circulante]]/Tabela3[[#This Row],[Passivo Circulante]],0)</f>
        <v>0</v>
      </c>
      <c r="U15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59" s="19">
        <f>IF(Tabela3[[#This Row],[Lucro Líquido]]&gt;0,Tabela3[[#This Row],[Lucro Líquido]]/Tabela3[[#This Row],[Patrimônio Líquido]],0)/Tabela3[[#This Row],[Ref]]*4</f>
        <v>0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59" s="19">
        <f>IF(Tabela3[[#This Row],[Dívida]]&gt;0,Tabela3[[#This Row],[Dívida]]/Tabela3[[#This Row],[Patrimônio Líquido]],0)</f>
        <v>0</v>
      </c>
      <c r="Y159" s="19">
        <f>SUMPRODUCT(N([Dívida / PL]&gt;0),N(RIGHT([PAPEL],LEN([PAPEL])-(LEN([PAPEL])-1))="3"),[Dívida / PL])/SUMPRODUCT(N([Dívida / PL]&gt;0),N(RIGHT([PAPEL],LEN([PAPEL])-(LEN([PAPEL])-1))="3"))</f>
        <v>2.2435702141443779</v>
      </c>
      <c r="Z159" s="13">
        <f>Tabela3[[#This Row],[Capital Social]]*20%</f>
        <v>52629002.364</v>
      </c>
      <c r="AA159" s="13">
        <f>IF(([Lucro Líquido]*5%)&gt;[Teto R. Legal],[Teto R. Legal],[Lucro Líquido]*5%)</f>
        <v>-6442600</v>
      </c>
      <c r="AB159" s="13">
        <f>IF([Lucro Líquido]&lt;0,0,[Lucro Líquido]-[Reserva Legal])</f>
        <v>0</v>
      </c>
      <c r="AC159" s="13">
        <f>Tabela3[[#This Row],[Lucro Distribuir]]*[%Div]</f>
        <v>0</v>
      </c>
      <c r="AD159" s="56">
        <f>SUMPRODUCT(N([Nome]=Tabela3[[#This Row],[Nome]]),[Ações])</f>
        <v>118442718</v>
      </c>
      <c r="AE159" s="6">
        <f>[Capital Social]/[Total Ações]</f>
        <v>2.2217069674135645</v>
      </c>
      <c r="AF159" s="77">
        <f>Tabela3[[#This Row],[Lucro Líquido]]/Tabela3[[#This Row],[Total Ações]]</f>
        <v>-1.087884524905955</v>
      </c>
      <c r="AG1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9" s="13">
        <f>[Div Base]*[Ações]</f>
        <v>0</v>
      </c>
      <c r="AL159" s="13">
        <f>SUMPRODUCT(N([Nome]=Tabela3[[#This Row],[Nome]]),[Div Base]*[Ações])</f>
        <v>0</v>
      </c>
      <c r="AM159" s="6">
        <f>[Patrimônio Líquido]/[Total Ações]</f>
        <v>1.126738749781139</v>
      </c>
      <c r="AN159" s="48">
        <f>MAX(Tabela3[[#This Row],[Cotação 1]:[Cotação 5]])</f>
        <v>2.3199999999999998</v>
      </c>
      <c r="AO159" s="44">
        <f>[Cotação]/[VPA]</f>
        <v>2.0590398621247767</v>
      </c>
      <c r="AP159" s="40">
        <f>IF(Tabela3[[#This Row],[Lucro/Ação]]&gt;0,Tabela3[[#This Row],[Cotação]]/(Tabela3[[#This Row],[Lucro/Ação]]/[Ref]*4),0)</f>
        <v>0</v>
      </c>
      <c r="AQ159" s="77">
        <f>[Lucro Distribuir]/[Total Ações]</f>
        <v>0</v>
      </c>
      <c r="AR15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9" s="14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0</v>
      </c>
      <c r="AU159" s="42">
        <f>((1+Tabela3[[#This Row],[% Yield]])^(1/(3*Tabela3[[#This Row],[Ref]])))^(12)-1</f>
        <v>0</v>
      </c>
      <c r="AV159" s="14">
        <f>IF([Cotação]&gt;0,($BH$1/Tabela3[[#This Row],[Cotação]]-MOD($BH$1/Tabela3[[#This Row],[Cotação]],100)),)</f>
        <v>300</v>
      </c>
      <c r="AW159" s="17">
        <f>Tabela3[[#This Row],[Ativos]]*[Lucro]</f>
        <v>0</v>
      </c>
      <c r="AX159" s="17">
        <f>SUMPRODUCT(N(Tabela1[Código]=Tabela3[[#This Row],[PAPEL]]),Tabela1[Fechamento])</f>
        <v>0</v>
      </c>
      <c r="AY159" s="17">
        <f>SUMPRODUCT(N(Tabela17[Código]=Tabela3[[#This Row],[PAPEL]]),Tabela17[Fechamento])</f>
        <v>0</v>
      </c>
      <c r="AZ159" s="17">
        <f>SUMPRODUCT(N(Tabela176[Código]=Tabela3[[#This Row],[PAPEL]]),Tabela176[Fechamento])</f>
        <v>2.3199999999999998</v>
      </c>
      <c r="BA159" s="1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customHeight="1">
      <c r="A160" s="4" t="s">
        <v>570</v>
      </c>
      <c r="B160" s="57" t="s">
        <v>573</v>
      </c>
      <c r="C160" s="15" t="str">
        <f>LEFT([PAPEL],LEN([PAPEL])-(LEN([PAPEL])-4))</f>
        <v>POSI</v>
      </c>
      <c r="D160" s="15">
        <v>4</v>
      </c>
      <c r="E160" s="6">
        <v>389000000</v>
      </c>
      <c r="F160" s="8">
        <v>87800000</v>
      </c>
      <c r="G160" s="85">
        <v>0.25</v>
      </c>
      <c r="H160" s="15"/>
      <c r="I160" s="19"/>
      <c r="J160" s="19"/>
      <c r="K160" s="87"/>
      <c r="L160" s="87"/>
      <c r="M160" s="55">
        <v>1823441000</v>
      </c>
      <c r="N160" s="55">
        <v>1427846000</v>
      </c>
      <c r="O160" s="55">
        <v>949537000</v>
      </c>
      <c r="P160" s="91">
        <v>645728000</v>
      </c>
      <c r="Q160" s="92">
        <v>15590000</v>
      </c>
      <c r="R160" s="92">
        <f>IF(Tabela3[[#This Row],[Ativo || Passivo]]&gt;0,Tabela3[[#This Row],[Ativo || Passivo]]-Tabela3[[#This Row],[Patrimônio Líquido]],0)</f>
        <v>1177713000</v>
      </c>
      <c r="S160" s="92">
        <f>Tabela3[[#This Row],[Cotação]]*Tabela3[[#This Row],[Total Ações]]</f>
        <v>207208000</v>
      </c>
      <c r="T160" s="40">
        <f>IF(Tabela3[[#This Row],[Passivo Circulante]]&gt;0,Tabela3[[#This Row],[Ativo Circulante]]/Tabela3[[#This Row],[Passivo Circulante]],0)</f>
        <v>1.5037286593360764</v>
      </c>
      <c r="U16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0" s="19">
        <f>IF(Tabela3[[#This Row],[Lucro Líquido]]&gt;0,Tabela3[[#This Row],[Lucro Líquido]]/Tabela3[[#This Row],[Patrimônio Líquido]],0)/Tabela3[[#This Row],[Ref]]*4</f>
        <v>2.4143292531840031E-2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0" s="19">
        <f>IF(Tabela3[[#This Row],[Dívida]]&gt;0,Tabela3[[#This Row],[Dívida]]/Tabela3[[#This Row],[Patrimônio Líquido]],0)</f>
        <v>1.8238530774567621</v>
      </c>
      <c r="Y160" s="19">
        <f>SUMPRODUCT(N([Dívida / PL]&gt;0),N(RIGHT([PAPEL],LEN([PAPEL])-(LEN([PAPEL])-1))="3"),[Dívida / PL])/SUMPRODUCT(N([Dívida / PL]&gt;0),N(RIGHT([PAPEL],LEN([PAPEL])-(LEN([PAPEL])-1))="3"))</f>
        <v>2.2435702141443779</v>
      </c>
      <c r="Z160" s="13">
        <f>Tabela3[[#This Row],[Capital Social]]*20%</f>
        <v>77800000</v>
      </c>
      <c r="AA160" s="13">
        <f>IF(([Lucro Líquido]*5%)&gt;[Teto R. Legal],[Teto R. Legal],[Lucro Líquido]*5%)</f>
        <v>779500</v>
      </c>
      <c r="AB160" s="13">
        <f>IF([Lucro Líquido]&lt;0,0,[Lucro Líquido]-[Reserva Legal])</f>
        <v>14810500</v>
      </c>
      <c r="AC160" s="13">
        <f>Tabela3[[#This Row],[Lucro Distribuir]]*[%Div]</f>
        <v>3702625</v>
      </c>
      <c r="AD160" s="56">
        <f>SUMPRODUCT(N([Nome]=Tabela3[[#This Row],[Nome]]),[Ações])</f>
        <v>87800000</v>
      </c>
      <c r="AE160" s="6">
        <f>[Capital Social]/[Total Ações]</f>
        <v>4.4305239179954441</v>
      </c>
      <c r="AF160" s="77">
        <f>Tabela3[[#This Row],[Lucro Líquido]]/Tabela3[[#This Row],[Total Ações]]</f>
        <v>0.1775626423690205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160" s="13">
        <f>[Div Base]*[Ações]</f>
        <v>3702624.9999999995</v>
      </c>
      <c r="AL160" s="13">
        <f>SUMPRODUCT(N([Nome]=Tabela3[[#This Row],[Nome]]),[Div Base]*[Ações])</f>
        <v>3702624.9999999995</v>
      </c>
      <c r="AM160" s="6">
        <f>[Patrimônio Líquido]/[Total Ações]</f>
        <v>7.3545330296127567</v>
      </c>
      <c r="AN160" s="48">
        <f>MAX(Tabela3[[#This Row],[Cotação 1]:[Cotação 5]])</f>
        <v>2.36</v>
      </c>
      <c r="AO160" s="44">
        <f>[Cotação]/[VPA]</f>
        <v>0.32089052975865995</v>
      </c>
      <c r="AP160" s="40">
        <f>IF(Tabela3[[#This Row],[Lucro/Ação]]&gt;0,Tabela3[[#This Row],[Cotação]]/(Tabela3[[#This Row],[Lucro/Ação]]/[Ref]*4),0)</f>
        <v>13.291084028223219</v>
      </c>
      <c r="AQ160" s="77">
        <f>[Lucro Distribuir]/[Total Ações]</f>
        <v>0.16868451025056946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160" s="14" t="str">
        <f>IF(AND([% A.A.]&gt;=5%,SUMPRODUCT(N([Nome]=Tabela3[[#This Row],[Nome]]),[PL])&gt;0,[Rentabilidade s/ PL]&gt;=[Rentabilidade s/ PL Média]),"Sim","Não")</f>
        <v>Não</v>
      </c>
      <c r="AT160" s="42">
        <f>IF([Cotação]&gt;0,Tabela3[[#This Row],[Lucro]]/Tabela3[[#This Row],[Cotação]],0)</f>
        <v>1.7869121848577276E-2</v>
      </c>
      <c r="AU160" s="42">
        <f>((1+Tabela3[[#This Row],[% Yield]])^(1/(3*Tabela3[[#This Row],[Ref]])))^(12)-1</f>
        <v>1.7869121848577807E-2</v>
      </c>
      <c r="AV160" s="14">
        <f>IF([Cotação]&gt;0,($BH$1/Tabela3[[#This Row],[Cotação]]-MOD($BH$1/Tabela3[[#This Row],[Cotação]],100)),)</f>
        <v>300</v>
      </c>
      <c r="AW160" s="17">
        <f>Tabela3[[#This Row],[Ativos]]*[Lucro]</f>
        <v>12.65133826879271</v>
      </c>
      <c r="AX160" s="17">
        <f>SUMPRODUCT(N(Tabela1[Código]=Tabela3[[#This Row],[PAPEL]]),Tabela1[Fechamento])</f>
        <v>0</v>
      </c>
      <c r="AY160" s="17">
        <f>SUMPRODUCT(N(Tabela17[Código]=Tabela3[[#This Row],[PAPEL]]),Tabela17[Fechamento])</f>
        <v>0</v>
      </c>
      <c r="AZ160" s="17">
        <f>SUMPRODUCT(N(Tabela176[Código]=Tabela3[[#This Row],[PAPEL]]),Tabela176[Fechamento])</f>
        <v>2.36</v>
      </c>
      <c r="BA160" s="1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customHeight="1">
      <c r="A161" s="4" t="s">
        <v>12</v>
      </c>
      <c r="B161" s="57" t="s">
        <v>166</v>
      </c>
      <c r="C161" s="14" t="str">
        <f>LEFT([PAPEL],LEN([PAPEL])-(LEN([PAPEL])-4))</f>
        <v>ENGI</v>
      </c>
      <c r="D161" s="15">
        <v>3</v>
      </c>
      <c r="E161" s="6">
        <v>1010000001.6</v>
      </c>
      <c r="F161" s="8">
        <v>592714397</v>
      </c>
      <c r="G161" s="80">
        <v>0.25</v>
      </c>
      <c r="H161" s="15"/>
      <c r="I161" s="19"/>
      <c r="J161" s="19"/>
      <c r="K161" s="87"/>
      <c r="L161" s="87"/>
      <c r="M161" s="55"/>
      <c r="N161" s="55"/>
      <c r="O161" s="55"/>
      <c r="P161" s="88">
        <v>1825587000</v>
      </c>
      <c r="Q161" s="88">
        <v>190026000</v>
      </c>
      <c r="R161" s="88">
        <f>IF(Tabela3[[#This Row],[Ativo || Passivo]]&gt;0,Tabela3[[#This Row],[Ativo || Passivo]]-Tabela3[[#This Row],[Patrimônio Líquido]],0)</f>
        <v>0</v>
      </c>
      <c r="S161" s="88">
        <f>Tabela3[[#This Row],[Cotação]]*Tabela3[[#This Row],[Total Ações]]</f>
        <v>3076856495.8300004</v>
      </c>
      <c r="T161" s="121">
        <f>IF(Tabela3[[#This Row],[Passivo Circulante]]&gt;0,Tabela3[[#This Row],[Ativo Circulante]]/Tabela3[[#This Row],[Passivo Circulante]],0)</f>
        <v>0</v>
      </c>
      <c r="U16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1" s="19">
        <f>IF(Tabela3[[#This Row],[Lucro Líquido]]&gt;0,Tabela3[[#This Row],[Lucro Líquido]]/Tabela3[[#This Row],[Patrimônio Líquido]],0)/Tabela3[[#This Row],[Ref]]*4</f>
        <v>0.1387871407936187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2.2435702141443779</v>
      </c>
      <c r="Z161" s="6">
        <f>Tabela3[[#This Row],[Capital Social]]*20%</f>
        <v>202000000.32000002</v>
      </c>
      <c r="AA161" s="6">
        <f>IF(([Lucro Líquido]*5%)&gt;[Teto R. Legal],[Teto R. Legal],[Lucro Líquido]*5%)</f>
        <v>9501300</v>
      </c>
      <c r="AB161" s="88">
        <f>IF([Lucro Líquido]&lt;0,0,[Lucro Líquido]-[Reserva Legal])</f>
        <v>180524700</v>
      </c>
      <c r="AC161" s="88">
        <f>Tabela3[[#This Row],[Lucro Distribuir]]*[%Div]</f>
        <v>45131175</v>
      </c>
      <c r="AD161" s="56">
        <f>SUMPRODUCT(N([Nome]=Tabela3[[#This Row],[Nome]]),[Ações])</f>
        <v>1245690889</v>
      </c>
      <c r="AE161" s="6">
        <f>[Capital Social]/[Total Ações]</f>
        <v>0.81079504596103702</v>
      </c>
      <c r="AF161" s="77">
        <f>Tabela3[[#This Row],[Lucro Líquido]]/Tabela3[[#This Row],[Total Ações]]</f>
        <v>0.15254667243536371</v>
      </c>
      <c r="AG1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1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161" s="6">
        <f>[Div Base]*[Ações]</f>
        <v>21473944.629634738</v>
      </c>
      <c r="AL161" s="6">
        <f>SUMPRODUCT(N([Nome]=Tabela3[[#This Row],[Nome]]),[Div Base]*[Ações])</f>
        <v>45131175</v>
      </c>
      <c r="AM161" s="6">
        <f>[Patrimônio Líquido]/[Total Ações]</f>
        <v>1.4655216764614227</v>
      </c>
      <c r="AN161" s="48">
        <f>MAX(Tabela3[[#This Row],[Cotação 1]:[Cotação 5]])</f>
        <v>2.4700000000000002</v>
      </c>
      <c r="AO161" s="44">
        <f>[Cotação]/[VPA]</f>
        <v>1.6854066641743177</v>
      </c>
      <c r="AP161" s="40">
        <f>IF(Tabela3[[#This Row],[Lucro/Ação]]&gt;0,Tabela3[[#This Row],[Cotação]]/(Tabela3[[#This Row],[Lucro/Ação]]/[Ref]*4),0)</f>
        <v>12.143824381255722</v>
      </c>
      <c r="AQ161" s="77">
        <f>[Lucro Distribuir]/[Total Ações]</f>
        <v>0.14491933881359551</v>
      </c>
      <c r="AR161" s="77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1.4667949272631122E-2</v>
      </c>
      <c r="AU161" s="19">
        <f>((1+Tabela3[[#This Row],[% Yield]])^(1/(3*Tabela3[[#This Row],[Ref]])))^(12)-1</f>
        <v>1.9604921630577365E-2</v>
      </c>
      <c r="AV161" s="14">
        <f>IF([Cotação]&gt;0,($BH$1/Tabela3[[#This Row],[Cotação]]-MOD($BH$1/Tabela3[[#This Row],[Cotação]],100)),)</f>
        <v>300</v>
      </c>
      <c r="AW161" s="17">
        <f>Tabela3[[#This Row],[Ativos]]*[Lucro]</f>
        <v>10.868950411019663</v>
      </c>
      <c r="AX161" s="5">
        <f>SUMPRODUCT(N(Tabela1[Código]=Tabela3[[#This Row],[PAPEL]]),Tabela1[Fechamento])</f>
        <v>2.4700000000000002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customHeight="1">
      <c r="A162" s="4" t="s">
        <v>12</v>
      </c>
      <c r="B162" s="57" t="s">
        <v>437</v>
      </c>
      <c r="C162" s="15" t="str">
        <f>LEFT([PAPEL],LEN([PAPEL])-(LEN([PAPEL])-4))</f>
        <v>AFLT</v>
      </c>
      <c r="D162" s="15">
        <v>3</v>
      </c>
      <c r="E162" s="6">
        <v>63084700</v>
      </c>
      <c r="F162" s="8">
        <v>63084700</v>
      </c>
      <c r="G162" s="80">
        <v>0.25</v>
      </c>
      <c r="H162" s="15"/>
      <c r="I162" s="19"/>
      <c r="J162" s="19"/>
      <c r="K162" s="87"/>
      <c r="L162" s="87"/>
      <c r="M162" s="55">
        <v>78194000</v>
      </c>
      <c r="N162" s="55">
        <v>61063000</v>
      </c>
      <c r="O162" s="55">
        <v>2186000</v>
      </c>
      <c r="P162" s="91">
        <v>72786000</v>
      </c>
      <c r="Q162" s="92">
        <v>14725000</v>
      </c>
      <c r="R162" s="92">
        <f>IF(Tabela3[[#This Row],[Ativo || Passivo]]&gt;0,Tabela3[[#This Row],[Ativo || Passivo]]-Tabela3[[#This Row],[Patrimônio Líquido]],0)</f>
        <v>5408000</v>
      </c>
      <c r="S162" s="92">
        <f>Tabela3[[#This Row],[Cotação]]*Tabela3[[#This Row],[Total Ações]]</f>
        <v>159604291</v>
      </c>
      <c r="T162" s="40">
        <f>IF(Tabela3[[#This Row],[Passivo Circulante]]&gt;0,Tabela3[[#This Row],[Ativo Circulante]]/Tabela3[[#This Row],[Passivo Circulante]],0)</f>
        <v>27.93366880146386</v>
      </c>
      <c r="U16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2" s="19">
        <f>IF(Tabela3[[#This Row],[Lucro Líquido]]&gt;0,Tabela3[[#This Row],[Lucro Líquido]]/Tabela3[[#This Row],[Patrimônio Líquido]],0)/Tabela3[[#This Row],[Ref]]*4</f>
        <v>0.26974051786515724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2" s="19">
        <f>IF(Tabela3[[#This Row],[Dívida]]&gt;0,Tabela3[[#This Row],[Dívida]]/Tabela3[[#This Row],[Patrimônio Líquido]],0)</f>
        <v>7.430000274778116E-2</v>
      </c>
      <c r="Y162" s="19">
        <f>SUMPRODUCT(N([Dívida / PL]&gt;0),N(RIGHT([PAPEL],LEN([PAPEL])-(LEN([PAPEL])-1))="3"),[Dívida / PL])/SUMPRODUCT(N([Dívida / PL]&gt;0),N(RIGHT([PAPEL],LEN([PAPEL])-(LEN([PAPEL])-1))="3"))</f>
        <v>2.2435702141443779</v>
      </c>
      <c r="Z162" s="13">
        <f>Tabela3[[#This Row],[Capital Social]]*20%</f>
        <v>12616940</v>
      </c>
      <c r="AA162" s="13">
        <f>IF(([Lucro Líquido]*5%)&gt;[Teto R. Legal],[Teto R. Legal],[Lucro Líquido]*5%)</f>
        <v>736250</v>
      </c>
      <c r="AB162" s="13">
        <f>IF([Lucro Líquido]&lt;0,0,[Lucro Líquido]-[Reserva Legal])</f>
        <v>13988750</v>
      </c>
      <c r="AC162" s="13">
        <f>Tabela3[[#This Row],[Lucro Distribuir]]*[%Div]</f>
        <v>3497187.5</v>
      </c>
      <c r="AD162" s="56">
        <f>SUMPRODUCT(N([Nome]=Tabela3[[#This Row],[Nome]]),[Ações])</f>
        <v>63084700</v>
      </c>
      <c r="AE162" s="6">
        <f>[Capital Social]/[Total Ações]</f>
        <v>1</v>
      </c>
      <c r="AF162" s="77">
        <f>Tabela3[[#This Row],[Lucro Líquido]]/Tabela3[[#This Row],[Total Ações]]</f>
        <v>0.23341634342399981</v>
      </c>
      <c r="AG1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1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162" s="13">
        <f>[Div Base]*[Ações]</f>
        <v>3497187.5</v>
      </c>
      <c r="AL162" s="13">
        <f>SUMPRODUCT(N([Nome]=Tabela3[[#This Row],[Nome]]),[Div Base]*[Ações])</f>
        <v>3497187.5</v>
      </c>
      <c r="AM162" s="6">
        <f>[Patrimônio Líquido]/[Total Ações]</f>
        <v>1.1537821373486756</v>
      </c>
      <c r="AN162" s="48">
        <f>MAX(Tabela3[[#This Row],[Cotação 1]:[Cotação 5]])</f>
        <v>2.5299999999999998</v>
      </c>
      <c r="AO162" s="44">
        <f>[Cotação]/[VPA]</f>
        <v>2.1927883246778226</v>
      </c>
      <c r="AP162" s="40">
        <f>IF(Tabela3[[#This Row],[Lucro/Ação]]&gt;0,Tabela3[[#This Row],[Cotação]]/(Tabela3[[#This Row],[Lucro/Ação]]/[Ref]*4),0)</f>
        <v>8.1292508149405762</v>
      </c>
      <c r="AQ162" s="77">
        <f>[Lucro Distribuir]/[Total Ações]</f>
        <v>0.22174552625279981</v>
      </c>
      <c r="AR162" s="77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2.1911613266086941E-2</v>
      </c>
      <c r="AU162" s="42">
        <f>((1+Tabela3[[#This Row],[% Yield]])^(1/(3*Tabela3[[#This Row],[Ref]])))^(12)-1</f>
        <v>2.9321662594001596E-2</v>
      </c>
      <c r="AV162" s="14">
        <f>IF([Cotação]&gt;0,($BH$1/Tabela3[[#This Row],[Cotação]]-MOD($BH$1/Tabela3[[#This Row],[Cotação]],100)),)</f>
        <v>300</v>
      </c>
      <c r="AW162" s="17">
        <f>Tabela3[[#This Row],[Ativos]]*[Lucro]</f>
        <v>16.630914468959986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2.5299999999999998</v>
      </c>
      <c r="AZ162" s="7">
        <f>SUMPRODUCT(N(Tabela176[Código]=Tabela3[[#This Row],[PAPEL]]),Tabela176[Fechamento])</f>
        <v>0</v>
      </c>
      <c r="BA162" s="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customHeight="1">
      <c r="A163" s="3" t="s">
        <v>267</v>
      </c>
      <c r="B163" s="58" t="s">
        <v>819</v>
      </c>
      <c r="C163" s="16" t="str">
        <f>LEFT([PAPEL],LEN([PAPEL])-(LEN([PAPEL])-4))</f>
        <v>IGUA</v>
      </c>
      <c r="D163" s="16">
        <v>4</v>
      </c>
      <c r="E163" s="5">
        <v>90064557.299999997</v>
      </c>
      <c r="F163" s="56">
        <v>7378562</v>
      </c>
      <c r="G163" s="80">
        <v>0.25</v>
      </c>
      <c r="H163" s="86"/>
      <c r="I163" s="18">
        <v>0.12</v>
      </c>
      <c r="J163" s="18"/>
      <c r="K163" s="16"/>
      <c r="L163" s="86"/>
      <c r="M163" s="54"/>
      <c r="N163" s="54"/>
      <c r="O163" s="54"/>
      <c r="P163" s="90">
        <v>-151033000</v>
      </c>
      <c r="Q163" s="73">
        <v>-11320000</v>
      </c>
      <c r="R163" s="73">
        <f>IF(Tabela3[[#This Row],[Ativo || Passivo]]&gt;0,Tabela3[[#This Row],[Ativo || Passivo]]-Tabela3[[#This Row],[Patrimônio Líquido]],0)</f>
        <v>0</v>
      </c>
      <c r="S163" s="73">
        <f>Tabela3[[#This Row],[Cotação]]*Tabela3[[#This Row],[Total Ações]]</f>
        <v>73794830.820000008</v>
      </c>
      <c r="T163" s="37">
        <f>IF(Tabela3[[#This Row],[Passivo Circulante]]&gt;0,Tabela3[[#This Row],[Ativo Circulante]]/Tabela3[[#This Row],[Passivo Circulante]],0)</f>
        <v>0</v>
      </c>
      <c r="U16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3" s="18">
        <f>IF(Tabela3[[#This Row],[Lucro Líquido]]&gt;0,Tabela3[[#This Row],[Lucro Líquido]]/Tabela3[[#This Row],[Patrimônio Líquido]],0)/Tabela3[[#This Row],[Ref]]*4</f>
        <v>0</v>
      </c>
      <c r="W16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3" s="18">
        <f>IF(Tabela3[[#This Row],[Dívida]]&gt;0,Tabela3[[#This Row],[Dívida]]/Tabela3[[#This Row],[Patrimônio Líquido]],0)</f>
        <v>0</v>
      </c>
      <c r="Y163" s="18">
        <f>SUMPRODUCT(N([Dívida / PL]&gt;0),N(RIGHT([PAPEL],LEN([PAPEL])-(LEN([PAPEL])-1))="3"),[Dívida / PL])/SUMPRODUCT(N([Dívida / PL]&gt;0),N(RIGHT([PAPEL],LEN([PAPEL])-(LEN([PAPEL])-1))="3"))</f>
        <v>2.2435702141443779</v>
      </c>
      <c r="Z163" s="7">
        <f>Tabela3[[#This Row],[Capital Social]]*20%</f>
        <v>18012911.460000001</v>
      </c>
      <c r="AA163" s="47">
        <f>IF(([Lucro Líquido]*5%)&gt;[Teto R. Legal],[Teto R. Legal],[Lucro Líquido]*5%)</f>
        <v>-566000</v>
      </c>
      <c r="AB163" s="47">
        <f>IF([Lucro Líquido]&lt;0,0,[Lucro Líquido]-[Reserva Legal])</f>
        <v>0</v>
      </c>
      <c r="AC163" s="47">
        <f>Tabela3[[#This Row],[Lucro Distribuir]]*[%Div]</f>
        <v>0</v>
      </c>
      <c r="AD163" s="56">
        <f>SUMPRODUCT(N([Nome]=Tabela3[[#This Row],[Nome]]),[Ações])</f>
        <v>29053083</v>
      </c>
      <c r="AE163" s="84">
        <f>[Capital Social]/[Total Ações]</f>
        <v>3.1</v>
      </c>
      <c r="AF163" s="84">
        <f>Tabela3[[#This Row],[Lucro Líquido]]/Tabela3[[#This Row],[Total Ações]]</f>
        <v>-0.38963162704625875</v>
      </c>
      <c r="AG16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3" s="7">
        <f>[Div Base]*[Ações]</f>
        <v>0</v>
      </c>
      <c r="AL163" s="7">
        <f>SUMPRODUCT(N([Nome]=Tabela3[[#This Row],[Nome]]),[Div Base]*[Ações])</f>
        <v>0</v>
      </c>
      <c r="AM163" s="5">
        <f>[Patrimônio Líquido]/[Total Ações]</f>
        <v>-5.1985188628690455</v>
      </c>
      <c r="AN163" s="52">
        <f>MAX(Tabela3[[#This Row],[Cotação 1]:[Cotação 5]])</f>
        <v>2.54</v>
      </c>
      <c r="AO163" s="53">
        <f>[Cotação]/[VPA]</f>
        <v>-0.48860070858686516</v>
      </c>
      <c r="AP163" s="37">
        <f>IF(Tabela3[[#This Row],[Lucro/Ação]]&gt;0,Tabela3[[#This Row],[Cotação]]/(Tabela3[[#This Row],[Lucro/Ação]]/[Ref]*4),0)</f>
        <v>0</v>
      </c>
      <c r="AQ163" s="84">
        <f>[Lucro Distribuir]/[Total Ações]</f>
        <v>0</v>
      </c>
      <c r="AR16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3" s="10" t="str">
        <f>IF(AND([% A.A.]&gt;=5%,SUMPRODUCT(N([Nome]=Tabela3[[#This Row],[Nome]]),[PL])&gt;0,[Rentabilidade s/ PL]&gt;=[Rentabilidade s/ PL Média]),"Sim","Não")</f>
        <v>Não</v>
      </c>
      <c r="AT163" s="22">
        <f>IF([Cotação]&gt;0,Tabela3[[#This Row],[Lucro]]/Tabela3[[#This Row],[Cotação]],0)</f>
        <v>0</v>
      </c>
      <c r="AU163" s="22">
        <f>((1+Tabela3[[#This Row],[% Yield]])^(1/(3*Tabela3[[#This Row],[Ref]])))^(12)-1</f>
        <v>0</v>
      </c>
      <c r="AV163" s="10">
        <f>IF([Cotação]&gt;0,($BH$1/Tabela3[[#This Row],[Cotação]]-MOD($BH$1/Tabela3[[#This Row],[Cotação]],100)),)</f>
        <v>300</v>
      </c>
      <c r="AW163" s="7">
        <f>Tabela3[[#This Row],[Ativos]]*[Lucro]</f>
        <v>0</v>
      </c>
      <c r="AX163" s="7">
        <f>SUMPRODUCT(N(Tabela1[Código]=Tabela3[[#This Row],[PAPEL]]),Tabela1[Fechamento])</f>
        <v>0</v>
      </c>
      <c r="AY163" s="7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2.54</v>
      </c>
      <c r="BB163" s="7">
        <f>SUMPRODUCT(N(Tabela17683[Código]=Tabela3[[#This Row],[PAPEL]]),Tabela17683[Fechamento])</f>
        <v>0</v>
      </c>
    </row>
    <row r="164" spans="1:54" ht="11.25" customHeight="1">
      <c r="A164" s="4" t="s">
        <v>319</v>
      </c>
      <c r="B164" s="57" t="s">
        <v>647</v>
      </c>
      <c r="C164" s="15" t="str">
        <f>LEFT([PAPEL],LEN([PAPEL])-(LEN([PAPEL])-4))</f>
        <v>MMXM</v>
      </c>
      <c r="D164" s="15">
        <v>3</v>
      </c>
      <c r="E164" s="6">
        <v>5404850055.3100004</v>
      </c>
      <c r="F164" s="8">
        <v>973227439</v>
      </c>
      <c r="G164" s="85">
        <v>0.25</v>
      </c>
      <c r="H164" s="15"/>
      <c r="I164" s="19"/>
      <c r="J164" s="19"/>
      <c r="K164" s="87"/>
      <c r="L164" s="87"/>
      <c r="M164" s="55"/>
      <c r="N164" s="55"/>
      <c r="O164" s="55"/>
      <c r="P164" s="91">
        <v>1751287000</v>
      </c>
      <c r="Q164" s="92">
        <v>-1703865000</v>
      </c>
      <c r="R164" s="92">
        <f>IF(Tabela3[[#This Row],[Ativo || Passivo]]&gt;0,Tabela3[[#This Row],[Ativo || Passivo]]-Tabela3[[#This Row],[Patrimônio Líquido]],0)</f>
        <v>0</v>
      </c>
      <c r="S164" s="92">
        <f>Tabela3[[#This Row],[Cotação]]*Tabela3[[#This Row],[Total Ações]]</f>
        <v>2725036829.1999998</v>
      </c>
      <c r="T164" s="40">
        <f>IF(Tabela3[[#This Row],[Passivo Circulante]]&gt;0,Tabela3[[#This Row],[Ativo Circulante]]/Tabela3[[#This Row],[Passivo Circulante]],0)</f>
        <v>0</v>
      </c>
      <c r="U16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4" s="19">
        <f>IF(Tabela3[[#This Row],[Lucro Líquido]]&gt;0,Tabela3[[#This Row],[Lucro Líquido]]/Tabela3[[#This Row],[Patrimônio Líquido]],0)/Tabela3[[#This Row],[Ref]]*4</f>
        <v>0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4" s="19">
        <f>IF(Tabela3[[#This Row],[Dívida]]&gt;0,Tabela3[[#This Row],[Dívida]]/Tabela3[[#This Row],[Patrimônio Líquido]],0)</f>
        <v>0</v>
      </c>
      <c r="Y164" s="19">
        <f>SUMPRODUCT(N([Dívida / PL]&gt;0),N(RIGHT([PAPEL],LEN([PAPEL])-(LEN([PAPEL])-1))="3"),[Dívida / PL])/SUMPRODUCT(N([Dívida / PL]&gt;0),N(RIGHT([PAPEL],LEN([PAPEL])-(LEN([PAPEL])-1))="3"))</f>
        <v>2.2435702141443779</v>
      </c>
      <c r="Z164" s="13">
        <f>Tabela3[[#This Row],[Capital Social]]*20%</f>
        <v>1080970011.062</v>
      </c>
      <c r="AA164" s="13">
        <f>IF(([Lucro Líquido]*5%)&gt;[Teto R. Legal],[Teto R. Legal],[Lucro Líquido]*5%)</f>
        <v>-85193250</v>
      </c>
      <c r="AB164" s="13">
        <f>IF([Lucro Líquido]&lt;0,0,[Lucro Líquido]-[Reserva Legal])</f>
        <v>0</v>
      </c>
      <c r="AC164" s="13">
        <f>Tabela3[[#This Row],[Lucro Distribuir]]*[%Div]</f>
        <v>0</v>
      </c>
      <c r="AD164" s="56">
        <f>SUMPRODUCT(N([Nome]=Tabela3[[#This Row],[Nome]]),[Ações])</f>
        <v>973227439</v>
      </c>
      <c r="AE164" s="6">
        <f>[Capital Social]/[Total Ações]</f>
        <v>5.5535323386109345</v>
      </c>
      <c r="AF164" s="77">
        <f>Tabela3[[#This Row],[Lucro Líquido]]/Tabela3[[#This Row],[Total Ações]]</f>
        <v>-1.7507367052358662</v>
      </c>
      <c r="AG16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4" s="13">
        <f>[Div Base]*[Ações]</f>
        <v>0</v>
      </c>
      <c r="AL164" s="13">
        <f>SUMPRODUCT(N([Nome]=Tabela3[[#This Row],[Nome]]),[Div Base]*[Ações])</f>
        <v>0</v>
      </c>
      <c r="AM164" s="6">
        <f>[Patrimônio Líquido]/[Total Ações]</f>
        <v>1.7994632393425563</v>
      </c>
      <c r="AN164" s="48">
        <f>MAX(Tabela3[[#This Row],[Cotação 1]:[Cotação 5]])</f>
        <v>2.8</v>
      </c>
      <c r="AO164" s="44">
        <f>[Cotação]/[VPA]</f>
        <v>1.5560195611570231</v>
      </c>
      <c r="AP164" s="40">
        <f>IF(Tabela3[[#This Row],[Lucro/Ação]]&gt;0,Tabela3[[#This Row],[Cotação]]/(Tabela3[[#This Row],[Lucro/Ação]]/[Ref]*4),0)</f>
        <v>0</v>
      </c>
      <c r="AQ164" s="77">
        <f>[Lucro Distribuir]/[Total Ações]</f>
        <v>0</v>
      </c>
      <c r="AR16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4" s="14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0</v>
      </c>
      <c r="AU164" s="42">
        <f>((1+Tabela3[[#This Row],[% Yield]])^(1/(3*Tabela3[[#This Row],[Ref]])))^(12)-1</f>
        <v>0</v>
      </c>
      <c r="AV164" s="14">
        <f>IF([Cotação]&gt;0,($BH$1/Tabela3[[#This Row],[Cotação]]-MOD($BH$1/Tabela3[[#This Row],[Cotação]],100)),)</f>
        <v>200</v>
      </c>
      <c r="AW164" s="17">
        <f>Tabela3[[#This Row],[Ativos]]*[Lucro]</f>
        <v>0</v>
      </c>
      <c r="AX164" s="17">
        <f>SUMPRODUCT(N(Tabela1[Código]=Tabela3[[#This Row],[PAPEL]]),Tabela1[Fechamento])</f>
        <v>0</v>
      </c>
      <c r="AY164" s="17">
        <f>SUMPRODUCT(N(Tabela17[Código]=Tabela3[[#This Row],[PAPEL]]),Tabela17[Fechamento])</f>
        <v>0</v>
      </c>
      <c r="AZ164" s="17">
        <f>SUMPRODUCT(N(Tabela176[Código]=Tabela3[[#This Row],[PAPEL]]),Tabela176[Fechamento])</f>
        <v>2.8</v>
      </c>
      <c r="BA164" s="1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customHeight="1">
      <c r="A165" s="3" t="s">
        <v>1085</v>
      </c>
      <c r="B165" s="57" t="s">
        <v>1066</v>
      </c>
      <c r="C165" s="16" t="str">
        <f>LEFT([PAPEL],LEN([PAPEL])-(LEN([PAPEL])-4))</f>
        <v>LIXC</v>
      </c>
      <c r="D165" s="16">
        <v>3</v>
      </c>
      <c r="E165" s="5">
        <v>35635045.030000001</v>
      </c>
      <c r="F165" s="56">
        <v>6104107</v>
      </c>
      <c r="G165" s="80">
        <v>0.25</v>
      </c>
      <c r="H165" s="86"/>
      <c r="J165" s="18"/>
      <c r="K165" s="16"/>
      <c r="L165" s="86"/>
      <c r="M165" s="54"/>
      <c r="N165" s="54"/>
      <c r="O165" s="54"/>
      <c r="P165" s="90">
        <v>40919000</v>
      </c>
      <c r="Q165" s="73">
        <v>-4664000</v>
      </c>
      <c r="R165" s="73">
        <f>IF(Tabela3[[#This Row],[Ativo || Passivo]]&gt;0,Tabela3[[#This Row],[Ativo || Passivo]]-Tabela3[[#This Row],[Patrimônio Líquido]],0)</f>
        <v>0</v>
      </c>
      <c r="S165" s="73">
        <f>Tabela3[[#This Row],[Cotação]]*Tabela3[[#This Row],[Total Ações]]</f>
        <v>34541012.159999996</v>
      </c>
      <c r="T165" s="37">
        <f>IF(Tabela3[[#This Row],[Passivo Circulante]]&gt;0,Tabela3[[#This Row],[Ativo Circulante]]/Tabela3[[#This Row],[Passivo Circulante]],0)</f>
        <v>0</v>
      </c>
      <c r="U16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5" s="18">
        <f>IF(Tabela3[[#This Row],[Lucro Líquido]]&gt;0,Tabela3[[#This Row],[Lucro Líquido]]/Tabela3[[#This Row],[Patrimônio Líquido]],0)/Tabela3[[#This Row],[Ref]]*4</f>
        <v>0</v>
      </c>
      <c r="W1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5" s="18">
        <f>IF(Tabela3[[#This Row],[Dívida]]&gt;0,Tabela3[[#This Row],[Dívida]]/Tabela3[[#This Row],[Patrimônio Líquido]],0)</f>
        <v>0</v>
      </c>
      <c r="Y165" s="18">
        <f>SUMPRODUCT(N([Dívida / PL]&gt;0),N(RIGHT([PAPEL],LEN([PAPEL])-(LEN([PAPEL])-1))="3"),[Dívida / PL])/SUMPRODUCT(N([Dívida / PL]&gt;0),N(RIGHT([PAPEL],LEN([PAPEL])-(LEN([PAPEL])-1))="3"))</f>
        <v>2.2435702141443779</v>
      </c>
      <c r="Z165" s="7">
        <f>Tabela3[[#This Row],[Capital Social]]*20%</f>
        <v>7127009.006000001</v>
      </c>
      <c r="AA165" s="47">
        <f>IF(([Lucro Líquido]*5%)&gt;[Teto R. Legal],[Teto R. Legal],[Lucro Líquido]*5%)</f>
        <v>-233200</v>
      </c>
      <c r="AB165" s="47">
        <f>IF([Lucro Líquido]&lt;0,0,[Lucro Líquido]-[Reserva Legal])</f>
        <v>0</v>
      </c>
      <c r="AC165" s="47">
        <f>Tabela3[[#This Row],[Lucro Distribuir]]*[%Div]</f>
        <v>0</v>
      </c>
      <c r="AD165" s="56">
        <f>SUMPRODUCT(N([Nome]=Tabela3[[#This Row],[Nome]]),[Ações])</f>
        <v>11993407</v>
      </c>
      <c r="AE165" s="84">
        <f>[Capital Social]/[Total Ações]</f>
        <v>2.9712195233597929</v>
      </c>
      <c r="AF165" s="84">
        <f>Tabela3[[#This Row],[Lucro Líquido]]/Tabela3[[#This Row],[Total Ações]]</f>
        <v>-0.38888032399800992</v>
      </c>
      <c r="AG16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5" s="7">
        <f>[Div Base]*[Ações]</f>
        <v>0</v>
      </c>
      <c r="AL165" s="113">
        <f>SUMPRODUCT(N([Nome]=Tabela3[[#This Row],[Nome]]),[Div Base]*[Ações])</f>
        <v>0</v>
      </c>
      <c r="AM165" s="5">
        <f>[Patrimônio Líquido]/[Total Ações]</f>
        <v>3.4117911615940324</v>
      </c>
      <c r="AN165" s="52">
        <f>MAX(Tabela3[[#This Row],[Cotação 1]:[Cotação 5]])</f>
        <v>2.88</v>
      </c>
      <c r="AO165" s="53">
        <f>[Cotação]/[VPA]</f>
        <v>0.84413138541997601</v>
      </c>
      <c r="AP165" s="37">
        <f>IF(Tabela3[[#This Row],[Lucro/Ação]]&gt;0,Tabela3[[#This Row],[Cotação]]/(Tabela3[[#This Row],[Lucro/Ação]]/[Ref]*4),0)</f>
        <v>0</v>
      </c>
      <c r="AQ165" s="84">
        <f>[Lucro Distribuir]/[Total Ações]</f>
        <v>0</v>
      </c>
      <c r="AR16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5" s="10" t="str">
        <f>IF(AND([% A.A.]&gt;=5%,SUMPRODUCT(N([Nome]=Tabela3[[#This Row],[Nome]]),[PL])&gt;0,[Rentabilidade s/ PL]&gt;=[Rentabilidade s/ PL Média]),"Sim","Não")</f>
        <v>Não</v>
      </c>
      <c r="AT165" s="22">
        <f>IF([Cotação]&gt;0,Tabela3[[#This Row],[Lucro]]/Tabela3[[#This Row],[Cotação]],0)</f>
        <v>0</v>
      </c>
      <c r="AU165" s="22">
        <f>((1+Tabela3[[#This Row],[% Yield]])^(1/(3*Tabela3[[#This Row],[Ref]])))^(12)-1</f>
        <v>0</v>
      </c>
      <c r="AV165" s="10">
        <f>IF([Cotação]&gt;0,($BH$1/Tabela3[[#This Row],[Cotação]]-MOD($BH$1/Tabela3[[#This Row],[Cotação]],100)),)</f>
        <v>200</v>
      </c>
      <c r="AW165" s="7">
        <f>Tabela3[[#This Row],[Ativos]]*[Lucro]</f>
        <v>0</v>
      </c>
      <c r="AX165" s="7">
        <f>SUMPRODUCT(N(Tabela1[Código]=Tabela3[[#This Row],[PAPEL]]),Tabela1[Fechamento])</f>
        <v>0</v>
      </c>
      <c r="AY165" s="7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2.88</v>
      </c>
    </row>
    <row r="166" spans="1:54" ht="11.25" customHeight="1">
      <c r="A166" s="3" t="s">
        <v>1085</v>
      </c>
      <c r="B166" s="57" t="s">
        <v>1067</v>
      </c>
      <c r="C166" s="16" t="str">
        <f>LEFT([PAPEL],LEN([PAPEL])-(LEN([PAPEL])-4))</f>
        <v>LIXC</v>
      </c>
      <c r="D166" s="16">
        <v>3</v>
      </c>
      <c r="E166" s="5">
        <v>35635045.030000001</v>
      </c>
      <c r="F166" s="56">
        <v>5889300</v>
      </c>
      <c r="G166" s="80">
        <v>0.25</v>
      </c>
      <c r="H166" s="86"/>
      <c r="I166" s="18">
        <v>0.06</v>
      </c>
      <c r="J166" s="18"/>
      <c r="K166" s="16"/>
      <c r="L166" s="86"/>
      <c r="M166" s="54"/>
      <c r="N166" s="54"/>
      <c r="O166" s="54"/>
      <c r="P166" s="90">
        <v>40919000</v>
      </c>
      <c r="Q166" s="73">
        <v>-4664000</v>
      </c>
      <c r="R166" s="73">
        <f>IF(Tabela3[[#This Row],[Ativo || Passivo]]&gt;0,Tabela3[[#This Row],[Ativo || Passivo]]-Tabela3[[#This Row],[Patrimônio Líquido]],0)</f>
        <v>0</v>
      </c>
      <c r="S166" s="73">
        <f>Tabela3[[#This Row],[Cotação]]*Tabela3[[#This Row],[Total Ações]]</f>
        <v>35260616.579999998</v>
      </c>
      <c r="T166" s="37">
        <f>IF(Tabela3[[#This Row],[Passivo Circulante]]&gt;0,Tabela3[[#This Row],[Ativo Circulante]]/Tabela3[[#This Row],[Passivo Circulante]],0)</f>
        <v>0</v>
      </c>
      <c r="U16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6" s="18">
        <f>IF(Tabela3[[#This Row],[Lucro Líquido]]&gt;0,Tabela3[[#This Row],[Lucro Líquido]]/Tabela3[[#This Row],[Patrimônio Líquido]],0)/Tabela3[[#This Row],[Ref]]*4</f>
        <v>0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6" s="18">
        <f>IF(Tabela3[[#This Row],[Dívida]]&gt;0,Tabela3[[#This Row],[Dívida]]/Tabela3[[#This Row],[Patrimônio Líquido]],0)</f>
        <v>0</v>
      </c>
      <c r="Y166" s="18">
        <f>SUMPRODUCT(N([Dívida / PL]&gt;0),N(RIGHT([PAPEL],LEN([PAPEL])-(LEN([PAPEL])-1))="3"),[Dívida / PL])/SUMPRODUCT(N([Dívida / PL]&gt;0),N(RIGHT([PAPEL],LEN([PAPEL])-(LEN([PAPEL])-1))="3"))</f>
        <v>2.2435702141443779</v>
      </c>
      <c r="Z166" s="7">
        <f>Tabela3[[#This Row],[Capital Social]]*20%</f>
        <v>7127009.006000001</v>
      </c>
      <c r="AA166" s="47">
        <f>IF(([Lucro Líquido]*5%)&gt;[Teto R. Legal],[Teto R. Legal],[Lucro Líquido]*5%)</f>
        <v>-233200</v>
      </c>
      <c r="AB166" s="47">
        <f>IF([Lucro Líquido]&lt;0,0,[Lucro Líquido]-[Reserva Legal])</f>
        <v>0</v>
      </c>
      <c r="AC166" s="47">
        <f>Tabela3[[#This Row],[Lucro Distribuir]]*[%Div]</f>
        <v>0</v>
      </c>
      <c r="AD166" s="56">
        <f>SUMPRODUCT(N([Nome]=Tabela3[[#This Row],[Nome]]),[Ações])</f>
        <v>11993407</v>
      </c>
      <c r="AE166" s="84">
        <f>[Capital Social]/[Total Ações]</f>
        <v>2.9712195233597929</v>
      </c>
      <c r="AF166" s="84">
        <f>Tabela3[[#This Row],[Lucro Líquido]]/Tabela3[[#This Row],[Total Ações]]</f>
        <v>-0.38888032399800992</v>
      </c>
      <c r="AG16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13">
        <f>SUMPRODUCT(N([Nome]=Tabela3[[#This Row],[Nome]]),[Div Base]*[Ações])</f>
        <v>0</v>
      </c>
      <c r="AM166" s="5">
        <f>[Patrimônio Líquido]/[Total Ações]</f>
        <v>3.4117911615940324</v>
      </c>
      <c r="AN166" s="52">
        <f>MAX(Tabela3[[#This Row],[Cotação 1]:[Cotação 5]])</f>
        <v>2.94</v>
      </c>
      <c r="AO166" s="53">
        <f>[Cotação]/[VPA]</f>
        <v>0.86171745594955884</v>
      </c>
      <c r="AP166" s="37">
        <f>IF(Tabela3[[#This Row],[Lucro/Ação]]&gt;0,Tabela3[[#This Row],[Cotação]]/(Tabela3[[#This Row],[Lucro/Ação]]/[Ref]*4),0)</f>
        <v>0</v>
      </c>
      <c r="AQ166" s="84">
        <f>[Lucro Distribuir]/[Total Ações]</f>
        <v>0</v>
      </c>
      <c r="AR16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0</v>
      </c>
      <c r="AU166" s="22">
        <f>((1+Tabela3[[#This Row],[% Yield]])^(1/(3*Tabela3[[#This Row],[Ref]])))^(12)-1</f>
        <v>0</v>
      </c>
      <c r="AV166" s="10">
        <f>IF([Cotação]&gt;0,($BH$1/Tabela3[[#This Row],[Cotação]]-MOD($BH$1/Tabela3[[#This Row],[Cotação]],100)),)</f>
        <v>200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2.94</v>
      </c>
    </row>
    <row r="167" spans="1:54" ht="11.25" customHeight="1">
      <c r="A167" s="4" t="s">
        <v>14</v>
      </c>
      <c r="B167" s="57" t="s">
        <v>75</v>
      </c>
      <c r="C167" s="14" t="str">
        <f>LEFT([PAPEL],LEN([PAPEL])-(LEN([PAPEL])-4))</f>
        <v>SFSA</v>
      </c>
      <c r="D167" s="15">
        <v>3</v>
      </c>
      <c r="E167" s="6">
        <v>685700092.85000002</v>
      </c>
      <c r="F167" s="8">
        <v>40607271</v>
      </c>
      <c r="G167" s="80">
        <v>0.25</v>
      </c>
      <c r="H167" s="15"/>
      <c r="I167" s="19"/>
      <c r="J167" s="19"/>
      <c r="K167" s="87"/>
      <c r="L167" s="87"/>
      <c r="M167" s="55"/>
      <c r="N167" s="55"/>
      <c r="O167" s="55"/>
      <c r="P167" s="6">
        <v>699911000</v>
      </c>
      <c r="Q167" s="6">
        <v>6746000</v>
      </c>
      <c r="R167" s="6">
        <f>IF(Tabela3[[#This Row],[Ativo || Passivo]]&gt;0,Tabela3[[#This Row],[Ativo || Passivo]]-Tabela3[[#This Row],[Patrimônio Líquido]],0)</f>
        <v>0</v>
      </c>
      <c r="S167" s="6">
        <f>Tabela3[[#This Row],[Cotação]]*Tabela3[[#This Row],[Total Ações]]</f>
        <v>406354891.95000005</v>
      </c>
      <c r="T167" s="121">
        <f>IF(Tabela3[[#This Row],[Passivo Circulante]]&gt;0,Tabela3[[#This Row],[Ativo Circulante]]/Tabela3[[#This Row],[Passivo Circulante]],0)</f>
        <v>0</v>
      </c>
      <c r="U16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7" s="19">
        <f>IF(Tabela3[[#This Row],[Lucro Líquido]]&gt;0,Tabela3[[#This Row],[Lucro Líquido]]/Tabela3[[#This Row],[Patrimônio Líquido]],0)/Tabela3[[#This Row],[Ref]]*4</f>
        <v>1.2851157742436775E-2</v>
      </c>
      <c r="W16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7" s="19">
        <f>IF(Tabela3[[#This Row],[Dívida]]&gt;0,Tabela3[[#This Row],[Dívida]]/Tabela3[[#This Row],[Patrimônio Líquido]],0)</f>
        <v>0</v>
      </c>
      <c r="Y167" s="19">
        <f>SUMPRODUCT(N([Dívida / PL]&gt;0),N(RIGHT([PAPEL],LEN([PAPEL])-(LEN([PAPEL])-1))="3"),[Dívida / PL])/SUMPRODUCT(N([Dívida / PL]&gt;0),N(RIGHT([PAPEL],LEN([PAPEL])-(LEN([PAPEL])-1))="3"))</f>
        <v>2.2435702141443779</v>
      </c>
      <c r="Z167" s="6">
        <f>Tabela3[[#This Row],[Capital Social]]*20%</f>
        <v>137140018.57000002</v>
      </c>
      <c r="AA167" s="6">
        <f>IF(([Lucro Líquido]*5%)&gt;[Teto R. Legal],[Teto R. Legal],[Lucro Líquido]*5%)</f>
        <v>337300</v>
      </c>
      <c r="AB167" s="6">
        <f>IF([Lucro Líquido]&lt;0,0,[Lucro Líquido]-[Reserva Legal])</f>
        <v>6408700</v>
      </c>
      <c r="AC167" s="6">
        <f>Tabela3[[#This Row],[Lucro Distribuir]]*[%Div]</f>
        <v>1602175</v>
      </c>
      <c r="AD167" s="56">
        <f>SUMPRODUCT(N([Nome]=Tabela3[[#This Row],[Nome]]),[Ações])</f>
        <v>137747421</v>
      </c>
      <c r="AE167" s="6">
        <f>[Capital Social]/[Total Ações]</f>
        <v>4.9779523120799487</v>
      </c>
      <c r="AF167" s="77">
        <f>Tabela3[[#This Row],[Lucro Líquido]]/Tabela3[[#This Row],[Total Ações]]</f>
        <v>4.8973693670823791E-2</v>
      </c>
      <c r="AG1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1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167" s="6">
        <f>[Div Base]*[Ações]</f>
        <v>472313.41205600504</v>
      </c>
      <c r="AL167" s="6">
        <f>SUMPRODUCT(N([Nome]=Tabela3[[#This Row],[Nome]]),[Div Base]*[Ações])</f>
        <v>1602175.0000000002</v>
      </c>
      <c r="AM167" s="6">
        <f>[Patrimônio Líquido]/[Total Ações]</f>
        <v>5.0811187238126223</v>
      </c>
      <c r="AN167" s="48">
        <f>MAX(Tabela3[[#This Row],[Cotação 1]:[Cotação 5]])</f>
        <v>2.95</v>
      </c>
      <c r="AO167" s="44">
        <f>[Cotação]/[VPA]</f>
        <v>0.58058080520237576</v>
      </c>
      <c r="AP167" s="40">
        <f>IF(Tabela3[[#This Row],[Lucro/Ação]]&gt;0,Tabela3[[#This Row],[Cotação]]/(Tabela3[[#This Row],[Lucro/Ação]]/[Ref]*4),0)</f>
        <v>45.177315292395498</v>
      </c>
      <c r="AQ167" s="77">
        <f>[Lucro Distribuir]/[Total Ações]</f>
        <v>4.6525008987282603E-2</v>
      </c>
      <c r="AR167" s="77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167" s="15" t="str">
        <f>IF(AND([% A.A.]&gt;=5%,SUMPRODUCT(N([Nome]=Tabela3[[#This Row],[Nome]]),[PL])&gt;0,[Rentabilidade s/ PL]&gt;=[Rentabilidade s/ PL Média]),"Sim","Não")</f>
        <v>Não</v>
      </c>
      <c r="AT167" s="42">
        <f>IF([Cotação]&gt;0,Tabela3[[#This Row],[Lucro]]/Tabela3[[#This Row],[Cotação]],0)</f>
        <v>3.9427973718036101E-3</v>
      </c>
      <c r="AU167" s="19">
        <f>((1+Tabela3[[#This Row],[% Yield]])^(1/(3*Tabela3[[#This Row],[Ref]])))^(12)-1</f>
        <v>5.2605147296718169E-3</v>
      </c>
      <c r="AV167" s="14">
        <f>IF([Cotação]&gt;0,($BH$1/Tabela3[[#This Row],[Cotação]]-MOD($BH$1/Tabela3[[#This Row],[Cotação]],100)),)</f>
        <v>200</v>
      </c>
      <c r="AW167" s="17">
        <f>Tabela3[[#This Row],[Ativos]]*[Lucro]</f>
        <v>2.3262504493641303</v>
      </c>
      <c r="AX167" s="5">
        <f>SUMPRODUCT(N(Tabela1[Código]=Tabela3[[#This Row],[PAPEL]]),Tabela1[Fechamento])</f>
        <v>2.95</v>
      </c>
      <c r="AY167" s="5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0</v>
      </c>
    </row>
    <row r="168" spans="1:54" ht="11.25" customHeight="1">
      <c r="A168" s="3" t="s">
        <v>829</v>
      </c>
      <c r="B168" s="58" t="s">
        <v>828</v>
      </c>
      <c r="C168" s="16" t="str">
        <f>LEFT([PAPEL],LEN([PAPEL])-(LEN([PAPEL])-4))</f>
        <v>VAGR</v>
      </c>
      <c r="D168" s="16">
        <v>3</v>
      </c>
      <c r="E168" s="5">
        <v>2578353582.6799998</v>
      </c>
      <c r="F168" s="56">
        <v>387423556</v>
      </c>
      <c r="G168" s="80">
        <v>0.25</v>
      </c>
      <c r="H168" s="86"/>
      <c r="J168" s="18"/>
      <c r="K168" s="16"/>
      <c r="L168" s="86"/>
      <c r="M168" s="54"/>
      <c r="N168" s="54"/>
      <c r="O168" s="54"/>
      <c r="P168" s="90">
        <v>1338545000</v>
      </c>
      <c r="Q168" s="73">
        <v>-179052000</v>
      </c>
      <c r="R168" s="73">
        <f>IF(Tabela3[[#This Row],[Ativo || Passivo]]&gt;0,Tabela3[[#This Row],[Ativo || Passivo]]-Tabela3[[#This Row],[Patrimônio Líquido]],0)</f>
        <v>0</v>
      </c>
      <c r="S168" s="73">
        <f>Tabela3[[#This Row],[Cotação]]*Tabela3[[#This Row],[Total Ações]]</f>
        <v>1150647961.3200002</v>
      </c>
      <c r="T168" s="37">
        <f>IF(Tabela3[[#This Row],[Passivo Circulante]]&gt;0,Tabela3[[#This Row],[Ativo Circulante]]/Tabela3[[#This Row],[Passivo Circulante]],0)</f>
        <v>0</v>
      </c>
      <c r="U1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8" s="18">
        <f>IF(Tabela3[[#This Row],[Lucro Líquido]]&gt;0,Tabela3[[#This Row],[Lucro Líquido]]/Tabela3[[#This Row],[Patrimônio Líquido]],0)/Tabela3[[#This Row],[Ref]]*4</f>
        <v>0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8" s="18">
        <f>IF(Tabela3[[#This Row],[Dívida]]&gt;0,Tabela3[[#This Row],[Dívida]]/Tabela3[[#This Row],[Patrimônio Líquido]],0)</f>
        <v>0</v>
      </c>
      <c r="Y168" s="18">
        <f>SUMPRODUCT(N([Dívida / PL]&gt;0),N(RIGHT([PAPEL],LEN([PAPEL])-(LEN([PAPEL])-1))="3"),[Dívida / PL])/SUMPRODUCT(N([Dívida / PL]&gt;0),N(RIGHT([PAPEL],LEN([PAPEL])-(LEN([PAPEL])-1))="3"))</f>
        <v>2.2435702141443779</v>
      </c>
      <c r="Z168" s="7">
        <f>Tabela3[[#This Row],[Capital Social]]*20%</f>
        <v>515670716.53600001</v>
      </c>
      <c r="AA168" s="47">
        <f>IF(([Lucro Líquido]*5%)&gt;[Teto R. Legal],[Teto R. Legal],[Lucro Líquido]*5%)</f>
        <v>-8952600</v>
      </c>
      <c r="AB168" s="47">
        <f>IF([Lucro Líquido]&lt;0,0,[Lucro Líquido]-[Reserva Legal])</f>
        <v>0</v>
      </c>
      <c r="AC168" s="47">
        <f>Tabela3[[#This Row],[Lucro Distribuir]]*[%Div]</f>
        <v>0</v>
      </c>
      <c r="AD168" s="56">
        <f>SUMPRODUCT(N([Nome]=Tabela3[[#This Row],[Nome]]),[Ações])</f>
        <v>387423556</v>
      </c>
      <c r="AE168" s="84">
        <f>[Capital Social]/[Total Ações]</f>
        <v>6.6551285866572343</v>
      </c>
      <c r="AF168" s="84">
        <f>Tabela3[[#This Row],[Lucro Líquido]]/Tabela3[[#This Row],[Total Ações]]</f>
        <v>-0.46216085012652147</v>
      </c>
      <c r="AG1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8" s="7">
        <f>[Div Base]*[Ações]</f>
        <v>0</v>
      </c>
      <c r="AL168" s="7">
        <f>SUMPRODUCT(N([Nome]=Tabela3[[#This Row],[Nome]]),[Div Base]*[Ações])</f>
        <v>0</v>
      </c>
      <c r="AM168" s="5">
        <f>[Patrimônio Líquido]/[Total Ações]</f>
        <v>3.4549912602629664</v>
      </c>
      <c r="AN168" s="52">
        <f>MAX(Tabela3[[#This Row],[Cotação 1]:[Cotação 5]])</f>
        <v>2.97</v>
      </c>
      <c r="AO168" s="53">
        <f>[Cotação]/[VPA]</f>
        <v>0.8596259082212403</v>
      </c>
      <c r="AP168" s="37">
        <f>IF(Tabela3[[#This Row],[Lucro/Ação]]&gt;0,Tabela3[[#This Row],[Cotação]]/(Tabela3[[#This Row],[Lucro/Ação]]/[Ref]*4),0)</f>
        <v>0</v>
      </c>
      <c r="AQ168" s="84">
        <f>[Lucro Distribuir]/[Total Ações]</f>
        <v>0</v>
      </c>
      <c r="AR16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0</v>
      </c>
      <c r="AU168" s="22">
        <f>((1+Tabela3[[#This Row],[% Yield]])^(1/(3*Tabela3[[#This Row],[Ref]])))^(12)-1</f>
        <v>0</v>
      </c>
      <c r="AV168" s="10">
        <f>IF([Cotação]&gt;0,($BH$1/Tabela3[[#This Row],[Cotação]]-MOD($BH$1/Tabela3[[#This Row],[Cotação]],100)),)</f>
        <v>200</v>
      </c>
      <c r="AW168" s="7">
        <f>Tabela3[[#This Row],[Ativos]]*[Lucro]</f>
        <v>0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2.97</v>
      </c>
      <c r="BB168" s="7">
        <f>SUMPRODUCT(N(Tabela17683[Código]=Tabela3[[#This Row],[PAPEL]]),Tabela17683[Fechamento])</f>
        <v>0</v>
      </c>
    </row>
    <row r="169" spans="1:54" ht="11.25" customHeight="1">
      <c r="A169" s="3" t="s">
        <v>802</v>
      </c>
      <c r="B169" s="114" t="s">
        <v>799</v>
      </c>
      <c r="C169" s="16" t="str">
        <f>LEFT([PAPEL],LEN([PAPEL])-(LEN([PAPEL])-4))</f>
        <v>CLAN</v>
      </c>
      <c r="D169" s="16">
        <v>2</v>
      </c>
      <c r="E169" s="5">
        <v>1000070000</v>
      </c>
      <c r="F169" s="56">
        <v>87943878</v>
      </c>
      <c r="G169" s="80">
        <v>0.25</v>
      </c>
      <c r="H169" s="86"/>
      <c r="J169" s="18">
        <v>0.1</v>
      </c>
      <c r="K169" s="16"/>
      <c r="L169" s="86"/>
      <c r="M169" s="54"/>
      <c r="N169" s="54"/>
      <c r="O169" s="54"/>
      <c r="P169" s="90">
        <v>979640000</v>
      </c>
      <c r="Q169" s="73">
        <v>-43203000</v>
      </c>
      <c r="R169" s="73">
        <f>IF(Tabela3[[#This Row],[Ativo || Passivo]]&gt;0,Tabela3[[#This Row],[Ativo || Passivo]]-Tabela3[[#This Row],[Patrimônio Líquido]],0)</f>
        <v>0</v>
      </c>
      <c r="S169" s="73">
        <f>Tabela3[[#This Row],[Cotação]]*Tabela3[[#This Row],[Total Ações]]</f>
        <v>476110044</v>
      </c>
      <c r="T169" s="37">
        <f>IF(Tabela3[[#This Row],[Passivo Circulante]]&gt;0,Tabela3[[#This Row],[Ativo Circulante]]/Tabela3[[#This Row],[Passivo Circulante]],0)</f>
        <v>0</v>
      </c>
      <c r="U16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69" s="18">
        <f>IF(Tabela3[[#This Row],[Lucro Líquido]]&gt;0,Tabela3[[#This Row],[Lucro Líquido]]/Tabela3[[#This Row],[Patrimônio Líquido]],0)/Tabela3[[#This Row],[Ref]]*4</f>
        <v>0</v>
      </c>
      <c r="W1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69" s="18">
        <f>IF(Tabela3[[#This Row],[Dívida]]&gt;0,Tabela3[[#This Row],[Dívida]]/Tabela3[[#This Row],[Patrimônio Líquido]],0)</f>
        <v>0</v>
      </c>
      <c r="Y169" s="18">
        <f>SUMPRODUCT(N([Dívida / PL]&gt;0),N(RIGHT([PAPEL],LEN([PAPEL])-(LEN([PAPEL])-1))="3"),[Dívida / PL])/SUMPRODUCT(N([Dívida / PL]&gt;0),N(RIGHT([PAPEL],LEN([PAPEL])-(LEN([PAPEL])-1))="3"))</f>
        <v>2.2435702141443779</v>
      </c>
      <c r="Z169" s="7">
        <f>Tabela3[[#This Row],[Capital Social]]*20%</f>
        <v>200014000</v>
      </c>
      <c r="AA169" s="47">
        <f>IF(([Lucro Líquido]*5%)&gt;[Teto R. Legal],[Teto R. Legal],[Lucro Líquido]*5%)</f>
        <v>-2160150</v>
      </c>
      <c r="AB169" s="47">
        <f>IF([Lucro Líquido]&lt;0,0,[Lucro Líquido]-[Reserva Legal])</f>
        <v>0</v>
      </c>
      <c r="AC169" s="47">
        <f>Tabela3[[#This Row],[Lucro Distribuir]]*[%Div]</f>
        <v>0</v>
      </c>
      <c r="AD169" s="56">
        <f>SUMPRODUCT(N([Nome]=Tabela3[[#This Row],[Nome]]),[Ações])</f>
        <v>158703348</v>
      </c>
      <c r="AE169" s="84">
        <f>[Capital Social]/[Total Ações]</f>
        <v>6.3015053721487968</v>
      </c>
      <c r="AF169" s="84">
        <f>Tabela3[[#This Row],[Lucro Líquido]]/Tabela3[[#This Row],[Total Ações]]</f>
        <v>-0.27222488085128488</v>
      </c>
      <c r="AG16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9" s="7">
        <f>[Div Base]*[Ações]</f>
        <v>0</v>
      </c>
      <c r="AL169" s="7">
        <f>SUMPRODUCT(N([Nome]=Tabela3[[#This Row],[Nome]]),[Div Base]*[Ações])</f>
        <v>0</v>
      </c>
      <c r="AM169" s="5">
        <f>[Patrimônio Líquido]/[Total Ações]</f>
        <v>6.1727746285478489</v>
      </c>
      <c r="AN169" s="52">
        <f>MAX(Tabela3[[#This Row],[Cotação 1]:[Cotação 5]])</f>
        <v>3</v>
      </c>
      <c r="AO169" s="53">
        <f>[Cotação]/[VPA]</f>
        <v>0.48600510799885671</v>
      </c>
      <c r="AP169" s="37">
        <f>IF(Tabela3[[#This Row],[Lucro/Ação]]&gt;0,Tabela3[[#This Row],[Cotação]]/(Tabela3[[#This Row],[Lucro/Ação]]/[Ref]*4),0)</f>
        <v>0</v>
      </c>
      <c r="AQ169" s="84">
        <f>[Lucro Distribuir]/[Total Ações]</f>
        <v>0</v>
      </c>
      <c r="AR16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9" s="10" t="str">
        <f>IF(AND([% A.A.]&gt;=5%,SUMPRODUCT(N([Nome]=Tabela3[[#This Row],[Nome]]),[PL])&gt;0,[Rentabilidade s/ PL]&gt;=[Rentabilidade s/ PL Média]),"Sim","Não")</f>
        <v>Não</v>
      </c>
      <c r="AT169" s="22">
        <f>IF([Cotação]&gt;0,Tabela3[[#This Row],[Lucro]]/Tabela3[[#This Row],[Cotação]],0)</f>
        <v>0</v>
      </c>
      <c r="AU169" s="22">
        <f>((1+Tabela3[[#This Row],[% Yield]])^(1/(3*Tabela3[[#This Row],[Ref]])))^(12)-1</f>
        <v>0</v>
      </c>
      <c r="AV169" s="10">
        <f>IF([Cotação]&gt;0,($BH$1/Tabela3[[#This Row],[Cotação]]-MOD($BH$1/Tabela3[[#This Row],[Cotação]],100)),)</f>
        <v>200</v>
      </c>
      <c r="AW169" s="7">
        <f>Tabela3[[#This Row],[Ativos]]*[Lucro]</f>
        <v>0</v>
      </c>
      <c r="AX169" s="7">
        <f>SUMPRODUCT(N(Tabela1[Código]=Tabela3[[#This Row],[PAPEL]]),Tabela1[Fechamento])</f>
        <v>0</v>
      </c>
      <c r="AY169" s="7">
        <f>SUMPRODUCT(N(Tabela17[Código]=Tabela3[[#This Row],[PAPEL]]),Tabela17[Fechamento])</f>
        <v>0</v>
      </c>
      <c r="AZ169" s="7">
        <f>SUMPRODUCT(N(Tabela176[Código]=Tabela3[[#This Row],[PAPEL]]),Tabela176[Fechamento])</f>
        <v>3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t="11.25" customHeight="1">
      <c r="A170" s="4" t="s">
        <v>314</v>
      </c>
      <c r="B170" s="115" t="s">
        <v>651</v>
      </c>
      <c r="C170" s="15" t="str">
        <f>LEFT([PAPEL],LEN([PAPEL])-(LEN([PAPEL])-4))</f>
        <v>SNSY</v>
      </c>
      <c r="D170" s="15">
        <v>3</v>
      </c>
      <c r="E170" s="6">
        <v>54625000</v>
      </c>
      <c r="F170" s="8">
        <v>26446</v>
      </c>
      <c r="G170" s="80">
        <v>0.25</v>
      </c>
      <c r="H170" s="15"/>
      <c r="I170" s="19">
        <v>0.06</v>
      </c>
      <c r="J170" s="19"/>
      <c r="K170" s="87"/>
      <c r="L170" s="87"/>
      <c r="M170" s="55"/>
      <c r="N170" s="55"/>
      <c r="O170" s="55"/>
      <c r="P170" s="91">
        <v>-350694000</v>
      </c>
      <c r="Q170" s="92">
        <v>-43597000</v>
      </c>
      <c r="R170" s="92">
        <f>IF(Tabela3[[#This Row],[Ativo || Passivo]]&gt;0,Tabela3[[#This Row],[Ativo || Passivo]]-Tabela3[[#This Row],[Patrimônio Líquido]],0)</f>
        <v>0</v>
      </c>
      <c r="S170" s="92">
        <f>Tabela3[[#This Row],[Cotação]]*Tabela3[[#This Row],[Total Ações]]</f>
        <v>57873366</v>
      </c>
      <c r="T170" s="40">
        <f>IF(Tabela3[[#This Row],[Passivo Circulante]]&gt;0,Tabela3[[#This Row],[Ativo Circulante]]/Tabela3[[#This Row],[Passivo Circulante]],0)</f>
        <v>0</v>
      </c>
      <c r="U17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0" s="19">
        <f>IF(Tabela3[[#This Row],[Lucro Líquido]]&gt;0,Tabela3[[#This Row],[Lucro Líquido]]/Tabela3[[#This Row],[Patrimônio Líquido]],0)/Tabela3[[#This Row],[Ref]]*4</f>
        <v>0</v>
      </c>
      <c r="W1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0" s="19">
        <f>IF(Tabela3[[#This Row],[Dívida]]&gt;0,Tabela3[[#This Row],[Dívida]]/Tabela3[[#This Row],[Patrimônio Líquido]],0)</f>
        <v>0</v>
      </c>
      <c r="Y170" s="19">
        <f>SUMPRODUCT(N([Dívida / PL]&gt;0),N(RIGHT([PAPEL],LEN([PAPEL])-(LEN([PAPEL])-1))="3"),[Dívida / PL])/SUMPRODUCT(N([Dívida / PL]&gt;0),N(RIGHT([PAPEL],LEN([PAPEL])-(LEN([PAPEL])-1))="3"))</f>
        <v>2.2435702141443779</v>
      </c>
      <c r="Z170" s="13">
        <f>Tabela3[[#This Row],[Capital Social]]*20%</f>
        <v>10925000</v>
      </c>
      <c r="AA170" s="13">
        <f>IF(([Lucro Líquido]*5%)&gt;[Teto R. Legal],[Teto R. Legal],[Lucro Líquido]*5%)</f>
        <v>-2179850</v>
      </c>
      <c r="AB170" s="13">
        <f>IF([Lucro Líquido]&lt;0,0,[Lucro Líquido]-[Reserva Legal])</f>
        <v>0</v>
      </c>
      <c r="AC170" s="13">
        <f>Tabela3[[#This Row],[Lucro Distribuir]]*[%Div]</f>
        <v>0</v>
      </c>
      <c r="AD170" s="56">
        <f>SUMPRODUCT(N([Nome]=Tabela3[[#This Row],[Nome]]),[Ações])</f>
        <v>19291122</v>
      </c>
      <c r="AE170" s="6">
        <f>[Capital Social]/[Total Ações]</f>
        <v>2.8316134230035974</v>
      </c>
      <c r="AF170" s="77">
        <f>Tabela3[[#This Row],[Lucro Líquido]]/Tabela3[[#This Row],[Total Ações]]</f>
        <v>-2.2599514947860473</v>
      </c>
      <c r="AG1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13">
        <f>[Div Base]*[Ações]</f>
        <v>0</v>
      </c>
      <c r="AL170" s="13">
        <f>SUMPRODUCT(N([Nome]=Tabela3[[#This Row],[Nome]]),[Div Base]*[Ações])</f>
        <v>0</v>
      </c>
      <c r="AM170" s="6">
        <f>[Patrimônio Líquido]/[Total Ações]</f>
        <v>-18.179035931658095</v>
      </c>
      <c r="AN170" s="48">
        <f>MAX(Tabela3[[#This Row],[Cotação 1]:[Cotação 5]])</f>
        <v>3</v>
      </c>
      <c r="AO170" s="44">
        <f>[Cotação]/[VPA]</f>
        <v>-0.1650252527844788</v>
      </c>
      <c r="AP170" s="40">
        <f>IF(Tabela3[[#This Row],[Lucro/Ação]]&gt;0,Tabela3[[#This Row],[Cotação]]/(Tabela3[[#This Row],[Lucro/Ação]]/[Ref]*4),0)</f>
        <v>0</v>
      </c>
      <c r="AQ170" s="77">
        <f>[Lucro Distribuir]/[Total Ações]</f>
        <v>0</v>
      </c>
      <c r="AR17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4" t="str">
        <f>IF(AND([% A.A.]&gt;=5%,SUMPRODUCT(N([Nome]=Tabela3[[#This Row],[Nome]]),[PL])&gt;0,[Rentabilidade s/ PL]&gt;=[Rentabilidade s/ PL Média]),"Sim","Não")</f>
        <v>Não</v>
      </c>
      <c r="AT170" s="42">
        <f>IF([Cotação]&gt;0,Tabela3[[#This Row],[Lucro]]/Tabela3[[#This Row],[Cotação]],0)</f>
        <v>0</v>
      </c>
      <c r="AU170" s="42">
        <f>((1+Tabela3[[#This Row],[% Yield]])^(1/(3*Tabela3[[#This Row],[Ref]])))^(12)-1</f>
        <v>0</v>
      </c>
      <c r="AV170" s="14">
        <f>IF([Cotação]&gt;0,($BH$1/Tabela3[[#This Row],[Cotação]]-MOD($BH$1/Tabela3[[#This Row],[Cotação]],100)),)</f>
        <v>200</v>
      </c>
      <c r="AW170" s="17">
        <f>Tabela3[[#This Row],[Ativos]]*[Lucro]</f>
        <v>0</v>
      </c>
      <c r="AX170" s="17">
        <f>SUMPRODUCT(N(Tabela1[Código]=Tabela3[[#This Row],[PAPEL]]),Tabela1[Fechamento])</f>
        <v>0</v>
      </c>
      <c r="AY170" s="17">
        <f>SUMPRODUCT(N(Tabela17[Código]=Tabela3[[#This Row],[PAPEL]]),Tabela17[Fechamento])</f>
        <v>0</v>
      </c>
      <c r="AZ170" s="17">
        <f>SUMPRODUCT(N(Tabela176[Código]=Tabela3[[#This Row],[PAPEL]]),Tabela176[Fechamento])</f>
        <v>3</v>
      </c>
      <c r="BA170" s="17">
        <f>SUMPRODUCT(N(Tabela1768[Código]=Tabela3[[#This Row],[PAPEL]]),Tabela1768[Fechamento])</f>
        <v>0</v>
      </c>
      <c r="BB170" s="7">
        <f>SUMPRODUCT(N(Tabela17683[Código]=Tabela3[[#This Row],[PAPEL]]),Tabela17683[Fechamento])</f>
        <v>0</v>
      </c>
    </row>
    <row r="171" spans="1:54" ht="11.25" customHeight="1">
      <c r="A171" s="3" t="s">
        <v>1159</v>
      </c>
      <c r="B171" s="57" t="s">
        <v>1161</v>
      </c>
      <c r="C171" s="16" t="str">
        <f>LEFT([PAPEL],LEN([PAPEL])-(LEN([PAPEL])-4))</f>
        <v>VSPT</v>
      </c>
      <c r="D171" s="16">
        <v>3</v>
      </c>
      <c r="E171" s="5">
        <v>1722965684.3399999</v>
      </c>
      <c r="F171" s="56">
        <v>210197577031248</v>
      </c>
      <c r="G171" s="80">
        <v>0.25</v>
      </c>
      <c r="H171" s="86"/>
      <c r="J171" s="18"/>
      <c r="K171" s="16"/>
      <c r="L171" s="86"/>
      <c r="M171" s="54"/>
      <c r="N171" s="54"/>
      <c r="O171" s="54"/>
      <c r="P171" s="90">
        <v>1228711000</v>
      </c>
      <c r="Q171" s="73">
        <v>-140764000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630592931088780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2.2435702141443779</v>
      </c>
      <c r="Z171" s="7">
        <f>Tabela3[[#This Row],[Capital Social]]*20%</f>
        <v>344593136.86800003</v>
      </c>
      <c r="AA171" s="47">
        <f>IF(([Lucro Líquido]*5%)&gt;[Teto R. Legal],[Teto R. Legal],[Lucro Líquido]*5%)</f>
        <v>-7038200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210197643696260</v>
      </c>
      <c r="AE171" s="84">
        <f>[Capital Social]/[Total Ações]</f>
        <v>8.1968839138355012E-6</v>
      </c>
      <c r="AF171" s="84">
        <f>Tabela3[[#This Row],[Lucro Líquido]]/Tabela3[[#This Row],[Total Ações]]</f>
        <v>-6.6967449075407777E-7</v>
      </c>
      <c r="AG17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113">
        <f>SUMPRODUCT(N([Nome]=Tabela3[[#This Row],[Nome]]),[Div Base]*[Ações])</f>
        <v>11.690716240077828</v>
      </c>
      <c r="AM171" s="5">
        <f>[Patrimônio Líquido]/[Total Ações]</f>
        <v>5.8455032054284732E-6</v>
      </c>
      <c r="AN171" s="52">
        <f>MAX(Tabela3[[#This Row],[Cotação 1]:[Cotação 5]])</f>
        <v>3</v>
      </c>
      <c r="AO171" s="53">
        <f>[Cotação]/[VPA]</f>
        <v>513215.01239004132</v>
      </c>
      <c r="AP171" s="37">
        <f>IF(Tabela3[[#This Row],[Lucro/Ação]]&gt;0,Tabela3[[#This Row],[Cotação]]/(Tabela3[[#This Row],[Lucro/Ação]]/[Ref]*4),0)</f>
        <v>0</v>
      </c>
      <c r="AQ171" s="84">
        <f>[Lucro Distribuir]/[Total Ações]</f>
        <v>0</v>
      </c>
      <c r="AR17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200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</v>
      </c>
      <c r="BB171" s="7">
        <f>SUMPRODUCT(N(Tabela17683[Código]=Tabela3[[#This Row],[PAPEL]]),Tabela17683[Fechamento])</f>
        <v>3</v>
      </c>
    </row>
    <row r="172" spans="1:54" ht="11.25" customHeight="1">
      <c r="A172" s="4" t="s">
        <v>618</v>
      </c>
      <c r="B172" s="57" t="s">
        <v>616</v>
      </c>
      <c r="C172" s="15" t="str">
        <f>LEFT([PAPEL],LEN([PAPEL])-(LEN([PAPEL])-4))</f>
        <v>PMAM</v>
      </c>
      <c r="D172" s="15">
        <v>4</v>
      </c>
      <c r="E172" s="6">
        <v>1382990468.48</v>
      </c>
      <c r="F172" s="8">
        <v>319176942</v>
      </c>
      <c r="G172" s="85">
        <v>0.25</v>
      </c>
      <c r="H172" s="15"/>
      <c r="I172" s="19"/>
      <c r="J172" s="19"/>
      <c r="K172" s="87"/>
      <c r="L172" s="87"/>
      <c r="M172" s="55">
        <v>4474686000</v>
      </c>
      <c r="N172" s="55">
        <v>2649326000</v>
      </c>
      <c r="O172" s="55">
        <v>2311432000</v>
      </c>
      <c r="P172" s="91">
        <v>1377441000</v>
      </c>
      <c r="Q172" s="92">
        <v>5905000</v>
      </c>
      <c r="R172" s="92">
        <f>IF(Tabela3[[#This Row],[Ativo || Passivo]]&gt;0,Tabela3[[#This Row],[Ativo || Passivo]]-Tabela3[[#This Row],[Patrimônio Líquido]],0)</f>
        <v>3097245000</v>
      </c>
      <c r="S172" s="92">
        <f>Tabela3[[#This Row],[Cotação]]*Tabela3[[#This Row],[Total Ações]]</f>
        <v>963914364.84000003</v>
      </c>
      <c r="T172" s="40">
        <f>IF(Tabela3[[#This Row],[Passivo Circulante]]&gt;0,Tabela3[[#This Row],[Ativo Circulante]]/Tabela3[[#This Row],[Passivo Circulante]],0)</f>
        <v>1.1461838375517861</v>
      </c>
      <c r="U1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2" s="19">
        <f>IF(Tabela3[[#This Row],[Lucro Líquido]]&gt;0,Tabela3[[#This Row],[Lucro Líquido]]/Tabela3[[#This Row],[Patrimônio Líquido]],0)/Tabela3[[#This Row],[Ref]]*4</f>
        <v>4.2869349757993268E-3</v>
      </c>
      <c r="W1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2" s="19">
        <f>IF(Tabela3[[#This Row],[Dívida]]&gt;0,Tabela3[[#This Row],[Dívida]]/Tabela3[[#This Row],[Patrimônio Líquido]],0)</f>
        <v>2.2485500286400653</v>
      </c>
      <c r="Y172" s="19">
        <f>SUMPRODUCT(N([Dívida / PL]&gt;0),N(RIGHT([PAPEL],LEN([PAPEL])-(LEN([PAPEL])-1))="3"),[Dívida / PL])/SUMPRODUCT(N([Dívida / PL]&gt;0),N(RIGHT([PAPEL],LEN([PAPEL])-(LEN([PAPEL])-1))="3"))</f>
        <v>2.2435702141443779</v>
      </c>
      <c r="Z172" s="13">
        <f>Tabela3[[#This Row],[Capital Social]]*20%</f>
        <v>276598093.69600004</v>
      </c>
      <c r="AA172" s="13">
        <f>IF(([Lucro Líquido]*5%)&gt;[Teto R. Legal],[Teto R. Legal],[Lucro Líquido]*5%)</f>
        <v>295250</v>
      </c>
      <c r="AB172" s="13">
        <f>IF([Lucro Líquido]&lt;0,0,[Lucro Líquido]-[Reserva Legal])</f>
        <v>5609750</v>
      </c>
      <c r="AC172" s="13">
        <f>Tabela3[[#This Row],[Lucro Distribuir]]*[%Div]</f>
        <v>1402437.5</v>
      </c>
      <c r="AD172" s="56">
        <f>SUMPRODUCT(N([Nome]=Tabela3[[#This Row],[Nome]]),[Ações])</f>
        <v>319176942</v>
      </c>
      <c r="AE172" s="6">
        <f>[Capital Social]/[Total Ações]</f>
        <v>4.3329899077734755</v>
      </c>
      <c r="AF172" s="77">
        <f>Tabela3[[#This Row],[Lucro Líquido]]/Tabela3[[#This Row],[Total Ações]]</f>
        <v>1.8500709866441416E-2</v>
      </c>
      <c r="AG1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1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172" s="13">
        <f>[Div Base]*[Ações]</f>
        <v>1402437.5</v>
      </c>
      <c r="AL172" s="13">
        <f>SUMPRODUCT(N([Nome]=Tabela3[[#This Row],[Nome]]),[Div Base]*[Ações])</f>
        <v>1402437.5</v>
      </c>
      <c r="AM172" s="6">
        <f>[Patrimônio Líquido]/[Total Ações]</f>
        <v>4.3156030989231047</v>
      </c>
      <c r="AN172" s="48">
        <f>MAX(Tabela3[[#This Row],[Cotação 1]:[Cotação 5]])</f>
        <v>3.02</v>
      </c>
      <c r="AO172" s="44">
        <f>[Cotação]/[VPA]</f>
        <v>0.69978631741032826</v>
      </c>
      <c r="AP172" s="40">
        <f>IF(Tabela3[[#This Row],[Lucro/Ação]]&gt;0,Tabela3[[#This Row],[Cotação]]/(Tabela3[[#This Row],[Lucro/Ação]]/[Ref]*4),0)</f>
        <v>163.23697965114312</v>
      </c>
      <c r="AQ172" s="77">
        <f>[Lucro Distribuir]/[Total Ações]</f>
        <v>1.7575674373119347E-2</v>
      </c>
      <c r="AR172" s="77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172" s="14" t="str">
        <f>IF(AND([% A.A.]&gt;=5%,SUMPRODUCT(N([Nome]=Tabela3[[#This Row],[Nome]]),[PL])&gt;0,[Rentabilidade s/ PL]&gt;=[Rentabilidade s/ PL Média]),"Sim","Não")</f>
        <v>Não</v>
      </c>
      <c r="AT172" s="42">
        <f>IF([Cotação]&gt;0,Tabela3[[#This Row],[Lucro]]/Tabela3[[#This Row],[Cotação]],0)</f>
        <v>1.4549399315496149E-3</v>
      </c>
      <c r="AU172" s="42">
        <f>((1+Tabela3[[#This Row],[% Yield]])^(1/(3*Tabela3[[#This Row],[Ref]])))^(12)-1</f>
        <v>1.4549399315493261E-3</v>
      </c>
      <c r="AV172" s="14">
        <f>IF([Cotação]&gt;0,($BH$1/Tabela3[[#This Row],[Cotação]]-MOD($BH$1/Tabela3[[#This Row],[Cotação]],100)),)</f>
        <v>200</v>
      </c>
      <c r="AW172" s="17">
        <f>Tabela3[[#This Row],[Ativos]]*[Lucro]</f>
        <v>0.87878371865596738</v>
      </c>
      <c r="AX172" s="17">
        <f>SUMPRODUCT(N(Tabela1[Código]=Tabela3[[#This Row],[PAPEL]]),Tabela1[Fechamento])</f>
        <v>0</v>
      </c>
      <c r="AY172" s="17">
        <f>SUMPRODUCT(N(Tabela17[Código]=Tabela3[[#This Row],[PAPEL]]),Tabela17[Fechamento])</f>
        <v>0</v>
      </c>
      <c r="AZ172" s="17">
        <f>SUMPRODUCT(N(Tabela176[Código]=Tabela3[[#This Row],[PAPEL]]),Tabela176[Fechamento])</f>
        <v>3.02</v>
      </c>
      <c r="BA172" s="17">
        <f>SUMPRODUCT(N(Tabela1768[Código]=Tabela3[[#This Row],[PAPEL]]),Tabela1768[Fechamento])</f>
        <v>0</v>
      </c>
      <c r="BB172" s="7">
        <f>SUMPRODUCT(N(Tabela17683[Código]=Tabela3[[#This Row],[PAPEL]]),Tabela17683[Fechamento])</f>
        <v>0</v>
      </c>
    </row>
    <row r="173" spans="1:54" ht="11.25" customHeight="1">
      <c r="A173" s="4" t="s">
        <v>14</v>
      </c>
      <c r="B173" s="57" t="s">
        <v>186</v>
      </c>
      <c r="C173" s="14" t="str">
        <f>LEFT([PAPEL],LEN([PAPEL])-(LEN([PAPEL])-4))</f>
        <v>RPAD</v>
      </c>
      <c r="D173" s="15">
        <v>3</v>
      </c>
      <c r="E173" s="6">
        <v>267646990</v>
      </c>
      <c r="F173" s="8">
        <v>46011632</v>
      </c>
      <c r="G173" s="85">
        <v>0.25</v>
      </c>
      <c r="H173" s="15"/>
      <c r="I173" s="19"/>
      <c r="J173" s="19"/>
      <c r="K173" s="87"/>
      <c r="L173" s="87"/>
      <c r="M173" s="13">
        <v>731259000</v>
      </c>
      <c r="N173" s="13">
        <v>6491000</v>
      </c>
      <c r="O173" s="13">
        <v>4087000</v>
      </c>
      <c r="P173" s="6">
        <v>727021000</v>
      </c>
      <c r="Q173" s="6">
        <v>31097000</v>
      </c>
      <c r="R173" s="6">
        <f>IF(Tabela3[[#This Row],[Ativo || Passivo]]&gt;0,Tabela3[[#This Row],[Ativo || Passivo]]-Tabela3[[#This Row],[Patrimônio Líquido]],0)</f>
        <v>4238000</v>
      </c>
      <c r="S173" s="6">
        <f>Tabela3[[#This Row],[Cotação]]*Tabela3[[#This Row],[Total Ações]]</f>
        <v>256587275.06999999</v>
      </c>
      <c r="T173" s="121">
        <f>IF(Tabela3[[#This Row],[Passivo Circulante]]&gt;0,Tabela3[[#This Row],[Ativo Circulante]]/Tabela3[[#This Row],[Passivo Circulante]],0)</f>
        <v>1.5882065084413997</v>
      </c>
      <c r="U17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3" s="19">
        <f>IF(Tabela3[[#This Row],[Lucro Líquido]]&gt;0,Tabela3[[#This Row],[Lucro Líquido]]/Tabela3[[#This Row],[Patrimônio Líquido]],0)/Tabela3[[#This Row],[Ref]]*4</f>
        <v>5.7030906489175227E-2</v>
      </c>
      <c r="W1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3" s="19">
        <f>IF(Tabela3[[#This Row],[Dívida]]&gt;0,Tabela3[[#This Row],[Dívida]]/Tabela3[[#This Row],[Patrimônio Líquido]],0)</f>
        <v>5.829267655267179E-3</v>
      </c>
      <c r="Y173" s="19">
        <f>SUMPRODUCT(N([Dívida / PL]&gt;0),N(RIGHT([PAPEL],LEN([PAPEL])-(LEN([PAPEL])-1))="3"),[Dívida / PL])/SUMPRODUCT(N([Dívida / PL]&gt;0),N(RIGHT([PAPEL],LEN([PAPEL])-(LEN([PAPEL])-1))="3"))</f>
        <v>2.2435702141443779</v>
      </c>
      <c r="Z173" s="6">
        <f>Tabela3[[#This Row],[Capital Social]]*20%</f>
        <v>53529398</v>
      </c>
      <c r="AA173" s="6">
        <f>IF(([Lucro Líquido]*5%)&gt;[Teto R. Legal],[Teto R. Legal],[Lucro Líquido]*5%)</f>
        <v>1554850</v>
      </c>
      <c r="AB173" s="6">
        <f>IF([Lucro Líquido]&lt;0,0,[Lucro Líquido]-[Reserva Legal])</f>
        <v>29542150</v>
      </c>
      <c r="AC173" s="6">
        <f>Tabela3[[#This Row],[Lucro Distribuir]]*[%Div]</f>
        <v>7385537.5</v>
      </c>
      <c r="AD173" s="21">
        <f>SUMPRODUCT(N([Nome]=Tabela3[[#This Row],[Nome]]),[Ações])</f>
        <v>84682269</v>
      </c>
      <c r="AE173" s="6">
        <f>[Capital Social]/[Total Ações]</f>
        <v>3.1606024869267495</v>
      </c>
      <c r="AF173" s="77">
        <f>Tabela3[[#This Row],[Lucro Líquido]]/Tabela3[[#This Row],[Total Ações]]</f>
        <v>0.36721973049635692</v>
      </c>
      <c r="AG1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1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1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173" s="6">
        <f>[Div Base]*[Ações]</f>
        <v>1279409.6115703406</v>
      </c>
      <c r="AL173" s="6">
        <f>SUMPRODUCT(N([Nome]=Tabela3[[#This Row],[Nome]]),[Div Base]*[Ações])</f>
        <v>7385537.5</v>
      </c>
      <c r="AM173" s="6">
        <f>[Patrimônio Líquido]/[Total Ações]</f>
        <v>8.5852801133611578</v>
      </c>
      <c r="AN173" s="48">
        <f>MAX(Tabela3[[#This Row],[Cotação 1]:[Cotação 5]])</f>
        <v>3.03</v>
      </c>
      <c r="AO173" s="44">
        <f>[Cotação]/[VPA]</f>
        <v>0.35292966100016365</v>
      </c>
      <c r="AP173" s="40">
        <f>IF(Tabela3[[#This Row],[Lucro/Ação]]&gt;0,Tabela3[[#This Row],[Cotação]]/(Tabela3[[#This Row],[Lucro/Ação]]/[Ref]*4),0)</f>
        <v>6.1883929736791323</v>
      </c>
      <c r="AQ173" s="77">
        <f>[Lucro Distribuir]/[Total Ações]</f>
        <v>0.3488587439715391</v>
      </c>
      <c r="AR173" s="77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173" s="15" t="str">
        <f>IF(AND([% A.A.]&gt;=5%,SUMPRODUCT(N([Nome]=Tabela3[[#This Row],[Nome]]),[PL])&gt;0,[Rentabilidade s/ PL]&gt;=[Rentabilidade s/ PL Média]),"Sim","Não")</f>
        <v>Não</v>
      </c>
      <c r="AT173" s="42">
        <f>IF([Cotação]&gt;0,Tabela3[[#This Row],[Lucro]]/Tabela3[[#This Row],[Cotação]],0)</f>
        <v>9.1769706529398528E-3</v>
      </c>
      <c r="AU173" s="19">
        <f>((1+Tabela3[[#This Row],[% Yield]])^(1/(3*Tabela3[[#This Row],[Ref]])))^(12)-1</f>
        <v>1.2254637692435955E-2</v>
      </c>
      <c r="AV173" s="14">
        <f>IF([Cotação]&gt;0,($BH$1/Tabela3[[#This Row],[Cotação]]-MOD($BH$1/Tabela3[[#This Row],[Cotação]],100)),)</f>
        <v>200</v>
      </c>
      <c r="AW173" s="17">
        <f>Tabela3[[#This Row],[Ativos]]*[Lucro]</f>
        <v>5.5612442156815503</v>
      </c>
      <c r="AX173" s="5">
        <f>SUMPRODUCT(N(Tabela1[Código]=Tabela3[[#This Row],[PAPEL]]),Tabela1[Fechamento])</f>
        <v>3.03</v>
      </c>
      <c r="AY173" s="5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0</v>
      </c>
      <c r="BB173" s="7">
        <f>SUMPRODUCT(N(Tabela17683[Código]=Tabela3[[#This Row],[PAPEL]]),Tabela17683[Fechamento])</f>
        <v>0</v>
      </c>
    </row>
    <row r="174" spans="1:54">
      <c r="A174" s="3" t="s">
        <v>1019</v>
      </c>
      <c r="B174" s="57" t="s">
        <v>1033</v>
      </c>
      <c r="C174" s="16" t="str">
        <f>LEFT([PAPEL],LEN([PAPEL])-(LEN([PAPEL])-4))</f>
        <v>GFSA</v>
      </c>
      <c r="D174" s="16">
        <v>4</v>
      </c>
      <c r="E174" s="5">
        <v>2740662000</v>
      </c>
      <c r="F174" s="56">
        <v>435559201</v>
      </c>
      <c r="G174" s="80">
        <v>0.25</v>
      </c>
      <c r="H174" s="86"/>
      <c r="J174" s="18"/>
      <c r="K174" s="16"/>
      <c r="L174" s="86"/>
      <c r="M174" s="54">
        <v>6823205000</v>
      </c>
      <c r="N174" s="54">
        <v>3312510000</v>
      </c>
      <c r="O174" s="54">
        <v>1925787000</v>
      </c>
      <c r="P174" s="90">
        <v>3190724000</v>
      </c>
      <c r="Q174" s="73">
        <v>867443000</v>
      </c>
      <c r="R174" s="73">
        <f>IF(Tabela3[[#This Row],[Ativo || Passivo]]&gt;0,Tabela3[[#This Row],[Ativo || Passivo]]-Tabela3[[#This Row],[Patrimônio Líquido]],0)</f>
        <v>3632481000</v>
      </c>
      <c r="S174" s="73">
        <f>Tabela3[[#This Row],[Cotação]]*Tabela3[[#This Row],[Total Ações]]</f>
        <v>1350233523.1000001</v>
      </c>
      <c r="T174" s="37">
        <f>IF(Tabela3[[#This Row],[Passivo Circulante]]&gt;0,Tabela3[[#This Row],[Ativo Circulante]]/Tabela3[[#This Row],[Passivo Circulante]],0)</f>
        <v>1.7200811927798869</v>
      </c>
      <c r="U1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4" s="18">
        <f>IF(Tabela3[[#This Row],[Lucro Líquido]]&gt;0,Tabela3[[#This Row],[Lucro Líquido]]/Tabela3[[#This Row],[Patrimônio Líquido]],0)/Tabela3[[#This Row],[Ref]]*4</f>
        <v>0.27186400327950649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4" s="18">
        <f>IF(Tabela3[[#This Row],[Dívida]]&gt;0,Tabela3[[#This Row],[Dívida]]/Tabela3[[#This Row],[Patrimônio Líquido]],0)</f>
        <v>1.1384503955841998</v>
      </c>
      <c r="Y174" s="18">
        <f>SUMPRODUCT(N([Dívida / PL]&gt;0),N(RIGHT([PAPEL],LEN([PAPEL])-(LEN([PAPEL])-1))="3"),[Dívida / PL])/SUMPRODUCT(N([Dívida / PL]&gt;0),N(RIGHT([PAPEL],LEN([PAPEL])-(LEN([PAPEL])-1))="3"))</f>
        <v>2.2435702141443779</v>
      </c>
      <c r="Z174" s="7">
        <f>Tabela3[[#This Row],[Capital Social]]*20%</f>
        <v>548132400</v>
      </c>
      <c r="AA174" s="47">
        <f>IF(([Lucro Líquido]*5%)&gt;[Teto R. Legal],[Teto R. Legal],[Lucro Líquido]*5%)</f>
        <v>43372150</v>
      </c>
      <c r="AB174" s="47">
        <f>IF([Lucro Líquido]&lt;0,0,[Lucro Líquido]-[Reserva Legal])</f>
        <v>824070850</v>
      </c>
      <c r="AC174" s="47">
        <f>Tabela3[[#This Row],[Lucro Distribuir]]*[%Div]</f>
        <v>206017712.5</v>
      </c>
      <c r="AD174" s="56">
        <f>SUMPRODUCT(N([Nome]=Tabela3[[#This Row],[Nome]]),[Ações])</f>
        <v>435559201</v>
      </c>
      <c r="AE174" s="84">
        <f>[Capital Social]/[Total Ações]</f>
        <v>6.2922835603236402</v>
      </c>
      <c r="AF174" s="84">
        <f>Tabela3[[#This Row],[Lucro Líquido]]/Tabela3[[#This Row],[Total Ações]]</f>
        <v>1.9915616476668117</v>
      </c>
      <c r="AG1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1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174" s="7">
        <f>[Div Base]*[Ações]</f>
        <v>206017712.5</v>
      </c>
      <c r="AL174" s="113">
        <f>SUMPRODUCT(N([Nome]=Tabela3[[#This Row],[Nome]]),[Div Base]*[Ações])</f>
        <v>206017712.5</v>
      </c>
      <c r="AM174" s="5">
        <f>[Patrimônio Líquido]/[Total Ações]</f>
        <v>7.3255805242419845</v>
      </c>
      <c r="AN174" s="52">
        <f>MAX(Tabela3[[#This Row],[Cotação 1]:[Cotação 5]])</f>
        <v>3.1</v>
      </c>
      <c r="AO174" s="53">
        <f>[Cotação]/[VPA]</f>
        <v>0.42317465349557032</v>
      </c>
      <c r="AP174" s="37">
        <f>IF(Tabela3[[#This Row],[Lucro/Ação]]&gt;0,Tabela3[[#This Row],[Cotação]]/(Tabela3[[#This Row],[Lucro/Ação]]/[Ref]*4),0)</f>
        <v>1.5565674322116843</v>
      </c>
      <c r="AQ174" s="84">
        <f>[Lucro Distribuir]/[Total Ações]</f>
        <v>1.8919835652834711</v>
      </c>
      <c r="AR174" s="84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174" s="10" t="str">
        <f>IF(AND([% A.A.]&gt;=5%,SUMPRODUCT(N([Nome]=Tabela3[[#This Row],[Nome]]),[PL])&gt;0,[Rentabilidade s/ PL]&gt;=[Rentabilidade s/ PL Média]),"Sim","Não")</f>
        <v>Sim</v>
      </c>
      <c r="AT174" s="22">
        <f>IF([Cotação]&gt;0,Tabela3[[#This Row],[Lucro]]/Tabela3[[#This Row],[Cotação]],0)</f>
        <v>0.15257931978092509</v>
      </c>
      <c r="AU174" s="22">
        <f>((1+Tabela3[[#This Row],[% Yield]])^(1/(3*Tabela3[[#This Row],[Ref]])))^(12)-1</f>
        <v>0.15257931978092465</v>
      </c>
      <c r="AV174" s="10">
        <f>IF([Cotação]&gt;0,($BH$1/Tabela3[[#This Row],[Cotação]]-MOD($BH$1/Tabela3[[#This Row],[Cotação]],100)),)</f>
        <v>200</v>
      </c>
      <c r="AW174" s="7">
        <f>Tabela3[[#This Row],[Ativos]]*[Lucro]</f>
        <v>94.59917826417356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3.1</v>
      </c>
      <c r="BB174" s="7">
        <f>SUMPRODUCT(N(Tabela17683[Código]=Tabela3[[#This Row],[PAPEL]]),Tabela17683[Fechamento])</f>
        <v>0</v>
      </c>
    </row>
    <row r="175" spans="1:54" ht="11.25" customHeight="1">
      <c r="A175" s="3" t="s">
        <v>1019</v>
      </c>
      <c r="B175" s="57" t="s">
        <v>1028</v>
      </c>
      <c r="C175" s="16" t="str">
        <f>LEFT([PAPEL],LEN([PAPEL])-(LEN([PAPEL])-4))</f>
        <v>CRDE</v>
      </c>
      <c r="D175" s="16">
        <v>4</v>
      </c>
      <c r="E175" s="5">
        <v>376095000</v>
      </c>
      <c r="F175" s="56">
        <v>48443062</v>
      </c>
      <c r="G175" s="80">
        <v>0.25</v>
      </c>
      <c r="H175" s="86"/>
      <c r="J175" s="18"/>
      <c r="K175" s="16"/>
      <c r="L175" s="86"/>
      <c r="M175" s="54">
        <v>396853000</v>
      </c>
      <c r="N175" s="54">
        <v>35395000</v>
      </c>
      <c r="O175" s="54">
        <v>39902000</v>
      </c>
      <c r="P175" s="90">
        <v>356951000</v>
      </c>
      <c r="Q175" s="73">
        <v>-31674000</v>
      </c>
      <c r="R175" s="73">
        <f>IF(Tabela3[[#This Row],[Ativo || Passivo]]&gt;0,Tabela3[[#This Row],[Ativo || Passivo]]-Tabela3[[#This Row],[Patrimônio Líquido]],0)</f>
        <v>39902000</v>
      </c>
      <c r="S175" s="73">
        <f>Tabela3[[#This Row],[Cotação]]*Tabela3[[#This Row],[Total Ações]]</f>
        <v>153080075.92000002</v>
      </c>
      <c r="T175" s="37">
        <f>IF(Tabela3[[#This Row],[Passivo Circulante]]&gt;0,Tabela3[[#This Row],[Ativo Circulante]]/Tabela3[[#This Row],[Passivo Circulante]],0)</f>
        <v>0.88704826825723027</v>
      </c>
      <c r="U17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5" s="18">
        <f>IF(Tabela3[[#This Row],[Lucro Líquido]]&gt;0,Tabela3[[#This Row],[Lucro Líquido]]/Tabela3[[#This Row],[Patrimônio Líquido]],0)/Tabela3[[#This Row],[Ref]]*4</f>
        <v>0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5" s="18">
        <f>IF(Tabela3[[#This Row],[Dívida]]&gt;0,Tabela3[[#This Row],[Dívida]]/Tabela3[[#This Row],[Patrimônio Líquido]],0)</f>
        <v>0.1117856512518525</v>
      </c>
      <c r="Y175" s="18">
        <f>SUMPRODUCT(N([Dívida / PL]&gt;0),N(RIGHT([PAPEL],LEN([PAPEL])-(LEN([PAPEL])-1))="3"),[Dívida / PL])/SUMPRODUCT(N([Dívida / PL]&gt;0),N(RIGHT([PAPEL],LEN([PAPEL])-(LEN([PAPEL])-1))="3"))</f>
        <v>2.2435702141443779</v>
      </c>
      <c r="Z175" s="7">
        <f>Tabela3[[#This Row],[Capital Social]]*20%</f>
        <v>75219000</v>
      </c>
      <c r="AA175" s="47">
        <f>IF(([Lucro Líquido]*5%)&gt;[Teto R. Legal],[Teto R. Legal],[Lucro Líquido]*5%)</f>
        <v>-1583700</v>
      </c>
      <c r="AB175" s="47">
        <f>IF([Lucro Líquido]&lt;0,0,[Lucro Líquido]-[Reserva Legal])</f>
        <v>0</v>
      </c>
      <c r="AC175" s="47">
        <f>Tabela3[[#This Row],[Lucro Distribuir]]*[%Div]</f>
        <v>0</v>
      </c>
      <c r="AD175" s="56">
        <f>SUMPRODUCT(N([Nome]=Tabela3[[#This Row],[Nome]]),[Ações])</f>
        <v>48443062</v>
      </c>
      <c r="AE175" s="84">
        <f>[Capital Social]/[Total Ações]</f>
        <v>7.7636504480249409</v>
      </c>
      <c r="AF175" s="84">
        <f>Tabela3[[#This Row],[Lucro Líquido]]/Tabela3[[#This Row],[Total Ações]]</f>
        <v>-0.65383975934469207</v>
      </c>
      <c r="AG17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5" s="7">
        <f>[Div Base]*[Ações]</f>
        <v>0</v>
      </c>
      <c r="AL175" s="113">
        <f>SUMPRODUCT(N([Nome]=Tabela3[[#This Row],[Nome]]),[Div Base]*[Ações])</f>
        <v>0</v>
      </c>
      <c r="AM175" s="5">
        <f>[Patrimônio Líquido]/[Total Ações]</f>
        <v>7.3684648588068198</v>
      </c>
      <c r="AN175" s="52">
        <f>MAX(Tabela3[[#This Row],[Cotação 1]:[Cotação 5]])</f>
        <v>3.16</v>
      </c>
      <c r="AO175" s="53">
        <f>[Cotação]/[VPA]</f>
        <v>0.42885459326350117</v>
      </c>
      <c r="AP175" s="37">
        <f>IF(Tabela3[[#This Row],[Lucro/Ação]]&gt;0,Tabela3[[#This Row],[Cotação]]/(Tabela3[[#This Row],[Lucro/Ação]]/[Ref]*4),0)</f>
        <v>0</v>
      </c>
      <c r="AQ175" s="84">
        <f>[Lucro Distribuir]/[Total Ações]</f>
        <v>0</v>
      </c>
      <c r="AR17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0</v>
      </c>
      <c r="AU175" s="22">
        <f>((1+Tabela3[[#This Row],[% Yield]])^(1/(3*Tabela3[[#This Row],[Ref]])))^(12)-1</f>
        <v>0</v>
      </c>
      <c r="AV175" s="10">
        <f>IF([Cotação]&gt;0,($BH$1/Tabela3[[#This Row],[Cotação]]-MOD($BH$1/Tabela3[[#This Row],[Cotação]],100)),)</f>
        <v>200</v>
      </c>
      <c r="AW175" s="7">
        <f>Tabela3[[#This Row],[Ativos]]*[Lucro]</f>
        <v>0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3.16</v>
      </c>
      <c r="BB175" s="7">
        <f>SUMPRODUCT(N(Tabela17683[Código]=Tabela3[[#This Row],[PAPEL]]),Tabela17683[Fechamento])</f>
        <v>0</v>
      </c>
    </row>
    <row r="176" spans="1:54" ht="11.25" customHeight="1">
      <c r="A176" s="4" t="s">
        <v>14</v>
      </c>
      <c r="B176" s="57" t="s">
        <v>212</v>
      </c>
      <c r="C176" s="10" t="str">
        <f>LEFT([PAPEL],LEN([PAPEL])-(LEN([PAPEL])-4))</f>
        <v>BRGE</v>
      </c>
      <c r="D176" s="16">
        <v>3</v>
      </c>
      <c r="E176" s="5">
        <v>303375520</v>
      </c>
      <c r="F176" s="56">
        <v>164936</v>
      </c>
      <c r="G176" s="80">
        <v>0.25</v>
      </c>
      <c r="H176" s="16"/>
      <c r="I176" s="18">
        <v>0.05</v>
      </c>
      <c r="J176" s="18"/>
      <c r="K176" s="86"/>
      <c r="L176" s="86"/>
      <c r="M176" s="47">
        <v>847911000</v>
      </c>
      <c r="N176" s="47">
        <v>3497000</v>
      </c>
      <c r="O176" s="47">
        <v>3890000</v>
      </c>
      <c r="P176" s="5">
        <v>843867000</v>
      </c>
      <c r="Q176" s="5">
        <v>34502000</v>
      </c>
      <c r="R176" s="5">
        <f>IF(Tabela3[[#This Row],[Ativo || Passivo]]&gt;0,Tabela3[[#This Row],[Ativo || Passivo]]-Tabela3[[#This Row],[Patrimônio Líquido]],0)</f>
        <v>4044000</v>
      </c>
      <c r="S176" s="47">
        <f>Tabela3[[#This Row],[Cotação]]*Tabela3[[#This Row],[Total Ações]]</f>
        <v>240823688.75999999</v>
      </c>
      <c r="T176" s="119">
        <f>IF(Tabela3[[#This Row],[Passivo Circulante]]&gt;0,Tabela3[[#This Row],[Ativo Circulante]]/Tabela3[[#This Row],[Passivo Circulante]],0)</f>
        <v>0.89897172236503853</v>
      </c>
      <c r="U17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6" s="18">
        <f>IF(Tabela3[[#This Row],[Lucro Líquido]]&gt;0,Tabela3[[#This Row],[Lucro Líquido]]/Tabela3[[#This Row],[Patrimônio Líquido]],0)/Tabela3[[#This Row],[Ref]]*4</f>
        <v>5.451411972107769E-2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6" s="18">
        <f>IF(Tabela3[[#This Row],[Dívida]]&gt;0,Tabela3[[#This Row],[Dívida]]/Tabela3[[#This Row],[Patrimônio Líquido]],0)</f>
        <v>4.7922243671099833E-3</v>
      </c>
      <c r="Y176" s="18">
        <f>SUMPRODUCT(N([Dívida / PL]&gt;0),N(RIGHT([PAPEL],LEN([PAPEL])-(LEN([PAPEL])-1))="3"),[Dívida / PL])/SUMPRODUCT(N([Dívida / PL]&gt;0),N(RIGHT([PAPEL],LEN([PAPEL])-(LEN([PAPEL])-1))="3"))</f>
        <v>2.2435702141443779</v>
      </c>
      <c r="Z176" s="5">
        <f>Tabela3[[#This Row],[Capital Social]]*20%</f>
        <v>60675104</v>
      </c>
      <c r="AA176" s="5">
        <f>IF(([Lucro Líquido]*5%)&gt;[Teto R. Legal],[Teto R. Legal],[Lucro Líquido]*5%)</f>
        <v>1725100</v>
      </c>
      <c r="AB176" s="5">
        <f>IF([Lucro Líquido]&lt;0,0,[Lucro Líquido]-[Reserva Legal])</f>
        <v>32776900</v>
      </c>
      <c r="AC176" s="5">
        <f>Tabela3[[#This Row],[Lucro Distribuir]]*[%Div]</f>
        <v>8194225</v>
      </c>
      <c r="AD176" s="21">
        <f>SUMPRODUCT(N([Nome]=Tabela3[[#This Row],[Nome]]),[Ações])</f>
        <v>73646388</v>
      </c>
      <c r="AE176" s="5">
        <f>[Capital Social]/[Total Ações]</f>
        <v>4.1193536877871049</v>
      </c>
      <c r="AF176" s="76">
        <f>Tabela3[[#This Row],[Lucro Líquido]]/Tabela3[[#This Row],[Total Ações]]</f>
        <v>0.46848190300928266</v>
      </c>
      <c r="AG17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7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17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176" s="5">
        <f>[Div Base]*[Ações]</f>
        <v>33971.4859924427</v>
      </c>
      <c r="AL176" s="5">
        <f>SUMPRODUCT(N([Nome]=Tabela3[[#This Row],[Nome]]),[Div Base]*[Ações])</f>
        <v>8194225</v>
      </c>
      <c r="AM176" s="5">
        <f>[Patrimônio Líquido]/[Total Ações]</f>
        <v>11.45836235716</v>
      </c>
      <c r="AN176" s="52">
        <f>MAX(Tabela3[[#This Row],[Cotação 1]:[Cotação 5]])</f>
        <v>3.27</v>
      </c>
      <c r="AO176" s="53">
        <f>[Cotação]/[VPA]</f>
        <v>0.28538109531478301</v>
      </c>
      <c r="AP176" s="37">
        <f>IF(Tabela3[[#This Row],[Lucro/Ação]]&gt;0,Tabela3[[#This Row],[Cotação]]/(Tabela3[[#This Row],[Lucro/Ação]]/[Ref]*4),0)</f>
        <v>5.2349941038200694</v>
      </c>
      <c r="AQ176" s="76">
        <f>[Lucro Distribuir]/[Total Ações]</f>
        <v>0.44505780785881854</v>
      </c>
      <c r="AR176" s="76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176" s="16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6.2987059446286006E-2</v>
      </c>
      <c r="AU176" s="18">
        <f>((1+Tabela3[[#This Row],[% Yield]])^(1/(3*Tabela3[[#This Row],[Ref]])))^(12)-1</f>
        <v>8.4852356628532188E-2</v>
      </c>
      <c r="AV176" s="10">
        <f>IF([Cotação]&gt;0,($BH$1/Tabela3[[#This Row],[Cotação]]-MOD($BH$1/Tabela3[[#This Row],[Cotação]],100)),)</f>
        <v>200</v>
      </c>
      <c r="AW176" s="7">
        <f>Tabela3[[#This Row],[Ativos]]*[Lucro]</f>
        <v>41.193536877871054</v>
      </c>
      <c r="AX176" s="5">
        <f>SUMPRODUCT(N(Tabela1[Código]=Tabela3[[#This Row],[PAPEL]]),Tabela1[Fechamento])</f>
        <v>3.27</v>
      </c>
      <c r="AY176" s="5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t="11.25" customHeight="1">
      <c r="A177" s="4" t="s">
        <v>19</v>
      </c>
      <c r="B177" s="57" t="s">
        <v>179</v>
      </c>
      <c r="C177" s="14" t="str">
        <f>LEFT([PAPEL],LEN([PAPEL])-(LEN([PAPEL])-4))</f>
        <v>RANI</v>
      </c>
      <c r="D177" s="15">
        <v>4</v>
      </c>
      <c r="E177" s="6">
        <v>116894847.81</v>
      </c>
      <c r="F177" s="8">
        <v>153909975</v>
      </c>
      <c r="G177" s="80">
        <v>0.25</v>
      </c>
      <c r="H177" s="15"/>
      <c r="I177" s="19"/>
      <c r="J177" s="19"/>
      <c r="K177" s="87"/>
      <c r="L177" s="87"/>
      <c r="M177" s="55">
        <v>1422053000</v>
      </c>
      <c r="N177" s="55">
        <v>325535000</v>
      </c>
      <c r="O177" s="55">
        <v>335580000</v>
      </c>
      <c r="P177" s="6">
        <v>488229000</v>
      </c>
      <c r="Q177" s="6">
        <v>67408000</v>
      </c>
      <c r="R177" s="6">
        <f>IF(Tabela3[[#This Row],[Ativo || Passivo]]&gt;0,Tabela3[[#This Row],[Ativo || Passivo]]-Tabela3[[#This Row],[Patrimônio Líquido]],0)</f>
        <v>933824000</v>
      </c>
      <c r="S177" s="6">
        <f>Tabela3[[#This Row],[Cotação]]*Tabela3[[#This Row],[Total Ações]]</f>
        <v>546842370.79999995</v>
      </c>
      <c r="T177" s="121">
        <f>IF(Tabela3[[#This Row],[Passivo Circulante]]&gt;0,Tabela3[[#This Row],[Ativo Circulante]]/Tabela3[[#This Row],[Passivo Circulante]],0)</f>
        <v>0.97006675010429699</v>
      </c>
      <c r="U1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7" s="19">
        <f>IF(Tabela3[[#This Row],[Lucro Líquido]]&gt;0,Tabela3[[#This Row],[Lucro Líquido]]/Tabela3[[#This Row],[Patrimônio Líquido]],0)/Tabela3[[#This Row],[Ref]]*4</f>
        <v>0.1380663582048588</v>
      </c>
      <c r="W1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7" s="19">
        <f>IF(Tabela3[[#This Row],[Dívida]]&gt;0,Tabela3[[#This Row],[Dívida]]/Tabela3[[#This Row],[Patrimônio Líquido]],0)</f>
        <v>1.9126762236573411</v>
      </c>
      <c r="Y177" s="19">
        <f>SUMPRODUCT(N([Dívida / PL]&gt;0),N(RIGHT([PAPEL],LEN([PAPEL])-(LEN([PAPEL])-1))="3"),[Dívida / PL])/SUMPRODUCT(N([Dívida / PL]&gt;0),N(RIGHT([PAPEL],LEN([PAPEL])-(LEN([PAPEL])-1))="3"))</f>
        <v>2.2435702141443779</v>
      </c>
      <c r="Z177" s="6">
        <f>Tabela3[[#This Row],[Capital Social]]*20%</f>
        <v>23378969.562000003</v>
      </c>
      <c r="AA177" s="6">
        <f>IF(([Lucro Líquido]*5%)&gt;[Teto R. Legal],[Teto R. Legal],[Lucro Líquido]*5%)</f>
        <v>3370400</v>
      </c>
      <c r="AB177" s="6">
        <f>IF([Lucro Líquido]&lt;0,0,[Lucro Líquido]-[Reserva Legal])</f>
        <v>64037600</v>
      </c>
      <c r="AC177" s="6">
        <f>Tabela3[[#This Row],[Lucro Distribuir]]*[%Div]</f>
        <v>16009400</v>
      </c>
      <c r="AD177" s="56">
        <f>SUMPRODUCT(N([Nome]=Tabela3[[#This Row],[Nome]]),[Ações])</f>
        <v>166720235</v>
      </c>
      <c r="AE177" s="6">
        <f>[Capital Social]/[Total Ações]</f>
        <v>0.70114373225301663</v>
      </c>
      <c r="AF177" s="77">
        <f>Tabela3[[#This Row],[Lucro Líquido]]/Tabela3[[#This Row],[Total Ações]]</f>
        <v>0.40431804813614858</v>
      </c>
      <c r="AG1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1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177" s="6">
        <f>[Div Base]*[Ações]</f>
        <v>14779287.911662314</v>
      </c>
      <c r="AL177" s="6">
        <f>SUMPRODUCT(N([Nome]=Tabela3[[#This Row],[Nome]]),[Div Base]*[Ações])</f>
        <v>16009400.000000002</v>
      </c>
      <c r="AM177" s="6">
        <f>[Patrimônio Líquido]/[Total Ações]</f>
        <v>2.9284327724226156</v>
      </c>
      <c r="AN177" s="48">
        <f>MAX(Tabela3[[#This Row],[Cotação 1]:[Cotação 5]])</f>
        <v>3.28</v>
      </c>
      <c r="AO177" s="44">
        <f>[Cotação]/[VPA]</f>
        <v>1.1200530300330378</v>
      </c>
      <c r="AP177" s="40">
        <f>IF(Tabela3[[#This Row],[Lucro/Ação]]&gt;0,Tabela3[[#This Row],[Cotação]]/(Tabela3[[#This Row],[Lucro/Ação]]/[Ref]*4),0)</f>
        <v>8.1124253916449085</v>
      </c>
      <c r="AQ177" s="77">
        <f>[Lucro Distribuir]/[Total Ações]</f>
        <v>0.38410214572934115</v>
      </c>
      <c r="AR177" s="77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177" s="15" t="str">
        <f>IF(AND([% A.A.]&gt;=5%,SUMPRODUCT(N([Nome]=Tabela3[[#This Row],[Nome]]),[PL])&gt;0,[Rentabilidade s/ PL]&gt;=[Rentabilidade s/ PL Média]),"Sim","Não")</f>
        <v>Não</v>
      </c>
      <c r="AT177" s="42">
        <f>IF([Cotação]&gt;0,Tabela3[[#This Row],[Lucro]]/Tabela3[[#This Row],[Cotação]],0)</f>
        <v>2.927607818059003E-2</v>
      </c>
      <c r="AU177" s="19">
        <f>((1+Tabela3[[#This Row],[% Yield]])^(1/(3*Tabela3[[#This Row],[Ref]])))^(12)-1</f>
        <v>2.9276078180589638E-2</v>
      </c>
      <c r="AV177" s="14">
        <f>IF([Cotação]&gt;0,($BH$1/Tabela3[[#This Row],[Cotação]]-MOD($BH$1/Tabela3[[#This Row],[Cotação]],100)),)</f>
        <v>200</v>
      </c>
      <c r="AW177" s="17">
        <f>Tabela3[[#This Row],[Ativos]]*[Lucro]</f>
        <v>19.205107286467058</v>
      </c>
      <c r="AX177" s="5">
        <f>SUMPRODUCT(N(Tabela1[Código]=Tabela3[[#This Row],[PAPEL]]),Tabela1[Fechamento])</f>
        <v>3.28</v>
      </c>
      <c r="AY177" s="5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0</v>
      </c>
      <c r="BB177" s="7">
        <f>SUMPRODUCT(N(Tabela17683[Código]=Tabela3[[#This Row],[PAPEL]]),Tabela17683[Fechamento])</f>
        <v>0</v>
      </c>
    </row>
    <row r="178" spans="1:54" ht="11.25" customHeight="1">
      <c r="A178" s="3" t="s">
        <v>267</v>
      </c>
      <c r="B178" s="58" t="s">
        <v>820</v>
      </c>
      <c r="C178" s="16" t="str">
        <f>LEFT([PAPEL],LEN([PAPEL])-(LEN([PAPEL])-4))</f>
        <v>IGUA</v>
      </c>
      <c r="D178" s="16">
        <v>4</v>
      </c>
      <c r="E178" s="5">
        <v>90064557.299999997</v>
      </c>
      <c r="F178" s="56">
        <v>11990161</v>
      </c>
      <c r="G178" s="80">
        <v>0.25</v>
      </c>
      <c r="H178" s="86"/>
      <c r="I178" s="18">
        <v>0.08</v>
      </c>
      <c r="J178" s="18"/>
      <c r="K178" s="16"/>
      <c r="L178" s="86"/>
      <c r="M178" s="54"/>
      <c r="N178" s="54"/>
      <c r="O178" s="54"/>
      <c r="P178" s="90">
        <v>-151033000</v>
      </c>
      <c r="Q178" s="73">
        <v>-11320000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95875173.899999991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8" s="18">
        <f>IF(Tabela3[[#This Row],[Lucro Líquido]]&gt;0,Tabela3[[#This Row],[Lucro Líquido]]/Tabela3[[#This Row],[Patrimônio Líquido]],0)/Tabela3[[#This Row],[Ref]]*4</f>
        <v>0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2.2435702141443779</v>
      </c>
      <c r="Z178" s="7">
        <f>Tabela3[[#This Row],[Capital Social]]*20%</f>
        <v>18012911.460000001</v>
      </c>
      <c r="AA178" s="47">
        <f>IF(([Lucro Líquido]*5%)&gt;[Teto R. Legal],[Teto R. Legal],[Lucro Líquido]*5%)</f>
        <v>-566000</v>
      </c>
      <c r="AB178" s="47">
        <f>IF([Lucro Líquido]&lt;0,0,[Lucro Líquido]-[Reserva Legal])</f>
        <v>0</v>
      </c>
      <c r="AC178" s="47">
        <f>Tabela3[[#This Row],[Lucro Distribuir]]*[%Div]</f>
        <v>0</v>
      </c>
      <c r="AD178" s="56">
        <f>SUMPRODUCT(N([Nome]=Tabela3[[#This Row],[Nome]]),[Ações])</f>
        <v>29053083</v>
      </c>
      <c r="AE178" s="84">
        <f>[Capital Social]/[Total Ações]</f>
        <v>3.1</v>
      </c>
      <c r="AF178" s="84">
        <f>Tabela3[[#This Row],[Lucro Líquido]]/Tabela3[[#This Row],[Total Ações]]</f>
        <v>-0.38963162704625875</v>
      </c>
      <c r="AG17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8" s="7">
        <f>[Div Base]*[Ações]</f>
        <v>0</v>
      </c>
      <c r="AL178" s="7">
        <f>SUMPRODUCT(N([Nome]=Tabela3[[#This Row],[Nome]]),[Div Base]*[Ações])</f>
        <v>0</v>
      </c>
      <c r="AM178" s="5">
        <f>[Patrimônio Líquido]/[Total Ações]</f>
        <v>-5.1985188628690455</v>
      </c>
      <c r="AN178" s="52">
        <f>MAX(Tabela3[[#This Row],[Cotação 1]:[Cotação 5]])</f>
        <v>3.3</v>
      </c>
      <c r="AO178" s="53">
        <f>[Cotação]/[VPA]</f>
        <v>-0.6347961961955334</v>
      </c>
      <c r="AP178" s="37">
        <f>IF(Tabela3[[#This Row],[Lucro/Ação]]&gt;0,Tabela3[[#This Row],[Cotação]]/(Tabela3[[#This Row],[Lucro/Ação]]/[Ref]*4),0)</f>
        <v>0</v>
      </c>
      <c r="AQ178" s="84">
        <f>[Lucro Distribuir]/[Total Ações]</f>
        <v>0</v>
      </c>
      <c r="AR178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0</v>
      </c>
      <c r="AU178" s="22">
        <f>((1+Tabela3[[#This Row],[% Yield]])^(1/(3*Tabela3[[#This Row],[Ref]])))^(12)-1</f>
        <v>0</v>
      </c>
      <c r="AV178" s="10">
        <f>IF([Cotação]&gt;0,($BH$1/Tabela3[[#This Row],[Cotação]]-MOD($BH$1/Tabela3[[#This Row],[Cotação]],100)),)</f>
        <v>200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3.3</v>
      </c>
      <c r="BB178" s="7">
        <f>SUMPRODUCT(N(Tabela17683[Código]=Tabela3[[#This Row],[PAPEL]]),Tabela17683[Fechamento])</f>
        <v>0</v>
      </c>
    </row>
    <row r="179" spans="1:54" ht="11.25" customHeight="1">
      <c r="A179" s="3" t="s">
        <v>1131</v>
      </c>
      <c r="B179" s="57" t="s">
        <v>1117</v>
      </c>
      <c r="C179" s="16" t="str">
        <f>LEFT([PAPEL],LEN([PAPEL])-(LEN([PAPEL])-4))</f>
        <v>CTAX</v>
      </c>
      <c r="D179" s="16">
        <v>4</v>
      </c>
      <c r="E179" s="5">
        <v>181637683.90000001</v>
      </c>
      <c r="F179" s="56">
        <v>226042163</v>
      </c>
      <c r="G179" s="80">
        <v>0.25</v>
      </c>
      <c r="H179" s="18">
        <v>0.03</v>
      </c>
      <c r="I179" s="18">
        <v>0.06</v>
      </c>
      <c r="J179" s="18"/>
      <c r="K179" s="16"/>
      <c r="L179" s="86"/>
      <c r="M179" s="54">
        <v>1248136000</v>
      </c>
      <c r="N179" s="54">
        <v>124319000</v>
      </c>
      <c r="O179" s="54">
        <v>129739000</v>
      </c>
      <c r="P179" s="90">
        <v>438248000</v>
      </c>
      <c r="Q179" s="73">
        <v>102257000</v>
      </c>
      <c r="R179" s="73">
        <f>IF(Tabela3[[#This Row],[Ativo || Passivo]]&gt;0,Tabela3[[#This Row],[Ativo || Passivo]]-Tabela3[[#This Row],[Patrimônio Líquido]],0)</f>
        <v>809888000</v>
      </c>
      <c r="S179" s="73">
        <f>Tabela3[[#This Row],[Cotação]]*Tabela3[[#This Row],[Total Ações]]</f>
        <v>1154864685.8</v>
      </c>
      <c r="T179" s="37">
        <f>IF(Tabela3[[#This Row],[Passivo Circulante]]&gt;0,Tabela3[[#This Row],[Ativo Circulante]]/Tabela3[[#This Row],[Passivo Circulante]],0)</f>
        <v>0.95822381858962991</v>
      </c>
      <c r="U17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79" s="18">
        <f>IF(Tabela3[[#This Row],[Lucro Líquido]]&gt;0,Tabela3[[#This Row],[Lucro Líquido]]/Tabela3[[#This Row],[Patrimônio Líquido]],0)/Tabela3[[#This Row],[Ref]]*4</f>
        <v>0.23333135576203429</v>
      </c>
      <c r="W1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79" s="18">
        <f>IF(Tabela3[[#This Row],[Dívida]]&gt;0,Tabela3[[#This Row],[Dívida]]/Tabela3[[#This Row],[Patrimônio Líquido]],0)</f>
        <v>1.8480129972070609</v>
      </c>
      <c r="Y179" s="18">
        <f>SUMPRODUCT(N([Dívida / PL]&gt;0),N(RIGHT([PAPEL],LEN([PAPEL])-(LEN([PAPEL])-1))="3"),[Dívida / PL])/SUMPRODUCT(N([Dívida / PL]&gt;0),N(RIGHT([PAPEL],LEN([PAPEL])-(LEN([PAPEL])-1))="3"))</f>
        <v>2.2435702141443779</v>
      </c>
      <c r="Z179" s="7">
        <f>Tabela3[[#This Row],[Capital Social]]*20%</f>
        <v>36327536.780000001</v>
      </c>
      <c r="AA179" s="47">
        <f>IF(([Lucro Líquido]*5%)&gt;[Teto R. Legal],[Teto R. Legal],[Lucro Líquido]*5%)</f>
        <v>5112850</v>
      </c>
      <c r="AB179" s="47">
        <f>IF([Lucro Líquido]&lt;0,0,[Lucro Líquido]-[Reserva Legal])</f>
        <v>97144150</v>
      </c>
      <c r="AC179" s="47">
        <f>Tabela3[[#This Row],[Lucro Distribuir]]*[%Div]</f>
        <v>24286037.5</v>
      </c>
      <c r="AD179" s="56">
        <f>SUMPRODUCT(N([Nome]=Tabela3[[#This Row],[Nome]]),[Ações])</f>
        <v>345767870</v>
      </c>
      <c r="AE179" s="84">
        <f>[Capital Social]/[Total Ações]</f>
        <v>0.52531683727582901</v>
      </c>
      <c r="AF179" s="84">
        <f>Tabela3[[#This Row],[Lucro Líquido]]/Tabela3[[#This Row],[Total Ações]]</f>
        <v>0.29573887244063479</v>
      </c>
      <c r="AG1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79" s="7">
        <f>[Div Base]*[Ações]</f>
        <v>15876745.422294769</v>
      </c>
      <c r="AL179" s="113">
        <f>SUMPRODUCT(N([Nome]=Tabela3[[#This Row],[Nome]]),[Div Base]*[Ações])</f>
        <v>24286037.5</v>
      </c>
      <c r="AM179" s="5">
        <f>[Patrimônio Líquido]/[Total Ações]</f>
        <v>1.2674630525965296</v>
      </c>
      <c r="AN179" s="52">
        <f>MAX(Tabela3[[#This Row],[Cotação 1]:[Cotação 5]])</f>
        <v>3.34</v>
      </c>
      <c r="AO179" s="53">
        <f>[Cotação]/[VPA]</f>
        <v>2.6351852964531495</v>
      </c>
      <c r="AP179" s="37">
        <f>IF(Tabela3[[#This Row],[Lucro/Ação]]&gt;0,Tabela3[[#This Row],[Cotação]]/(Tabela3[[#This Row],[Lucro/Ação]]/[Ref]*4),0)</f>
        <v>11.293746988470227</v>
      </c>
      <c r="AQ179" s="84">
        <f>[Lucro Distribuir]/[Total Ações]</f>
        <v>0.28095192881860309</v>
      </c>
      <c r="AR179" s="84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79" s="10" t="str">
        <f>IF(AND([% A.A.]&gt;=5%,SUMPRODUCT(N([Nome]=Tabela3[[#This Row],[Nome]]),[PL])&gt;0,[Rentabilidade s/ PL]&gt;=[Rentabilidade s/ PL Média]),"Sim","Não")</f>
        <v>Não</v>
      </c>
      <c r="AT179" s="22">
        <f>IF([Cotação]&gt;0,Tabela3[[#This Row],[Lucro]]/Tabela3[[#This Row],[Cotação]],0)</f>
        <v>2.1029335989416399E-2</v>
      </c>
      <c r="AU179" s="22">
        <f>((1+Tabela3[[#This Row],[% Yield]])^(1/(3*Tabela3[[#This Row],[Ref]])))^(12)-1</f>
        <v>2.1029335989415809E-2</v>
      </c>
      <c r="AV179" s="10">
        <f>IF([Cotação]&gt;0,($BH$1/Tabela3[[#This Row],[Cotação]]-MOD($BH$1/Tabela3[[#This Row],[Cotação]],100)),)</f>
        <v>200</v>
      </c>
      <c r="AW179" s="7">
        <f>Tabela3[[#This Row],[Ativos]]*[Lucro]</f>
        <v>14.047596440930155</v>
      </c>
      <c r="AX179" s="7">
        <f>SUMPRODUCT(N(Tabela1[Código]=Tabela3[[#This Row],[PAPEL]]),Tabela1[Fechamento])</f>
        <v>0</v>
      </c>
      <c r="AY179" s="7">
        <f>SUMPRODUCT(N(Tabela17[Código]=Tabela3[[#This Row],[PAPEL]]),Tabela17[Fechamento])</f>
        <v>0</v>
      </c>
      <c r="AZ179" s="7">
        <f>SUMPRODUCT(N(Tabela176[Código]=Tabela3[[#This Row],[PAPEL]]),Tabela176[Fechamento])</f>
        <v>0</v>
      </c>
      <c r="BA179" s="7">
        <f>SUMPRODUCT(N(Tabela1768[Código]=Tabela3[[#This Row],[PAPEL]]),Tabela1768[Fechamento])</f>
        <v>0</v>
      </c>
      <c r="BB179" s="7">
        <f>SUMPRODUCT(N(Tabela17683[Código]=Tabela3[[#This Row],[PAPEL]]),Tabela17683[Fechamento])</f>
        <v>3.34</v>
      </c>
    </row>
    <row r="180" spans="1:54" ht="11.25" customHeight="1">
      <c r="A180" s="3" t="s">
        <v>283</v>
      </c>
      <c r="B180" s="58" t="s">
        <v>280</v>
      </c>
      <c r="C180" s="82" t="str">
        <f>LEFT([PAPEL],LEN([PAPEL])-(LEN([PAPEL])-4))</f>
        <v>OIBR</v>
      </c>
      <c r="D180" s="16">
        <v>4</v>
      </c>
      <c r="E180" s="5">
        <v>7471208836.6300001</v>
      </c>
      <c r="F180" s="56">
        <v>1198077775</v>
      </c>
      <c r="G180" s="80">
        <v>0.25</v>
      </c>
      <c r="H180" s="18">
        <v>0.03</v>
      </c>
      <c r="I180" s="18">
        <v>0.06</v>
      </c>
      <c r="J180" s="18"/>
      <c r="K180" s="86"/>
      <c r="L180" s="86"/>
      <c r="M180" s="54">
        <v>45633520000</v>
      </c>
      <c r="N180" s="54">
        <v>7215516000</v>
      </c>
      <c r="O180" s="54">
        <v>7256054000</v>
      </c>
      <c r="P180" s="5">
        <v>11524138000</v>
      </c>
      <c r="Q180" s="5">
        <v>1493015000</v>
      </c>
      <c r="R180" s="5">
        <f>IF(Tabela3[[#This Row],[Ativo || Passivo]]&gt;0,Tabela3[[#This Row],[Ativo || Passivo]]-Tabela3[[#This Row],[Patrimônio Líquido]],0)</f>
        <v>34109382000</v>
      </c>
      <c r="S180" s="5">
        <f>Tabela3[[#This Row],[Cotação]]*Tabela3[[#This Row],[Total Ações]]</f>
        <v>6272110749.96</v>
      </c>
      <c r="T180" s="119">
        <f>IF(Tabela3[[#This Row],[Passivo Circulante]]&gt;0,Tabela3[[#This Row],[Ativo Circulante]]/Tabela3[[#This Row],[Passivo Circulante]],0)</f>
        <v>0.99441321688069029</v>
      </c>
      <c r="U18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0" s="18">
        <f>IF(Tabela3[[#This Row],[Lucro Líquido]]&gt;0,Tabela3[[#This Row],[Lucro Líquido]]/Tabela3[[#This Row],[Patrimônio Líquido]],0)/Tabela3[[#This Row],[Ref]]*4</f>
        <v>0.1295554600265981</v>
      </c>
      <c r="W1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0" s="18">
        <f>IF(Tabela3[[#This Row],[Dívida]]&gt;0,Tabela3[[#This Row],[Dívida]]/Tabela3[[#This Row],[Patrimônio Líquido]],0)</f>
        <v>2.9598206824666624</v>
      </c>
      <c r="Y180" s="18">
        <f>SUMPRODUCT(N([Dívida / PL]&gt;0),N(RIGHT([PAPEL],LEN([PAPEL])-(LEN([PAPEL])-1))="3"),[Dívida / PL])/SUMPRODUCT(N([Dívida / PL]&gt;0),N(RIGHT([PAPEL],LEN([PAPEL])-(LEN([PAPEL])-1))="3"))</f>
        <v>2.2435702141443779</v>
      </c>
      <c r="Z180" s="5">
        <f>Tabela3[[#This Row],[Capital Social]]*20%</f>
        <v>1494241767.3260002</v>
      </c>
      <c r="AA180" s="5">
        <f>IF(([Lucro Líquido]*5%)&gt;[Teto R. Legal],[Teto R. Legal],[Lucro Líquido]*5%)</f>
        <v>74650750</v>
      </c>
      <c r="AB180" s="5">
        <f>IF([Lucro Líquido]&lt;0,0,[Lucro Líquido]-[Reserva Legal])</f>
        <v>1418364250</v>
      </c>
      <c r="AC180" s="5">
        <f>Tabela3[[#This Row],[Lucro Distribuir]]*[%Div]</f>
        <v>354591062.5</v>
      </c>
      <c r="AD180" s="56">
        <f>SUMPRODUCT(N([Nome]=Tabela3[[#This Row],[Nome]]),[Ações])</f>
        <v>1797166404</v>
      </c>
      <c r="AE180" s="5">
        <f>[Capital Social]/[Total Ações]</f>
        <v>4.1572159483958391</v>
      </c>
      <c r="AF180" s="76">
        <f>Tabela3[[#This Row],[Lucro Líquido]]/Tabela3[[#This Row],[Total Ações]]</f>
        <v>0.83076057769439582</v>
      </c>
      <c r="AG18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18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1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18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180" s="5">
        <f>[Div Base]*[Ações]</f>
        <v>298840082.01891607</v>
      </c>
      <c r="AL180" s="5">
        <f>SUMPRODUCT(N([Nome]=Tabela3[[#This Row],[Nome]]),[Div Base]*[Ações])</f>
        <v>354591062.5</v>
      </c>
      <c r="AM180" s="5">
        <f>[Patrimônio Líquido]/[Total Ações]</f>
        <v>6.4123934068378015</v>
      </c>
      <c r="AN180" s="52">
        <f>MAX(Tabela3[[#This Row],[Cotação 1]:[Cotação 5]])</f>
        <v>3.49</v>
      </c>
      <c r="AO180" s="53">
        <f>[Cotação]/[VPA]</f>
        <v>0.54425855972568182</v>
      </c>
      <c r="AP180" s="37">
        <f>IF(Tabela3[[#This Row],[Lucro/Ação]]&gt;0,Tabela3[[#This Row],[Cotação]]/(Tabela3[[#This Row],[Lucro/Ação]]/[Ref]*4),0)</f>
        <v>4.200969682126436</v>
      </c>
      <c r="AQ180" s="76">
        <f>[Lucro Distribuir]/[Total Ações]</f>
        <v>0.78922254880967602</v>
      </c>
      <c r="AR180" s="76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180" s="16" t="str">
        <f>IF(AND([% A.A.]&gt;=5%,SUMPRODUCT(N([Nome]=Tabela3[[#This Row],[Nome]]),[PL])&gt;0,[Rentabilidade s/ PL]&gt;=[Rentabilidade s/ PL Média]),"Sim","Não")</f>
        <v>Não</v>
      </c>
      <c r="AT180" s="22">
        <f>IF([Cotação]&gt;0,Tabela3[[#This Row],[Lucro]]/Tabela3[[#This Row],[Cotação]],0)</f>
        <v>7.1470761290472876E-2</v>
      </c>
      <c r="AU180" s="18">
        <f>((1+Tabela3[[#This Row],[% Yield]])^(1/(3*Tabela3[[#This Row],[Ref]])))^(12)-1</f>
        <v>7.1470761290472584E-2</v>
      </c>
      <c r="AV180" s="14">
        <f>IF([Cotação]&gt;0,($BH$1/Tabela3[[#This Row],[Cotação]]-MOD($BH$1/Tabela3[[#This Row],[Cotação]],100)),)</f>
        <v>200</v>
      </c>
      <c r="AW180" s="7">
        <f>Tabela3[[#This Row],[Ativos]]*[Lucro]</f>
        <v>49.886591380750069</v>
      </c>
      <c r="AX180" s="47">
        <f>SUMPRODUCT(N(Tabela1[Código]=Tabela3[[#This Row],[PAPEL]]),Tabela1[Fechamento])</f>
        <v>0</v>
      </c>
      <c r="AY180" s="54">
        <f>SUMPRODUCT(N(Tabela17[Código]=Tabela3[[#This Row],[PAPEL]]),Tabela17[Fechamento])</f>
        <v>3.49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customHeight="1">
      <c r="A181" s="4" t="s">
        <v>14</v>
      </c>
      <c r="B181" s="57" t="s">
        <v>213</v>
      </c>
      <c r="C181" s="15" t="str">
        <f>LEFT([PAPEL],LEN([PAPEL])-(LEN([PAPEL])-4))</f>
        <v>BRGE</v>
      </c>
      <c r="D181" s="16">
        <v>3</v>
      </c>
      <c r="E181" s="5">
        <v>303375520</v>
      </c>
      <c r="F181" s="56">
        <v>219863</v>
      </c>
      <c r="G181" s="80">
        <v>0.25</v>
      </c>
      <c r="H181" s="16"/>
      <c r="I181" s="18">
        <v>7.0000000000000007E-2</v>
      </c>
      <c r="J181" s="18"/>
      <c r="K181" s="86"/>
      <c r="L181" s="86"/>
      <c r="M181" s="47">
        <v>847911000</v>
      </c>
      <c r="N181" s="47">
        <v>3497000</v>
      </c>
      <c r="O181" s="47">
        <v>3890000</v>
      </c>
      <c r="P181" s="5">
        <v>843867000</v>
      </c>
      <c r="Q181" s="6">
        <v>34502000</v>
      </c>
      <c r="R181" s="6">
        <f>IF(Tabela3[[#This Row],[Ativo || Passivo]]&gt;0,Tabela3[[#This Row],[Ativo || Passivo]]-Tabela3[[#This Row],[Patrimônio Líquido]],0)</f>
        <v>4044000</v>
      </c>
      <c r="S181" s="13">
        <f>Tabela3[[#This Row],[Cotação]]*Tabela3[[#This Row],[Total Ações]]</f>
        <v>265126996.80000001</v>
      </c>
      <c r="T181" s="121">
        <f>IF(Tabela3[[#This Row],[Passivo Circulante]]&gt;0,Tabela3[[#This Row],[Ativo Circulante]]/Tabela3[[#This Row],[Passivo Circulante]],0)</f>
        <v>0.89897172236503853</v>
      </c>
      <c r="U18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1" s="19">
        <f>IF(Tabela3[[#This Row],[Lucro Líquido]]&gt;0,Tabela3[[#This Row],[Lucro Líquido]]/Tabela3[[#This Row],[Patrimônio Líquido]],0)/Tabela3[[#This Row],[Ref]]*4</f>
        <v>5.451411972107769E-2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1" s="19">
        <f>IF(Tabela3[[#This Row],[Dívida]]&gt;0,Tabela3[[#This Row],[Dívida]]/Tabela3[[#This Row],[Patrimônio Líquido]],0)</f>
        <v>4.7922243671099833E-3</v>
      </c>
      <c r="Y181" s="19">
        <f>SUMPRODUCT(N([Dívida / PL]&gt;0),N(RIGHT([PAPEL],LEN([PAPEL])-(LEN([PAPEL])-1))="3"),[Dívida / PL])/SUMPRODUCT(N([Dívida / PL]&gt;0),N(RIGHT([PAPEL],LEN([PAPEL])-(LEN([PAPEL])-1))="3"))</f>
        <v>2.2435702141443779</v>
      </c>
      <c r="Z181" s="5">
        <f>Tabela3[[#This Row],[Capital Social]]*20%</f>
        <v>60675104</v>
      </c>
      <c r="AA181" s="5">
        <f>IF(([Lucro Líquido]*5%)&gt;[Teto R. Legal],[Teto R. Legal],[Lucro Líquido]*5%)</f>
        <v>1725100</v>
      </c>
      <c r="AB181" s="5">
        <f>IF([Lucro Líquido]&lt;0,0,[Lucro Líquido]-[Reserva Legal])</f>
        <v>32776900</v>
      </c>
      <c r="AC181" s="5">
        <f>Tabela3[[#This Row],[Lucro Distribuir]]*[%Div]</f>
        <v>8194225</v>
      </c>
      <c r="AD181" s="21">
        <f>SUMPRODUCT(N([Nome]=Tabela3[[#This Row],[Nome]]),[Ações])</f>
        <v>73646388</v>
      </c>
      <c r="AE181" s="5">
        <f>[Capital Social]/[Total Ações]</f>
        <v>4.1193536877871049</v>
      </c>
      <c r="AF181" s="76">
        <f>Tabela3[[#This Row],[Lucro Líquido]]/Tabela3[[#This Row],[Total Ações]]</f>
        <v>0.46848190300928266</v>
      </c>
      <c r="AG18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8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18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181" s="5">
        <f>[Div Base]*[Ações]</f>
        <v>63398.542190055545</v>
      </c>
      <c r="AL181" s="5">
        <f>SUMPRODUCT(N([Nome]=Tabela3[[#This Row],[Nome]]),[Div Base]*[Ações])</f>
        <v>8194225</v>
      </c>
      <c r="AM181" s="5">
        <f>[Patrimônio Líquido]/[Total Ações]</f>
        <v>11.45836235716</v>
      </c>
      <c r="AN181" s="52">
        <f>MAX(Tabela3[[#This Row],[Cotação 1]:[Cotação 5]])</f>
        <v>3.6</v>
      </c>
      <c r="AO181" s="53">
        <f>[Cotação]/[VPA]</f>
        <v>0.31418102236489875</v>
      </c>
      <c r="AP181" s="37">
        <f>IF(Tabela3[[#This Row],[Lucro/Ação]]&gt;0,Tabela3[[#This Row],[Cotação]]/(Tabela3[[#This Row],[Lucro/Ação]]/[Ref]*4),0)</f>
        <v>5.7632962610863148</v>
      </c>
      <c r="AQ181" s="76">
        <f>[Lucro Distribuir]/[Total Ações]</f>
        <v>0.44505780785881854</v>
      </c>
      <c r="AR181" s="76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181" s="16" t="str">
        <f>IF(AND([% A.A.]&gt;=5%,SUMPRODUCT(N([Nome]=Tabela3[[#This Row],[Nome]]),[PL])&gt;0,[Rentabilidade s/ PL]&gt;=[Rentabilidade s/ PL Média]),"Sim","Não")</f>
        <v>Não</v>
      </c>
      <c r="AT181" s="22">
        <f>IF([Cotação]&gt;0,Tabela3[[#This Row],[Lucro]]/Tabela3[[#This Row],[Cotação]],0)</f>
        <v>8.0098543929193716E-2</v>
      </c>
      <c r="AU181" s="18">
        <f>((1+Tabela3[[#This Row],[% Yield]])^(1/(3*Tabela3[[#This Row],[Ref]])))^(12)-1</f>
        <v>0.10819922169540064</v>
      </c>
      <c r="AV181" s="10">
        <f>IF([Cotação]&gt;0,($BH$1/Tabela3[[#This Row],[Cotação]]-MOD($BH$1/Tabela3[[#This Row],[Cotação]],100)),)</f>
        <v>200</v>
      </c>
      <c r="AW181" s="7">
        <f>Tabela3[[#This Row],[Ativos]]*[Lucro]</f>
        <v>57.67095162901947</v>
      </c>
      <c r="AX181" s="5">
        <f>SUMPRODUCT(N(Tabela1[Código]=Tabela3[[#This Row],[PAPEL]]),Tabela1[Fechamento])</f>
        <v>3.6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customHeight="1">
      <c r="A182" s="4" t="s">
        <v>19</v>
      </c>
      <c r="B182" s="57" t="s">
        <v>180</v>
      </c>
      <c r="C182" s="14" t="str">
        <f>LEFT([PAPEL],LEN([PAPEL])-(LEN([PAPEL])-4))</f>
        <v>RANI</v>
      </c>
      <c r="D182" s="15">
        <v>4</v>
      </c>
      <c r="E182" s="6">
        <v>116894847.81</v>
      </c>
      <c r="F182" s="8">
        <v>12810260</v>
      </c>
      <c r="G182" s="85">
        <v>0.25</v>
      </c>
      <c r="H182" s="15"/>
      <c r="I182" s="19"/>
      <c r="J182" s="19"/>
      <c r="K182" s="87"/>
      <c r="L182" s="87"/>
      <c r="M182" s="55">
        <v>1422053000</v>
      </c>
      <c r="N182" s="55">
        <v>325535000</v>
      </c>
      <c r="O182" s="55">
        <v>335580000</v>
      </c>
      <c r="P182" s="6">
        <v>488229000</v>
      </c>
      <c r="Q182" s="6">
        <v>67408000</v>
      </c>
      <c r="R182" s="6">
        <f>IF(Tabela3[[#This Row],[Ativo || Passivo]]&gt;0,Tabela3[[#This Row],[Ativo || Passivo]]-Tabela3[[#This Row],[Patrimônio Líquido]],0)</f>
        <v>933824000</v>
      </c>
      <c r="S182" s="6">
        <f>Tabela3[[#This Row],[Cotação]]*Tabela3[[#This Row],[Total Ações]]</f>
        <v>601860048.35000002</v>
      </c>
      <c r="T182" s="121">
        <f>IF(Tabela3[[#This Row],[Passivo Circulante]]&gt;0,Tabela3[[#This Row],[Ativo Circulante]]/Tabela3[[#This Row],[Passivo Circulante]],0)</f>
        <v>0.97006675010429699</v>
      </c>
      <c r="U18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2" s="19">
        <f>IF(Tabela3[[#This Row],[Lucro Líquido]]&gt;0,Tabela3[[#This Row],[Lucro Líquido]]/Tabela3[[#This Row],[Patrimônio Líquido]],0)/Tabela3[[#This Row],[Ref]]*4</f>
        <v>0.1380663582048588</v>
      </c>
      <c r="W1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2" s="19">
        <f>IF(Tabela3[[#This Row],[Dívida]]&gt;0,Tabela3[[#This Row],[Dívida]]/Tabela3[[#This Row],[Patrimônio Líquido]],0)</f>
        <v>1.9126762236573411</v>
      </c>
      <c r="Y182" s="19">
        <f>SUMPRODUCT(N([Dívida / PL]&gt;0),N(RIGHT([PAPEL],LEN([PAPEL])-(LEN([PAPEL])-1))="3"),[Dívida / PL])/SUMPRODUCT(N([Dívida / PL]&gt;0),N(RIGHT([PAPEL],LEN([PAPEL])-(LEN([PAPEL])-1))="3"))</f>
        <v>2.2435702141443779</v>
      </c>
      <c r="Z182" s="6">
        <f>Tabela3[[#This Row],[Capital Social]]*20%</f>
        <v>23378969.562000003</v>
      </c>
      <c r="AA182" s="6">
        <f>IF(([Lucro Líquido]*5%)&gt;[Teto R. Legal],[Teto R. Legal],[Lucro Líquido]*5%)</f>
        <v>3370400</v>
      </c>
      <c r="AB182" s="6">
        <f>IF([Lucro Líquido]&lt;0,0,[Lucro Líquido]-[Reserva Legal])</f>
        <v>64037600</v>
      </c>
      <c r="AC182" s="6">
        <f>Tabela3[[#This Row],[Lucro Distribuir]]*[%Div]</f>
        <v>16009400</v>
      </c>
      <c r="AD182" s="56">
        <f>SUMPRODUCT(N([Nome]=Tabela3[[#This Row],[Nome]]),[Ações])</f>
        <v>166720235</v>
      </c>
      <c r="AE182" s="6">
        <f>[Capital Social]/[Total Ações]</f>
        <v>0.70114373225301663</v>
      </c>
      <c r="AF182" s="77">
        <f>Tabela3[[#This Row],[Lucro Líquido]]/Tabela3[[#This Row],[Total Ações]]</f>
        <v>0.40431804813614858</v>
      </c>
      <c r="AG1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1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182" s="6">
        <f>[Div Base]*[Ações]</f>
        <v>1230112.0883376875</v>
      </c>
      <c r="AL182" s="6">
        <f>SUMPRODUCT(N([Nome]=Tabela3[[#This Row],[Nome]]),[Div Base]*[Ações])</f>
        <v>16009400.000000002</v>
      </c>
      <c r="AM182" s="6">
        <f>[Patrimônio Líquido]/[Total Ações]</f>
        <v>2.9284327724226156</v>
      </c>
      <c r="AN182" s="48">
        <f>MAX(Tabela3[[#This Row],[Cotação 1]:[Cotação 5]])</f>
        <v>3.61</v>
      </c>
      <c r="AO182" s="44">
        <f>[Cotação]/[VPA]</f>
        <v>1.2327412922009959</v>
      </c>
      <c r="AP182" s="40">
        <f>IF(Tabela3[[#This Row],[Lucro/Ação]]&gt;0,Tabela3[[#This Row],[Cotação]]/(Tabela3[[#This Row],[Lucro/Ação]]/[Ref]*4),0)</f>
        <v>8.9286145316579635</v>
      </c>
      <c r="AQ182" s="77">
        <f>[Lucro Distribuir]/[Total Ações]</f>
        <v>0.38410214572934115</v>
      </c>
      <c r="AR182" s="77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182" s="15" t="str">
        <f>IF(AND([% A.A.]&gt;=5%,SUMPRODUCT(N([Nome]=Tabela3[[#This Row],[Nome]]),[PL])&gt;0,[Rentabilidade s/ PL]&gt;=[Rentabilidade s/ PL Média]),"Sim","Não")</f>
        <v>Não</v>
      </c>
      <c r="AT182" s="42">
        <f>IF([Cotação]&gt;0,Tabela3[[#This Row],[Lucro]]/Tabela3[[#This Row],[Cotação]],0)</f>
        <v>2.6599871587904514E-2</v>
      </c>
      <c r="AU182" s="19">
        <f>((1+Tabela3[[#This Row],[% Yield]])^(1/(3*Tabela3[[#This Row],[Ref]])))^(12)-1</f>
        <v>2.6599871587903001E-2</v>
      </c>
      <c r="AV182" s="14">
        <f>IF([Cotação]&gt;0,($BH$1/Tabela3[[#This Row],[Cotação]]-MOD($BH$1/Tabela3[[#This Row],[Cotação]],100)),)</f>
        <v>200</v>
      </c>
      <c r="AW182" s="17">
        <f>Tabela3[[#This Row],[Ativos]]*[Lucro]</f>
        <v>19.205107286467058</v>
      </c>
      <c r="AX182" s="5">
        <f>SUMPRODUCT(N(Tabela1[Código]=Tabela3[[#This Row],[PAPEL]]),Tabela1[Fechamento])</f>
        <v>3.61</v>
      </c>
      <c r="AY182" s="5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0</v>
      </c>
    </row>
    <row r="183" spans="1:54" ht="11.25" customHeight="1">
      <c r="A183" s="4" t="s">
        <v>719</v>
      </c>
      <c r="B183" s="57" t="s">
        <v>718</v>
      </c>
      <c r="C183" s="15" t="str">
        <f>LEFT([PAPEL],LEN([PAPEL])-(LEN([PAPEL])-4))</f>
        <v>TEMP</v>
      </c>
      <c r="D183" s="15">
        <v>3</v>
      </c>
      <c r="E183" s="6">
        <v>281257003.55000001</v>
      </c>
      <c r="F183" s="8">
        <v>157363935</v>
      </c>
      <c r="G183" s="85">
        <v>0.25</v>
      </c>
      <c r="H183" s="15"/>
      <c r="I183" s="19"/>
      <c r="J183" s="19"/>
      <c r="K183" s="87"/>
      <c r="L183" s="87"/>
      <c r="M183" s="55"/>
      <c r="N183" s="55"/>
      <c r="O183" s="55"/>
      <c r="P183" s="91">
        <v>288046000</v>
      </c>
      <c r="Q183" s="92">
        <v>17945000</v>
      </c>
      <c r="R183" s="92">
        <f>IF(Tabela3[[#This Row],[Ativo || Passivo]]&gt;0,Tabela3[[#This Row],[Ativo || Passivo]]-Tabela3[[#This Row],[Patrimônio Líquido]],0)</f>
        <v>0</v>
      </c>
      <c r="S183" s="92">
        <f>Tabela3[[#This Row],[Cotação]]*Tabela3[[#This Row],[Total Ações]]</f>
        <v>582246559.5</v>
      </c>
      <c r="T183" s="40">
        <f>IF(Tabela3[[#This Row],[Passivo Circulante]]&gt;0,Tabela3[[#This Row],[Ativo Circulante]]/Tabela3[[#This Row],[Passivo Circulante]],0)</f>
        <v>0</v>
      </c>
      <c r="U18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3" s="19">
        <f>IF(Tabela3[[#This Row],[Lucro Líquido]]&gt;0,Tabela3[[#This Row],[Lucro Líquido]]/Tabela3[[#This Row],[Patrimônio Líquido]],0)/Tabela3[[#This Row],[Ref]]*4</f>
        <v>8.3065436307626792E-2</v>
      </c>
      <c r="W1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3" s="19">
        <f>IF(Tabela3[[#This Row],[Dívida]]&gt;0,Tabela3[[#This Row],[Dívida]]/Tabela3[[#This Row],[Patrimônio Líquido]],0)</f>
        <v>0</v>
      </c>
      <c r="Y183" s="19">
        <f>SUMPRODUCT(N([Dívida / PL]&gt;0),N(RIGHT([PAPEL],LEN([PAPEL])-(LEN([PAPEL])-1))="3"),[Dívida / PL])/SUMPRODUCT(N([Dívida / PL]&gt;0),N(RIGHT([PAPEL],LEN([PAPEL])-(LEN([PAPEL])-1))="3"))</f>
        <v>2.2435702141443779</v>
      </c>
      <c r="Z183" s="13">
        <f>Tabela3[[#This Row],[Capital Social]]*20%</f>
        <v>56251400.710000008</v>
      </c>
      <c r="AA183" s="13">
        <f>IF(([Lucro Líquido]*5%)&gt;[Teto R. Legal],[Teto R. Legal],[Lucro Líquido]*5%)</f>
        <v>897250</v>
      </c>
      <c r="AB183" s="13">
        <f>IF([Lucro Líquido]&lt;0,0,[Lucro Líquido]-[Reserva Legal])</f>
        <v>17047750</v>
      </c>
      <c r="AC183" s="13">
        <f>Tabela3[[#This Row],[Lucro Distribuir]]*[%Div]</f>
        <v>4261937.5</v>
      </c>
      <c r="AD183" s="56">
        <f>SUMPRODUCT(N([Nome]=Tabela3[[#This Row],[Nome]]),[Ações])</f>
        <v>157363935</v>
      </c>
      <c r="AE183" s="6">
        <f>[Capital Social]/[Total Ações]</f>
        <v>1.7873028121087593</v>
      </c>
      <c r="AF183" s="77">
        <f>Tabela3[[#This Row],[Lucro Líquido]]/Tabela3[[#This Row],[Total Ações]]</f>
        <v>0.11403502333619199</v>
      </c>
      <c r="AG1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1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183" s="13">
        <f>[Div Base]*[Ações]</f>
        <v>4261937.5</v>
      </c>
      <c r="AL183" s="13">
        <f>SUMPRODUCT(N([Nome]=Tabela3[[#This Row],[Nome]]),[Div Base]*[Ações])</f>
        <v>4261937.5</v>
      </c>
      <c r="AM183" s="6">
        <f>[Patrimônio Líquido]/[Total Ações]</f>
        <v>1.8304448220616751</v>
      </c>
      <c r="AN183" s="48">
        <f>MAX(Tabela3[[#This Row],[Cotação 1]:[Cotação 5]])</f>
        <v>3.7</v>
      </c>
      <c r="AO183" s="44">
        <f>[Cotação]/[VPA]</f>
        <v>2.0213665855453642</v>
      </c>
      <c r="AP183" s="40">
        <f>IF(Tabela3[[#This Row],[Lucro/Ação]]&gt;0,Tabela3[[#This Row],[Cotação]]/(Tabela3[[#This Row],[Lucro/Ação]]/[Ref]*4),0)</f>
        <v>24.334629123711341</v>
      </c>
      <c r="AQ183" s="77">
        <f>[Lucro Distribuir]/[Total Ações]</f>
        <v>0.10833327216938239</v>
      </c>
      <c r="AR183" s="77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183" s="14" t="str">
        <f>IF(AND([% A.A.]&gt;=5%,SUMPRODUCT(N([Nome]=Tabela3[[#This Row],[Nome]]),[PL])&gt;0,[Rentabilidade s/ PL]&gt;=[Rentabilidade s/ PL Média]),"Sim","Não")</f>
        <v>Não</v>
      </c>
      <c r="AT183" s="42">
        <f>IF([Cotação]&gt;0,Tabela3[[#This Row],[Lucro]]/Tabela3[[#This Row],[Cotação]],0)</f>
        <v>7.3198156871204312E-3</v>
      </c>
      <c r="AU183" s="42">
        <f>((1+Tabela3[[#This Row],[% Yield]])^(1/(3*Tabela3[[#This Row],[Ref]])))^(12)-1</f>
        <v>9.7716415411270852E-3</v>
      </c>
      <c r="AV183" s="14">
        <f>IF([Cotação]&gt;0,($BH$1/Tabela3[[#This Row],[Cotação]]-MOD($BH$1/Tabela3[[#This Row],[Cotação]],100)),)</f>
        <v>200</v>
      </c>
      <c r="AW183" s="17">
        <f>Tabela3[[#This Row],[Ativos]]*[Lucro]</f>
        <v>5.4166636084691193</v>
      </c>
      <c r="AX183" s="17">
        <f>SUMPRODUCT(N(Tabela1[Código]=Tabela3[[#This Row],[PAPEL]]),Tabela1[Fechamento])</f>
        <v>0</v>
      </c>
      <c r="AY183" s="17">
        <f>SUMPRODUCT(N(Tabela17[Código]=Tabela3[[#This Row],[PAPEL]]),Tabela17[Fechamento])</f>
        <v>0</v>
      </c>
      <c r="AZ183" s="17">
        <f>SUMPRODUCT(N(Tabela176[Código]=Tabela3[[#This Row],[PAPEL]]),Tabela176[Fechamento])</f>
        <v>3.7</v>
      </c>
      <c r="BA183" s="17">
        <f>SUMPRODUCT(N(Tabela1768[Código]=Tabela3[[#This Row],[PAPEL]]),Tabela1768[Fechamento])</f>
        <v>0</v>
      </c>
      <c r="BB183" s="7">
        <f>SUMPRODUCT(N(Tabela17683[Código]=Tabela3[[#This Row],[PAPEL]]),Tabela17683[Fechamento])</f>
        <v>0</v>
      </c>
    </row>
    <row r="184" spans="1:54" ht="11.25" customHeight="1">
      <c r="A184" s="4" t="s">
        <v>14</v>
      </c>
      <c r="B184" s="57" t="s">
        <v>214</v>
      </c>
      <c r="C184" s="15" t="str">
        <f>LEFT([PAPEL],LEN([PAPEL])-(LEN([PAPEL])-4))</f>
        <v>BRGE</v>
      </c>
      <c r="D184" s="16">
        <v>3</v>
      </c>
      <c r="E184" s="5">
        <v>303375520</v>
      </c>
      <c r="F184" s="56">
        <v>2059517</v>
      </c>
      <c r="G184" s="85">
        <v>0.25</v>
      </c>
      <c r="H184" s="16"/>
      <c r="I184" s="18">
        <v>0.05</v>
      </c>
      <c r="J184" s="18"/>
      <c r="K184" s="86"/>
      <c r="L184" s="86"/>
      <c r="M184" s="47">
        <v>847911000</v>
      </c>
      <c r="N184" s="47">
        <v>3497000</v>
      </c>
      <c r="O184" s="47">
        <v>3890000</v>
      </c>
      <c r="P184" s="5">
        <v>843867000</v>
      </c>
      <c r="Q184" s="5">
        <v>34502000</v>
      </c>
      <c r="R184" s="5">
        <f>IF(Tabela3[[#This Row],[Ativo || Passivo]]&gt;0,Tabela3[[#This Row],[Ativo || Passivo]]-Tabela3[[#This Row],[Patrimônio Líquido]],0)</f>
        <v>4044000</v>
      </c>
      <c r="S184" s="47">
        <f>Tabela3[[#This Row],[Cotação]]*Tabela3[[#This Row],[Total Ações]]</f>
        <v>278383346.63999999</v>
      </c>
      <c r="T184" s="119">
        <f>IF(Tabela3[[#This Row],[Passivo Circulante]]&gt;0,Tabela3[[#This Row],[Ativo Circulante]]/Tabela3[[#This Row],[Passivo Circulante]],0)</f>
        <v>0.89897172236503853</v>
      </c>
      <c r="U18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4" s="18">
        <f>IF(Tabela3[[#This Row],[Lucro Líquido]]&gt;0,Tabela3[[#This Row],[Lucro Líquido]]/Tabela3[[#This Row],[Patrimônio Líquido]],0)/Tabela3[[#This Row],[Ref]]*4</f>
        <v>5.451411972107769E-2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4" s="18">
        <f>IF(Tabela3[[#This Row],[Dívida]]&gt;0,Tabela3[[#This Row],[Dívida]]/Tabela3[[#This Row],[Patrimônio Líquido]],0)</f>
        <v>4.7922243671099833E-3</v>
      </c>
      <c r="Y184" s="18">
        <f>SUMPRODUCT(N([Dívida / PL]&gt;0),N(RIGHT([PAPEL],LEN([PAPEL])-(LEN([PAPEL])-1))="3"),[Dívida / PL])/SUMPRODUCT(N([Dívida / PL]&gt;0),N(RIGHT([PAPEL],LEN([PAPEL])-(LEN([PAPEL])-1))="3"))</f>
        <v>2.2435702141443779</v>
      </c>
      <c r="Z184" s="5">
        <f>Tabela3[[#This Row],[Capital Social]]*20%</f>
        <v>60675104</v>
      </c>
      <c r="AA184" s="5">
        <f>IF(([Lucro Líquido]*5%)&gt;[Teto R. Legal],[Teto R. Legal],[Lucro Líquido]*5%)</f>
        <v>1725100</v>
      </c>
      <c r="AB184" s="5">
        <f>IF([Lucro Líquido]&lt;0,0,[Lucro Líquido]-[Reserva Legal])</f>
        <v>32776900</v>
      </c>
      <c r="AC184" s="5">
        <f>Tabela3[[#This Row],[Lucro Distribuir]]*[%Div]</f>
        <v>8194225</v>
      </c>
      <c r="AD184" s="21">
        <f>SUMPRODUCT(N([Nome]=Tabela3[[#This Row],[Nome]]),[Ações])</f>
        <v>73646388</v>
      </c>
      <c r="AE184" s="5">
        <f>[Capital Social]/[Total Ações]</f>
        <v>4.1193536877871049</v>
      </c>
      <c r="AF184" s="76">
        <f>Tabela3[[#This Row],[Lucro Líquido]]/Tabela3[[#This Row],[Total Ações]]</f>
        <v>0.46848190300928266</v>
      </c>
      <c r="AG18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1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184" s="5">
        <f>[Div Base]*[Ações]</f>
        <v>424193.94745051174</v>
      </c>
      <c r="AL184" s="5">
        <f>SUMPRODUCT(N([Nome]=Tabela3[[#This Row],[Nome]]),[Div Base]*[Ações])</f>
        <v>8194225</v>
      </c>
      <c r="AM184" s="5">
        <f>[Patrimônio Líquido]/[Total Ações]</f>
        <v>11.45836235716</v>
      </c>
      <c r="AN184" s="52">
        <f>MAX(Tabela3[[#This Row],[Cotação 1]:[Cotação 5]])</f>
        <v>3.78</v>
      </c>
      <c r="AO184" s="53">
        <f>[Cotação]/[VPA]</f>
        <v>0.32989007348314364</v>
      </c>
      <c r="AP184" s="37">
        <f>IF(Tabela3[[#This Row],[Lucro/Ação]]&gt;0,Tabela3[[#This Row],[Cotação]]/(Tabela3[[#This Row],[Lucro/Ação]]/[Ref]*4),0)</f>
        <v>6.0514610741406294</v>
      </c>
      <c r="AQ184" s="76">
        <f>[Lucro Distribuir]/[Total Ações]</f>
        <v>0.44505780785881854</v>
      </c>
      <c r="AR184" s="76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184" s="16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5.4488805394009326E-2</v>
      </c>
      <c r="AU184" s="18">
        <f>((1+Tabela3[[#This Row],[% Yield]])^(1/(3*Tabela3[[#This Row],[Ref]])))^(12)-1</f>
        <v>7.3303712149136002E-2</v>
      </c>
      <c r="AV184" s="10">
        <f>IF([Cotação]&gt;0,($BH$1/Tabela3[[#This Row],[Cotação]]-MOD($BH$1/Tabela3[[#This Row],[Cotação]],100)),)</f>
        <v>200</v>
      </c>
      <c r="AW184" s="7">
        <f>Tabela3[[#This Row],[Ativos]]*[Lucro]</f>
        <v>41.193536877871054</v>
      </c>
      <c r="AX184" s="5">
        <f>SUMPRODUCT(N(Tabela1[Código]=Tabela3[[#This Row],[PAPEL]]),Tabela1[Fechamento])</f>
        <v>3.78</v>
      </c>
      <c r="AY184" s="5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0</v>
      </c>
      <c r="BB184" s="7">
        <f>SUMPRODUCT(N(Tabela17683[Código]=Tabela3[[#This Row],[PAPEL]]),Tabela17683[Fechamento])</f>
        <v>0</v>
      </c>
    </row>
    <row r="185" spans="1:54" ht="11.25" customHeight="1">
      <c r="A185" s="3" t="s">
        <v>304</v>
      </c>
      <c r="B185" s="58" t="s">
        <v>305</v>
      </c>
      <c r="C185" s="82" t="str">
        <f>LEFT([PAPEL],LEN([PAPEL])-(LEN([PAPEL])-4))</f>
        <v>LCAM</v>
      </c>
      <c r="D185" s="16">
        <v>3</v>
      </c>
      <c r="E185" s="5">
        <v>298927602.41000003</v>
      </c>
      <c r="F185" s="56">
        <v>65075322</v>
      </c>
      <c r="G185" s="85">
        <v>0.25</v>
      </c>
      <c r="H185" s="16"/>
      <c r="J185" s="18"/>
      <c r="K185" s="86"/>
      <c r="L185" s="86"/>
      <c r="M185" s="54"/>
      <c r="N185" s="54"/>
      <c r="O185" s="54"/>
      <c r="P185" s="5">
        <v>314080000</v>
      </c>
      <c r="Q185" s="5">
        <v>22535000</v>
      </c>
      <c r="R185" s="5">
        <f>IF(Tabela3[[#This Row],[Ativo || Passivo]]&gt;0,Tabela3[[#This Row],[Ativo || Passivo]]-Tabela3[[#This Row],[Patrimônio Líquido]],0)</f>
        <v>0</v>
      </c>
      <c r="S185" s="5">
        <f>Tabela3[[#This Row],[Cotação]]*Tabela3[[#This Row],[Total Ações]]</f>
        <v>246635470.38</v>
      </c>
      <c r="T185" s="119">
        <f>IF(Tabela3[[#This Row],[Passivo Circulante]]&gt;0,Tabela3[[#This Row],[Ativo Circulante]]/Tabela3[[#This Row],[Passivo Circulante]],0)</f>
        <v>0</v>
      </c>
      <c r="U18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5" s="18">
        <f>IF(Tabela3[[#This Row],[Lucro Líquido]]&gt;0,Tabela3[[#This Row],[Lucro Líquido]]/Tabela3[[#This Row],[Patrimônio Líquido]],0)/Tabela3[[#This Row],[Ref]]*4</f>
        <v>9.5665647817965702E-2</v>
      </c>
      <c r="W1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5" s="18">
        <f>IF(Tabela3[[#This Row],[Dívida]]&gt;0,Tabela3[[#This Row],[Dívida]]/Tabela3[[#This Row],[Patrimônio Líquido]],0)</f>
        <v>0</v>
      </c>
      <c r="Y185" s="18">
        <f>SUMPRODUCT(N([Dívida / PL]&gt;0),N(RIGHT([PAPEL],LEN([PAPEL])-(LEN([PAPEL])-1))="3"),[Dívida / PL])/SUMPRODUCT(N([Dívida / PL]&gt;0),N(RIGHT([PAPEL],LEN([PAPEL])-(LEN([PAPEL])-1))="3"))</f>
        <v>2.2435702141443779</v>
      </c>
      <c r="Z185" s="5">
        <f>Tabela3[[#This Row],[Capital Social]]*20%</f>
        <v>59785520.482000008</v>
      </c>
      <c r="AA185" s="5">
        <f>IF(([Lucro Líquido]*5%)&gt;[Teto R. Legal],[Teto R. Legal],[Lucro Líquido]*5%)</f>
        <v>1126750</v>
      </c>
      <c r="AB185" s="5">
        <f>IF([Lucro Líquido]&lt;0,0,[Lucro Líquido]-[Reserva Legal])</f>
        <v>21408250</v>
      </c>
      <c r="AC185" s="5">
        <f>Tabela3[[#This Row],[Lucro Distribuir]]*[%Div]</f>
        <v>5352062.5</v>
      </c>
      <c r="AD185" s="56">
        <f>SUMPRODUCT(N([Nome]=Tabela3[[#This Row],[Nome]]),[Ações])</f>
        <v>65075322</v>
      </c>
      <c r="AE185" s="5">
        <f>[Capital Social]/[Total Ações]</f>
        <v>4.5935631699217723</v>
      </c>
      <c r="AF185" s="76">
        <f>Tabela3[[#This Row],[Lucro Líquido]]/Tabela3[[#This Row],[Total Ações]]</f>
        <v>0.34629102565178238</v>
      </c>
      <c r="AG18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18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185" s="5">
        <f>[Div Base]*[Ações]</f>
        <v>5352062.5</v>
      </c>
      <c r="AL185" s="5">
        <f>SUMPRODUCT(N([Nome]=Tabela3[[#This Row],[Nome]]),[Div Base]*[Ações])</f>
        <v>5352062.5</v>
      </c>
      <c r="AM185" s="5">
        <f>[Patrimônio Líquido]/[Total Ações]</f>
        <v>4.8264071593837059</v>
      </c>
      <c r="AN185" s="52">
        <f>MAX(Tabela3[[#This Row],[Cotação 1]:[Cotação 5]])</f>
        <v>3.79</v>
      </c>
      <c r="AO185" s="53">
        <f>[Cotação]/[VPA]</f>
        <v>0.78526321440397351</v>
      </c>
      <c r="AP185" s="37">
        <f>IF(Tabela3[[#This Row],[Lucro/Ação]]&gt;0,Tabela3[[#This Row],[Cotação]]/(Tabela3[[#This Row],[Lucro/Ação]]/[Ref]*4),0)</f>
        <v>8.2084137024628365</v>
      </c>
      <c r="AQ185" s="76">
        <f>[Lucro Distribuir]/[Total Ações]</f>
        <v>0.32897647436919331</v>
      </c>
      <c r="AR185" s="76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185" s="16" t="str">
        <f>IF(AND([% A.A.]&gt;=5%,SUMPRODUCT(N([Nome]=Tabela3[[#This Row],[Nome]]),[PL])&gt;0,[Rentabilidade s/ PL]&gt;=[Rentabilidade s/ PL Média]),"Sim","Não")</f>
        <v>Não</v>
      </c>
      <c r="AT185" s="22">
        <f>IF([Cotação]&gt;0,Tabela3[[#This Row],[Lucro]]/Tabela3[[#This Row],[Cotação]],0)</f>
        <v>2.1700295143086631E-2</v>
      </c>
      <c r="AU185" s="18">
        <f>((1+Tabela3[[#This Row],[% Yield]])^(1/(3*Tabela3[[#This Row],[Ref]])))^(12)-1</f>
        <v>2.9037871808173188E-2</v>
      </c>
      <c r="AV185" s="10">
        <f>IF([Cotação]&gt;0,($BH$1/Tabela3[[#This Row],[Cotação]]-MOD($BH$1/Tabela3[[#This Row],[Cotação]],100)),)</f>
        <v>200</v>
      </c>
      <c r="AW185" s="7">
        <f>Tabela3[[#This Row],[Ativos]]*[Lucro]</f>
        <v>16.448823718459664</v>
      </c>
      <c r="AX185" s="47">
        <f>SUMPRODUCT(N(Tabela1[Código]=Tabela3[[#This Row],[PAPEL]]),Tabela1[Fechamento])</f>
        <v>0</v>
      </c>
      <c r="AY185" s="54">
        <f>SUMPRODUCT(N(Tabela17[Código]=Tabela3[[#This Row],[PAPEL]]),Tabela17[Fechamento])</f>
        <v>3.79</v>
      </c>
      <c r="AZ185" s="7">
        <f>SUMPRODUCT(N(Tabela176[Código]=Tabela3[[#This Row],[PAPEL]]),Tabela176[Fechamento])</f>
        <v>0</v>
      </c>
      <c r="BA185" s="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t="11.25" customHeight="1">
      <c r="A186" s="3" t="s">
        <v>283</v>
      </c>
      <c r="B186" s="57" t="s">
        <v>279</v>
      </c>
      <c r="C186" s="81" t="str">
        <f>LEFT([PAPEL],LEN([PAPEL])-(LEN([PAPEL])-4))</f>
        <v>OIBR</v>
      </c>
      <c r="D186" s="16">
        <v>4</v>
      </c>
      <c r="E186" s="5">
        <v>7471208836.6300001</v>
      </c>
      <c r="F186" s="56">
        <v>599088629</v>
      </c>
      <c r="G186" s="85">
        <v>0.25</v>
      </c>
      <c r="H186" s="18"/>
      <c r="J186" s="18"/>
      <c r="K186" s="86"/>
      <c r="L186" s="86"/>
      <c r="M186" s="54">
        <v>45633520000</v>
      </c>
      <c r="N186" s="54">
        <v>7215516000</v>
      </c>
      <c r="O186" s="54">
        <v>7256054000</v>
      </c>
      <c r="P186" s="5">
        <v>11524138000</v>
      </c>
      <c r="Q186" s="5">
        <v>1493015000</v>
      </c>
      <c r="R186" s="5">
        <f>IF(Tabela3[[#This Row],[Ativo || Passivo]]&gt;0,Tabela3[[#This Row],[Ativo || Passivo]]-Tabela3[[#This Row],[Patrimônio Líquido]],0)</f>
        <v>34109382000</v>
      </c>
      <c r="S186" s="5">
        <f>Tabela3[[#This Row],[Cotação]]*Tabela3[[#This Row],[Total Ações]]</f>
        <v>6811260671.1599998</v>
      </c>
      <c r="T186" s="119">
        <f>IF(Tabela3[[#This Row],[Passivo Circulante]]&gt;0,Tabela3[[#This Row],[Ativo Circulante]]/Tabela3[[#This Row],[Passivo Circulante]],0)</f>
        <v>0.99441321688069029</v>
      </c>
      <c r="U18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6" s="18">
        <f>IF(Tabela3[[#This Row],[Lucro Líquido]]&gt;0,Tabela3[[#This Row],[Lucro Líquido]]/Tabela3[[#This Row],[Patrimônio Líquido]],0)/Tabela3[[#This Row],[Ref]]*4</f>
        <v>0.1295554600265981</v>
      </c>
      <c r="W18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6" s="18">
        <f>IF(Tabela3[[#This Row],[Dívida]]&gt;0,Tabela3[[#This Row],[Dívida]]/Tabela3[[#This Row],[Patrimônio Líquido]],0)</f>
        <v>2.9598206824666624</v>
      </c>
      <c r="Y186" s="18">
        <f>SUMPRODUCT(N([Dívida / PL]&gt;0),N(RIGHT([PAPEL],LEN([PAPEL])-(LEN([PAPEL])-1))="3"),[Dívida / PL])/SUMPRODUCT(N([Dívida / PL]&gt;0),N(RIGHT([PAPEL],LEN([PAPEL])-(LEN([PAPEL])-1))="3"))</f>
        <v>2.2435702141443779</v>
      </c>
      <c r="Z186" s="5">
        <f>Tabela3[[#This Row],[Capital Social]]*20%</f>
        <v>1494241767.3260002</v>
      </c>
      <c r="AA186" s="5">
        <f>IF(([Lucro Líquido]*5%)&gt;[Teto R. Legal],[Teto R. Legal],[Lucro Líquido]*5%)</f>
        <v>74650750</v>
      </c>
      <c r="AB186" s="5">
        <f>IF([Lucro Líquido]&lt;0,0,[Lucro Líquido]-[Reserva Legal])</f>
        <v>1418364250</v>
      </c>
      <c r="AC186" s="5">
        <f>Tabela3[[#This Row],[Lucro Distribuir]]*[%Div]</f>
        <v>354591062.5</v>
      </c>
      <c r="AD186" s="56">
        <f>SUMPRODUCT(N([Nome]=Tabela3[[#This Row],[Nome]]),[Ações])</f>
        <v>1797166404</v>
      </c>
      <c r="AE186" s="5">
        <f>[Capital Social]/[Total Ações]</f>
        <v>4.1572159483958391</v>
      </c>
      <c r="AF186" s="76">
        <f>Tabela3[[#This Row],[Lucro Líquido]]/Tabela3[[#This Row],[Total Ações]]</f>
        <v>0.83076057769439582</v>
      </c>
      <c r="AG18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18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1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18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186" s="5">
        <f>[Div Base]*[Ações]</f>
        <v>55750980.48108393</v>
      </c>
      <c r="AL186" s="5">
        <f>SUMPRODUCT(N([Nome]=Tabela3[[#This Row],[Nome]]),[Div Base]*[Ações])</f>
        <v>354591062.5</v>
      </c>
      <c r="AM186" s="5">
        <f>[Patrimônio Líquido]/[Total Ações]</f>
        <v>6.4123934068378015</v>
      </c>
      <c r="AN186" s="52">
        <f>MAX(Tabela3[[#This Row],[Cotação 1]:[Cotação 5]])</f>
        <v>3.79</v>
      </c>
      <c r="AO186" s="53">
        <f>[Cotação]/[VPA]</f>
        <v>0.59104296314049687</v>
      </c>
      <c r="AP186" s="37">
        <f>IF(Tabela3[[#This Row],[Lucro/Ação]]&gt;0,Tabela3[[#This Row],[Cotação]]/(Tabela3[[#This Row],[Lucro/Ação]]/[Ref]*4),0)</f>
        <v>4.5620845545155273</v>
      </c>
      <c r="AQ186" s="76">
        <f>[Lucro Distribuir]/[Total Ações]</f>
        <v>0.78922254880967602</v>
      </c>
      <c r="AR186" s="76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186" s="16" t="str">
        <f>IF(AND([% A.A.]&gt;=5%,SUMPRODUCT(N([Nome]=Tabela3[[#This Row],[Nome]]),[PL])&gt;0,[Rentabilidade s/ PL]&gt;=[Rentabilidade s/ PL Média]),"Sim","Não")</f>
        <v>Não</v>
      </c>
      <c r="AT186" s="22">
        <f>IF([Cotação]&gt;0,Tabela3[[#This Row],[Lucro]]/Tabela3[[#This Row],[Cotação]],0)</f>
        <v>2.4553998395310042E-2</v>
      </c>
      <c r="AU186" s="18">
        <f>((1+Tabela3[[#This Row],[% Yield]])^(1/(3*Tabela3[[#This Row],[Ref]])))^(12)-1</f>
        <v>2.4553998395310028E-2</v>
      </c>
      <c r="AV186" s="10">
        <f>IF([Cotação]&gt;0,($BH$1/Tabela3[[#This Row],[Cotação]]-MOD($BH$1/Tabela3[[#This Row],[Cotação]],100)),)</f>
        <v>200</v>
      </c>
      <c r="AW186" s="7">
        <f>Tabela3[[#This Row],[Ativos]]*[Lucro]</f>
        <v>18.611930783645011</v>
      </c>
      <c r="AX186" s="47">
        <f>SUMPRODUCT(N(Tabela1[Código]=Tabela3[[#This Row],[PAPEL]]),Tabela1[Fechamento])</f>
        <v>0</v>
      </c>
      <c r="AY186" s="54">
        <f>SUMPRODUCT(N(Tabela17[Código]=Tabela3[[#This Row],[PAPEL]]),Tabela17[Fechamento])</f>
        <v>3.79</v>
      </c>
      <c r="AZ186" s="7">
        <f>SUMPRODUCT(N(Tabela176[Código]=Tabela3[[#This Row],[PAPEL]]),Tabela176[Fechamento])</f>
        <v>0</v>
      </c>
      <c r="BA186" s="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customHeight="1">
      <c r="A187" s="3" t="s">
        <v>1019</v>
      </c>
      <c r="B187" s="57" t="s">
        <v>1052</v>
      </c>
      <c r="C187" s="16" t="str">
        <f>LEFT([PAPEL],LEN([PAPEL])-(LEN([PAPEL])-4))</f>
        <v>TRIS</v>
      </c>
      <c r="D187" s="16">
        <v>4</v>
      </c>
      <c r="E187" s="5">
        <v>461080000</v>
      </c>
      <c r="F187" s="56">
        <v>81798769</v>
      </c>
      <c r="G187" s="80">
        <v>0.25</v>
      </c>
      <c r="H187" s="86"/>
      <c r="J187" s="18"/>
      <c r="K187" s="16"/>
      <c r="L187" s="86"/>
      <c r="M187" s="54">
        <v>812832000</v>
      </c>
      <c r="N187" s="54">
        <v>29131000</v>
      </c>
      <c r="O187" s="54">
        <v>231103000</v>
      </c>
      <c r="P187" s="90">
        <v>509078000</v>
      </c>
      <c r="Q187" s="73">
        <v>30713000</v>
      </c>
      <c r="R187" s="73">
        <f>IF(Tabela3[[#This Row],[Ativo || Passivo]]&gt;0,Tabela3[[#This Row],[Ativo || Passivo]]-Tabela3[[#This Row],[Patrimônio Líquido]],0)</f>
        <v>303754000</v>
      </c>
      <c r="S187" s="73">
        <f>Tabela3[[#This Row],[Cotação]]*Tabela3[[#This Row],[Total Ações]]</f>
        <v>311653309.88999999</v>
      </c>
      <c r="T187" s="37">
        <f>IF(Tabela3[[#This Row],[Passivo Circulante]]&gt;0,Tabela3[[#This Row],[Ativo Circulante]]/Tabela3[[#This Row],[Passivo Circulante]],0)</f>
        <v>0.12605202009493602</v>
      </c>
      <c r="U18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7" s="18">
        <f>IF(Tabela3[[#This Row],[Lucro Líquido]]&gt;0,Tabela3[[#This Row],[Lucro Líquido]]/Tabela3[[#This Row],[Patrimônio Líquido]],0)/Tabela3[[#This Row],[Ref]]*4</f>
        <v>6.0330636955437084E-2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7" s="18">
        <f>IF(Tabela3[[#This Row],[Dívida]]&gt;0,Tabela3[[#This Row],[Dívida]]/Tabela3[[#This Row],[Patrimônio Líquido]],0)</f>
        <v>0.59667477282459658</v>
      </c>
      <c r="Y187" s="18">
        <f>SUMPRODUCT(N([Dívida / PL]&gt;0),N(RIGHT([PAPEL],LEN([PAPEL])-(LEN([PAPEL])-1))="3"),[Dívida / PL])/SUMPRODUCT(N([Dívida / PL]&gt;0),N(RIGHT([PAPEL],LEN([PAPEL])-(LEN([PAPEL])-1))="3"))</f>
        <v>2.2435702141443779</v>
      </c>
      <c r="Z187" s="7">
        <f>Tabela3[[#This Row],[Capital Social]]*20%</f>
        <v>92216000</v>
      </c>
      <c r="AA187" s="47">
        <f>IF(([Lucro Líquido]*5%)&gt;[Teto R. Legal],[Teto R. Legal],[Lucro Líquido]*5%)</f>
        <v>1535650</v>
      </c>
      <c r="AB187" s="47">
        <f>IF([Lucro Líquido]&lt;0,0,[Lucro Líquido]-[Reserva Legal])</f>
        <v>29177350</v>
      </c>
      <c r="AC187" s="47">
        <f>Tabela3[[#This Row],[Lucro Distribuir]]*[%Div]</f>
        <v>7294337.5</v>
      </c>
      <c r="AD187" s="56">
        <f>SUMPRODUCT(N([Nome]=Tabela3[[#This Row],[Nome]]),[Ações])</f>
        <v>81798769</v>
      </c>
      <c r="AE187" s="84">
        <f>[Capital Social]/[Total Ações]</f>
        <v>5.63675964365674</v>
      </c>
      <c r="AF187" s="84">
        <f>Tabela3[[#This Row],[Lucro Líquido]]/Tabela3[[#This Row],[Total Ações]]</f>
        <v>0.37547019809063387</v>
      </c>
      <c r="AG1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8.9174172046525543E-2</v>
      </c>
      <c r="AH1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8.9174172046525543E-2</v>
      </c>
      <c r="AK187" s="7">
        <f>[Div Base]*[Ações]</f>
        <v>7294337.5</v>
      </c>
      <c r="AL187" s="113">
        <f>SUMPRODUCT(N([Nome]=Tabela3[[#This Row],[Nome]]),[Div Base]*[Ações])</f>
        <v>7294337.5</v>
      </c>
      <c r="AM187" s="5">
        <f>[Patrimônio Líquido]/[Total Ações]</f>
        <v>6.2235410902088271</v>
      </c>
      <c r="AN187" s="52">
        <f>MAX(Tabela3[[#This Row],[Cotação 1]:[Cotação 5]])</f>
        <v>3.81</v>
      </c>
      <c r="AO187" s="53">
        <f>[Cotação]/[VPA]</f>
        <v>0.61219166785836354</v>
      </c>
      <c r="AP187" s="37">
        <f>IF(Tabela3[[#This Row],[Lucro/Ação]]&gt;0,Tabela3[[#This Row],[Cotação]]/(Tabela3[[#This Row],[Lucro/Ação]]/[Ref]*4),0)</f>
        <v>10.147276719630124</v>
      </c>
      <c r="AQ187" s="84">
        <f>[Lucro Distribuir]/[Total Ações]</f>
        <v>0.35669668818610217</v>
      </c>
      <c r="AR187" s="84">
        <f>IF([Unit ON]&gt;0,SUMPRODUCT(N([Nome]=Tabela3[[#This Row],[Nome]]),N(RIGHT([PAPEL],1)="3"),[Div Base])*[Unit ON]+SUMPRODUCT(N([Nome]=Tabela3[[#This Row],[Nome]]),N(RIGHT([PAPEL],1)="4"),[Div Base])*[Unit PN],[Div Base])</f>
        <v>8.9174172046525543E-2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2.3405294500400405E-2</v>
      </c>
      <c r="AU187" s="22">
        <f>((1+Tabela3[[#This Row],[% Yield]])^(1/(3*Tabela3[[#This Row],[Ref]])))^(12)-1</f>
        <v>2.3405294500401741E-2</v>
      </c>
      <c r="AV187" s="10">
        <f>IF([Cotação]&gt;0,($BH$1/Tabela3[[#This Row],[Cotação]]-MOD($BH$1/Tabela3[[#This Row],[Cotação]],100)),)</f>
        <v>200</v>
      </c>
      <c r="AW187" s="7">
        <f>Tabela3[[#This Row],[Ativos]]*[Lucro]</f>
        <v>17.83483440930511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3.81</v>
      </c>
      <c r="BB187" s="7">
        <f>SUMPRODUCT(N(Tabela17683[Código]=Tabela3[[#This Row],[PAPEL]]),Tabela17683[Fechamento])</f>
        <v>0</v>
      </c>
    </row>
    <row r="188" spans="1:54" ht="11.25" customHeight="1">
      <c r="A188" s="4" t="s">
        <v>354</v>
      </c>
      <c r="B188" s="57" t="s">
        <v>356</v>
      </c>
      <c r="C188" s="81" t="str">
        <f>LEFT([PAPEL],LEN([PAPEL])-(LEN([PAPEL])-4))</f>
        <v>CRIV</v>
      </c>
      <c r="D188" s="15">
        <v>3</v>
      </c>
      <c r="E188" s="6">
        <v>331000000</v>
      </c>
      <c r="F188" s="8">
        <v>46326898</v>
      </c>
      <c r="G188" s="85">
        <v>0.25</v>
      </c>
      <c r="H188" s="15"/>
      <c r="I188" s="19">
        <v>0.08</v>
      </c>
      <c r="J188" s="19"/>
      <c r="K188" s="87"/>
      <c r="L188" s="87"/>
      <c r="M188" s="13">
        <v>6125481000</v>
      </c>
      <c r="N188" s="13">
        <v>3927516000</v>
      </c>
      <c r="O188" s="13">
        <v>2307942000</v>
      </c>
      <c r="P188" s="6">
        <v>735745000</v>
      </c>
      <c r="Q188" s="6">
        <v>39503000</v>
      </c>
      <c r="R188" s="6">
        <f>IF(Tabela3[[#This Row],[Ativo || Passivo]]&gt;0,Tabela3[[#This Row],[Ativo || Passivo]]-Tabela3[[#This Row],[Patrimônio Líquido]],0)</f>
        <v>5389736000</v>
      </c>
      <c r="S188" s="13">
        <f>Tabela3[[#This Row],[Cotação]]*Tabela3[[#This Row],[Total Ações]]</f>
        <v>406141067.51999998</v>
      </c>
      <c r="T188" s="121">
        <f>IF(Tabela3[[#This Row],[Passivo Circulante]]&gt;0,Tabela3[[#This Row],[Ativo Circulante]]/Tabela3[[#This Row],[Passivo Circulante]],0)</f>
        <v>1.7017394717891525</v>
      </c>
      <c r="U18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8" s="19">
        <f>IF(Tabela3[[#This Row],[Lucro Líquido]]&gt;0,Tabela3[[#This Row],[Lucro Líquido]]/Tabela3[[#This Row],[Patrimônio Líquido]],0)/Tabela3[[#This Row],[Ref]]*4</f>
        <v>7.1588208777044582E-2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8" s="19">
        <f>IF(Tabela3[[#This Row],[Dívida]]&gt;0,Tabela3[[#This Row],[Dívida]]/Tabela3[[#This Row],[Patrimônio Líquido]],0)</f>
        <v>7.3255489333940425</v>
      </c>
      <c r="Y188" s="19">
        <f>SUMPRODUCT(N([Dívida / PL]&gt;0),N(RIGHT([PAPEL],LEN([PAPEL])-(LEN([PAPEL])-1))="3"),[Dívida / PL])/SUMPRODUCT(N([Dívida / PL]&gt;0),N(RIGHT([PAPEL],LEN([PAPEL])-(LEN([PAPEL])-1))="3"))</f>
        <v>2.2435702141443779</v>
      </c>
      <c r="Z188" s="6">
        <f>Tabela3[[#This Row],[Capital Social]]*20%</f>
        <v>66200000</v>
      </c>
      <c r="AA188" s="6">
        <f>IF(([Lucro Líquido]*5%)&gt;[Teto R. Legal],[Teto R. Legal],[Lucro Líquido]*5%)</f>
        <v>1975150</v>
      </c>
      <c r="AB188" s="6">
        <f>IF([Lucro Líquido]&lt;0,0,[Lucro Líquido]-[Reserva Legal])</f>
        <v>37527850</v>
      </c>
      <c r="AC188" s="6">
        <f>Tabela3[[#This Row],[Lucro Distribuir]]*[%Div]</f>
        <v>9381962.5</v>
      </c>
      <c r="AD188" s="56">
        <f>SUMPRODUCT(N([Nome]=Tabela3[[#This Row],[Nome]]),[Ações])</f>
        <v>105765903</v>
      </c>
      <c r="AE188" s="6">
        <f>[Capital Social]/[Total Ações]</f>
        <v>3.1295530091583483</v>
      </c>
      <c r="AF188" s="77">
        <f>Tabela3[[#This Row],[Lucro Líquido]]/Tabela3[[#This Row],[Total Ações]]</f>
        <v>0.37349466018363214</v>
      </c>
      <c r="AG1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88" s="6">
        <f>[Div Base]*[Ações]</f>
        <v>11598598.643269751</v>
      </c>
      <c r="AL188" s="6">
        <f>SUMPRODUCT(N([Nome]=Tabela3[[#This Row],[Nome]]),[Div Base]*[Ações])</f>
        <v>11598598.643269751</v>
      </c>
      <c r="AM188" s="6">
        <f>[Patrimônio Líquido]/[Total Ações]</f>
        <v>6.9563534100399069</v>
      </c>
      <c r="AN188" s="48">
        <f>MAX(Tabela3[[#This Row],[Cotação 1]:[Cotação 5]])</f>
        <v>3.84</v>
      </c>
      <c r="AO188" s="44">
        <f>[Cotação]/[VPA]</f>
        <v>0.55201335723654255</v>
      </c>
      <c r="AP188" s="40">
        <f>IF(Tabela3[[#This Row],[Lucro/Ação]]&gt;0,Tabela3[[#This Row],[Cotação]]/(Tabela3[[#This Row],[Lucro/Ação]]/[Ref]*4),0)</f>
        <v>7.710953614662178</v>
      </c>
      <c r="AQ188" s="77">
        <f>[Lucro Distribuir]/[Total Ações]</f>
        <v>0.35481992717445054</v>
      </c>
      <c r="AR188" s="77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88" s="15" t="str">
        <f>IF(AND([% A.A.]&gt;=5%,SUMPRODUCT(N([Nome]=Tabela3[[#This Row],[Nome]]),[PL])&gt;0,[Rentabilidade s/ PL]&gt;=[Rentabilidade s/ PL Média]),"Sim","Não")</f>
        <v>Não</v>
      </c>
      <c r="AT188" s="42">
        <f>IF([Cotação]&gt;0,Tabela3[[#This Row],[Lucro]]/Tabela3[[#This Row],[Cotação]],0)</f>
        <v>6.5199021024132262E-2</v>
      </c>
      <c r="AU188" s="19">
        <f>((1+Tabela3[[#This Row],[% Yield]])^(1/(3*Tabela3[[#This Row],[Ref]])))^(12)-1</f>
        <v>8.7863347917387591E-2</v>
      </c>
      <c r="AV188" s="14">
        <f>IF([Cotação]&gt;0,($BH$1/Tabela3[[#This Row],[Cotação]]-MOD($BH$1/Tabela3[[#This Row],[Cotação]],100)),)</f>
        <v>200</v>
      </c>
      <c r="AW188" s="17">
        <f>Tabela3[[#This Row],[Ativos]]*[Lucro]</f>
        <v>50.07284814653358</v>
      </c>
      <c r="AX188" s="13">
        <f>SUMPRODUCT(N(Tabela1[Código]=Tabela3[[#This Row],[PAPEL]]),Tabela1[Fechamento])</f>
        <v>0</v>
      </c>
      <c r="AY188" s="55">
        <f>SUMPRODUCT(N(Tabela17[Código]=Tabela3[[#This Row],[PAPEL]]),Tabela17[Fechamento])</f>
        <v>3.84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0</v>
      </c>
      <c r="BB188" s="7">
        <f>SUMPRODUCT(N(Tabela17683[Código]=Tabela3[[#This Row],[PAPEL]]),Tabela17683[Fechamento])</f>
        <v>0</v>
      </c>
    </row>
    <row r="189" spans="1:54" ht="11.25" customHeight="1">
      <c r="A189" s="4" t="s">
        <v>14</v>
      </c>
      <c r="B189" s="57" t="s">
        <v>215</v>
      </c>
      <c r="C189" s="15" t="str">
        <f>LEFT([PAPEL],LEN([PAPEL])-(LEN([PAPEL])-4))</f>
        <v>BRGE</v>
      </c>
      <c r="D189" s="16">
        <v>3</v>
      </c>
      <c r="E189" s="5">
        <v>303375520</v>
      </c>
      <c r="F189" s="56">
        <v>6759345</v>
      </c>
      <c r="G189" s="85">
        <v>0.25</v>
      </c>
      <c r="H189" s="16"/>
      <c r="I189" s="18">
        <v>0.06</v>
      </c>
      <c r="J189" s="18"/>
      <c r="K189" s="86"/>
      <c r="L189" s="86"/>
      <c r="M189" s="47">
        <v>847911000</v>
      </c>
      <c r="N189" s="47">
        <v>3497000</v>
      </c>
      <c r="O189" s="47">
        <v>3890000</v>
      </c>
      <c r="P189" s="5">
        <v>843867000</v>
      </c>
      <c r="Q189" s="5">
        <v>34502000</v>
      </c>
      <c r="R189" s="5">
        <f>IF(Tabela3[[#This Row],[Ativo || Passivo]]&gt;0,Tabela3[[#This Row],[Ativo || Passivo]]-Tabela3[[#This Row],[Patrimônio Líquido]],0)</f>
        <v>4044000</v>
      </c>
      <c r="S189" s="47">
        <f>Tabela3[[#This Row],[Cotação]]*Tabela3[[#This Row],[Total Ações]]</f>
        <v>285011521.56</v>
      </c>
      <c r="T189" s="119">
        <f>IF(Tabela3[[#This Row],[Passivo Circulante]]&gt;0,Tabela3[[#This Row],[Ativo Circulante]]/Tabela3[[#This Row],[Passivo Circulante]],0)</f>
        <v>0.89897172236503853</v>
      </c>
      <c r="U18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89" s="18">
        <f>IF(Tabela3[[#This Row],[Lucro Líquido]]&gt;0,Tabela3[[#This Row],[Lucro Líquido]]/Tabela3[[#This Row],[Patrimônio Líquido]],0)/Tabela3[[#This Row],[Ref]]*4</f>
        <v>5.451411972107769E-2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89" s="18">
        <f>IF(Tabela3[[#This Row],[Dívida]]&gt;0,Tabela3[[#This Row],[Dívida]]/Tabela3[[#This Row],[Patrimônio Líquido]],0)</f>
        <v>4.7922243671099833E-3</v>
      </c>
      <c r="Y189" s="18">
        <f>SUMPRODUCT(N([Dívida / PL]&gt;0),N(RIGHT([PAPEL],LEN([PAPEL])-(LEN([PAPEL])-1))="3"),[Dívida / PL])/SUMPRODUCT(N([Dívida / PL]&gt;0),N(RIGHT([PAPEL],LEN([PAPEL])-(LEN([PAPEL])-1))="3"))</f>
        <v>2.2435702141443779</v>
      </c>
      <c r="Z189" s="5">
        <f>Tabela3[[#This Row],[Capital Social]]*20%</f>
        <v>60675104</v>
      </c>
      <c r="AA189" s="5">
        <f>IF(([Lucro Líquido]*5%)&gt;[Teto R. Legal],[Teto R. Legal],[Lucro Líquido]*5%)</f>
        <v>1725100</v>
      </c>
      <c r="AB189" s="5">
        <f>IF([Lucro Líquido]&lt;0,0,[Lucro Líquido]-[Reserva Legal])</f>
        <v>32776900</v>
      </c>
      <c r="AC189" s="5">
        <f>Tabela3[[#This Row],[Lucro Distribuir]]*[%Div]</f>
        <v>8194225</v>
      </c>
      <c r="AD189" s="21">
        <f>SUMPRODUCT(N([Nome]=Tabela3[[#This Row],[Nome]]),[Ações])</f>
        <v>73646388</v>
      </c>
      <c r="AE189" s="5">
        <f>[Capital Social]/[Total Ações]</f>
        <v>4.1193536877871049</v>
      </c>
      <c r="AF189" s="76">
        <f>Tabela3[[#This Row],[Lucro Líquido]]/Tabela3[[#This Row],[Total Ações]]</f>
        <v>0.46848190300928266</v>
      </c>
      <c r="AG189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8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18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189" s="5">
        <f>[Div Base]*[Ações]</f>
        <v>1670647.9651665196</v>
      </c>
      <c r="AL189" s="5">
        <f>SUMPRODUCT(N([Nome]=Tabela3[[#This Row],[Nome]]),[Div Base]*[Ações])</f>
        <v>8194225</v>
      </c>
      <c r="AM189" s="5">
        <f>[Patrimônio Líquido]/[Total Ações]</f>
        <v>11.45836235716</v>
      </c>
      <c r="AN189" s="52">
        <f>MAX(Tabela3[[#This Row],[Cotação 1]:[Cotação 5]])</f>
        <v>3.87</v>
      </c>
      <c r="AO189" s="53">
        <f>[Cotação]/[VPA]</f>
        <v>0.33774459904226617</v>
      </c>
      <c r="AP189" s="37">
        <f>IF(Tabela3[[#This Row],[Lucro/Ação]]&gt;0,Tabela3[[#This Row],[Cotação]]/(Tabela3[[#This Row],[Lucro/Ação]]/[Ref]*4),0)</f>
        <v>6.195543480667788</v>
      </c>
      <c r="AQ189" s="76">
        <f>[Lucro Distribuir]/[Total Ações]</f>
        <v>0.44505780785881854</v>
      </c>
      <c r="AR189" s="76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189" s="16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6.3865948647862089E-2</v>
      </c>
      <c r="AU189" s="18">
        <f>((1+Tabela3[[#This Row],[% Yield]])^(1/(3*Tabela3[[#This Row],[Ref]])))^(12)-1</f>
        <v>8.6048478291082642E-2</v>
      </c>
      <c r="AV189" s="10">
        <f>IF([Cotação]&gt;0,($BH$1/Tabela3[[#This Row],[Cotação]]-MOD($BH$1/Tabela3[[#This Row],[Cotação]],100)),)</f>
        <v>200</v>
      </c>
      <c r="AW189" s="7">
        <f>Tabela3[[#This Row],[Ativos]]*[Lucro]</f>
        <v>49.432244253445255</v>
      </c>
      <c r="AX189" s="5">
        <f>SUMPRODUCT(N(Tabela1[Código]=Tabela3[[#This Row],[PAPEL]]),Tabela1[Fechamento])</f>
        <v>3.87</v>
      </c>
      <c r="AY189" s="5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</v>
      </c>
    </row>
    <row r="190" spans="1:54" ht="11.25" customHeight="1">
      <c r="A190" s="4" t="s">
        <v>14</v>
      </c>
      <c r="B190" s="57" t="s">
        <v>216</v>
      </c>
      <c r="C190" s="14" t="str">
        <f>LEFT([PAPEL],LEN([PAPEL])-(LEN([PAPEL])-4))</f>
        <v>BRGE</v>
      </c>
      <c r="D190" s="15">
        <v>3</v>
      </c>
      <c r="E190" s="5">
        <v>303375520</v>
      </c>
      <c r="F190" s="8">
        <v>21717524</v>
      </c>
      <c r="G190" s="80">
        <v>0.25</v>
      </c>
      <c r="H190" s="15"/>
      <c r="I190" s="19"/>
      <c r="J190" s="19"/>
      <c r="K190" s="87"/>
      <c r="L190" s="87"/>
      <c r="M190" s="47">
        <v>847911000</v>
      </c>
      <c r="N190" s="47">
        <v>3497000</v>
      </c>
      <c r="O190" s="47">
        <v>3890000</v>
      </c>
      <c r="P190" s="5">
        <v>843867000</v>
      </c>
      <c r="Q190" s="5">
        <v>34502000</v>
      </c>
      <c r="R190" s="5">
        <f>IF(Tabela3[[#This Row],[Ativo || Passivo]]&gt;0,Tabela3[[#This Row],[Ativo || Passivo]]-Tabela3[[#This Row],[Patrimônio Líquido]],0)</f>
        <v>4044000</v>
      </c>
      <c r="S190" s="5">
        <f>Tabela3[[#This Row],[Cotação]]*Tabela3[[#This Row],[Total Ações]]</f>
        <v>285011521.56</v>
      </c>
      <c r="T190" s="119">
        <f>IF(Tabela3[[#This Row],[Passivo Circulante]]&gt;0,Tabela3[[#This Row],[Ativo Circulante]]/Tabela3[[#This Row],[Passivo Circulante]],0)</f>
        <v>0.89897172236503853</v>
      </c>
      <c r="U19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0" s="18">
        <f>IF(Tabela3[[#This Row],[Lucro Líquido]]&gt;0,Tabela3[[#This Row],[Lucro Líquido]]/Tabela3[[#This Row],[Patrimônio Líquido]],0)/Tabela3[[#This Row],[Ref]]*4</f>
        <v>5.451411972107769E-2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0" s="18">
        <f>IF(Tabela3[[#This Row],[Dívida]]&gt;0,Tabela3[[#This Row],[Dívida]]/Tabela3[[#This Row],[Patrimônio Líquido]],0)</f>
        <v>4.7922243671099833E-3</v>
      </c>
      <c r="Y190" s="18">
        <f>SUMPRODUCT(N([Dívida / PL]&gt;0),N(RIGHT([PAPEL],LEN([PAPEL])-(LEN([PAPEL])-1))="3"),[Dívida / PL])/SUMPRODUCT(N([Dívida / PL]&gt;0),N(RIGHT([PAPEL],LEN([PAPEL])-(LEN([PAPEL])-1))="3"))</f>
        <v>2.2435702141443779</v>
      </c>
      <c r="Z190" s="5">
        <f>Tabela3[[#This Row],[Capital Social]]*20%</f>
        <v>60675104</v>
      </c>
      <c r="AA190" s="5">
        <f>IF(([Lucro Líquido]*5%)&gt;[Teto R. Legal],[Teto R. Legal],[Lucro Líquido]*5%)</f>
        <v>1725100</v>
      </c>
      <c r="AB190" s="5">
        <f>IF([Lucro Líquido]&lt;0,0,[Lucro Líquido]-[Reserva Legal])</f>
        <v>32776900</v>
      </c>
      <c r="AC190" s="5">
        <f>Tabela3[[#This Row],[Lucro Distribuir]]*[%Div]</f>
        <v>8194225</v>
      </c>
      <c r="AD190" s="21">
        <f>SUMPRODUCT(N([Nome]=Tabela3[[#This Row],[Nome]]),[Ações])</f>
        <v>73646388</v>
      </c>
      <c r="AE190" s="5">
        <f>[Capital Social]/[Total Ações]</f>
        <v>4.1193536877871049</v>
      </c>
      <c r="AF190" s="77">
        <f>Tabela3[[#This Row],[Lucro Líquido]]/Tabela3[[#This Row],[Total Ações]]</f>
        <v>0.46848190300928266</v>
      </c>
      <c r="AG1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9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7.8085912537628019E-2</v>
      </c>
      <c r="AJ19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AK190" s="5">
        <f>[Div Base]*[Ações]</f>
        <v>1695832.6795978374</v>
      </c>
      <c r="AL190" s="5">
        <f>SUMPRODUCT(N([Nome]=Tabela3[[#This Row],[Nome]]),[Div Base]*[Ações])</f>
        <v>8194225</v>
      </c>
      <c r="AM190" s="6">
        <f>[Patrimônio Líquido]/[Total Ações]</f>
        <v>11.45836235716</v>
      </c>
      <c r="AN190" s="48">
        <f>MAX(Tabela3[[#This Row],[Cotação 1]:[Cotação 5]])</f>
        <v>3.87</v>
      </c>
      <c r="AO190" s="44">
        <f>[Cotação]/[VPA]</f>
        <v>0.33774459904226617</v>
      </c>
      <c r="AP190" s="40">
        <f>IF(Tabela3[[#This Row],[Lucro/Ação]]&gt;0,Tabela3[[#This Row],[Cotação]]/(Tabela3[[#This Row],[Lucro/Ação]]/[Ref]*4),0)</f>
        <v>6.195543480667788</v>
      </c>
      <c r="AQ190" s="77">
        <f>[Lucro Distribuir]/[Total Ações]</f>
        <v>0.44505780785881854</v>
      </c>
      <c r="AR190" s="77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S190" s="15" t="str">
        <f>IF(AND([% A.A.]&gt;=5%,SUMPRODUCT(N([Nome]=Tabela3[[#This Row],[Nome]]),[PL])&gt;0,[Rentabilidade s/ PL]&gt;=[Rentabilidade s/ PL Média]),"Sim","Não")</f>
        <v>Não</v>
      </c>
      <c r="AT190" s="42">
        <f>IF([Cotação]&gt;0,Tabela3[[#This Row],[Lucro]]/Tabela3[[#This Row],[Cotação]],0)</f>
        <v>2.0177238381816023E-2</v>
      </c>
      <c r="AU190" s="19">
        <f>((1+Tabela3[[#This Row],[% Yield]])^(1/(3*Tabela3[[#This Row],[Ref]])))^(12)-1</f>
        <v>2.6993053547117007E-2</v>
      </c>
      <c r="AV190" s="14">
        <f>IF([Cotação]&gt;0,($BH$1/Tabela3[[#This Row],[Cotação]]-MOD($BH$1/Tabela3[[#This Row],[Cotação]],100)),)</f>
        <v>200</v>
      </c>
      <c r="AW190" s="17">
        <f>Tabela3[[#This Row],[Ativos]]*[Lucro]</f>
        <v>15.617182507525603</v>
      </c>
      <c r="AX190" s="5">
        <f>SUMPRODUCT(N(Tabela1[Código]=Tabela3[[#This Row],[PAPEL]]),Tabela1[Fechamento])</f>
        <v>3.87</v>
      </c>
      <c r="AY190" s="5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t="11.25" customHeight="1">
      <c r="A191" s="4" t="s">
        <v>14</v>
      </c>
      <c r="B191" s="57" t="s">
        <v>211</v>
      </c>
      <c r="C191" s="15" t="str">
        <f>LEFT([PAPEL],LEN([PAPEL])-(LEN([PAPEL])-4))</f>
        <v>BRGE</v>
      </c>
      <c r="D191" s="16">
        <v>3</v>
      </c>
      <c r="E191" s="5">
        <v>303375520</v>
      </c>
      <c r="F191" s="56">
        <v>40394932</v>
      </c>
      <c r="G191" s="85">
        <v>0.25</v>
      </c>
      <c r="H191" s="16"/>
      <c r="J191" s="18"/>
      <c r="K191" s="86"/>
      <c r="L191" s="86"/>
      <c r="M191" s="47">
        <v>847911000</v>
      </c>
      <c r="N191" s="47">
        <v>3497000</v>
      </c>
      <c r="O191" s="47">
        <v>3890000</v>
      </c>
      <c r="P191" s="5">
        <v>843867000</v>
      </c>
      <c r="Q191" s="5">
        <v>34502000</v>
      </c>
      <c r="R191" s="5">
        <f>IF(Tabela3[[#This Row],[Ativo || Passivo]]&gt;0,Tabela3[[#This Row],[Ativo || Passivo]]-Tabela3[[#This Row],[Patrimônio Líquido]],0)</f>
        <v>4044000</v>
      </c>
      <c r="S191" s="5">
        <f>Tabela3[[#This Row],[Cotação]]*Tabela3[[#This Row],[Total Ações]]</f>
        <v>285011521.56</v>
      </c>
      <c r="T191" s="119">
        <f>IF(Tabela3[[#This Row],[Passivo Circulante]]&gt;0,Tabela3[[#This Row],[Ativo Circulante]]/Tabela3[[#This Row],[Passivo Circulante]],0)</f>
        <v>0.89897172236503853</v>
      </c>
      <c r="U19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1" s="18">
        <f>IF(Tabela3[[#This Row],[Lucro Líquido]]&gt;0,Tabela3[[#This Row],[Lucro Líquido]]/Tabela3[[#This Row],[Patrimônio Líquido]],0)/Tabela3[[#This Row],[Ref]]*4</f>
        <v>5.451411972107769E-2</v>
      </c>
      <c r="W1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1" s="18">
        <f>IF(Tabela3[[#This Row],[Dívida]]&gt;0,Tabela3[[#This Row],[Dívida]]/Tabela3[[#This Row],[Patrimônio Líquido]],0)</f>
        <v>4.7922243671099833E-3</v>
      </c>
      <c r="Y191" s="18">
        <f>SUMPRODUCT(N([Dívida / PL]&gt;0),N(RIGHT([PAPEL],LEN([PAPEL])-(LEN([PAPEL])-1))="3"),[Dívida / PL])/SUMPRODUCT(N([Dívida / PL]&gt;0),N(RIGHT([PAPEL],LEN([PAPEL])-(LEN([PAPEL])-1))="3"))</f>
        <v>2.2435702141443779</v>
      </c>
      <c r="Z191" s="5">
        <f>Tabela3[[#This Row],[Capital Social]]*20%</f>
        <v>60675104</v>
      </c>
      <c r="AA191" s="5">
        <f>IF(([Lucro Líquido]*5%)&gt;[Teto R. Legal],[Teto R. Legal],[Lucro Líquido]*5%)</f>
        <v>1725100</v>
      </c>
      <c r="AB191" s="5">
        <f>IF([Lucro Líquido]&lt;0,0,[Lucro Líquido]-[Reserva Legal])</f>
        <v>32776900</v>
      </c>
      <c r="AC191" s="5">
        <f>Tabela3[[#This Row],[Lucro Distribuir]]*[%Div]</f>
        <v>8194225</v>
      </c>
      <c r="AD191" s="21">
        <f>SUMPRODUCT(N([Nome]=Tabela3[[#This Row],[Nome]]),[Ações])</f>
        <v>73646388</v>
      </c>
      <c r="AE191" s="5">
        <f>[Capital Social]/[Total Ações]</f>
        <v>4.1193536877871049</v>
      </c>
      <c r="AF191" s="76">
        <f>Tabela3[[#This Row],[Lucro Líquido]]/Tabela3[[#This Row],[Total Ações]]</f>
        <v>0.46848190300928266</v>
      </c>
      <c r="AG19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19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7.8085912537628019E-2</v>
      </c>
      <c r="AJ19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AK191" s="5">
        <f>[Div Base]*[Ações]</f>
        <v>3154275.1271154312</v>
      </c>
      <c r="AL191" s="5">
        <f>SUMPRODUCT(N([Nome]=Tabela3[[#This Row],[Nome]]),[Div Base]*[Ações])</f>
        <v>8194225</v>
      </c>
      <c r="AM191" s="5">
        <f>[Patrimônio Líquido]/[Total Ações]</f>
        <v>11.45836235716</v>
      </c>
      <c r="AN191" s="52">
        <f>MAX(Tabela3[[#This Row],[Cotação 1]:[Cotação 5]])</f>
        <v>3.87</v>
      </c>
      <c r="AO191" s="53">
        <f>[Cotação]/[VPA]</f>
        <v>0.33774459904226617</v>
      </c>
      <c r="AP191" s="37">
        <f>IF(Tabela3[[#This Row],[Lucro/Ação]]&gt;0,Tabela3[[#This Row],[Cotação]]/(Tabela3[[#This Row],[Lucro/Ação]]/[Ref]*4),0)</f>
        <v>6.195543480667788</v>
      </c>
      <c r="AQ191" s="76">
        <f>[Lucro Distribuir]/[Total Ações]</f>
        <v>0.44505780785881854</v>
      </c>
      <c r="AR191" s="7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S191" s="16" t="str">
        <f>IF(AND([% A.A.]&gt;=5%,SUMPRODUCT(N([Nome]=Tabela3[[#This Row],[Nome]]),[PL])&gt;0,[Rentabilidade s/ PL]&gt;=[Rentabilidade s/ PL Média]),"Sim","Não")</f>
        <v>Não</v>
      </c>
      <c r="AT191" s="22">
        <f>IF([Cotação]&gt;0,Tabela3[[#This Row],[Lucro]]/Tabela3[[#This Row],[Cotação]],0)</f>
        <v>2.0177238381816023E-2</v>
      </c>
      <c r="AU191" s="18">
        <f>((1+Tabela3[[#This Row],[% Yield]])^(1/(3*Tabela3[[#This Row],[Ref]])))^(12)-1</f>
        <v>2.6993053547117007E-2</v>
      </c>
      <c r="AV191" s="10">
        <f>IF([Cotação]&gt;0,($BH$1/Tabela3[[#This Row],[Cotação]]-MOD($BH$1/Tabela3[[#This Row],[Cotação]],100)),)</f>
        <v>200</v>
      </c>
      <c r="AW191" s="7">
        <f>Tabela3[[#This Row],[Ativos]]*[Lucro]</f>
        <v>15.617182507525603</v>
      </c>
      <c r="AX191" s="5">
        <f>SUMPRODUCT(N(Tabela1[Código]=Tabela3[[#This Row],[PAPEL]]),Tabela1[Fechamento])</f>
        <v>3.87</v>
      </c>
      <c r="AY191" s="5">
        <f>SUMPRODUCT(N(Tabela17[Código]=Tabela3[[#This Row],[PAPEL]]),Tabela17[Fechamento])</f>
        <v>0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customHeight="1">
      <c r="A192" s="3" t="s">
        <v>855</v>
      </c>
      <c r="B192" s="57" t="s">
        <v>856</v>
      </c>
      <c r="C192" s="16" t="str">
        <f>LEFT([PAPEL],LEN([PAPEL])-(LEN([PAPEL])-4))</f>
        <v>WHRL</v>
      </c>
      <c r="D192" s="16">
        <v>4</v>
      </c>
      <c r="E192" s="5">
        <v>1085793037.9300001</v>
      </c>
      <c r="F192" s="56">
        <v>1028700892</v>
      </c>
      <c r="G192" s="80">
        <v>0.25</v>
      </c>
      <c r="H192" s="86"/>
      <c r="J192" s="18"/>
      <c r="K192" s="16"/>
      <c r="L192" s="86"/>
      <c r="M192" s="54">
        <v>6582450000</v>
      </c>
      <c r="N192" s="54">
        <v>3796950000</v>
      </c>
      <c r="O192" s="54">
        <v>2757514000</v>
      </c>
      <c r="P192" s="90">
        <v>2351149000</v>
      </c>
      <c r="Q192" s="90">
        <v>812747000</v>
      </c>
      <c r="R192" s="90">
        <f>IF(Tabela3[[#This Row],[Ativo || Passivo]]&gt;0,Tabela3[[#This Row],[Ativo || Passivo]]-Tabela3[[#This Row],[Patrimônio Líquido]],0)</f>
        <v>4231301000</v>
      </c>
      <c r="S192" s="90">
        <f>Tabela3[[#This Row],[Cotação]]*Tabela3[[#This Row],[Total Ações]]</f>
        <v>5815781843.2200003</v>
      </c>
      <c r="T192" s="34">
        <f>IF(Tabela3[[#This Row],[Passivo Circulante]]&gt;0,Tabela3[[#This Row],[Ativo Circulante]]/Tabela3[[#This Row],[Passivo Circulante]],0)</f>
        <v>1.376946771621105</v>
      </c>
      <c r="U192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2" s="18">
        <f>IF(Tabela3[[#This Row],[Lucro Líquido]]&gt;0,Tabela3[[#This Row],[Lucro Líquido]]/Tabela3[[#This Row],[Patrimônio Líquido]],0)/Tabela3[[#This Row],[Ref]]*4</f>
        <v>0.34568077140155729</v>
      </c>
      <c r="W1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2" s="18">
        <f>IF(Tabela3[[#This Row],[Dívida]]&gt;0,Tabela3[[#This Row],[Dívida]]/Tabela3[[#This Row],[Patrimônio Líquido]],0)</f>
        <v>1.799673691458942</v>
      </c>
      <c r="Y192" s="18">
        <f>SUMPRODUCT(N([Dívida / PL]&gt;0),N(RIGHT([PAPEL],LEN([PAPEL])-(LEN([PAPEL])-1))="3"),[Dívida / PL])/SUMPRODUCT(N([Dívida / PL]&gt;0),N(RIGHT([PAPEL],LEN([PAPEL])-(LEN([PAPEL])-1))="3"))</f>
        <v>2.2435702141443779</v>
      </c>
      <c r="Z192" s="7">
        <f>Tabela3[[#This Row],[Capital Social]]*20%</f>
        <v>217158607.58600003</v>
      </c>
      <c r="AA192" s="47">
        <f>IF(([Lucro Líquido]*5%)&gt;[Teto R. Legal],[Teto R. Legal],[Lucro Líquido]*5%)</f>
        <v>40637350</v>
      </c>
      <c r="AB192" s="47">
        <f>IF([Lucro Líquido]&lt;0,0,[Lucro Líquido]-[Reserva Legal])</f>
        <v>772109650</v>
      </c>
      <c r="AC192" s="47">
        <f>Tabela3[[#This Row],[Lucro Distribuir]]*[%Div]</f>
        <v>193027412.5</v>
      </c>
      <c r="AD192" s="56">
        <f>SUMPRODUCT(N([Nome]=Tabela3[[#This Row],[Nome]]),[Ações])</f>
        <v>1502786006</v>
      </c>
      <c r="AE192" s="84">
        <f>[Capital Social]/[Total Ações]</f>
        <v>0.72252006180179995</v>
      </c>
      <c r="AF192" s="84">
        <f>Tabela3[[#This Row],[Lucro Líquido]]/Tabela3[[#This Row],[Total Ações]]</f>
        <v>0.54082683546096322</v>
      </c>
      <c r="AG19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19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192" s="7">
        <f>[Div Base]*[Ações]</f>
        <v>128021741.97959878</v>
      </c>
      <c r="AL192" s="7">
        <f>SUMPRODUCT(N([Nome]=Tabela3[[#This Row],[Nome]]),[Div Base]*[Ações])</f>
        <v>192921581.15114099</v>
      </c>
      <c r="AM192" s="5">
        <f>[Patrimônio Líquido]/[Total Ações]</f>
        <v>1.5645268126086076</v>
      </c>
      <c r="AN192" s="52">
        <f>MAX(Tabela3[[#This Row],[Cotação 1]:[Cotação 5]])</f>
        <v>3.87</v>
      </c>
      <c r="AO192" s="53">
        <f>[Cotação]/[VPA]</f>
        <v>2.4735913560646305</v>
      </c>
      <c r="AP192" s="37">
        <f>IF(Tabela3[[#This Row],[Lucro/Ação]]&gt;0,Tabela3[[#This Row],[Cotação]]/(Tabela3[[#This Row],[Lucro/Ação]]/[Ref]*4),0)</f>
        <v>7.1557100096586019</v>
      </c>
      <c r="AQ192" s="84">
        <f>[Lucro Distribuir]/[Total Ações]</f>
        <v>0.51378549368791504</v>
      </c>
      <c r="AR192" s="84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192" s="10" t="str">
        <f>IF(AND([% A.A.]&gt;=5%,SUMPRODUCT(N([Nome]=Tabela3[[#This Row],[Nome]]),[PL])&gt;0,[Rentabilidade s/ PL]&gt;=[Rentabilidade s/ PL Média]),"Sim","Não")</f>
        <v>Não</v>
      </c>
      <c r="AT192" s="22">
        <f>IF([Cotação]&gt;0,Tabela3[[#This Row],[Lucro]]/Tabela3[[#This Row],[Cotação]],0)</f>
        <v>3.2157601631690291E-2</v>
      </c>
      <c r="AU192" s="22">
        <f>((1+Tabela3[[#This Row],[% Yield]])^(1/(3*Tabela3[[#This Row],[Ref]])))^(12)-1</f>
        <v>3.2157601631689126E-2</v>
      </c>
      <c r="AV192" s="10">
        <f>IF([Cotação]&gt;0,($BH$1/Tabela3[[#This Row],[Cotação]]-MOD($BH$1/Tabela3[[#This Row],[Cotação]],100)),)</f>
        <v>200</v>
      </c>
      <c r="AW192" s="7">
        <f>Tabela3[[#This Row],[Ativos]]*[Lucro]</f>
        <v>24.889983662928287</v>
      </c>
      <c r="AX192" s="7">
        <f>SUMPRODUCT(N(Tabela1[Código]=Tabela3[[#This Row],[PAPEL]]),Tabela1[Fechamento])</f>
        <v>0</v>
      </c>
      <c r="AY192" s="7">
        <f>SUMPRODUCT(N(Tabela17[Código]=Tabela3[[#This Row],[PAPEL]]),Tabela17[Fechamento])</f>
        <v>0</v>
      </c>
      <c r="AZ192" s="7">
        <f>SUMPRODUCT(N(Tabela176[Código]=Tabela3[[#This Row],[PAPEL]]),Tabela176[Fechamento])</f>
        <v>0</v>
      </c>
      <c r="BA192" s="7">
        <f>SUMPRODUCT(N(Tabela1768[Código]=Tabela3[[#This Row],[PAPEL]]),Tabela1768[Fechamento])</f>
        <v>3.87</v>
      </c>
      <c r="BB192" s="7">
        <f>SUMPRODUCT(N(Tabela17683[Código]=Tabela3[[#This Row],[PAPEL]]),Tabela17683[Fechamento])</f>
        <v>0</v>
      </c>
    </row>
    <row r="193" spans="1:54" ht="11.25" customHeight="1">
      <c r="A193" s="3" t="s">
        <v>269</v>
      </c>
      <c r="B193" s="58" t="s">
        <v>809</v>
      </c>
      <c r="C193" s="16" t="str">
        <f>LEFT([PAPEL],LEN([PAPEL])-(LEN([PAPEL])-4))</f>
        <v>MRFG</v>
      </c>
      <c r="D193" s="16">
        <v>4</v>
      </c>
      <c r="E193" s="5">
        <v>5168468000</v>
      </c>
      <c r="F193" s="56">
        <v>520747405</v>
      </c>
      <c r="G193" s="80">
        <v>0.25</v>
      </c>
      <c r="H193" s="86"/>
      <c r="J193" s="18"/>
      <c r="K193" s="16"/>
      <c r="L193" s="86"/>
      <c r="M193" s="54">
        <v>12184034000</v>
      </c>
      <c r="N193" s="54">
        <v>3049719000</v>
      </c>
      <c r="O193" s="54">
        <v>1403662000</v>
      </c>
      <c r="P193" s="90">
        <v>3029326000</v>
      </c>
      <c r="Q193" s="73">
        <v>-913593000</v>
      </c>
      <c r="R193" s="73">
        <f>IF(Tabela3[[#This Row],[Ativo || Passivo]]&gt;0,Tabela3[[#This Row],[Ativo || Passivo]]-Tabela3[[#This Row],[Patrimônio Líquido]],0)</f>
        <v>9154708000</v>
      </c>
      <c r="S193" s="73">
        <f>Tabela3[[#This Row],[Cotação]]*Tabela3[[#This Row],[Total Ações]]</f>
        <v>2036122353.5500002</v>
      </c>
      <c r="T193" s="37">
        <f>IF(Tabela3[[#This Row],[Passivo Circulante]]&gt;0,Tabela3[[#This Row],[Ativo Circulante]]/Tabela3[[#This Row],[Passivo Circulante]],0)</f>
        <v>2.1726875843329805</v>
      </c>
      <c r="U19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3" s="18">
        <f>IF(Tabela3[[#This Row],[Lucro Líquido]]&gt;0,Tabela3[[#This Row],[Lucro Líquido]]/Tabela3[[#This Row],[Patrimônio Líquido]],0)/Tabela3[[#This Row],[Ref]]*4</f>
        <v>0</v>
      </c>
      <c r="W19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3" s="18">
        <f>IF(Tabela3[[#This Row],[Dívida]]&gt;0,Tabela3[[#This Row],[Dívida]]/Tabela3[[#This Row],[Patrimônio Líquido]],0)</f>
        <v>3.0220280022684913</v>
      </c>
      <c r="Y193" s="18">
        <f>SUMPRODUCT(N([Dívida / PL]&gt;0),N(RIGHT([PAPEL],LEN([PAPEL])-(LEN([PAPEL])-1))="3"),[Dívida / PL])/SUMPRODUCT(N([Dívida / PL]&gt;0),N(RIGHT([PAPEL],LEN([PAPEL])-(LEN([PAPEL])-1))="3"))</f>
        <v>2.2435702141443779</v>
      </c>
      <c r="Z193" s="7">
        <f>Tabela3[[#This Row],[Capital Social]]*20%</f>
        <v>1033693600</v>
      </c>
      <c r="AA193" s="47">
        <f>IF(([Lucro Líquido]*5%)&gt;[Teto R. Legal],[Teto R. Legal],[Lucro Líquido]*5%)</f>
        <v>-45679650</v>
      </c>
      <c r="AB193" s="47">
        <f>IF([Lucro Líquido]&lt;0,0,[Lucro Líquido]-[Reserva Legal])</f>
        <v>0</v>
      </c>
      <c r="AC193" s="47">
        <f>Tabela3[[#This Row],[Lucro Distribuir]]*[%Div]</f>
        <v>0</v>
      </c>
      <c r="AD193" s="56">
        <f>SUMPRODUCT(N([Nome]=Tabela3[[#This Row],[Nome]]),[Ações])</f>
        <v>520747405</v>
      </c>
      <c r="AE193" s="84">
        <f>[Capital Social]/[Total Ações]</f>
        <v>9.9250960261626275</v>
      </c>
      <c r="AF193" s="84">
        <f>Tabela3[[#This Row],[Lucro Líquido]]/Tabela3[[#This Row],[Total Ações]]</f>
        <v>-1.7543880031432897</v>
      </c>
      <c r="AG19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3" s="7">
        <f>[Div Base]*[Ações]</f>
        <v>0</v>
      </c>
      <c r="AL193" s="7">
        <f>SUMPRODUCT(N([Nome]=Tabela3[[#This Row],[Nome]]),[Div Base]*[Ações])</f>
        <v>0</v>
      </c>
      <c r="AM193" s="5">
        <f>[Patrimônio Líquido]/[Total Ações]</f>
        <v>5.8172656664510889</v>
      </c>
      <c r="AN193" s="52">
        <f>MAX(Tabela3[[#This Row],[Cotação 1]:[Cotação 5]])</f>
        <v>3.91</v>
      </c>
      <c r="AO193" s="53">
        <f>[Cotação]/[VPA]</f>
        <v>0.67213708711112641</v>
      </c>
      <c r="AP193" s="37">
        <f>IF(Tabela3[[#This Row],[Lucro/Ação]]&gt;0,Tabela3[[#This Row],[Cotação]]/(Tabela3[[#This Row],[Lucro/Ação]]/[Ref]*4),0)</f>
        <v>0</v>
      </c>
      <c r="AQ193" s="84">
        <f>[Lucro Distribuir]/[Total Ações]</f>
        <v>0</v>
      </c>
      <c r="AR19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3" s="10" t="str">
        <f>IF(AND([% A.A.]&gt;=5%,SUMPRODUCT(N([Nome]=Tabela3[[#This Row],[Nome]]),[PL])&gt;0,[Rentabilidade s/ PL]&gt;=[Rentabilidade s/ PL Média]),"Sim","Não")</f>
        <v>Não</v>
      </c>
      <c r="AT193" s="22">
        <f>IF([Cotação]&gt;0,Tabela3[[#This Row],[Lucro]]/Tabela3[[#This Row],[Cotação]],0)</f>
        <v>0</v>
      </c>
      <c r="AU193" s="22">
        <f>((1+Tabela3[[#This Row],[% Yield]])^(1/(3*Tabela3[[#This Row],[Ref]])))^(12)-1</f>
        <v>0</v>
      </c>
      <c r="AV193" s="10">
        <f>IF([Cotação]&gt;0,($BH$1/Tabela3[[#This Row],[Cotação]]-MOD($BH$1/Tabela3[[#This Row],[Cotação]],100)),)</f>
        <v>100</v>
      </c>
      <c r="AW193" s="7">
        <f>Tabela3[[#This Row],[Ativos]]*[Lucro]</f>
        <v>0</v>
      </c>
      <c r="AX193" s="7">
        <f>SUMPRODUCT(N(Tabela1[Código]=Tabela3[[#This Row],[PAPEL]]),Tabela1[Fechamento])</f>
        <v>0</v>
      </c>
      <c r="AY193" s="7">
        <f>SUMPRODUCT(N(Tabela17[Código]=Tabela3[[#This Row],[PAPEL]]),Tabela17[Fechamento])</f>
        <v>0</v>
      </c>
      <c r="AZ193" s="7">
        <f>SUMPRODUCT(N(Tabela176[Código]=Tabela3[[#This Row],[PAPEL]]),Tabela176[Fechamento])</f>
        <v>3.91</v>
      </c>
      <c r="BA193" s="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customHeight="1">
      <c r="A194" s="3" t="s">
        <v>855</v>
      </c>
      <c r="B194" s="57" t="s">
        <v>857</v>
      </c>
      <c r="C194" s="16" t="str">
        <f>LEFT([PAPEL],LEN([PAPEL])-(LEN([PAPEL])-4))</f>
        <v>WHRL</v>
      </c>
      <c r="D194" s="16">
        <v>4</v>
      </c>
      <c r="E194" s="5">
        <v>1085793037.9300001</v>
      </c>
      <c r="F194" s="56">
        <v>474085114</v>
      </c>
      <c r="G194" s="80">
        <v>0.25</v>
      </c>
      <c r="H194" s="86"/>
      <c r="J194" s="18">
        <v>0.1</v>
      </c>
      <c r="K194" s="16"/>
      <c r="L194" s="86"/>
      <c r="M194" s="54">
        <v>6582450000</v>
      </c>
      <c r="N194" s="54">
        <v>3796950000</v>
      </c>
      <c r="O194" s="54">
        <v>2757514000</v>
      </c>
      <c r="P194" s="90">
        <v>2351149000</v>
      </c>
      <c r="Q194" s="90">
        <v>812747000</v>
      </c>
      <c r="R194" s="90">
        <f>IF(Tabela3[[#This Row],[Ativo || Passivo]]&gt;0,Tabela3[[#This Row],[Ativo || Passivo]]-Tabela3[[#This Row],[Patrimônio Líquido]],0)</f>
        <v>4231301000</v>
      </c>
      <c r="S194" s="90">
        <f>Tabela3[[#This Row],[Cotação]]*Tabela3[[#This Row],[Total Ações]]</f>
        <v>5981088303.8800001</v>
      </c>
      <c r="T194" s="34">
        <f>IF(Tabela3[[#This Row],[Passivo Circulante]]&gt;0,Tabela3[[#This Row],[Ativo Circulante]]/Tabela3[[#This Row],[Passivo Circulante]],0)</f>
        <v>1.376946771621105</v>
      </c>
      <c r="U194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4" s="18">
        <f>IF(Tabela3[[#This Row],[Lucro Líquido]]&gt;0,Tabela3[[#This Row],[Lucro Líquido]]/Tabela3[[#This Row],[Patrimônio Líquido]],0)/Tabela3[[#This Row],[Ref]]*4</f>
        <v>0.34568077140155729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4" s="18">
        <f>IF(Tabela3[[#This Row],[Dívida]]&gt;0,Tabela3[[#This Row],[Dívida]]/Tabela3[[#This Row],[Patrimônio Líquido]],0)</f>
        <v>1.799673691458942</v>
      </c>
      <c r="Y194" s="18">
        <f>SUMPRODUCT(N([Dívida / PL]&gt;0),N(RIGHT([PAPEL],LEN([PAPEL])-(LEN([PAPEL])-1))="3"),[Dívida / PL])/SUMPRODUCT(N([Dívida / PL]&gt;0),N(RIGHT([PAPEL],LEN([PAPEL])-(LEN([PAPEL])-1))="3"))</f>
        <v>2.2435702141443779</v>
      </c>
      <c r="Z194" s="7">
        <f>Tabela3[[#This Row],[Capital Social]]*20%</f>
        <v>217158607.58600003</v>
      </c>
      <c r="AA194" s="47">
        <f>IF(([Lucro Líquido]*5%)&gt;[Teto R. Legal],[Teto R. Legal],[Lucro Líquido]*5%)</f>
        <v>40637350</v>
      </c>
      <c r="AB194" s="47">
        <f>IF([Lucro Líquido]&lt;0,0,[Lucro Líquido]-[Reserva Legal])</f>
        <v>772109650</v>
      </c>
      <c r="AC194" s="47">
        <f>Tabela3[[#This Row],[Lucro Distribuir]]*[%Div]</f>
        <v>193027412.5</v>
      </c>
      <c r="AD194" s="56">
        <f>SUMPRODUCT(N([Nome]=Tabela3[[#This Row],[Nome]]),[Ações])</f>
        <v>1502786006</v>
      </c>
      <c r="AE194" s="84">
        <f>[Capital Social]/[Total Ações]</f>
        <v>0.72252006180179995</v>
      </c>
      <c r="AF194" s="84">
        <f>Tabela3[[#This Row],[Lucro Líquido]]/Tabela3[[#This Row],[Total Ações]]</f>
        <v>0.54082683546096322</v>
      </c>
      <c r="AG19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19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194" s="7">
        <f>[Div Base]*[Ações]</f>
        <v>64899839.171542197</v>
      </c>
      <c r="AL194" s="7">
        <f>SUMPRODUCT(N([Nome]=Tabela3[[#This Row],[Nome]]),[Div Base]*[Ações])</f>
        <v>192921581.15114099</v>
      </c>
      <c r="AM194" s="5">
        <f>[Patrimônio Líquido]/[Total Ações]</f>
        <v>1.5645268126086076</v>
      </c>
      <c r="AN194" s="52">
        <f>MAX(Tabela3[[#This Row],[Cotação 1]:[Cotação 5]])</f>
        <v>3.98</v>
      </c>
      <c r="AO194" s="53">
        <f>[Cotação]/[VPA]</f>
        <v>2.5439001542990258</v>
      </c>
      <c r="AP194" s="37">
        <f>IF(Tabela3[[#This Row],[Lucro/Ação]]&gt;0,Tabela3[[#This Row],[Cotação]]/(Tabela3[[#This Row],[Lucro/Ação]]/[Ref]*4),0)</f>
        <v>7.359102283834944</v>
      </c>
      <c r="AQ194" s="84">
        <f>[Lucro Distribuir]/[Total Ações]</f>
        <v>0.51378549368791504</v>
      </c>
      <c r="AR194" s="84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3.4395706113979213E-2</v>
      </c>
      <c r="AU194" s="22">
        <f>((1+Tabela3[[#This Row],[% Yield]])^(1/(3*Tabela3[[#This Row],[Ref]])))^(12)-1</f>
        <v>3.4395706113979241E-2</v>
      </c>
      <c r="AV194" s="10">
        <f>IF([Cotação]&gt;0,($BH$1/Tabela3[[#This Row],[Cotação]]-MOD($BH$1/Tabela3[[#This Row],[Cotação]],100)),)</f>
        <v>100</v>
      </c>
      <c r="AW194" s="7">
        <f>Tabela3[[#This Row],[Ativos]]*[Lucro]</f>
        <v>13.689491033363726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3.98</v>
      </c>
      <c r="BB194" s="7">
        <f>SUMPRODUCT(N(Tabela17683[Código]=Tabela3[[#This Row],[PAPEL]]),Tabela17683[Fechamento])</f>
        <v>0</v>
      </c>
    </row>
    <row r="195" spans="1:54" ht="11.25" customHeight="1">
      <c r="A195" s="4" t="s">
        <v>325</v>
      </c>
      <c r="B195" s="115" t="s">
        <v>611</v>
      </c>
      <c r="C195" s="15" t="str">
        <f>LEFT([PAPEL],LEN([PAPEL])-(LEN([PAPEL])-4))</f>
        <v>DUQE</v>
      </c>
      <c r="D195" s="15">
        <v>3</v>
      </c>
      <c r="E195" s="6">
        <v>45000000</v>
      </c>
      <c r="F195" s="8">
        <v>1738251</v>
      </c>
      <c r="G195" s="85">
        <v>0.25</v>
      </c>
      <c r="H195" s="9"/>
      <c r="I195" s="19"/>
      <c r="J195" s="19">
        <v>0.1</v>
      </c>
      <c r="K195" s="87"/>
      <c r="L195" s="87"/>
      <c r="M195" s="55"/>
      <c r="N195" s="55"/>
      <c r="O195" s="55"/>
      <c r="P195" s="91">
        <v>78931000</v>
      </c>
      <c r="Q195" s="92">
        <v>75000</v>
      </c>
      <c r="R195" s="92">
        <f>IF(Tabela3[[#This Row],[Ativo || Passivo]]&gt;0,Tabela3[[#This Row],[Ativo || Passivo]]-Tabela3[[#This Row],[Patrimônio Líquido]],0)</f>
        <v>0</v>
      </c>
      <c r="S195" s="92">
        <f>Tabela3[[#This Row],[Cotação]]*Tabela3[[#This Row],[Total Ações]]</f>
        <v>11264016</v>
      </c>
      <c r="T195" s="40">
        <f>IF(Tabela3[[#This Row],[Passivo Circulante]]&gt;0,Tabela3[[#This Row],[Ativo Circulante]]/Tabela3[[#This Row],[Passivo Circulante]],0)</f>
        <v>0</v>
      </c>
      <c r="U19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5" s="19">
        <f>IF(Tabela3[[#This Row],[Lucro Líquido]]&gt;0,Tabela3[[#This Row],[Lucro Líquido]]/Tabela3[[#This Row],[Patrimônio Líquido]],0)/Tabela3[[#This Row],[Ref]]*4</f>
        <v>1.2669293433505214E-3</v>
      </c>
      <c r="W1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5" s="19">
        <f>IF(Tabela3[[#This Row],[Dívida]]&gt;0,Tabela3[[#This Row],[Dívida]]/Tabela3[[#This Row],[Patrimônio Líquido]],0)</f>
        <v>0</v>
      </c>
      <c r="Y195" s="19">
        <f>SUMPRODUCT(N([Dívida / PL]&gt;0),N(RIGHT([PAPEL],LEN([PAPEL])-(LEN([PAPEL])-1))="3"),[Dívida / PL])/SUMPRODUCT(N([Dívida / PL]&gt;0),N(RIGHT([PAPEL],LEN([PAPEL])-(LEN([PAPEL])-1))="3"))</f>
        <v>2.2435702141443779</v>
      </c>
      <c r="Z195" s="13">
        <f>Tabela3[[#This Row],[Capital Social]]*20%</f>
        <v>9000000</v>
      </c>
      <c r="AA195" s="13">
        <f>IF(([Lucro Líquido]*5%)&gt;[Teto R. Legal],[Teto R. Legal],[Lucro Líquido]*5%)</f>
        <v>3750</v>
      </c>
      <c r="AB195" s="13">
        <f>IF([Lucro Líquido]&lt;0,0,[Lucro Líquido]-[Reserva Legal])</f>
        <v>71250</v>
      </c>
      <c r="AC195" s="13">
        <f>Tabela3[[#This Row],[Lucro Distribuir]]*[%Div]</f>
        <v>17812.5</v>
      </c>
      <c r="AD195" s="56">
        <f>SUMPRODUCT(N([Nome]=Tabela3[[#This Row],[Nome]]),[Ações])</f>
        <v>2816004</v>
      </c>
      <c r="AE195" s="6">
        <f>[Capital Social]/[Total Ações]</f>
        <v>15.980090937370827</v>
      </c>
      <c r="AF195" s="77">
        <f>Tabela3[[#This Row],[Lucro Líquido]]/Tabela3[[#This Row],[Total Ações]]</f>
        <v>2.6633484895618047E-2</v>
      </c>
      <c r="AG1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5" s="13">
        <f>[Div Base]*[Ações]</f>
        <v>11718.433307862546</v>
      </c>
      <c r="AL195" s="13">
        <f>SUMPRODUCT(N([Nome]=Tabela3[[#This Row],[Nome]]),[Div Base]*[Ações])</f>
        <v>18323.597524677756</v>
      </c>
      <c r="AM195" s="6">
        <f>[Patrimônio Líquido]/[Total Ações]</f>
        <v>28.029434617280373</v>
      </c>
      <c r="AN195" s="48">
        <f>MAX(Tabela3[[#This Row],[Cotação 1]:[Cotação 5]])</f>
        <v>4</v>
      </c>
      <c r="AO195" s="44">
        <f>[Cotação]/[VPA]</f>
        <v>0.14270712394369767</v>
      </c>
      <c r="AP195" s="40">
        <f>IF(Tabela3[[#This Row],[Lucro/Ação]]&gt;0,Tabela3[[#This Row],[Cotação]]/(Tabela3[[#This Row],[Lucro/Ação]]/[Ref]*4),0)</f>
        <v>112.64015999999999</v>
      </c>
      <c r="AQ195" s="77">
        <f>[Lucro Distribuir]/[Total Ações]</f>
        <v>2.5301810650837142E-2</v>
      </c>
      <c r="AR195" s="77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5" s="14" t="str">
        <f>IF(AND([% A.A.]&gt;=5%,SUMPRODUCT(N([Nome]=Tabela3[[#This Row],[Nome]]),[PL])&gt;0,[Rentabilidade s/ PL]&gt;=[Rentabilidade s/ PL Média]),"Sim","Não")</f>
        <v>Não</v>
      </c>
      <c r="AT195" s="42">
        <f>IF([Cotação]&gt;0,Tabela3[[#This Row],[Lucro]]/Tabela3[[#This Row],[Cotação]],0)</f>
        <v>1.685377041040469E-3</v>
      </c>
      <c r="AU195" s="42">
        <f>((1+Tabela3[[#This Row],[% Yield]])^(1/(3*Tabela3[[#This Row],[Ref]])))^(12)-1</f>
        <v>2.2478003730916907E-3</v>
      </c>
      <c r="AV195" s="14">
        <f>IF([Cotação]&gt;0,($BH$1/Tabela3[[#This Row],[Cotação]]-MOD($BH$1/Tabela3[[#This Row],[Cotação]],100)),)</f>
        <v>100</v>
      </c>
      <c r="AW195" s="17">
        <f>Tabela3[[#This Row],[Ativos]]*[Lucro]</f>
        <v>0.67415081641618757</v>
      </c>
      <c r="AX195" s="17">
        <f>SUMPRODUCT(N(Tabela1[Código]=Tabela3[[#This Row],[PAPEL]]),Tabela1[Fechamento])</f>
        <v>0</v>
      </c>
      <c r="AY195" s="17">
        <f>SUMPRODUCT(N(Tabela17[Código]=Tabela3[[#This Row],[PAPEL]]),Tabela17[Fechamento])</f>
        <v>0</v>
      </c>
      <c r="AZ195" s="17">
        <f>SUMPRODUCT(N(Tabela176[Código]=Tabela3[[#This Row],[PAPEL]]),Tabela176[Fechamento])</f>
        <v>4</v>
      </c>
      <c r="BA195" s="17">
        <f>SUMPRODUCT(N(Tabela1768[Código]=Tabela3[[#This Row],[PAPEL]]),Tabela1768[Fechamento])</f>
        <v>0</v>
      </c>
      <c r="BB195" s="7">
        <f>SUMPRODUCT(N(Tabela17683[Código]=Tabela3[[#This Row],[PAPEL]]),Tabela17683[Fechamento])</f>
        <v>0</v>
      </c>
    </row>
    <row r="196" spans="1:54" ht="11.25" customHeight="1">
      <c r="A196" s="3" t="s">
        <v>267</v>
      </c>
      <c r="B196" s="58" t="s">
        <v>818</v>
      </c>
      <c r="C196" s="16" t="str">
        <f>LEFT([PAPEL],LEN([PAPEL])-(LEN([PAPEL])-4))</f>
        <v>IGUA</v>
      </c>
      <c r="D196" s="16">
        <v>4</v>
      </c>
      <c r="E196" s="5">
        <v>90064557.299999997</v>
      </c>
      <c r="F196" s="56">
        <v>9684360</v>
      </c>
      <c r="G196" s="80">
        <v>0.25</v>
      </c>
      <c r="H196" s="86"/>
      <c r="J196" s="18"/>
      <c r="K196" s="16"/>
      <c r="L196" s="86"/>
      <c r="M196" s="54"/>
      <c r="N196" s="54"/>
      <c r="O196" s="54"/>
      <c r="P196" s="90">
        <v>-151033000</v>
      </c>
      <c r="Q196" s="73">
        <v>-11320000</v>
      </c>
      <c r="R196" s="73">
        <f>IF(Tabela3[[#This Row],[Ativo || Passivo]]&gt;0,Tabela3[[#This Row],[Ativo || Passivo]]-Tabela3[[#This Row],[Patrimônio Líquido]],0)</f>
        <v>0</v>
      </c>
      <c r="S196" s="73">
        <f>Tabela3[[#This Row],[Cotação]]*Tabela3[[#This Row],[Total Ações]]</f>
        <v>116212332</v>
      </c>
      <c r="T196" s="37">
        <f>IF(Tabela3[[#This Row],[Passivo Circulante]]&gt;0,Tabela3[[#This Row],[Ativo Circulante]]/Tabela3[[#This Row],[Passivo Circulante]],0)</f>
        <v>0</v>
      </c>
      <c r="U19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6" s="18">
        <f>IF(Tabela3[[#This Row],[Lucro Líquido]]&gt;0,Tabela3[[#This Row],[Lucro Líquido]]/Tabela3[[#This Row],[Patrimônio Líquido]],0)/Tabela3[[#This Row],[Ref]]*4</f>
        <v>0</v>
      </c>
      <c r="W1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6" s="18">
        <f>IF(Tabela3[[#This Row],[Dívida]]&gt;0,Tabela3[[#This Row],[Dívida]]/Tabela3[[#This Row],[Patrimônio Líquido]],0)</f>
        <v>0</v>
      </c>
      <c r="Y196" s="18">
        <f>SUMPRODUCT(N([Dívida / PL]&gt;0),N(RIGHT([PAPEL],LEN([PAPEL])-(LEN([PAPEL])-1))="3"),[Dívida / PL])/SUMPRODUCT(N([Dívida / PL]&gt;0),N(RIGHT([PAPEL],LEN([PAPEL])-(LEN([PAPEL])-1))="3"))</f>
        <v>2.2435702141443779</v>
      </c>
      <c r="Z196" s="7">
        <f>Tabela3[[#This Row],[Capital Social]]*20%</f>
        <v>18012911.460000001</v>
      </c>
      <c r="AA196" s="47">
        <f>IF(([Lucro Líquido]*5%)&gt;[Teto R. Legal],[Teto R. Legal],[Lucro Líquido]*5%)</f>
        <v>-566000</v>
      </c>
      <c r="AB196" s="47">
        <f>IF([Lucro Líquido]&lt;0,0,[Lucro Líquido]-[Reserva Legal])</f>
        <v>0</v>
      </c>
      <c r="AC196" s="47">
        <f>Tabela3[[#This Row],[Lucro Distribuir]]*[%Div]</f>
        <v>0</v>
      </c>
      <c r="AD196" s="56">
        <f>SUMPRODUCT(N([Nome]=Tabela3[[#This Row],[Nome]]),[Ações])</f>
        <v>29053083</v>
      </c>
      <c r="AE196" s="84">
        <f>[Capital Social]/[Total Ações]</f>
        <v>3.1</v>
      </c>
      <c r="AF196" s="84">
        <f>Tabela3[[#This Row],[Lucro Líquido]]/Tabela3[[#This Row],[Total Ações]]</f>
        <v>-0.38963162704625875</v>
      </c>
      <c r="AG1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7">
        <f>[Div Base]*[Ações]</f>
        <v>0</v>
      </c>
      <c r="AL196" s="7">
        <f>SUMPRODUCT(N([Nome]=Tabela3[[#This Row],[Nome]]),[Div Base]*[Ações])</f>
        <v>0</v>
      </c>
      <c r="AM196" s="5">
        <f>[Patrimônio Líquido]/[Total Ações]</f>
        <v>-5.1985188628690455</v>
      </c>
      <c r="AN196" s="52">
        <f>MAX(Tabela3[[#This Row],[Cotação 1]:[Cotação 5]])</f>
        <v>4</v>
      </c>
      <c r="AO196" s="53">
        <f>[Cotação]/[VPA]</f>
        <v>-0.76944993478246482</v>
      </c>
      <c r="AP196" s="37">
        <f>IF(Tabela3[[#This Row],[Lucro/Ação]]&gt;0,Tabela3[[#This Row],[Cotação]]/(Tabela3[[#This Row],[Lucro/Ação]]/[Ref]*4),0)</f>
        <v>0</v>
      </c>
      <c r="AQ196" s="84">
        <f>[Lucro Distribuir]/[Total Ações]</f>
        <v>0</v>
      </c>
      <c r="AR19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0" t="str">
        <f>IF(AND([% A.A.]&gt;=5%,SUMPRODUCT(N([Nome]=Tabela3[[#This Row],[Nome]]),[PL])&gt;0,[Rentabilidade s/ PL]&gt;=[Rentabilidade s/ PL Média]),"Sim","Não")</f>
        <v>Não</v>
      </c>
      <c r="AT196" s="22">
        <f>IF([Cotação]&gt;0,Tabela3[[#This Row],[Lucro]]/Tabela3[[#This Row],[Cotação]],0)</f>
        <v>0</v>
      </c>
      <c r="AU196" s="22">
        <f>((1+Tabela3[[#This Row],[% Yield]])^(1/(3*Tabela3[[#This Row],[Ref]])))^(12)-1</f>
        <v>0</v>
      </c>
      <c r="AV196" s="10">
        <f>IF([Cotação]&gt;0,($BH$1/Tabela3[[#This Row],[Cotação]]-MOD($BH$1/Tabela3[[#This Row],[Cotação]],100)),)</f>
        <v>100</v>
      </c>
      <c r="AW196" s="7">
        <f>Tabela3[[#This Row],[Ativos]]*[Lucro]</f>
        <v>0</v>
      </c>
      <c r="AX196" s="7">
        <f>SUMPRODUCT(N(Tabela1[Código]=Tabela3[[#This Row],[PAPEL]]),Tabela1[Fechamento])</f>
        <v>0</v>
      </c>
      <c r="AY196" s="7">
        <f>SUMPRODUCT(N(Tabela17[Código]=Tabela3[[#This Row],[PAPEL]]),Tabela17[Fechamento])</f>
        <v>0</v>
      </c>
      <c r="AZ196" s="7">
        <f>SUMPRODUCT(N(Tabela176[Código]=Tabela3[[#This Row],[PAPEL]]),Tabela176[Fechamento])</f>
        <v>0</v>
      </c>
      <c r="BA196" s="7">
        <f>SUMPRODUCT(N(Tabela1768[Código]=Tabela3[[#This Row],[PAPEL]]),Tabela1768[Fechamento])</f>
        <v>4</v>
      </c>
      <c r="BB196" s="7">
        <f>SUMPRODUCT(N(Tabela17683[Código]=Tabela3[[#This Row],[PAPEL]]),Tabela17683[Fechamento])</f>
        <v>0</v>
      </c>
    </row>
    <row r="197" spans="1:54">
      <c r="A197" s="3" t="s">
        <v>1276</v>
      </c>
      <c r="B197" s="58" t="s">
        <v>1256</v>
      </c>
      <c r="C197" s="16" t="str">
        <f>LEFT([PAPEL],LEN([PAPEL])-(LEN([PAPEL])-4))</f>
        <v>MWET</v>
      </c>
      <c r="D197" s="16">
        <v>3</v>
      </c>
      <c r="E197" s="5">
        <v>47147375.020000003</v>
      </c>
      <c r="F197" s="56">
        <v>6860012</v>
      </c>
      <c r="G197" s="80">
        <v>0.25</v>
      </c>
      <c r="H197" s="86"/>
      <c r="J197" s="18"/>
      <c r="K197" s="16"/>
      <c r="L197" s="86"/>
      <c r="M197" s="54"/>
      <c r="N197" s="54"/>
      <c r="O197" s="54"/>
      <c r="P197" s="90">
        <v>-10141000</v>
      </c>
      <c r="Q197" s="73">
        <v>4196000</v>
      </c>
      <c r="R197" s="73">
        <f>IF(Tabela3[[#This Row],[Ativo || Passivo]]&gt;0,Tabela3[[#This Row],[Ativo || Passivo]]-Tabela3[[#This Row],[Patrimônio Líquido]],0)</f>
        <v>0</v>
      </c>
      <c r="S197" s="73">
        <f>Tabela3[[#This Row],[Cotação]]*Tabela3[[#This Row],[Total Ações]]</f>
        <v>82320144</v>
      </c>
      <c r="T197" s="37">
        <f>IF(Tabela3[[#This Row],[Passivo Circulante]]&gt;0,Tabela3[[#This Row],[Ativo Circulante]]/Tabela3[[#This Row],[Passivo Circulante]],0)</f>
        <v>0</v>
      </c>
      <c r="U19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7" s="18">
        <f>IF(Tabela3[[#This Row],[Lucro Líquido]]&gt;0,Tabela3[[#This Row],[Lucro Líquido]]/Tabela3[[#This Row],[Patrimônio Líquido]],0)/Tabela3[[#This Row],[Ref]]*4</f>
        <v>-0.55168786773165046</v>
      </c>
      <c r="W19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7" s="18">
        <f>IF(Tabela3[[#This Row],[Dívida]]&gt;0,Tabela3[[#This Row],[Dívida]]/Tabela3[[#This Row],[Patrimônio Líquido]],0)</f>
        <v>0</v>
      </c>
      <c r="Y197" s="18">
        <f>SUMPRODUCT(N([Dívida / PL]&gt;0),N(RIGHT([PAPEL],LEN([PAPEL])-(LEN([PAPEL])-1))="3"),[Dívida / PL])/SUMPRODUCT(N([Dívida / PL]&gt;0),N(RIGHT([PAPEL],LEN([PAPEL])-(LEN([PAPEL])-1))="3"))</f>
        <v>2.2435702141443779</v>
      </c>
      <c r="Z197" s="7">
        <f>Tabela3[[#This Row],[Capital Social]]*20%</f>
        <v>9429475.0040000007</v>
      </c>
      <c r="AA197" s="47">
        <f>IF(([Lucro Líquido]*5%)&gt;[Teto R. Legal],[Teto R. Legal],[Lucro Líquido]*5%)</f>
        <v>209800</v>
      </c>
      <c r="AB197" s="47">
        <f>IF([Lucro Líquido]&lt;0,0,[Lucro Líquido]-[Reserva Legal])</f>
        <v>3986200</v>
      </c>
      <c r="AC197" s="47">
        <f>Tabela3[[#This Row],[Lucro Distribuir]]*[%Div]</f>
        <v>996550</v>
      </c>
      <c r="AD197" s="56">
        <f>SUMPRODUCT(N([Nome]=Tabela3[[#This Row],[Nome]]),[Ações])</f>
        <v>20580036</v>
      </c>
      <c r="AE197" s="84">
        <f>[Capital Social]/[Total Ações]</f>
        <v>2.2909277233528651</v>
      </c>
      <c r="AF197" s="84">
        <f>Tabela3[[#This Row],[Lucro Líquido]]/Tabela3[[#This Row],[Total Ações]]</f>
        <v>0.20388691253990032</v>
      </c>
      <c r="AG19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19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197" s="7">
        <f>[Div Base]*[Ações]</f>
        <v>321847.84667299001</v>
      </c>
      <c r="AL197" s="113">
        <f>SUMPRODUCT(N([Nome]=Tabela3[[#This Row],[Nome]]),[Div Base]*[Ações])</f>
        <v>1029913.1103235433</v>
      </c>
      <c r="AM197" s="5">
        <f>[Patrimônio Líquido]/[Total Ações]</f>
        <v>-0.49275909915803839</v>
      </c>
      <c r="AN197" s="52">
        <f>MAX(Tabela3[[#This Row],[Cotação 1]:[Cotação 5]])</f>
        <v>4</v>
      </c>
      <c r="AO197" s="53">
        <f>[Cotação]/[VPA]</f>
        <v>-8.1175568484370384</v>
      </c>
      <c r="AP197" s="37">
        <f>IF(Tabela3[[#This Row],[Lucro/Ação]]&gt;0,Tabela3[[#This Row],[Cotação]]/(Tabela3[[#This Row],[Lucro/Ação]]/[Ref]*4),0)</f>
        <v>14.714039084842707</v>
      </c>
      <c r="AQ197" s="84">
        <f>[Lucro Distribuir]/[Total Ações]</f>
        <v>0.19369256691290529</v>
      </c>
      <c r="AR197" s="84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197" s="10" t="str">
        <f>IF(AND([% A.A.]&gt;=5%,SUMPRODUCT(N([Nome]=Tabela3[[#This Row],[Nome]]),[PL])&gt;0,[Rentabilidade s/ PL]&gt;=[Rentabilidade s/ PL Média]),"Sim","Não")</f>
        <v>Não</v>
      </c>
      <c r="AT197" s="22">
        <f>IF([Cotação]&gt;0,Tabela3[[#This Row],[Lucro]]/Tabela3[[#This Row],[Cotação]],0)</f>
        <v>1.1729128413805617E-2</v>
      </c>
      <c r="AU197" s="22">
        <f>((1+Tabela3[[#This Row],[% Yield]])^(1/(3*Tabela3[[#This Row],[Ref]])))^(12)-1</f>
        <v>1.5669330244186597E-2</v>
      </c>
      <c r="AV197" s="10">
        <f>IF([Cotação]&gt;0,($BH$1/Tabela3[[#This Row],[Cotação]]-MOD($BH$1/Tabela3[[#This Row],[Cotação]],100)),)</f>
        <v>100</v>
      </c>
      <c r="AW197" s="7">
        <f>Tabela3[[#This Row],[Ativos]]*[Lucro]</f>
        <v>4.6916513655222465</v>
      </c>
      <c r="AX197" s="7">
        <f>SUMPRODUCT(N(Tabela1[Código]=Tabela3[[#This Row],[PAPEL]]),Tabela1[Fechamento])</f>
        <v>0</v>
      </c>
      <c r="AY197" s="7">
        <f>SUMPRODUCT(N(Tabela17[Código]=Tabela3[[#This Row],[PAPEL]]),Tabela17[Fechamento])</f>
        <v>0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4</v>
      </c>
    </row>
    <row r="198" spans="1:54" ht="11.25" customHeight="1">
      <c r="A198" s="4" t="s">
        <v>19</v>
      </c>
      <c r="B198" s="57" t="s">
        <v>667</v>
      </c>
      <c r="C198" s="81" t="str">
        <f>LEFT([PAPEL],LEN([PAPEL])-(LEN([PAPEL])-4))</f>
        <v>SUZB</v>
      </c>
      <c r="D198" s="15">
        <v>4</v>
      </c>
      <c r="E198" s="6">
        <v>6241753032.1599998</v>
      </c>
      <c r="F198" s="8">
        <v>371148532</v>
      </c>
      <c r="G198" s="80">
        <v>0.25</v>
      </c>
      <c r="H198" s="15"/>
      <c r="I198" s="19"/>
      <c r="J198" s="19"/>
      <c r="K198" s="87"/>
      <c r="L198" s="87"/>
      <c r="M198" s="55">
        <v>26860024000</v>
      </c>
      <c r="N198" s="55">
        <v>6506048000</v>
      </c>
      <c r="O198" s="55">
        <v>2167727000</v>
      </c>
      <c r="P198" s="6">
        <v>10687239000</v>
      </c>
      <c r="Q198" s="6">
        <v>-220459000</v>
      </c>
      <c r="R198" s="6">
        <f>IF(Tabela3[[#This Row],[Ativo || Passivo]]&gt;0,Tabela3[[#This Row],[Ativo || Passivo]]-Tabela3[[#This Row],[Patrimônio Líquido]],0)</f>
        <v>16172785000</v>
      </c>
      <c r="S198" s="6">
        <f>Tabela3[[#This Row],[Cotação]]*Tabela3[[#This Row],[Total Ações]]</f>
        <v>4438717984</v>
      </c>
      <c r="T198" s="121">
        <f>IF(Tabela3[[#This Row],[Passivo Circulante]]&gt;0,Tabela3[[#This Row],[Ativo Circulante]]/Tabela3[[#This Row],[Passivo Circulante]],0)</f>
        <v>3.0013225835172048</v>
      </c>
      <c r="U19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8" s="19">
        <f>IF(Tabela3[[#This Row],[Lucro Líquido]]&gt;0,Tabela3[[#This Row],[Lucro Líquido]]/Tabela3[[#This Row],[Patrimônio Líquido]],0)/Tabela3[[#This Row],[Ref]]*4</f>
        <v>0</v>
      </c>
      <c r="W19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8" s="19">
        <f>IF(Tabela3[[#This Row],[Dívida]]&gt;0,Tabela3[[#This Row],[Dívida]]/Tabela3[[#This Row],[Patrimônio Líquido]],0)</f>
        <v>1.5132799968261212</v>
      </c>
      <c r="Y198" s="19">
        <f>SUMPRODUCT(N([Dívida / PL]&gt;0),N(RIGHT([PAPEL],LEN([PAPEL])-(LEN([PAPEL])-1))="3"),[Dívida / PL])/SUMPRODUCT(N([Dívida / PL]&gt;0),N(RIGHT([PAPEL],LEN([PAPEL])-(LEN([PAPEL])-1))="3"))</f>
        <v>2.2435702141443779</v>
      </c>
      <c r="Z198" s="6">
        <f>Tabela3[[#This Row],[Capital Social]]*20%</f>
        <v>1248350606.4319999</v>
      </c>
      <c r="AA198" s="6">
        <f>IF(([Lucro Líquido]*5%)&gt;[Teto R. Legal],[Teto R. Legal],[Lucro Líquido]*5%)</f>
        <v>-11022950</v>
      </c>
      <c r="AB198" s="6">
        <f>IF([Lucro Líquido]&lt;0,0,[Lucro Líquido]-[Reserva Legal])</f>
        <v>0</v>
      </c>
      <c r="AC198" s="6">
        <f>Tabela3[[#This Row],[Lucro Distribuir]]*[%Div]</f>
        <v>0</v>
      </c>
      <c r="AD198" s="56">
        <f>SUMPRODUCT(N([Nome]=Tabela3[[#This Row],[Nome]]),[Ações])</f>
        <v>1109679496</v>
      </c>
      <c r="AE198" s="6">
        <f>[Capital Social]/[Total Ações]</f>
        <v>5.6248250550355303</v>
      </c>
      <c r="AF198" s="77">
        <f>Tabela3[[#This Row],[Lucro Líquido]]/Tabela3[[#This Row],[Total Ações]]</f>
        <v>-0.19866907588603402</v>
      </c>
      <c r="AG1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8" s="6">
        <f>[Div Base]*[Ações]</f>
        <v>0</v>
      </c>
      <c r="AL198" s="6">
        <f>SUMPRODUCT(N([Nome]=Tabela3[[#This Row],[Nome]]),[Div Base]*[Ações])</f>
        <v>0</v>
      </c>
      <c r="AM198" s="6">
        <f>[Patrimônio Líquido]/[Total Ações]</f>
        <v>9.6309240988264602</v>
      </c>
      <c r="AN198" s="48">
        <f>MAX(Tabela3[[#This Row],[Cotação 1]:[Cotação 5]])</f>
        <v>4</v>
      </c>
      <c r="AO198" s="44">
        <f>[Cotação]/[VPA]</f>
        <v>0.4153287845438845</v>
      </c>
      <c r="AP198" s="40">
        <f>IF(Tabela3[[#This Row],[Lucro/Ação]]&gt;0,Tabela3[[#This Row],[Cotação]]/(Tabela3[[#This Row],[Lucro/Ação]]/[Ref]*4),0)</f>
        <v>0</v>
      </c>
      <c r="AQ198" s="77">
        <f>[Lucro Distribuir]/[Total Ações]</f>
        <v>0</v>
      </c>
      <c r="AR19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8" s="15" t="str">
        <f>IF(AND([% A.A.]&gt;=5%,SUMPRODUCT(N([Nome]=Tabela3[[#This Row],[Nome]]),[PL])&gt;0,[Rentabilidade s/ PL]&gt;=[Rentabilidade s/ PL Média]),"Sim","Não")</f>
        <v>Não</v>
      </c>
      <c r="AT198" s="42">
        <f>IF([Cotação]&gt;0,Tabela3[[#This Row],[Lucro]]/Tabela3[[#This Row],[Cotação]],0)</f>
        <v>0</v>
      </c>
      <c r="AU198" s="19">
        <f>((1+Tabela3[[#This Row],[% Yield]])^(1/(3*Tabela3[[#This Row],[Ref]])))^(12)-1</f>
        <v>0</v>
      </c>
      <c r="AV198" s="14">
        <f>IF([Cotação]&gt;0,($BH$1/Tabela3[[#This Row],[Cotação]]-MOD($BH$1/Tabela3[[#This Row],[Cotação]],100)),)</f>
        <v>100</v>
      </c>
      <c r="AW198" s="17">
        <f>Tabela3[[#This Row],[Ativos]]*[Lucro]</f>
        <v>0</v>
      </c>
      <c r="AX198" s="13">
        <f>SUMPRODUCT(N(Tabela1[Código]=Tabela3[[#This Row],[PAPEL]]),Tabela1[Fechamento])</f>
        <v>0</v>
      </c>
      <c r="AY198" s="13">
        <f>SUMPRODUCT(N(Tabela17[Código]=Tabela3[[#This Row],[PAPEL]]),Tabela17[Fechamento])</f>
        <v>0</v>
      </c>
      <c r="AZ198" s="7">
        <f>SUMPRODUCT(N(Tabela176[Código]=Tabela3[[#This Row],[PAPEL]]),Tabela176[Fechamento])</f>
        <v>4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0</v>
      </c>
    </row>
    <row r="199" spans="1:54" ht="11.25" customHeight="1">
      <c r="A199" s="3" t="s">
        <v>852</v>
      </c>
      <c r="B199" s="58" t="s">
        <v>853</v>
      </c>
      <c r="C199" s="16" t="str">
        <f>LEFT([PAPEL],LEN([PAPEL])-(LEN([PAPEL])-4))</f>
        <v>UCAS</v>
      </c>
      <c r="D199" s="16">
        <v>3</v>
      </c>
      <c r="E199" s="5">
        <v>187708920.96000001</v>
      </c>
      <c r="F199" s="56">
        <v>66086364</v>
      </c>
      <c r="G199" s="80">
        <v>0.25</v>
      </c>
      <c r="H199" s="86"/>
      <c r="J199" s="18"/>
      <c r="K199" s="16"/>
      <c r="L199" s="86"/>
      <c r="M199" s="54"/>
      <c r="N199" s="54"/>
      <c r="O199" s="54"/>
      <c r="P199" s="90">
        <v>211391000</v>
      </c>
      <c r="Q199" s="73">
        <v>13295000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264345456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199" s="18">
        <f>IF(Tabela3[[#This Row],[Lucro Líquido]]&gt;0,Tabela3[[#This Row],[Lucro Líquido]]/Tabela3[[#This Row],[Patrimônio Líquido]],0)/Tabela3[[#This Row],[Ref]]*4</f>
        <v>8.3857244001242559E-2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2.2435702141443779</v>
      </c>
      <c r="Z199" s="7">
        <f>Tabela3[[#This Row],[Capital Social]]*20%</f>
        <v>37541784.192000002</v>
      </c>
      <c r="AA199" s="47">
        <f>IF(([Lucro Líquido]*5%)&gt;[Teto R. Legal],[Teto R. Legal],[Lucro Líquido]*5%)</f>
        <v>664750</v>
      </c>
      <c r="AB199" s="47">
        <f>IF([Lucro Líquido]&lt;0,0,[Lucro Líquido]-[Reserva Legal])</f>
        <v>12630250</v>
      </c>
      <c r="AC199" s="47">
        <f>Tabela3[[#This Row],[Lucro Distribuir]]*[%Div]</f>
        <v>3157562.5</v>
      </c>
      <c r="AD199" s="56">
        <f>SUMPRODUCT(N([Nome]=Tabela3[[#This Row],[Nome]]),[Ações])</f>
        <v>66086364</v>
      </c>
      <c r="AE199" s="84">
        <f>[Capital Social]/[Total Ações]</f>
        <v>2.8403578226818471</v>
      </c>
      <c r="AF199" s="84">
        <f>Tabela3[[#This Row],[Lucro Líquido]]/Tabela3[[#This Row],[Total Ações]]</f>
        <v>0.20117614580823359</v>
      </c>
      <c r="AG1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1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199" s="7">
        <f>[Div Base]*[Ações]</f>
        <v>3157562.5</v>
      </c>
      <c r="AL199" s="7">
        <f>SUMPRODUCT(N([Nome]=Tabela3[[#This Row],[Nome]]),[Div Base]*[Ações])</f>
        <v>3157562.5</v>
      </c>
      <c r="AM199" s="5">
        <f>[Patrimônio Líquido]/[Total Ações]</f>
        <v>3.1987082842082217</v>
      </c>
      <c r="AN199" s="52">
        <f>MAX(Tabela3[[#This Row],[Cotação 1]:[Cotação 5]])</f>
        <v>4</v>
      </c>
      <c r="AO199" s="53">
        <f>[Cotação]/[VPA]</f>
        <v>1.2505047802413538</v>
      </c>
      <c r="AP199" s="37">
        <f>IF(Tabela3[[#This Row],[Lucro/Ação]]&gt;0,Tabela3[[#This Row],[Cotação]]/(Tabela3[[#This Row],[Lucro/Ação]]/[Ref]*4),0)</f>
        <v>14.912304776231668</v>
      </c>
      <c r="AQ199" s="84">
        <f>[Lucro Distribuir]/[Total Ações]</f>
        <v>0.19111733851782192</v>
      </c>
      <c r="AR199" s="84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1.194483365736387E-2</v>
      </c>
      <c r="AU199" s="22">
        <f>((1+Tabela3[[#This Row],[% Yield]])^(1/(3*Tabela3[[#This Row],[Ref]])))^(12)-1</f>
        <v>1.5958067586659519E-2</v>
      </c>
      <c r="AV199" s="10">
        <f>IF([Cotação]&gt;0,($BH$1/Tabela3[[#This Row],[Cotação]]-MOD($BH$1/Tabela3[[#This Row],[Cotação]],100)),)</f>
        <v>100</v>
      </c>
      <c r="AW199" s="7">
        <f>Tabela3[[#This Row],[Ativos]]*[Lucro]</f>
        <v>4.7779334629455477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4</v>
      </c>
      <c r="BB199" s="7">
        <f>SUMPRODUCT(N(Tabela17683[Código]=Tabela3[[#This Row],[PAPEL]]),Tabela17683[Fechamento])</f>
        <v>0</v>
      </c>
    </row>
    <row r="200" spans="1:54" ht="11.25" customHeight="1">
      <c r="A200" s="3" t="s">
        <v>1019</v>
      </c>
      <c r="B200" s="58" t="s">
        <v>1035</v>
      </c>
      <c r="C200" s="16" t="str">
        <f>LEFT([PAPEL],LEN([PAPEL])-(LEN([PAPEL])-4))</f>
        <v>JHSF</v>
      </c>
      <c r="D200" s="16">
        <v>3</v>
      </c>
      <c r="E200" s="5">
        <v>719259210.82000005</v>
      </c>
      <c r="F200" s="56">
        <v>432043157</v>
      </c>
      <c r="G200" s="80">
        <v>0.25</v>
      </c>
      <c r="H200" s="86"/>
      <c r="J200" s="18"/>
      <c r="K200" s="16"/>
      <c r="L200" s="86"/>
      <c r="M200" s="54"/>
      <c r="N200" s="54"/>
      <c r="O200" s="54"/>
      <c r="P200" s="90">
        <v>1316434000</v>
      </c>
      <c r="Q200" s="73">
        <v>47981000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1732493059.5699999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0" s="18">
        <f>IF(Tabela3[[#This Row],[Lucro Líquido]]&gt;0,Tabela3[[#This Row],[Lucro Líquido]]/Tabela3[[#This Row],[Patrimônio Líquido]],0)/Tabela3[[#This Row],[Ref]]*4</f>
        <v>4.859694194062647E-2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2.2435702141443779</v>
      </c>
      <c r="Z200" s="7">
        <f>Tabela3[[#This Row],[Capital Social]]*20%</f>
        <v>143851842.164</v>
      </c>
      <c r="AA200" s="47">
        <f>IF(([Lucro Líquido]*5%)&gt;[Teto R. Legal],[Teto R. Legal],[Lucro Líquido]*5%)</f>
        <v>2399050</v>
      </c>
      <c r="AB200" s="47">
        <f>IF([Lucro Líquido]&lt;0,0,[Lucro Líquido]-[Reserva Legal])</f>
        <v>45581950</v>
      </c>
      <c r="AC200" s="47">
        <f>Tabela3[[#This Row],[Lucro Distribuir]]*[%Div]</f>
        <v>11395487.5</v>
      </c>
      <c r="AD200" s="56">
        <f>SUMPRODUCT(N([Nome]=Tabela3[[#This Row],[Nome]]),[Ações])</f>
        <v>432043157</v>
      </c>
      <c r="AE200" s="84">
        <f>[Capital Social]/[Total Ações]</f>
        <v>1.6647855640495657</v>
      </c>
      <c r="AF200" s="84">
        <f>Tabela3[[#This Row],[Lucro Líquido]]/Tabela3[[#This Row],[Total Ações]]</f>
        <v>0.11105603508031027</v>
      </c>
      <c r="AG20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0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00" s="7">
        <f>[Div Base]*[Ações]</f>
        <v>11395487.5</v>
      </c>
      <c r="AL200" s="113">
        <f>SUMPRODUCT(N([Nome]=Tabela3[[#This Row],[Nome]]),[Div Base]*[Ações])</f>
        <v>11395487.5</v>
      </c>
      <c r="AM200" s="5">
        <f>[Patrimônio Líquido]/[Total Ações]</f>
        <v>3.0469965295619761</v>
      </c>
      <c r="AN200" s="52">
        <f>MAX(Tabela3[[#This Row],[Cotação 1]:[Cotação 5]])</f>
        <v>4.01</v>
      </c>
      <c r="AO200" s="53">
        <f>[Cotação]/[VPA]</f>
        <v>1.3160500713062713</v>
      </c>
      <c r="AP200" s="37">
        <f>IF(Tabela3[[#This Row],[Lucro/Ação]]&gt;0,Tabela3[[#This Row],[Cotação]]/(Tabela3[[#This Row],[Lucro/Ação]]/[Ref]*4),0)</f>
        <v>27.080923588034846</v>
      </c>
      <c r="AQ200" s="84">
        <f>[Lucro Distribuir]/[Total Ações]</f>
        <v>0.10550323332629476</v>
      </c>
      <c r="AR200" s="84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6.5775083121131402E-3</v>
      </c>
      <c r="AU200" s="22">
        <f>((1+Tabela3[[#This Row],[% Yield]])^(1/(3*Tabela3[[#This Row],[Ref]])))^(12)-1</f>
        <v>8.7796112053140085E-3</v>
      </c>
      <c r="AV200" s="10">
        <f>IF([Cotação]&gt;0,($BH$1/Tabela3[[#This Row],[Cotação]]-MOD($BH$1/Tabela3[[#This Row],[Cotação]],100)),)</f>
        <v>100</v>
      </c>
      <c r="AW200" s="7">
        <f>Tabela3[[#This Row],[Ativos]]*[Lucro]</f>
        <v>2.6375808331573691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4.01</v>
      </c>
      <c r="BB200" s="7">
        <f>SUMPRODUCT(N(Tabela17683[Código]=Tabela3[[#This Row],[PAPEL]]),Tabela17683[Fechamento])</f>
        <v>0</v>
      </c>
    </row>
    <row r="201" spans="1:54" ht="11.25" customHeight="1">
      <c r="A201" s="4" t="s">
        <v>354</v>
      </c>
      <c r="B201" s="57" t="s">
        <v>355</v>
      </c>
      <c r="C201" s="81" t="str">
        <f>LEFT([PAPEL],LEN([PAPEL])-(LEN([PAPEL])-4))</f>
        <v>CRIV</v>
      </c>
      <c r="D201" s="15">
        <v>3</v>
      </c>
      <c r="E201" s="6">
        <v>331000000</v>
      </c>
      <c r="F201" s="8">
        <v>59439005</v>
      </c>
      <c r="G201" s="80">
        <v>0.25</v>
      </c>
      <c r="H201" s="15"/>
      <c r="I201" s="19"/>
      <c r="J201" s="19"/>
      <c r="K201" s="87"/>
      <c r="L201" s="87"/>
      <c r="M201" s="13">
        <v>6125481000</v>
      </c>
      <c r="N201" s="13">
        <v>3927516000</v>
      </c>
      <c r="O201" s="13">
        <v>2307942000</v>
      </c>
      <c r="P201" s="6">
        <v>735745000</v>
      </c>
      <c r="Q201" s="6">
        <v>39503000</v>
      </c>
      <c r="R201" s="6">
        <f>IF(Tabela3[[#This Row],[Ativo || Passivo]]&gt;0,Tabela3[[#This Row],[Ativo || Passivo]]-Tabela3[[#This Row],[Patrimônio Líquido]],0)</f>
        <v>5389736000</v>
      </c>
      <c r="S201" s="6">
        <f>Tabela3[[#This Row],[Cotação]]*Tabela3[[#This Row],[Total Ações]]</f>
        <v>427294248.12</v>
      </c>
      <c r="T201" s="121">
        <f>IF(Tabela3[[#This Row],[Passivo Circulante]]&gt;0,Tabela3[[#This Row],[Ativo Circulante]]/Tabela3[[#This Row],[Passivo Circulante]],0)</f>
        <v>1.7017394717891525</v>
      </c>
      <c r="U20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1" s="19">
        <f>IF(Tabela3[[#This Row],[Lucro Líquido]]&gt;0,Tabela3[[#This Row],[Lucro Líquido]]/Tabela3[[#This Row],[Patrimônio Líquido]],0)/Tabela3[[#This Row],[Ref]]*4</f>
        <v>7.1588208777044582E-2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1" s="19">
        <f>IF(Tabela3[[#This Row],[Dívida]]&gt;0,Tabela3[[#This Row],[Dívida]]/Tabela3[[#This Row],[Patrimônio Líquido]],0)</f>
        <v>7.3255489333940425</v>
      </c>
      <c r="Y201" s="19">
        <f>SUMPRODUCT(N([Dívida / PL]&gt;0),N(RIGHT([PAPEL],LEN([PAPEL])-(LEN([PAPEL])-1))="3"),[Dívida / PL])/SUMPRODUCT(N([Dívida / PL]&gt;0),N(RIGHT([PAPEL],LEN([PAPEL])-(LEN([PAPEL])-1))="3"))</f>
        <v>2.2435702141443779</v>
      </c>
      <c r="Z201" s="6">
        <f>Tabela3[[#This Row],[Capital Social]]*20%</f>
        <v>66200000</v>
      </c>
      <c r="AA201" s="6">
        <f>IF(([Lucro Líquido]*5%)&gt;[Teto R. Legal],[Teto R. Legal],[Lucro Líquido]*5%)</f>
        <v>1975150</v>
      </c>
      <c r="AB201" s="6">
        <f>IF([Lucro Líquido]&lt;0,0,[Lucro Líquido]-[Reserva Legal])</f>
        <v>37527850</v>
      </c>
      <c r="AC201" s="6">
        <f>Tabela3[[#This Row],[Lucro Distribuir]]*[%Div]</f>
        <v>9381962.5</v>
      </c>
      <c r="AD201" s="56">
        <f>SUMPRODUCT(N([Nome]=Tabela3[[#This Row],[Nome]]),[Ações])</f>
        <v>105765903</v>
      </c>
      <c r="AE201" s="6">
        <f>[Capital Social]/[Total Ações]</f>
        <v>3.1295530091583483</v>
      </c>
      <c r="AF201" s="77">
        <f>Tabela3[[#This Row],[Lucro Líquido]]/Tabela3[[#This Row],[Total Ações]]</f>
        <v>0.37349466018363214</v>
      </c>
      <c r="AG2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2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11598598.643269751</v>
      </c>
      <c r="AM201" s="6">
        <f>[Patrimônio Líquido]/[Total Ações]</f>
        <v>6.9563534100399069</v>
      </c>
      <c r="AN201" s="48">
        <f>MAX(Tabela3[[#This Row],[Cotação 1]:[Cotação 5]])</f>
        <v>4.04</v>
      </c>
      <c r="AO201" s="44">
        <f>[Cotação]/[VPA]</f>
        <v>0.5807640529259458</v>
      </c>
      <c r="AP201" s="40">
        <f>IF(Tabela3[[#This Row],[Lucro/Ação]]&gt;0,Tabela3[[#This Row],[Cotação]]/(Tabela3[[#This Row],[Lucro/Ação]]/[Ref]*4),0)</f>
        <v>8.1125657820924992</v>
      </c>
      <c r="AQ201" s="77">
        <f>[Lucro Distribuir]/[Total Ações]</f>
        <v>0.35481992717445054</v>
      </c>
      <c r="AR20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100</v>
      </c>
      <c r="AW201" s="17">
        <f>Tabela3[[#This Row],[Ativos]]*[Lucro]</f>
        <v>0</v>
      </c>
      <c r="AX201" s="13">
        <f>SUMPRODUCT(N(Tabela1[Código]=Tabela3[[#This Row],[PAPEL]]),Tabela1[Fechamento])</f>
        <v>0</v>
      </c>
      <c r="AY201" s="55">
        <f>SUMPRODUCT(N(Tabela17[Código]=Tabela3[[#This Row],[PAPEL]]),Tabela17[Fechamento])</f>
        <v>4.04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t="11.25" customHeight="1">
      <c r="A202" s="4" t="s">
        <v>37</v>
      </c>
      <c r="B202" s="57" t="s">
        <v>173</v>
      </c>
      <c r="C202" s="14" t="str">
        <f>LEFT([PAPEL],LEN([PAPEL])-(LEN([PAPEL])-4))</f>
        <v>CASN</v>
      </c>
      <c r="D202" s="15">
        <v>3</v>
      </c>
      <c r="E202" s="6">
        <v>842266637.82000005</v>
      </c>
      <c r="F202" s="8">
        <v>357547216</v>
      </c>
      <c r="G202" s="80">
        <v>0.25</v>
      </c>
      <c r="H202" s="15"/>
      <c r="I202" s="19"/>
      <c r="J202" s="19"/>
      <c r="K202" s="87"/>
      <c r="L202" s="87"/>
      <c r="M202" s="55"/>
      <c r="N202" s="55"/>
      <c r="O202" s="55"/>
      <c r="P202" s="6">
        <v>1255450000</v>
      </c>
      <c r="Q202" s="6">
        <v>19870000</v>
      </c>
      <c r="R202" s="6">
        <f>IF(Tabela3[[#This Row],[Ativo || Passivo]]&gt;0,Tabela3[[#This Row],[Ativo || Passivo]]-Tabela3[[#This Row],[Patrimônio Líquido]],0)</f>
        <v>0</v>
      </c>
      <c r="S202" s="6">
        <f>Tabela3[[#This Row],[Cotação]]*Tabela3[[#This Row],[Total Ações]]</f>
        <v>2946189059.8400002</v>
      </c>
      <c r="T202" s="121">
        <f>IF(Tabela3[[#This Row],[Passivo Circulante]]&gt;0,Tabela3[[#This Row],[Ativo Circulante]]/Tabela3[[#This Row],[Passivo Circulante]],0)</f>
        <v>0</v>
      </c>
      <c r="U20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2" s="19">
        <f>IF(Tabela3[[#This Row],[Lucro Líquido]]&gt;0,Tabela3[[#This Row],[Lucro Líquido]]/Tabela3[[#This Row],[Patrimônio Líquido]],0)/Tabela3[[#This Row],[Ref]]*4</f>
        <v>2.1102659073107918E-2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2.2435702141443779</v>
      </c>
      <c r="Z202" s="6">
        <f>Tabela3[[#This Row],[Capital Social]]*20%</f>
        <v>168453327.56400001</v>
      </c>
      <c r="AA202" s="6">
        <f>IF(([Lucro Líquido]*5%)&gt;[Teto R. Legal],[Teto R. Legal],[Lucro Líquido]*5%)</f>
        <v>993500</v>
      </c>
      <c r="AB202" s="6">
        <f>IF([Lucro Líquido]&lt;0,0,[Lucro Líquido]-[Reserva Legal])</f>
        <v>18876500</v>
      </c>
      <c r="AC202" s="6">
        <f>Tabela3[[#This Row],[Lucro Distribuir]]*[%Div]</f>
        <v>4719125</v>
      </c>
      <c r="AD202" s="21">
        <f>SUMPRODUCT(N([Nome]=Tabela3[[#This Row],[Nome]]),[Ações])</f>
        <v>715094432</v>
      </c>
      <c r="AE202" s="6">
        <f>[Capital Social]/[Total Ações]</f>
        <v>1.1778397371439748</v>
      </c>
      <c r="AF202" s="77">
        <f>Tabela3[[#This Row],[Lucro Líquido]]/Tabela3[[#This Row],[Total Ações]]</f>
        <v>2.7786539946097637E-2</v>
      </c>
      <c r="AG2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2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202" s="6">
        <f>[Div Base]*[Ações]</f>
        <v>2286147.5381526379</v>
      </c>
      <c r="AL202" s="6">
        <f>SUMPRODUCT(N([Nome]=Tabela3[[#This Row],[Nome]]),[Div Base]*[Ações])</f>
        <v>4800909.8335655006</v>
      </c>
      <c r="AM202" s="6">
        <f>[Patrimônio Líquido]/[Total Ações]</f>
        <v>1.7556422534136022</v>
      </c>
      <c r="AN202" s="48">
        <f>MAX(Tabela3[[#This Row],[Cotação 1]:[Cotação 5]])</f>
        <v>4.12</v>
      </c>
      <c r="AO202" s="44">
        <f>[Cotação]/[VPA]</f>
        <v>2.3467195506312479</v>
      </c>
      <c r="AP202" s="40">
        <f>IF(Tabela3[[#This Row],[Lucro/Ação]]&gt;0,Tabela3[[#This Row],[Cotação]]/(Tabela3[[#This Row],[Lucro/Ação]]/[Ref]*4),0)</f>
        <v>111.20492173527931</v>
      </c>
      <c r="AQ202" s="77">
        <f>[Lucro Distribuir]/[Total Ações]</f>
        <v>2.6397212948792756E-2</v>
      </c>
      <c r="AR202" s="77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1.5519353929559377E-3</v>
      </c>
      <c r="AU202" s="19">
        <f>((1+Tabela3[[#This Row],[% Yield]])^(1/(3*Tabela3[[#This Row],[Ref]])))^(12)-1</f>
        <v>2.0697822291331214E-3</v>
      </c>
      <c r="AV202" s="14">
        <f>IF([Cotação]&gt;0,($BH$1/Tabela3[[#This Row],[Cotação]]-MOD($BH$1/Tabela3[[#This Row],[Cotação]],100)),)</f>
        <v>100</v>
      </c>
      <c r="AW202" s="17">
        <f>Tabela3[[#This Row],[Ativos]]*[Lucro]</f>
        <v>0.63939738189784634</v>
      </c>
      <c r="AX202" s="5">
        <f>SUMPRODUCT(N(Tabela1[Código]=Tabela3[[#This Row],[PAPEL]]),Tabela1[Fechamento])</f>
        <v>4.12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customHeight="1">
      <c r="A203" s="4" t="s">
        <v>330</v>
      </c>
      <c r="B203" s="57" t="s">
        <v>1109</v>
      </c>
      <c r="C203" s="16" t="str">
        <f>LEFT([PAPEL],LEN([PAPEL])-(LEN([PAPEL])-4))</f>
        <v>PTBL</v>
      </c>
      <c r="D203" s="16">
        <v>3</v>
      </c>
      <c r="E203" s="5">
        <v>46065164.310000002</v>
      </c>
      <c r="F203" s="56">
        <v>159008924</v>
      </c>
      <c r="G203" s="80">
        <v>0.25</v>
      </c>
      <c r="H203" s="18"/>
      <c r="J203" s="18"/>
      <c r="K203" s="16"/>
      <c r="L203" s="86"/>
      <c r="M203" s="54">
        <v>954974000</v>
      </c>
      <c r="N203" s="54">
        <v>437578000</v>
      </c>
      <c r="O203" s="54">
        <v>313530000</v>
      </c>
      <c r="P203" s="90">
        <v>170850000</v>
      </c>
      <c r="Q203" s="73">
        <v>51178000</v>
      </c>
      <c r="R203" s="73">
        <f>IF(Tabela3[[#This Row],[Ativo || Passivo]]&gt;0,Tabela3[[#This Row],[Ativo || Passivo]]-Tabela3[[#This Row],[Patrimônio Líquido]],0)</f>
        <v>784124000</v>
      </c>
      <c r="S203" s="73">
        <f>Tabela3[[#This Row],[Cotação]]*Tabela3[[#This Row],[Total Ações]]</f>
        <v>677378016.24000001</v>
      </c>
      <c r="T203" s="37">
        <f>IF(Tabela3[[#This Row],[Passivo Circulante]]&gt;0,Tabela3[[#This Row],[Ativo Circulante]]/Tabela3[[#This Row],[Passivo Circulante]],0)</f>
        <v>1.3956495391190635</v>
      </c>
      <c r="U20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3" s="18">
        <f>IF(Tabela3[[#This Row],[Lucro Líquido]]&gt;0,Tabela3[[#This Row],[Lucro Líquido]]/Tabela3[[#This Row],[Patrimônio Líquido]],0)/Tabela3[[#This Row],[Ref]]*4</f>
        <v>0.39939908301629107</v>
      </c>
      <c r="W20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3" s="18">
        <f>IF(Tabela3[[#This Row],[Dívida]]&gt;0,Tabela3[[#This Row],[Dívida]]/Tabela3[[#This Row],[Patrimônio Líquido]],0)</f>
        <v>4.5895463857184664</v>
      </c>
      <c r="Y203" s="18">
        <f>SUMPRODUCT(N([Dívida / PL]&gt;0),N(RIGHT([PAPEL],LEN([PAPEL])-(LEN([PAPEL])-1))="3"),[Dívida / PL])/SUMPRODUCT(N([Dívida / PL]&gt;0),N(RIGHT([PAPEL],LEN([PAPEL])-(LEN([PAPEL])-1))="3"))</f>
        <v>2.2435702141443779</v>
      </c>
      <c r="Z203" s="7">
        <f>Tabela3[[#This Row],[Capital Social]]*20%</f>
        <v>9213032.8620000016</v>
      </c>
      <c r="AA203" s="47">
        <f>IF(([Lucro Líquido]*5%)&gt;[Teto R. Legal],[Teto R. Legal],[Lucro Líquido]*5%)</f>
        <v>2558900</v>
      </c>
      <c r="AB203" s="47">
        <f>IF([Lucro Líquido]&lt;0,0,[Lucro Líquido]-[Reserva Legal])</f>
        <v>48619100</v>
      </c>
      <c r="AC203" s="47">
        <f>Tabela3[[#This Row],[Lucro Distribuir]]*[%Div]</f>
        <v>12154775</v>
      </c>
      <c r="AD203" s="56">
        <f>SUMPRODUCT(N([Nome]=Tabela3[[#This Row],[Nome]]),[Ações])</f>
        <v>159008924</v>
      </c>
      <c r="AE203" s="84">
        <f>[Capital Social]/[Total Ações]</f>
        <v>0.28970175478956139</v>
      </c>
      <c r="AF203" s="84">
        <f>Tabela3[[#This Row],[Lucro Líquido]]/Tabela3[[#This Row],[Total Ações]]</f>
        <v>0.32185614940706098</v>
      </c>
      <c r="AG20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20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203" s="7">
        <f>[Div Base]*[Ações]</f>
        <v>12154775</v>
      </c>
      <c r="AL203" s="113">
        <f>SUMPRODUCT(N([Nome]=Tabela3[[#This Row],[Nome]]),[Div Base]*[Ações])</f>
        <v>12154775</v>
      </c>
      <c r="AM203" s="5">
        <f>[Patrimônio Líquido]/[Total Ações]</f>
        <v>1.07446799652578</v>
      </c>
      <c r="AN203" s="52">
        <f>MAX(Tabela3[[#This Row],[Cotação 1]:[Cotação 5]])</f>
        <v>4.26</v>
      </c>
      <c r="AO203" s="53">
        <f>[Cotação]/[VPA]</f>
        <v>3.9647528021071112</v>
      </c>
      <c r="AP203" s="37">
        <f>IF(Tabela3[[#This Row],[Lucro/Ação]]&gt;0,Tabela3[[#This Row],[Cotação]]/(Tabela3[[#This Row],[Lucro/Ação]]/[Ref]*4),0)</f>
        <v>9.9267949544726246</v>
      </c>
      <c r="AQ203" s="84">
        <f>[Lucro Distribuir]/[Total Ações]</f>
        <v>0.3057633419367079</v>
      </c>
      <c r="AR203" s="84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203" s="10" t="str">
        <f>IF(AND([% A.A.]&gt;=5%,SUMPRODUCT(N([Nome]=Tabela3[[#This Row],[Nome]]),[PL])&gt;0,[Rentabilidade s/ PL]&gt;=[Rentabilidade s/ PL Média]),"Sim","Não")</f>
        <v>Não</v>
      </c>
      <c r="AT203" s="22">
        <f>IF([Cotação]&gt;0,Tabela3[[#This Row],[Lucro]]/Tabela3[[#This Row],[Cotação]],0)</f>
        <v>1.7943858094877224E-2</v>
      </c>
      <c r="AU203" s="22">
        <f>((1+Tabela3[[#This Row],[% Yield]])^(1/(3*Tabela3[[#This Row],[Ref]])))^(12)-1</f>
        <v>2.3996412491086083E-2</v>
      </c>
      <c r="AV203" s="10">
        <f>IF([Cotação]&gt;0,($BH$1/Tabela3[[#This Row],[Cotação]]-MOD($BH$1/Tabela3[[#This Row],[Cotação]],100)),)</f>
        <v>100</v>
      </c>
      <c r="AW203" s="7">
        <f>Tabela3[[#This Row],[Ativos]]*[Lucro]</f>
        <v>7.6440835484176972</v>
      </c>
      <c r="AX203" s="7">
        <f>SUMPRODUCT(N(Tabela1[Código]=Tabela3[[#This Row],[PAPEL]]),Tabela1[Fechamento])</f>
        <v>0</v>
      </c>
      <c r="AY203" s="7">
        <f>SUMPRODUCT(N(Tabela17[Código]=Tabela3[[#This Row],[PAPEL]]),Tabela17[Fechamento])</f>
        <v>0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4.26</v>
      </c>
    </row>
    <row r="204" spans="1:54" ht="11.25" customHeight="1">
      <c r="A204" s="3" t="s">
        <v>1276</v>
      </c>
      <c r="B204" s="57" t="s">
        <v>1246</v>
      </c>
      <c r="C204" s="16" t="str">
        <f>LEFT([PAPEL],LEN([PAPEL])-(LEN([PAPEL])-4))</f>
        <v>POMO</v>
      </c>
      <c r="D204" s="16">
        <v>4</v>
      </c>
      <c r="E204" s="5">
        <v>700000000</v>
      </c>
      <c r="F204" s="56">
        <v>341625744</v>
      </c>
      <c r="G204" s="80">
        <v>0.25</v>
      </c>
      <c r="H204" s="86"/>
      <c r="J204" s="18"/>
      <c r="K204" s="16"/>
      <c r="L204" s="86"/>
      <c r="M204" s="54">
        <v>3089186000</v>
      </c>
      <c r="N204" s="54">
        <v>1634953000</v>
      </c>
      <c r="O204" s="54">
        <v>563852000</v>
      </c>
      <c r="P204" s="90">
        <v>1515896000</v>
      </c>
      <c r="Q204" s="73">
        <v>288709000</v>
      </c>
      <c r="R204" s="73">
        <f>IF(Tabela3[[#This Row],[Ativo || Passivo]]&gt;0,Tabela3[[#This Row],[Ativo || Passivo]]-Tabela3[[#This Row],[Patrimônio Líquido]],0)</f>
        <v>1573290000</v>
      </c>
      <c r="S204" s="73">
        <f>Tabela3[[#This Row],[Cotação]]*Tabela3[[#This Row],[Total Ações]]</f>
        <v>3829763358.6799998</v>
      </c>
      <c r="T204" s="37">
        <f>IF(Tabela3[[#This Row],[Passivo Circulante]]&gt;0,Tabela3[[#This Row],[Ativo Circulante]]/Tabela3[[#This Row],[Passivo Circulante]],0)</f>
        <v>2.8996137284251895</v>
      </c>
      <c r="U20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4" s="18">
        <f>IF(Tabela3[[#This Row],[Lucro Líquido]]&gt;0,Tabela3[[#This Row],[Lucro Líquido]]/Tabela3[[#This Row],[Patrimônio Líquido]],0)/Tabela3[[#This Row],[Ref]]*4</f>
        <v>0.19045435834648286</v>
      </c>
      <c r="W2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4" s="18">
        <f>IF(Tabela3[[#This Row],[Dívida]]&gt;0,Tabela3[[#This Row],[Dívida]]/Tabela3[[#This Row],[Patrimônio Líquido]],0)</f>
        <v>1.0378614364046082</v>
      </c>
      <c r="Y204" s="18">
        <f>SUMPRODUCT(N([Dívida / PL]&gt;0),N(RIGHT([PAPEL],LEN([PAPEL])-(LEN([PAPEL])-1))="3"),[Dívida / PL])/SUMPRODUCT(N([Dívida / PL]&gt;0),N(RIGHT([PAPEL],LEN([PAPEL])-(LEN([PAPEL])-1))="3"))</f>
        <v>2.2435702141443779</v>
      </c>
      <c r="Z204" s="7">
        <f>Tabela3[[#This Row],[Capital Social]]*20%</f>
        <v>140000000</v>
      </c>
      <c r="AA204" s="47">
        <f>IF(([Lucro Líquido]*5%)&gt;[Teto R. Legal],[Teto R. Legal],[Lucro Líquido]*5%)</f>
        <v>14435450</v>
      </c>
      <c r="AB204" s="47">
        <f>IF([Lucro Líquido]&lt;0,0,[Lucro Líquido]-[Reserva Legal])</f>
        <v>274273550</v>
      </c>
      <c r="AC204" s="47">
        <f>Tabela3[[#This Row],[Lucro Distribuir]]*[%Div]</f>
        <v>68568387.5</v>
      </c>
      <c r="AD204" s="56">
        <f>SUMPRODUCT(N([Nome]=Tabela3[[#This Row],[Nome]]),[Ações])</f>
        <v>896900084</v>
      </c>
      <c r="AE204" s="84">
        <f>[Capital Social]/[Total Ações]</f>
        <v>0.78046597663157313</v>
      </c>
      <c r="AF204" s="84">
        <f>Tabela3[[#This Row],[Lucro Líquido]]/Tabela3[[#This Row],[Total Ações]]</f>
        <v>0.32189650235332123</v>
      </c>
      <c r="AG2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2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204" s="7">
        <f>[Div Base]*[Ações]</f>
        <v>26117431.375519641</v>
      </c>
      <c r="AL204" s="113">
        <f>SUMPRODUCT(N([Nome]=Tabela3[[#This Row],[Nome]]),[Div Base]*[Ações])</f>
        <v>68568387.5</v>
      </c>
      <c r="AM204" s="5">
        <f>[Patrimônio Líquido]/[Total Ações]</f>
        <v>1.6901503601598502</v>
      </c>
      <c r="AN204" s="52">
        <f>MAX(Tabela3[[#This Row],[Cotação 1]:[Cotação 5]])</f>
        <v>4.2699999999999996</v>
      </c>
      <c r="AO204" s="53">
        <f>[Cotação]/[VPA]</f>
        <v>2.5264024436241006</v>
      </c>
      <c r="AP204" s="37">
        <f>IF(Tabela3[[#This Row],[Lucro/Ação]]&gt;0,Tabela3[[#This Row],[Cotação]]/(Tabela3[[#This Row],[Lucro/Ação]]/[Ref]*4),0)</f>
        <v>13.26513326110374</v>
      </c>
      <c r="AQ204" s="84">
        <f>[Lucro Distribuir]/[Total Ações]</f>
        <v>0.30580167723565516</v>
      </c>
      <c r="AR204" s="84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204" s="10" t="str">
        <f>IF(AND([% A.A.]&gt;=5%,SUMPRODUCT(N([Nome]=Tabela3[[#This Row],[Nome]]),[PL])&gt;0,[Rentabilidade s/ PL]&gt;=[Rentabilidade s/ PL Média]),"Sim","Não")</f>
        <v>Não</v>
      </c>
      <c r="AT204" s="22">
        <f>IF([Cotação]&gt;0,Tabela3[[#This Row],[Lucro]]/Tabela3[[#This Row],[Cotação]],0)</f>
        <v>1.7904079463445854E-2</v>
      </c>
      <c r="AU204" s="22">
        <f>((1+Tabela3[[#This Row],[% Yield]])^(1/(3*Tabela3[[#This Row],[Ref]])))^(12)-1</f>
        <v>1.790407946344641E-2</v>
      </c>
      <c r="AV204" s="10">
        <f>IF([Cotação]&gt;0,($BH$1/Tabela3[[#This Row],[Cotação]]-MOD($BH$1/Tabela3[[#This Row],[Cotação]],100)),)</f>
        <v>100</v>
      </c>
      <c r="AW204" s="7">
        <f>Tabela3[[#This Row],[Ativos]]*[Lucro]</f>
        <v>7.6450419308913791</v>
      </c>
      <c r="AX204" s="7">
        <f>SUMPRODUCT(N(Tabela1[Código]=Tabela3[[#This Row],[PAPEL]]),Tabela1[Fechamento])</f>
        <v>0</v>
      </c>
      <c r="AY204" s="7">
        <f>SUMPRODUCT(N(Tabela17[Código]=Tabela3[[#This Row],[PAPEL]]),Tabela17[Fechamento])</f>
        <v>0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4.2699999999999996</v>
      </c>
    </row>
    <row r="205" spans="1:54" ht="11.25" customHeight="1">
      <c r="A205" s="3" t="s">
        <v>1276</v>
      </c>
      <c r="B205" s="58" t="s">
        <v>1244</v>
      </c>
      <c r="C205" s="16" t="str">
        <f>LEFT([PAPEL],LEN([PAPEL])-(LEN([PAPEL])-4))</f>
        <v>FRAS</v>
      </c>
      <c r="D205" s="16">
        <v>4</v>
      </c>
      <c r="E205" s="5">
        <v>170000000</v>
      </c>
      <c r="F205" s="56">
        <v>99981000</v>
      </c>
      <c r="G205" s="80">
        <v>0.25</v>
      </c>
      <c r="H205" s="86"/>
      <c r="J205" s="18"/>
      <c r="K205" s="16"/>
      <c r="L205" s="86"/>
      <c r="M205" s="54">
        <v>825504000</v>
      </c>
      <c r="N205" s="54">
        <v>403249000</v>
      </c>
      <c r="O205" s="54">
        <v>124552000</v>
      </c>
      <c r="P205" s="90">
        <v>394943000</v>
      </c>
      <c r="Q205" s="73">
        <v>40003000</v>
      </c>
      <c r="R205" s="73">
        <f>IF(Tabela3[[#This Row],[Ativo || Passivo]]&gt;0,Tabela3[[#This Row],[Ativo || Passivo]]-Tabela3[[#This Row],[Patrimônio Líquido]],0)</f>
        <v>430561000</v>
      </c>
      <c r="S205" s="73">
        <f>Tabela3[[#This Row],[Cotação]]*Tabela3[[#This Row],[Total Ações]]</f>
        <v>429918300</v>
      </c>
      <c r="T205" s="37">
        <f>IF(Tabela3[[#This Row],[Passivo Circulante]]&gt;0,Tabela3[[#This Row],[Ativo Circulante]]/Tabela3[[#This Row],[Passivo Circulante]],0)</f>
        <v>3.2375955424240477</v>
      </c>
      <c r="U2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5" s="18">
        <f>IF(Tabela3[[#This Row],[Lucro Líquido]]&gt;0,Tabela3[[#This Row],[Lucro Líquido]]/Tabela3[[#This Row],[Patrimônio Líquido]],0)/Tabela3[[#This Row],[Ref]]*4</f>
        <v>0.10128803396945889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5" s="18">
        <f>IF(Tabela3[[#This Row],[Dívida]]&gt;0,Tabela3[[#This Row],[Dívida]]/Tabela3[[#This Row],[Patrimônio Líquido]],0)</f>
        <v>1.0901851659606576</v>
      </c>
      <c r="Y205" s="18">
        <f>SUMPRODUCT(N([Dívida / PL]&gt;0),N(RIGHT([PAPEL],LEN([PAPEL])-(LEN([PAPEL])-1))="3"),[Dívida / PL])/SUMPRODUCT(N([Dívida / PL]&gt;0),N(RIGHT([PAPEL],LEN([PAPEL])-(LEN([PAPEL])-1))="3"))</f>
        <v>2.2435702141443779</v>
      </c>
      <c r="Z205" s="7">
        <f>Tabela3[[#This Row],[Capital Social]]*20%</f>
        <v>34000000</v>
      </c>
      <c r="AA205" s="47">
        <f>IF(([Lucro Líquido]*5%)&gt;[Teto R. Legal],[Teto R. Legal],[Lucro Líquido]*5%)</f>
        <v>2000150</v>
      </c>
      <c r="AB205" s="47">
        <f>IF([Lucro Líquido]&lt;0,0,[Lucro Líquido]-[Reserva Legal])</f>
        <v>38002850</v>
      </c>
      <c r="AC205" s="47">
        <f>Tabela3[[#This Row],[Lucro Distribuir]]*[%Div]</f>
        <v>9500712.5</v>
      </c>
      <c r="AD205" s="56">
        <f>SUMPRODUCT(N([Nome]=Tabela3[[#This Row],[Nome]]),[Ações])</f>
        <v>99981000</v>
      </c>
      <c r="AE205" s="84">
        <f>[Capital Social]/[Total Ações]</f>
        <v>1.7003230613816624</v>
      </c>
      <c r="AF205" s="84">
        <f>Tabela3[[#This Row],[Lucro Líquido]]/Tabela3[[#This Row],[Total Ações]]</f>
        <v>0.40010602014382735</v>
      </c>
      <c r="AG2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05" s="7">
        <f>[Div Base]*[Ações]</f>
        <v>9500712.5</v>
      </c>
      <c r="AL205" s="113">
        <f>SUMPRODUCT(N([Nome]=Tabela3[[#This Row],[Nome]]),[Div Base]*[Ações])</f>
        <v>9500712.5</v>
      </c>
      <c r="AM205" s="5">
        <f>[Patrimônio Líquido]/[Total Ações]</f>
        <v>3.9501805343015173</v>
      </c>
      <c r="AN205" s="52">
        <f>MAX(Tabela3[[#This Row],[Cotação 1]:[Cotação 5]])</f>
        <v>4.3</v>
      </c>
      <c r="AO205" s="53">
        <f>[Cotação]/[VPA]</f>
        <v>1.0885578425241111</v>
      </c>
      <c r="AP205" s="37">
        <f>IF(Tabela3[[#This Row],[Lucro/Ação]]&gt;0,Tabela3[[#This Row],[Cotação]]/(Tabela3[[#This Row],[Lucro/Ação]]/[Ref]*4),0)</f>
        <v>10.747151463640225</v>
      </c>
      <c r="AQ205" s="84">
        <f>[Lucro Distribuir]/[Total Ações]</f>
        <v>0.38010071913663596</v>
      </c>
      <c r="AR205" s="84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05" s="10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2.209887901957186E-2</v>
      </c>
      <c r="AU205" s="22">
        <f>((1+Tabela3[[#This Row],[% Yield]])^(1/(3*Tabela3[[#This Row],[Ref]])))^(12)-1</f>
        <v>2.2098879019572415E-2</v>
      </c>
      <c r="AV205" s="10">
        <f>IF([Cotação]&gt;0,($BH$1/Tabela3[[#This Row],[Cotação]]-MOD($BH$1/Tabela3[[#This Row],[Cotação]],100)),)</f>
        <v>100</v>
      </c>
      <c r="AW205" s="7">
        <f>Tabela3[[#This Row],[Ativos]]*[Lucro]</f>
        <v>9.5025179784158986</v>
      </c>
      <c r="AX205" s="7">
        <f>SUMPRODUCT(N(Tabela1[Código]=Tabela3[[#This Row],[PAPEL]]),Tabela1[Fechamento])</f>
        <v>0</v>
      </c>
      <c r="AY205" s="7">
        <f>SUMPRODUCT(N(Tabela17[Código]=Tabela3[[#This Row],[PAPEL]]),Tabela17[Fechamento])</f>
        <v>0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4.3</v>
      </c>
    </row>
    <row r="206" spans="1:54" ht="11.25" customHeight="1">
      <c r="A206" s="4" t="s">
        <v>14</v>
      </c>
      <c r="B206" s="57" t="s">
        <v>532</v>
      </c>
      <c r="C206" s="15" t="str">
        <f>LEFT([PAPEL],LEN([PAPEL])-(LEN([PAPEL])-4))</f>
        <v>IDVL</v>
      </c>
      <c r="D206" s="15">
        <v>4</v>
      </c>
      <c r="E206" s="6">
        <v>769843000</v>
      </c>
      <c r="F206" s="8">
        <v>31021907</v>
      </c>
      <c r="G206" s="85">
        <v>0.25</v>
      </c>
      <c r="H206" s="15"/>
      <c r="I206" s="19"/>
      <c r="J206" s="19"/>
      <c r="K206" s="87"/>
      <c r="L206" s="87"/>
      <c r="M206" s="55">
        <v>4667591000</v>
      </c>
      <c r="N206" s="55">
        <v>3479268000</v>
      </c>
      <c r="O206" s="55">
        <v>2824930000</v>
      </c>
      <c r="P206" s="91">
        <v>673346000</v>
      </c>
      <c r="Q206" s="92">
        <v>-119908000</v>
      </c>
      <c r="R206" s="92">
        <f>IF(Tabela3[[#This Row],[Ativo || Passivo]]&gt;0,Tabela3[[#This Row],[Ativo || Passivo]]-Tabela3[[#This Row],[Patrimônio Líquido]],0)</f>
        <v>3994245000</v>
      </c>
      <c r="S206" s="92">
        <f>Tabela3[[#This Row],[Cotação]]*Tabela3[[#This Row],[Total Ações]]</f>
        <v>389477793.74999994</v>
      </c>
      <c r="T206" s="40">
        <f>IF(Tabela3[[#This Row],[Passivo Circulante]]&gt;0,Tabela3[[#This Row],[Ativo Circulante]]/Tabela3[[#This Row],[Passivo Circulante]],0)</f>
        <v>1.2316298102961842</v>
      </c>
      <c r="U2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6" s="19">
        <f>IF(Tabela3[[#This Row],[Lucro Líquido]]&gt;0,Tabela3[[#This Row],[Lucro Líquido]]/Tabela3[[#This Row],[Patrimônio Líquido]],0)/Tabela3[[#This Row],[Ref]]*4</f>
        <v>0</v>
      </c>
      <c r="W2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6" s="19">
        <f>IF(Tabela3[[#This Row],[Dívida]]&gt;0,Tabela3[[#This Row],[Dívida]]/Tabela3[[#This Row],[Patrimônio Líquido]],0)</f>
        <v>5.9319354388382797</v>
      </c>
      <c r="Y206" s="19">
        <f>SUMPRODUCT(N([Dívida / PL]&gt;0),N(RIGHT([PAPEL],LEN([PAPEL])-(LEN([PAPEL])-1))="3"),[Dívida / PL])/SUMPRODUCT(N([Dívida / PL]&gt;0),N(RIGHT([PAPEL],LEN([PAPEL])-(LEN([PAPEL])-1))="3"))</f>
        <v>2.2435702141443779</v>
      </c>
      <c r="Z206" s="13">
        <f>Tabela3[[#This Row],[Capital Social]]*20%</f>
        <v>153968600</v>
      </c>
      <c r="AA206" s="13">
        <f>IF(([Lucro Líquido]*5%)&gt;[Teto R. Legal],[Teto R. Legal],[Lucro Líquido]*5%)</f>
        <v>-5995400</v>
      </c>
      <c r="AB206" s="13">
        <f>IF([Lucro Líquido]&lt;0,0,[Lucro Líquido]-[Reserva Legal])</f>
        <v>0</v>
      </c>
      <c r="AC206" s="13">
        <f>Tabela3[[#This Row],[Lucro Distribuir]]*[%Div]</f>
        <v>0</v>
      </c>
      <c r="AD206" s="56">
        <f>SUMPRODUCT(N([Nome]=Tabela3[[#This Row],[Nome]]),[Ações])</f>
        <v>89535125</v>
      </c>
      <c r="AE206" s="6">
        <f>[Capital Social]/[Total Ações]</f>
        <v>8.5982233229696163</v>
      </c>
      <c r="AF206" s="77">
        <f>Tabela3[[#This Row],[Lucro Líquido]]/Tabela3[[#This Row],[Total Ações]]</f>
        <v>-1.3392285988320227</v>
      </c>
      <c r="AG2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6" s="13">
        <f>[Div Base]*[Ações]</f>
        <v>0</v>
      </c>
      <c r="AL206" s="13">
        <f>SUMPRODUCT(N([Nome]=Tabela3[[#This Row],[Nome]]),[Div Base]*[Ações])</f>
        <v>0</v>
      </c>
      <c r="AM206" s="6">
        <f>[Patrimônio Líquido]/[Total Ações]</f>
        <v>7.520467526012836</v>
      </c>
      <c r="AN206" s="48">
        <f>MAX(Tabela3[[#This Row],[Cotação 1]:[Cotação 5]])</f>
        <v>4.3499999999999996</v>
      </c>
      <c r="AO206" s="44">
        <f>[Cotação]/[VPA]</f>
        <v>0.57842148575917873</v>
      </c>
      <c r="AP206" s="40">
        <f>IF(Tabela3[[#This Row],[Lucro/Ação]]&gt;0,Tabela3[[#This Row],[Cotação]]/(Tabela3[[#This Row],[Lucro/Ação]]/[Ref]*4),0)</f>
        <v>0</v>
      </c>
      <c r="AQ206" s="77">
        <f>[Lucro Distribuir]/[Total Ações]</f>
        <v>0</v>
      </c>
      <c r="AR2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6" s="14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0</v>
      </c>
      <c r="AU206" s="42">
        <f>((1+Tabela3[[#This Row],[% Yield]])^(1/(3*Tabela3[[#This Row],[Ref]])))^(12)-1</f>
        <v>0</v>
      </c>
      <c r="AV206" s="14">
        <f>IF([Cotação]&gt;0,($BH$1/Tabela3[[#This Row],[Cotação]]-MOD($BH$1/Tabela3[[#This Row],[Cotação]],100)),)</f>
        <v>100</v>
      </c>
      <c r="AW206" s="17">
        <f>Tabela3[[#This Row],[Ativos]]*[Lucro]</f>
        <v>0</v>
      </c>
      <c r="AX206" s="17">
        <f>SUMPRODUCT(N(Tabela1[Código]=Tabela3[[#This Row],[PAPEL]]),Tabela1[Fechamento])</f>
        <v>0</v>
      </c>
      <c r="AY206" s="17">
        <f>SUMPRODUCT(N(Tabela17[Código]=Tabela3[[#This Row],[PAPEL]]),Tabela17[Fechamento])</f>
        <v>0</v>
      </c>
      <c r="AZ206" s="17">
        <f>SUMPRODUCT(N(Tabela176[Código]=Tabela3[[#This Row],[PAPEL]]),Tabela176[Fechamento])</f>
        <v>4.3499999999999996</v>
      </c>
      <c r="BA206" s="1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customHeight="1">
      <c r="A207" s="3" t="s">
        <v>846</v>
      </c>
      <c r="B207" s="58" t="s">
        <v>847</v>
      </c>
      <c r="C207" s="16" t="str">
        <f>LEFT([PAPEL],LEN([PAPEL])-(LEN([PAPEL])-4))</f>
        <v>SHOW</v>
      </c>
      <c r="D207" s="16">
        <v>4</v>
      </c>
      <c r="E207" s="5">
        <v>243022170.40000001</v>
      </c>
      <c r="F207" s="56">
        <v>69971465</v>
      </c>
      <c r="G207" s="80">
        <v>0.25</v>
      </c>
      <c r="H207" s="86"/>
      <c r="J207" s="18"/>
      <c r="K207" s="16"/>
      <c r="L207" s="86"/>
      <c r="M207" s="54">
        <v>545361000</v>
      </c>
      <c r="N207" s="54">
        <v>210739000</v>
      </c>
      <c r="O207" s="54">
        <v>181119000</v>
      </c>
      <c r="P207" s="90">
        <v>325111000</v>
      </c>
      <c r="Q207" s="73">
        <v>-13317000</v>
      </c>
      <c r="R207" s="73">
        <f>IF(Tabela3[[#This Row],[Ativo || Passivo]]&gt;0,Tabela3[[#This Row],[Ativo || Passivo]]-Tabela3[[#This Row],[Patrimônio Líquido]],0)</f>
        <v>220250000</v>
      </c>
      <c r="S207" s="73">
        <f>Tabela3[[#This Row],[Cotação]]*Tabela3[[#This Row],[Total Ações]]</f>
        <v>307874446</v>
      </c>
      <c r="T207" s="37">
        <f>IF(Tabela3[[#This Row],[Passivo Circulante]]&gt;0,Tabela3[[#This Row],[Ativo Circulante]]/Tabela3[[#This Row],[Passivo Circulante]],0)</f>
        <v>1.1635388887968683</v>
      </c>
      <c r="U2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7" s="18">
        <f>IF(Tabela3[[#This Row],[Lucro Líquido]]&gt;0,Tabela3[[#This Row],[Lucro Líquido]]/Tabela3[[#This Row],[Patrimônio Líquido]],0)/Tabela3[[#This Row],[Ref]]*4</f>
        <v>0</v>
      </c>
      <c r="W2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7" s="18">
        <f>IF(Tabela3[[#This Row],[Dívida]]&gt;0,Tabela3[[#This Row],[Dívida]]/Tabela3[[#This Row],[Patrimônio Líquido]],0)</f>
        <v>0.67746092872895713</v>
      </c>
      <c r="Y207" s="18">
        <f>SUMPRODUCT(N([Dívida / PL]&gt;0),N(RIGHT([PAPEL],LEN([PAPEL])-(LEN([PAPEL])-1))="3"),[Dívida / PL])/SUMPRODUCT(N([Dívida / PL]&gt;0),N(RIGHT([PAPEL],LEN([PAPEL])-(LEN([PAPEL])-1))="3"))</f>
        <v>2.2435702141443779</v>
      </c>
      <c r="Z207" s="7">
        <f>Tabela3[[#This Row],[Capital Social]]*20%</f>
        <v>48604434.080000006</v>
      </c>
      <c r="AA207" s="47">
        <f>IF(([Lucro Líquido]*5%)&gt;[Teto R. Legal],[Teto R. Legal],[Lucro Líquido]*5%)</f>
        <v>-665850</v>
      </c>
      <c r="AB207" s="47">
        <f>IF([Lucro Líquido]&lt;0,0,[Lucro Líquido]-[Reserva Legal])</f>
        <v>0</v>
      </c>
      <c r="AC207" s="47">
        <f>Tabela3[[#This Row],[Lucro Distribuir]]*[%Div]</f>
        <v>0</v>
      </c>
      <c r="AD207" s="56">
        <f>SUMPRODUCT(N([Nome]=Tabela3[[#This Row],[Nome]]),[Ações])</f>
        <v>69971465</v>
      </c>
      <c r="AE207" s="84">
        <f>[Capital Social]/[Total Ações]</f>
        <v>3.4731611007429959</v>
      </c>
      <c r="AF207" s="84">
        <f>Tabela3[[#This Row],[Lucro Líquido]]/Tabela3[[#This Row],[Total Ações]]</f>
        <v>-0.19032043991075503</v>
      </c>
      <c r="AG2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7">
        <f>[Div Base]*[Ações]</f>
        <v>0</v>
      </c>
      <c r="AL207" s="7">
        <f>SUMPRODUCT(N([Nome]=Tabela3[[#This Row],[Nome]]),[Div Base]*[Ações])</f>
        <v>0</v>
      </c>
      <c r="AM207" s="5">
        <f>[Patrimônio Líquido]/[Total Ações]</f>
        <v>4.6463369031933235</v>
      </c>
      <c r="AN207" s="52">
        <f>MAX(Tabela3[[#This Row],[Cotação 1]:[Cotação 5]])</f>
        <v>4.4000000000000004</v>
      </c>
      <c r="AO207" s="53">
        <f>[Cotação]/[VPA]</f>
        <v>0.94698255672677945</v>
      </c>
      <c r="AP207" s="37">
        <f>IF(Tabela3[[#This Row],[Lucro/Ação]]&gt;0,Tabela3[[#This Row],[Cotação]]/(Tabela3[[#This Row],[Lucro/Ação]]/[Ref]*4),0)</f>
        <v>0</v>
      </c>
      <c r="AQ207" s="84">
        <f>[Lucro Distribuir]/[Total Ações]</f>
        <v>0</v>
      </c>
      <c r="AR20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0" t="str">
        <f>IF(AND([% A.A.]&gt;=5%,SUMPRODUCT(N([Nome]=Tabela3[[#This Row],[Nome]]),[PL])&gt;0,[Rentabilidade s/ PL]&gt;=[Rentabilidade s/ PL Média]),"Sim","Não")</f>
        <v>Não</v>
      </c>
      <c r="AT207" s="22">
        <f>IF([Cotação]&gt;0,Tabela3[[#This Row],[Lucro]]/Tabela3[[#This Row],[Cotação]],0)</f>
        <v>0</v>
      </c>
      <c r="AU207" s="22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7">
        <f>Tabela3[[#This Row],[Ativos]]*[Lucro]</f>
        <v>0</v>
      </c>
      <c r="AX207" s="7">
        <f>SUMPRODUCT(N(Tabela1[Código]=Tabela3[[#This Row],[PAPEL]]),Tabela1[Fechamento])</f>
        <v>0</v>
      </c>
      <c r="AY207" s="7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4.4000000000000004</v>
      </c>
      <c r="BB207" s="7">
        <f>SUMPRODUCT(N(Tabela17683[Código]=Tabela3[[#This Row],[PAPEL]]),Tabela17683[Fechamento])</f>
        <v>0</v>
      </c>
    </row>
    <row r="208" spans="1:54" ht="11.25" customHeight="1">
      <c r="A208" s="4" t="s">
        <v>559</v>
      </c>
      <c r="B208" s="57" t="s">
        <v>561</v>
      </c>
      <c r="C208" s="15" t="str">
        <f>LEFT([PAPEL],LEN([PAPEL])-(LEN([PAPEL])-4))</f>
        <v>TELB</v>
      </c>
      <c r="D208" s="15">
        <v>3</v>
      </c>
      <c r="E208" s="6">
        <v>263145011.81999999</v>
      </c>
      <c r="F208" s="8">
        <v>97439719</v>
      </c>
      <c r="G208" s="85">
        <v>0.25</v>
      </c>
      <c r="H208" s="15"/>
      <c r="I208" s="19"/>
      <c r="J208" s="19"/>
      <c r="K208" s="87"/>
      <c r="L208" s="87"/>
      <c r="M208" s="55"/>
      <c r="N208" s="55"/>
      <c r="O208" s="55"/>
      <c r="P208" s="91">
        <v>133454000</v>
      </c>
      <c r="Q208" s="92">
        <v>-128852000</v>
      </c>
      <c r="R208" s="92">
        <f>IF(Tabela3[[#This Row],[Ativo || Passivo]]&gt;0,Tabela3[[#This Row],[Ativo || Passivo]]-Tabela3[[#This Row],[Patrimônio Líquido]],0)</f>
        <v>0</v>
      </c>
      <c r="S208" s="92">
        <f>Tabela3[[#This Row],[Cotação]]*Tabela3[[#This Row],[Total Ações]]</f>
        <v>521147959.20000005</v>
      </c>
      <c r="T208" s="40">
        <f>IF(Tabela3[[#This Row],[Passivo Circulante]]&gt;0,Tabela3[[#This Row],[Ativo Circulante]]/Tabela3[[#This Row],[Passivo Circulante]],0)</f>
        <v>0</v>
      </c>
      <c r="U20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2.2435702141443779</v>
      </c>
      <c r="Z208" s="13">
        <f>Tabela3[[#This Row],[Capital Social]]*20%</f>
        <v>52629002.364</v>
      </c>
      <c r="AA208" s="13">
        <f>IF(([Lucro Líquido]*5%)&gt;[Teto R. Legal],[Teto R. Legal],[Lucro Líquido]*5%)</f>
        <v>-6442600</v>
      </c>
      <c r="AB208" s="13">
        <f>IF([Lucro Líquido]&lt;0,0,[Lucro Líquido]-[Reserva Legal])</f>
        <v>0</v>
      </c>
      <c r="AC208" s="13">
        <f>Tabela3[[#This Row],[Lucro Distribuir]]*[%Div]</f>
        <v>0</v>
      </c>
      <c r="AD208" s="56">
        <f>SUMPRODUCT(N([Nome]=Tabela3[[#This Row],[Nome]]),[Ações])</f>
        <v>118442718</v>
      </c>
      <c r="AE208" s="6">
        <f>[Capital Social]/[Total Ações]</f>
        <v>2.2217069674135645</v>
      </c>
      <c r="AF208" s="77">
        <f>Tabela3[[#This Row],[Lucro Líquido]]/Tabela3[[#This Row],[Total Ações]]</f>
        <v>-1.087884524905955</v>
      </c>
      <c r="AG2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13">
        <f>[Div Base]*[Ações]</f>
        <v>0</v>
      </c>
      <c r="AL208" s="13">
        <f>SUMPRODUCT(N([Nome]=Tabela3[[#This Row],[Nome]]),[Div Base]*[Ações])</f>
        <v>0</v>
      </c>
      <c r="AM208" s="6">
        <f>[Patrimônio Líquido]/[Total Ações]</f>
        <v>1.126738749781139</v>
      </c>
      <c r="AN208" s="48">
        <f>MAX(Tabela3[[#This Row],[Cotação 1]:[Cotação 5]])</f>
        <v>4.4000000000000004</v>
      </c>
      <c r="AO208" s="44">
        <f>[Cotação]/[VPA]</f>
        <v>3.905075600581474</v>
      </c>
      <c r="AP208" s="40">
        <f>IF(Tabela3[[#This Row],[Lucro/Ação]]&gt;0,Tabela3[[#This Row],[Cotação]]/(Tabela3[[#This Row],[Lucro/Ação]]/[Ref]*4),0)</f>
        <v>0</v>
      </c>
      <c r="AQ208" s="77">
        <f>[Lucro Distribuir]/[Total Ações]</f>
        <v>0</v>
      </c>
      <c r="AR20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42">
        <f>IF([Cotação]&gt;0,Tabela3[[#This Row],[Lucro]]/Tabela3[[#This Row],[Cotação]],0)</f>
        <v>0</v>
      </c>
      <c r="AU208" s="42">
        <f>((1+Tabela3[[#This Row],[% Yield]])^(1/(3*Tabela3[[#This Row],[Ref]])))^(12)-1</f>
        <v>0</v>
      </c>
      <c r="AV208" s="14">
        <f>IF([Cotação]&gt;0,($BH$1/Tabela3[[#This Row],[Cotação]]-MOD($BH$1/Tabela3[[#This Row],[Cotação]],100)),)</f>
        <v>100</v>
      </c>
      <c r="AW208" s="17">
        <f>Tabela3[[#This Row],[Ativos]]*[Lucro]</f>
        <v>0</v>
      </c>
      <c r="AX208" s="17">
        <f>SUMPRODUCT(N(Tabela1[Código]=Tabela3[[#This Row],[PAPEL]]),Tabela1[Fechamento])</f>
        <v>0</v>
      </c>
      <c r="AY208" s="17">
        <f>SUMPRODUCT(N(Tabela17[Código]=Tabela3[[#This Row],[PAPEL]]),Tabela17[Fechamento])</f>
        <v>0</v>
      </c>
      <c r="AZ208" s="17">
        <f>SUMPRODUCT(N(Tabela176[Código]=Tabela3[[#This Row],[PAPEL]]),Tabela176[Fechamento])</f>
        <v>4.4000000000000004</v>
      </c>
      <c r="BA208" s="1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customHeight="1">
      <c r="A209" s="3" t="s">
        <v>1276</v>
      </c>
      <c r="B209" s="57" t="s">
        <v>1247</v>
      </c>
      <c r="C209" s="16" t="str">
        <f>LEFT([PAPEL],LEN([PAPEL])-(LEN([PAPEL])-4))</f>
        <v>POMO</v>
      </c>
      <c r="D209" s="16">
        <v>4</v>
      </c>
      <c r="E209" s="5">
        <v>700000000</v>
      </c>
      <c r="F209" s="56">
        <v>555274340</v>
      </c>
      <c r="G209" s="80">
        <v>0.25</v>
      </c>
      <c r="H209" s="86"/>
      <c r="J209" s="18"/>
      <c r="K209" s="16"/>
      <c r="L209" s="86"/>
      <c r="M209" s="54">
        <v>3089186000</v>
      </c>
      <c r="N209" s="54">
        <v>1634953000</v>
      </c>
      <c r="O209" s="54">
        <v>563852000</v>
      </c>
      <c r="P209" s="90">
        <v>1515896000</v>
      </c>
      <c r="Q209" s="73">
        <v>288709000</v>
      </c>
      <c r="R209" s="73">
        <f>IF(Tabela3[[#This Row],[Ativo || Passivo]]&gt;0,Tabela3[[#This Row],[Ativo || Passivo]]-Tabela3[[#This Row],[Patrimônio Líquido]],0)</f>
        <v>1573290000</v>
      </c>
      <c r="S209" s="73">
        <f>Tabela3[[#This Row],[Cotação]]*Tabela3[[#This Row],[Total Ações]]</f>
        <v>3973267372.1199999</v>
      </c>
      <c r="T209" s="37">
        <f>IF(Tabela3[[#This Row],[Passivo Circulante]]&gt;0,Tabela3[[#This Row],[Ativo Circulante]]/Tabela3[[#This Row],[Passivo Circulante]],0)</f>
        <v>2.8996137284251895</v>
      </c>
      <c r="U20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09" s="18">
        <f>IF(Tabela3[[#This Row],[Lucro Líquido]]&gt;0,Tabela3[[#This Row],[Lucro Líquido]]/Tabela3[[#This Row],[Patrimônio Líquido]],0)/Tabela3[[#This Row],[Ref]]*4</f>
        <v>0.19045435834648286</v>
      </c>
      <c r="W2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09" s="18">
        <f>IF(Tabela3[[#This Row],[Dívida]]&gt;0,Tabela3[[#This Row],[Dívida]]/Tabela3[[#This Row],[Patrimônio Líquido]],0)</f>
        <v>1.0378614364046082</v>
      </c>
      <c r="Y209" s="18">
        <f>SUMPRODUCT(N([Dívida / PL]&gt;0),N(RIGHT([PAPEL],LEN([PAPEL])-(LEN([PAPEL])-1))="3"),[Dívida / PL])/SUMPRODUCT(N([Dívida / PL]&gt;0),N(RIGHT([PAPEL],LEN([PAPEL])-(LEN([PAPEL])-1))="3"))</f>
        <v>2.2435702141443779</v>
      </c>
      <c r="Z209" s="7">
        <f>Tabela3[[#This Row],[Capital Social]]*20%</f>
        <v>140000000</v>
      </c>
      <c r="AA209" s="47">
        <f>IF(([Lucro Líquido]*5%)&gt;[Teto R. Legal],[Teto R. Legal],[Lucro Líquido]*5%)</f>
        <v>14435450</v>
      </c>
      <c r="AB209" s="47">
        <f>IF([Lucro Líquido]&lt;0,0,[Lucro Líquido]-[Reserva Legal])</f>
        <v>274273550</v>
      </c>
      <c r="AC209" s="47">
        <f>Tabela3[[#This Row],[Lucro Distribuir]]*[%Div]</f>
        <v>68568387.5</v>
      </c>
      <c r="AD209" s="56">
        <f>SUMPRODUCT(N([Nome]=Tabela3[[#This Row],[Nome]]),[Ações])</f>
        <v>896900084</v>
      </c>
      <c r="AE209" s="84">
        <f>[Capital Social]/[Total Ações]</f>
        <v>0.78046597663157313</v>
      </c>
      <c r="AF209" s="84">
        <f>Tabela3[[#This Row],[Lucro Líquido]]/Tabela3[[#This Row],[Total Ações]]</f>
        <v>0.32189650235332123</v>
      </c>
      <c r="AG2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2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209" s="7">
        <f>[Div Base]*[Ações]</f>
        <v>42450956.124480359</v>
      </c>
      <c r="AL209" s="113">
        <f>SUMPRODUCT(N([Nome]=Tabela3[[#This Row],[Nome]]),[Div Base]*[Ações])</f>
        <v>68568387.5</v>
      </c>
      <c r="AM209" s="5">
        <f>[Patrimônio Líquido]/[Total Ações]</f>
        <v>1.6901503601598502</v>
      </c>
      <c r="AN209" s="52">
        <f>MAX(Tabela3[[#This Row],[Cotação 1]:[Cotação 5]])</f>
        <v>4.43</v>
      </c>
      <c r="AO209" s="53">
        <f>[Cotação]/[VPA]</f>
        <v>2.6210685773430367</v>
      </c>
      <c r="AP209" s="37">
        <f>IF(Tabela3[[#This Row],[Lucro/Ação]]&gt;0,Tabela3[[#This Row],[Cotação]]/(Tabela3[[#This Row],[Lucro/Ação]]/[Ref]*4),0)</f>
        <v>13.762187434821913</v>
      </c>
      <c r="AQ209" s="84">
        <f>[Lucro Distribuir]/[Total Ações]</f>
        <v>0.30580167723565516</v>
      </c>
      <c r="AR209" s="84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209" s="10" t="str">
        <f>IF(AND([% A.A.]&gt;=5%,SUMPRODUCT(N([Nome]=Tabela3[[#This Row],[Nome]]),[PL])&gt;0,[Rentabilidade s/ PL]&gt;=[Rentabilidade s/ PL Média]),"Sim","Não")</f>
        <v>Não</v>
      </c>
      <c r="AT209" s="22">
        <f>IF([Cotação]&gt;0,Tabela3[[#This Row],[Lucro]]/Tabela3[[#This Row],[Cotação]],0)</f>
        <v>1.7257430995240134E-2</v>
      </c>
      <c r="AU209" s="22">
        <f>((1+Tabela3[[#This Row],[% Yield]])^(1/(3*Tabela3[[#This Row],[Ref]])))^(12)-1</f>
        <v>1.7257430995239575E-2</v>
      </c>
      <c r="AV209" s="10">
        <f>IF([Cotação]&gt;0,($BH$1/Tabela3[[#This Row],[Cotação]]-MOD($BH$1/Tabela3[[#This Row],[Cotação]],100)),)</f>
        <v>100</v>
      </c>
      <c r="AW209" s="7">
        <f>Tabela3[[#This Row],[Ativos]]*[Lucro]</f>
        <v>7.6450419308913791</v>
      </c>
      <c r="AX209" s="7">
        <f>SUMPRODUCT(N(Tabela1[Código]=Tabela3[[#This Row],[PAPEL]]),Tabela1[Fechamento])</f>
        <v>0</v>
      </c>
      <c r="AY209" s="7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4.43</v>
      </c>
    </row>
    <row r="210" spans="1:54" ht="11.25" customHeight="1">
      <c r="A210" s="3" t="s">
        <v>779</v>
      </c>
      <c r="B210" s="58" t="s">
        <v>781</v>
      </c>
      <c r="C210" s="16" t="str">
        <f>LEFT([PAPEL],LEN([PAPEL])-(LEN([PAPEL])-4))</f>
        <v>BPHA</v>
      </c>
      <c r="D210" s="16">
        <v>3</v>
      </c>
      <c r="E210" s="5">
        <v>1441641845.74</v>
      </c>
      <c r="F210" s="56">
        <v>256384419</v>
      </c>
      <c r="G210" s="80">
        <v>0.25</v>
      </c>
      <c r="H210" s="86"/>
      <c r="J210" s="18"/>
      <c r="K210" s="16"/>
      <c r="L210" s="86"/>
      <c r="M210" s="54"/>
      <c r="N210" s="54"/>
      <c r="O210" s="54"/>
      <c r="P210" s="90">
        <v>1592861000</v>
      </c>
      <c r="Q210" s="73">
        <v>36867000</v>
      </c>
      <c r="R210" s="73">
        <f>IF(Tabela3[[#This Row],[Ativo || Passivo]]&gt;0,Tabela3[[#This Row],[Ativo || Passivo]]-Tabela3[[#This Row],[Patrimônio Líquido]],0)</f>
        <v>0</v>
      </c>
      <c r="S210" s="73">
        <f>Tabela3[[#This Row],[Cotação]]*Tabela3[[#This Row],[Total Ações]]</f>
        <v>1202442925.1100001</v>
      </c>
      <c r="T210" s="37">
        <f>IF(Tabela3[[#This Row],[Passivo Circulante]]&gt;0,Tabela3[[#This Row],[Ativo Circulante]]/Tabela3[[#This Row],[Passivo Circulante]],0)</f>
        <v>0</v>
      </c>
      <c r="U21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0" s="18">
        <f>IF(Tabela3[[#This Row],[Lucro Líquido]]&gt;0,Tabela3[[#This Row],[Lucro Líquido]]/Tabela3[[#This Row],[Patrimônio Líquido]],0)/Tabela3[[#This Row],[Ref]]*4</f>
        <v>3.0860194329574268E-2</v>
      </c>
      <c r="W21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0" s="18">
        <f>IF(Tabela3[[#This Row],[Dívida]]&gt;0,Tabela3[[#This Row],[Dívida]]/Tabela3[[#This Row],[Patrimônio Líquido]],0)</f>
        <v>0</v>
      </c>
      <c r="Y210" s="18">
        <f>SUMPRODUCT(N([Dívida / PL]&gt;0),N(RIGHT([PAPEL],LEN([PAPEL])-(LEN([PAPEL])-1))="3"),[Dívida / PL])/SUMPRODUCT(N([Dívida / PL]&gt;0),N(RIGHT([PAPEL],LEN([PAPEL])-(LEN([PAPEL])-1))="3"))</f>
        <v>2.2435702141443779</v>
      </c>
      <c r="Z210" s="7">
        <f>Tabela3[[#This Row],[Capital Social]]*20%</f>
        <v>288328369.148</v>
      </c>
      <c r="AA210" s="47">
        <f>IF(([Lucro Líquido]*5%)&gt;[Teto R. Legal],[Teto R. Legal],[Lucro Líquido]*5%)</f>
        <v>1843350</v>
      </c>
      <c r="AB210" s="47">
        <f>IF([Lucro Líquido]&lt;0,0,[Lucro Líquido]-[Reserva Legal])</f>
        <v>35023650</v>
      </c>
      <c r="AC210" s="47">
        <f>Tabela3[[#This Row],[Lucro Distribuir]]*[%Div]</f>
        <v>8755912.5</v>
      </c>
      <c r="AD210" s="56">
        <f>SUMPRODUCT(N([Nome]=Tabela3[[#This Row],[Nome]]),[Ações])</f>
        <v>256384419</v>
      </c>
      <c r="AE210" s="84">
        <f>[Capital Social]/[Total Ações]</f>
        <v>5.6229698019987708</v>
      </c>
      <c r="AF210" s="84">
        <f>Tabela3[[#This Row],[Lucro Líquido]]/Tabela3[[#This Row],[Total Ações]]</f>
        <v>0.14379578971216656</v>
      </c>
      <c r="AG21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21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210" s="7">
        <f>[Div Base]*[Ações]</f>
        <v>8755912.5</v>
      </c>
      <c r="AL210" s="7">
        <f>SUMPRODUCT(N([Nome]=Tabela3[[#This Row],[Nome]]),[Div Base]*[Ações])</f>
        <v>8755912.5</v>
      </c>
      <c r="AM210" s="5">
        <f>[Patrimônio Líquido]/[Total Ações]</f>
        <v>6.212783936764894</v>
      </c>
      <c r="AN210" s="52">
        <f>MAX(Tabela3[[#This Row],[Cotação 1]:[Cotação 5]])</f>
        <v>4.6900000000000004</v>
      </c>
      <c r="AO210" s="53">
        <f>[Cotação]/[VPA]</f>
        <v>0.75489507565945801</v>
      </c>
      <c r="AP210" s="37">
        <f>IF(Tabela3[[#This Row],[Lucro/Ação]]&gt;0,Tabela3[[#This Row],[Cotação]]/(Tabela3[[#This Row],[Lucro/Ação]]/[Ref]*4),0)</f>
        <v>24.461773234396617</v>
      </c>
      <c r="AQ210" s="84">
        <f>[Lucro Distribuir]/[Total Ações]</f>
        <v>0.13660600022655822</v>
      </c>
      <c r="AR210" s="84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210" s="10" t="str">
        <f>IF(AND([% A.A.]&gt;=5%,SUMPRODUCT(N([Nome]=Tabela3[[#This Row],[Nome]]),[PL])&gt;0,[Rentabilidade s/ PL]&gt;=[Rentabilidade s/ PL Média]),"Sim","Não")</f>
        <v>Não</v>
      </c>
      <c r="AT210" s="22">
        <f>IF([Cotação]&gt;0,Tabela3[[#This Row],[Lucro]]/Tabela3[[#This Row],[Cotação]],0)</f>
        <v>7.2817697348911622E-3</v>
      </c>
      <c r="AU210" s="22">
        <f>((1+Tabela3[[#This Row],[% Yield]])^(1/(3*Tabela3[[#This Row],[Ref]])))^(12)-1</f>
        <v>9.7207904526603883E-3</v>
      </c>
      <c r="AV210" s="10">
        <f>IF([Cotação]&gt;0,($BH$1/Tabela3[[#This Row],[Cotação]]-MOD($BH$1/Tabela3[[#This Row],[Cotação]],100)),)</f>
        <v>100</v>
      </c>
      <c r="AW210" s="7">
        <f>Tabela3[[#This Row],[Ativos]]*[Lucro]</f>
        <v>3.4151500056639557</v>
      </c>
      <c r="AX210" s="7">
        <f>SUMPRODUCT(N(Tabela1[Código]=Tabela3[[#This Row],[PAPEL]]),Tabela1[Fechamento])</f>
        <v>0</v>
      </c>
      <c r="AY210" s="7">
        <f>SUMPRODUCT(N(Tabela17[Código]=Tabela3[[#This Row],[PAPEL]]),Tabela17[Fechamento])</f>
        <v>0</v>
      </c>
      <c r="AZ210" s="7">
        <f>SUMPRODUCT(N(Tabela176[Código]=Tabela3[[#This Row],[PAPEL]]),Tabela176[Fechamento])</f>
        <v>4.6900000000000004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customHeight="1">
      <c r="A211" s="3" t="s">
        <v>1104</v>
      </c>
      <c r="B211" s="57" t="s">
        <v>1100</v>
      </c>
      <c r="C211" s="16" t="str">
        <f>LEFT([PAPEL],LEN([PAPEL])-(LEN([PAPEL])-4))</f>
        <v>BBRK</v>
      </c>
      <c r="D211" s="16">
        <v>3</v>
      </c>
      <c r="E211" s="5">
        <v>533662061</v>
      </c>
      <c r="F211" s="56">
        <v>192839601</v>
      </c>
      <c r="G211" s="80">
        <v>0.25</v>
      </c>
      <c r="H211" s="86"/>
      <c r="J211" s="18"/>
      <c r="K211" s="16"/>
      <c r="L211" s="86"/>
      <c r="M211" s="54"/>
      <c r="N211" s="54"/>
      <c r="O211" s="54"/>
      <c r="P211" s="90">
        <v>681550000</v>
      </c>
      <c r="Q211" s="73">
        <v>49330000</v>
      </c>
      <c r="R211" s="73">
        <f>IF(Tabela3[[#This Row],[Ativo || Passivo]]&gt;0,Tabela3[[#This Row],[Ativo || Passivo]]-Tabela3[[#This Row],[Patrimônio Líquido]],0)</f>
        <v>0</v>
      </c>
      <c r="S211" s="73">
        <f>Tabela3[[#This Row],[Cotação]]*Tabela3[[#This Row],[Total Ações]]</f>
        <v>946842440.91000009</v>
      </c>
      <c r="T211" s="37">
        <f>IF(Tabela3[[#This Row],[Passivo Circulante]]&gt;0,Tabela3[[#This Row],[Ativo Circulante]]/Tabela3[[#This Row],[Passivo Circulante]],0)</f>
        <v>0</v>
      </c>
      <c r="U2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1" s="18">
        <f>IF(Tabela3[[#This Row],[Lucro Líquido]]&gt;0,Tabela3[[#This Row],[Lucro Líquido]]/Tabela3[[#This Row],[Patrimônio Líquido]],0)/Tabela3[[#This Row],[Ref]]*4</f>
        <v>9.6505514391216088E-2</v>
      </c>
      <c r="W2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1" s="18">
        <f>IF(Tabela3[[#This Row],[Dívida]]&gt;0,Tabela3[[#This Row],[Dívida]]/Tabela3[[#This Row],[Patrimônio Líquido]],0)</f>
        <v>0</v>
      </c>
      <c r="Y211" s="18">
        <f>SUMPRODUCT(N([Dívida / PL]&gt;0),N(RIGHT([PAPEL],LEN([PAPEL])-(LEN([PAPEL])-1))="3"),[Dívida / PL])/SUMPRODUCT(N([Dívida / PL]&gt;0),N(RIGHT([PAPEL],LEN([PAPEL])-(LEN([PAPEL])-1))="3"))</f>
        <v>2.2435702141443779</v>
      </c>
      <c r="Z211" s="7">
        <f>Tabela3[[#This Row],[Capital Social]]*20%</f>
        <v>106732412.2</v>
      </c>
      <c r="AA211" s="47">
        <f>IF(([Lucro Líquido]*5%)&gt;[Teto R. Legal],[Teto R. Legal],[Lucro Líquido]*5%)</f>
        <v>2466500</v>
      </c>
      <c r="AB211" s="47">
        <f>IF([Lucro Líquido]&lt;0,0,[Lucro Líquido]-[Reserva Legal])</f>
        <v>46863500</v>
      </c>
      <c r="AC211" s="47">
        <f>Tabela3[[#This Row],[Lucro Distribuir]]*[%Div]</f>
        <v>11715875</v>
      </c>
      <c r="AD211" s="56">
        <f>SUMPRODUCT(N([Nome]=Tabela3[[#This Row],[Nome]]),[Ações])</f>
        <v>192839601</v>
      </c>
      <c r="AE211" s="84">
        <f>[Capital Social]/[Total Ações]</f>
        <v>2.7673883280851634</v>
      </c>
      <c r="AF211" s="84">
        <f>Tabela3[[#This Row],[Lucro Líquido]]/Tabela3[[#This Row],[Total Ações]]</f>
        <v>0.25580845295360261</v>
      </c>
      <c r="AG2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2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211" s="7">
        <f>[Div Base]*[Ações]</f>
        <v>11715875</v>
      </c>
      <c r="AL211" s="113">
        <f>SUMPRODUCT(N([Nome]=Tabela3[[#This Row],[Nome]]),[Div Base]*[Ações])</f>
        <v>11715875</v>
      </c>
      <c r="AM211" s="5">
        <f>[Patrimônio Líquido]/[Total Ações]</f>
        <v>3.5342844336210799</v>
      </c>
      <c r="AN211" s="52">
        <f>MAX(Tabela3[[#This Row],[Cotação 1]:[Cotação 5]])</f>
        <v>4.91</v>
      </c>
      <c r="AO211" s="53">
        <f>[Cotação]/[VPA]</f>
        <v>1.3892486844838969</v>
      </c>
      <c r="AP211" s="37">
        <f>IF(Tabela3[[#This Row],[Lucro/Ação]]&gt;0,Tabela3[[#This Row],[Cotação]]/(Tabela3[[#This Row],[Lucro/Ação]]/[Ref]*4),0)</f>
        <v>14.395536806861951</v>
      </c>
      <c r="AQ211" s="84">
        <f>[Lucro Distribuir]/[Total Ações]</f>
        <v>0.24301803030592248</v>
      </c>
      <c r="AR211" s="84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211" s="10" t="str">
        <f>IF(AND([% A.A.]&gt;=5%,SUMPRODUCT(N([Nome]=Tabela3[[#This Row],[Nome]]),[PL])&gt;0,[Rentabilidade s/ PL]&gt;=[Rentabilidade s/ PL Média]),"Sim","Não")</f>
        <v>Não</v>
      </c>
      <c r="AT211" s="22">
        <f>IF([Cotação]&gt;0,Tabela3[[#This Row],[Lucro]]/Tabela3[[#This Row],[Cotação]],0)</f>
        <v>1.2373626797653893E-2</v>
      </c>
      <c r="AU211" s="22">
        <f>((1+Tabela3[[#This Row],[% Yield]])^(1/(3*Tabela3[[#This Row],[Ref]])))^(12)-1</f>
        <v>1.6532099685738544E-2</v>
      </c>
      <c r="AV211" s="10">
        <f>IF([Cotação]&gt;0,($BH$1/Tabela3[[#This Row],[Cotação]]-MOD($BH$1/Tabela3[[#This Row],[Cotação]],100)),)</f>
        <v>100</v>
      </c>
      <c r="AW211" s="7">
        <f>Tabela3[[#This Row],[Ativos]]*[Lucro]</f>
        <v>6.0754507576480616</v>
      </c>
      <c r="AX211" s="7">
        <f>SUMPRODUCT(N(Tabela1[Código]=Tabela3[[#This Row],[PAPEL]]),Tabela1[Fechamento])</f>
        <v>0</v>
      </c>
      <c r="AY211" s="7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4.91</v>
      </c>
    </row>
    <row r="212" spans="1:54" ht="11.25" customHeight="1">
      <c r="A212" s="3" t="s">
        <v>876</v>
      </c>
      <c r="B212" s="58" t="s">
        <v>915</v>
      </c>
      <c r="C212" s="16" t="str">
        <f>LEFT([PAPEL],LEN([PAPEL])-(LEN([PAPEL])-4))</f>
        <v>CTSA</v>
      </c>
      <c r="D212" s="16">
        <v>3</v>
      </c>
      <c r="E212" s="5">
        <v>101921764.5</v>
      </c>
      <c r="F212" s="56">
        <v>38041111</v>
      </c>
      <c r="G212" s="80">
        <v>0.25</v>
      </c>
      <c r="H212" s="86"/>
      <c r="J212" s="18"/>
      <c r="K212" s="16"/>
      <c r="L212" s="86"/>
      <c r="M212" s="54"/>
      <c r="N212" s="54"/>
      <c r="O212" s="54"/>
      <c r="P212" s="90">
        <v>277004000</v>
      </c>
      <c r="Q212" s="73">
        <v>31976000</v>
      </c>
      <c r="R212" s="73">
        <f>IF(Tabela3[[#This Row],[Ativo || Passivo]]&gt;0,Tabela3[[#This Row],[Ativo || Passivo]]-Tabela3[[#This Row],[Patrimônio Líquido]],0)</f>
        <v>0</v>
      </c>
      <c r="S212" s="73">
        <f>Tabela3[[#This Row],[Cotação]]*Tabela3[[#This Row],[Total Ações]]</f>
        <v>194923932.80000001</v>
      </c>
      <c r="T212" s="37">
        <f>IF(Tabela3[[#This Row],[Passivo Circulante]]&gt;0,Tabela3[[#This Row],[Ativo Circulante]]/Tabela3[[#This Row],[Passivo Circulante]],0)</f>
        <v>0</v>
      </c>
      <c r="U21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2" s="18">
        <f>IF(Tabela3[[#This Row],[Lucro Líquido]]&gt;0,Tabela3[[#This Row],[Lucro Líquido]]/Tabela3[[#This Row],[Patrimônio Líquido]],0)/Tabela3[[#This Row],[Ref]]*4</f>
        <v>0.15391354156137335</v>
      </c>
      <c r="W2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2" s="18">
        <f>IF(Tabela3[[#This Row],[Dívida]]&gt;0,Tabela3[[#This Row],[Dívida]]/Tabela3[[#This Row],[Patrimônio Líquido]],0)</f>
        <v>0</v>
      </c>
      <c r="Y212" s="18">
        <f>SUMPRODUCT(N([Dívida / PL]&gt;0),N(RIGHT([PAPEL],LEN([PAPEL])-(LEN([PAPEL])-1))="3"),[Dívida / PL])/SUMPRODUCT(N([Dívida / PL]&gt;0),N(RIGHT([PAPEL],LEN([PAPEL])-(LEN([PAPEL])-1))="3"))</f>
        <v>2.2435702141443779</v>
      </c>
      <c r="Z212" s="7">
        <f>Tabela3[[#This Row],[Capital Social]]*20%</f>
        <v>20384352.900000002</v>
      </c>
      <c r="AA212" s="47">
        <f>IF(([Lucro Líquido]*5%)&gt;[Teto R. Legal],[Teto R. Legal],[Lucro Líquido]*5%)</f>
        <v>1598800</v>
      </c>
      <c r="AB212" s="47">
        <f>IF([Lucro Líquido]&lt;0,0,[Lucro Líquido]-[Reserva Legal])</f>
        <v>30377200</v>
      </c>
      <c r="AC212" s="47">
        <f>Tabela3[[#This Row],[Lucro Distribuir]]*[%Div]</f>
        <v>7594300</v>
      </c>
      <c r="AD212" s="56">
        <f>SUMPRODUCT(N([Nome]=Tabela3[[#This Row],[Nome]]),[Ações])</f>
        <v>39299180</v>
      </c>
      <c r="AE212" s="84">
        <f>[Capital Social]/[Total Ações]</f>
        <v>2.5934832355280695</v>
      </c>
      <c r="AF212" s="84">
        <f>Tabela3[[#This Row],[Lucro Líquido]]/Tabela3[[#This Row],[Total Ações]]</f>
        <v>0.8136556538838724</v>
      </c>
      <c r="AG21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21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212" s="7">
        <f>[Div Base]*[Ações]</f>
        <v>7122463.3264243798</v>
      </c>
      <c r="AL212" s="7">
        <f>SUMPRODUCT(N([Nome]=Tabela3[[#This Row],[Nome]]),[Div Base]*[Ações])</f>
        <v>7358036.3582738405</v>
      </c>
      <c r="AM212" s="5">
        <f>[Patrimônio Líquido]/[Total Ações]</f>
        <v>7.0485949070693081</v>
      </c>
      <c r="AN212" s="52">
        <f>MAX(Tabela3[[#This Row],[Cotação 1]:[Cotação 5]])</f>
        <v>4.96</v>
      </c>
      <c r="AO212" s="53">
        <f>[Cotação]/[VPA]</f>
        <v>0.7036863467675557</v>
      </c>
      <c r="AP212" s="37">
        <f>IF(Tabela3[[#This Row],[Lucro/Ação]]&gt;0,Tabela3[[#This Row],[Cotação]]/(Tabela3[[#This Row],[Lucro/Ação]]/[Ref]*4),0)</f>
        <v>4.5719586439829873</v>
      </c>
      <c r="AQ212" s="84">
        <f>[Lucro Distribuir]/[Total Ações]</f>
        <v>0.77297287118967872</v>
      </c>
      <c r="AR212" s="84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212" s="10" t="str">
        <f>IF(AND([% A.A.]&gt;=5%,SUMPRODUCT(N([Nome]=Tabela3[[#This Row],[Nome]]),[PL])&gt;0,[Rentabilidade s/ PL]&gt;=[Rentabilidade s/ PL Média]),"Sim","Não")</f>
        <v>Sim</v>
      </c>
      <c r="AT212" s="22">
        <f>IF([Cotação]&gt;0,Tabela3[[#This Row],[Lucro]]/Tabela3[[#This Row],[Cotação]],0)</f>
        <v>3.7748122271185874E-2</v>
      </c>
      <c r="AU212" s="22">
        <f>((1+Tabela3[[#This Row],[% Yield]])^(1/(3*Tabela3[[#This Row],[Ref]])))^(12)-1</f>
        <v>5.0644863501152271E-2</v>
      </c>
      <c r="AV212" s="10">
        <f>IF([Cotação]&gt;0,($BH$1/Tabela3[[#This Row],[Cotação]]-MOD($BH$1/Tabela3[[#This Row],[Cotação]],100)),)</f>
        <v>100</v>
      </c>
      <c r="AW212" s="7">
        <f>Tabela3[[#This Row],[Ativos]]*[Lucro]</f>
        <v>18.723068646508196</v>
      </c>
      <c r="AX212" s="7">
        <f>SUMPRODUCT(N(Tabela1[Código]=Tabela3[[#This Row],[PAPEL]]),Tabela1[Fechamento])</f>
        <v>0</v>
      </c>
      <c r="AY212" s="7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4.96</v>
      </c>
      <c r="BB212" s="7">
        <f>SUMPRODUCT(N(Tabela17683[Código]=Tabela3[[#This Row],[PAPEL]]),Tabela17683[Fechamento])</f>
        <v>0</v>
      </c>
    </row>
    <row r="213" spans="1:54" ht="11.25" customHeight="1">
      <c r="A213" s="4" t="s">
        <v>314</v>
      </c>
      <c r="B213" s="57" t="s">
        <v>317</v>
      </c>
      <c r="C213" s="81" t="str">
        <f>LEFT([PAPEL],LEN([PAPEL])-(LEN([PAPEL])-4))</f>
        <v>MAGG</v>
      </c>
      <c r="D213" s="15">
        <v>3</v>
      </c>
      <c r="E213" s="6">
        <v>2528146113.6500001</v>
      </c>
      <c r="F213" s="8">
        <v>291981934</v>
      </c>
      <c r="G213" s="80">
        <v>0.25</v>
      </c>
      <c r="H213" s="15"/>
      <c r="I213" s="19"/>
      <c r="J213" s="19"/>
      <c r="K213" s="87"/>
      <c r="L213" s="87"/>
      <c r="M213" s="55"/>
      <c r="N213" s="55"/>
      <c r="O213" s="55"/>
      <c r="P213" s="6">
        <v>2907030000</v>
      </c>
      <c r="Q213" s="6">
        <v>25088000</v>
      </c>
      <c r="R213" s="6">
        <f>IF(Tabela3[[#This Row],[Ativo || Passivo]]&gt;0,Tabela3[[#This Row],[Ativo || Passivo]]-Tabela3[[#This Row],[Patrimônio Líquido]],0)</f>
        <v>0</v>
      </c>
      <c r="S213" s="6">
        <f>Tabela3[[#This Row],[Cotação]]*Tabela3[[#This Row],[Total Ações]]</f>
        <v>1454070031.3200002</v>
      </c>
      <c r="T213" s="121">
        <f>IF(Tabela3[[#This Row],[Passivo Circulante]]&gt;0,Tabela3[[#This Row],[Ativo Circulante]]/Tabela3[[#This Row],[Passivo Circulante]],0)</f>
        <v>0</v>
      </c>
      <c r="U21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3" s="19">
        <f>IF(Tabela3[[#This Row],[Lucro Líquido]]&gt;0,Tabela3[[#This Row],[Lucro Líquido]]/Tabela3[[#This Row],[Patrimônio Líquido]],0)/Tabela3[[#This Row],[Ref]]*4</f>
        <v>1.1506818528417893E-2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2.2435702141443779</v>
      </c>
      <c r="Z213" s="6">
        <f>Tabela3[[#This Row],[Capital Social]]*20%</f>
        <v>505629222.73000002</v>
      </c>
      <c r="AA213" s="6">
        <f>IF(([Lucro Líquido]*5%)&gt;[Teto R. Legal],[Teto R. Legal],[Lucro Líquido]*5%)</f>
        <v>1254400</v>
      </c>
      <c r="AB213" s="6">
        <f>IF([Lucro Líquido]&lt;0,0,[Lucro Líquido]-[Reserva Legal])</f>
        <v>23833600</v>
      </c>
      <c r="AC213" s="6">
        <f>Tabela3[[#This Row],[Lucro Distribuir]]*[%Div]</f>
        <v>5958400</v>
      </c>
      <c r="AD213" s="21">
        <f>SUMPRODUCT(N([Nome]=Tabela3[[#This Row],[Nome]]),[Ações])</f>
        <v>291981934</v>
      </c>
      <c r="AE213" s="6">
        <f>[Capital Social]/[Total Ações]</f>
        <v>8.6585703403485237</v>
      </c>
      <c r="AF213" s="77">
        <f>Tabela3[[#This Row],[Lucro Líquido]]/Tabela3[[#This Row],[Total Ações]]</f>
        <v>8.5923124271106446E-2</v>
      </c>
      <c r="AG2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2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213" s="6">
        <f>[Div Base]*[Ações]</f>
        <v>5958400</v>
      </c>
      <c r="AL213" s="6">
        <f>SUMPRODUCT(N([Nome]=Tabela3[[#This Row],[Nome]]),[Div Base]*[Ações])</f>
        <v>5958400</v>
      </c>
      <c r="AM213" s="6">
        <f>[Patrimônio Líquido]/[Total Ações]</f>
        <v>9.9561981803983812</v>
      </c>
      <c r="AN213" s="48">
        <f>MAX(Tabela3[[#This Row],[Cotação 1]:[Cotação 5]])</f>
        <v>4.9800000000000004</v>
      </c>
      <c r="AO213" s="44">
        <f>[Cotação]/[VPA]</f>
        <v>0.50019092727629233</v>
      </c>
      <c r="AP213" s="40">
        <f>IF(Tabela3[[#This Row],[Lucro/Ação]]&gt;0,Tabela3[[#This Row],[Cotação]]/(Tabela3[[#This Row],[Lucro/Ação]]/[Ref]*4),0)</f>
        <v>43.46908974370217</v>
      </c>
      <c r="AQ213" s="77">
        <f>[Lucro Distribuir]/[Total Ações]</f>
        <v>8.1626968057551125E-2</v>
      </c>
      <c r="AR213" s="77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4.0977393603188316E-3</v>
      </c>
      <c r="AU213" s="19">
        <f>((1+Tabela3[[#This Row],[% Yield]])^(1/(3*Tabela3[[#This Row],[Ref]])))^(12)-1</f>
        <v>5.4673805256386654E-3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2.0406742014387782</v>
      </c>
      <c r="AX213" s="13">
        <f>SUMPRODUCT(N(Tabela1[Código]=Tabela3[[#This Row],[PAPEL]]),Tabela1[Fechamento])</f>
        <v>0</v>
      </c>
      <c r="AY213" s="55">
        <f>SUMPRODUCT(N(Tabela17[Código]=Tabela3[[#This Row],[PAPEL]]),Tabela17[Fechamento])</f>
        <v>4.9800000000000004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customHeight="1">
      <c r="A214" s="3" t="s">
        <v>893</v>
      </c>
      <c r="B214" s="58" t="s">
        <v>899</v>
      </c>
      <c r="C214" s="16" t="str">
        <f>LEFT([PAPEL],LEN([PAPEL])-(LEN([PAPEL])-4))</f>
        <v>ESTR</v>
      </c>
      <c r="D214" s="16">
        <v>3</v>
      </c>
      <c r="E214" s="5">
        <v>30602186.559999999</v>
      </c>
      <c r="F214" s="56">
        <v>5388995</v>
      </c>
      <c r="G214" s="80">
        <v>0.25</v>
      </c>
      <c r="H214" s="86"/>
      <c r="J214" s="18"/>
      <c r="K214" s="16"/>
      <c r="L214" s="86"/>
      <c r="M214" s="54"/>
      <c r="N214" s="54"/>
      <c r="O214" s="54"/>
      <c r="P214" s="90">
        <v>-246948000</v>
      </c>
      <c r="Q214" s="73">
        <v>-23685000</v>
      </c>
      <c r="R214" s="73">
        <f>IF(Tabela3[[#This Row],[Ativo || Passivo]]&gt;0,Tabela3[[#This Row],[Ativo || Passivo]]-Tabela3[[#This Row],[Patrimônio Líquido]],0)</f>
        <v>0</v>
      </c>
      <c r="S214" s="73">
        <f>Tabela3[[#This Row],[Cotação]]*Tabela3[[#This Row],[Total Ações]]</f>
        <v>80834900</v>
      </c>
      <c r="T214" s="37">
        <f>IF(Tabela3[[#This Row],[Passivo Circulante]]&gt;0,Tabela3[[#This Row],[Ativo Circulante]]/Tabela3[[#This Row],[Passivo Circulante]],0)</f>
        <v>0</v>
      </c>
      <c r="U21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4" s="18">
        <f>IF(Tabela3[[#This Row],[Lucro Líquido]]&gt;0,Tabela3[[#This Row],[Lucro Líquido]]/Tabela3[[#This Row],[Patrimônio Líquido]],0)/Tabela3[[#This Row],[Ref]]*4</f>
        <v>0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4" s="18">
        <f>IF(Tabela3[[#This Row],[Dívida]]&gt;0,Tabela3[[#This Row],[Dívida]]/Tabela3[[#This Row],[Patrimônio Líquido]],0)</f>
        <v>0</v>
      </c>
      <c r="Y214" s="18">
        <f>SUMPRODUCT(N([Dívida / PL]&gt;0),N(RIGHT([PAPEL],LEN([PAPEL])-(LEN([PAPEL])-1))="3"),[Dívida / PL])/SUMPRODUCT(N([Dívida / PL]&gt;0),N(RIGHT([PAPEL],LEN([PAPEL])-(LEN([PAPEL])-1))="3"))</f>
        <v>2.2435702141443779</v>
      </c>
      <c r="Z214" s="7">
        <f>Tabela3[[#This Row],[Capital Social]]*20%</f>
        <v>6120437.3119999999</v>
      </c>
      <c r="AA214" s="47">
        <f>IF(([Lucro Líquido]*5%)&gt;[Teto R. Legal],[Teto R. Legal],[Lucro Líquido]*5%)</f>
        <v>-1184250</v>
      </c>
      <c r="AB214" s="47">
        <f>IF([Lucro Líquido]&lt;0,0,[Lucro Líquido]-[Reserva Legal])</f>
        <v>0</v>
      </c>
      <c r="AC214" s="47">
        <f>Tabela3[[#This Row],[Lucro Distribuir]]*[%Div]</f>
        <v>0</v>
      </c>
      <c r="AD214" s="56">
        <f>SUMPRODUCT(N([Nome]=Tabela3[[#This Row],[Nome]]),[Ações])</f>
        <v>16166980</v>
      </c>
      <c r="AE214" s="84">
        <f>[Capital Social]/[Total Ações]</f>
        <v>1.892882069502158</v>
      </c>
      <c r="AF214" s="84">
        <f>Tabela3[[#This Row],[Lucro Líquido]]/Tabela3[[#This Row],[Total Ações]]</f>
        <v>-1.4650231521285979</v>
      </c>
      <c r="AG2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4" s="7">
        <f>[Div Base]*[Ações]</f>
        <v>0</v>
      </c>
      <c r="AL214" s="7">
        <f>SUMPRODUCT(N([Nome]=Tabela3[[#This Row],[Nome]]),[Div Base]*[Ações])</f>
        <v>0</v>
      </c>
      <c r="AM214" s="5">
        <f>[Patrimônio Líquido]/[Total Ações]</f>
        <v>-15.274837972212497</v>
      </c>
      <c r="AN214" s="52">
        <f>MAX(Tabela3[[#This Row],[Cotação 1]:[Cotação 5]])</f>
        <v>5</v>
      </c>
      <c r="AO214" s="53">
        <f>[Cotação]/[VPA]</f>
        <v>-0.32733571440141246</v>
      </c>
      <c r="AP214" s="37">
        <f>IF(Tabela3[[#This Row],[Lucro/Ação]]&gt;0,Tabela3[[#This Row],[Cotação]]/(Tabela3[[#This Row],[Lucro/Ação]]/[Ref]*4),0)</f>
        <v>0</v>
      </c>
      <c r="AQ214" s="84">
        <f>[Lucro Distribuir]/[Total Ações]</f>
        <v>0</v>
      </c>
      <c r="AR21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0</v>
      </c>
      <c r="AU214" s="22">
        <f>((1+Tabela3[[#This Row],[% Yield]])^(1/(3*Tabela3[[#This Row],[Ref]])))^(12)-1</f>
        <v>0</v>
      </c>
      <c r="AV214" s="10">
        <f>IF([Cotação]&gt;0,($BH$1/Tabela3[[#This Row],[Cotação]]-MOD($BH$1/Tabela3[[#This Row],[Cotação]],100)),)</f>
        <v>100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5</v>
      </c>
      <c r="BB214" s="7">
        <f>SUMPRODUCT(N(Tabela17683[Código]=Tabela3[[#This Row],[PAPEL]]),Tabela17683[Fechamento])</f>
        <v>0</v>
      </c>
    </row>
    <row r="215" spans="1:54" ht="11.25" customHeight="1">
      <c r="A215" s="3" t="s">
        <v>1019</v>
      </c>
      <c r="B215" s="57" t="s">
        <v>1049</v>
      </c>
      <c r="C215" s="16" t="str">
        <f>LEFT([PAPEL],LEN([PAPEL])-(LEN([PAPEL])-4))</f>
        <v>SGEN</v>
      </c>
      <c r="D215" s="16">
        <v>3</v>
      </c>
      <c r="E215" s="5">
        <v>55000000</v>
      </c>
      <c r="F215" s="56">
        <v>15807460935</v>
      </c>
      <c r="G215" s="80">
        <v>0.25</v>
      </c>
      <c r="H215" s="86"/>
      <c r="J215" s="18"/>
      <c r="K215" s="16"/>
      <c r="L215" s="86"/>
      <c r="M215" s="54"/>
      <c r="N215" s="54"/>
      <c r="O215" s="54"/>
      <c r="P215" s="90">
        <v>156980922</v>
      </c>
      <c r="Q215" s="73">
        <v>-493467</v>
      </c>
      <c r="R215" s="73">
        <f>IF(Tabela3[[#This Row],[Ativo || Passivo]]&gt;0,Tabela3[[#This Row],[Ativo || Passivo]]-Tabela3[[#This Row],[Patrimônio Líquido]],0)</f>
        <v>0</v>
      </c>
      <c r="S215" s="73">
        <f>Tabela3[[#This Row],[Cotação]]*Tabela3[[#This Row],[Total Ações]]</f>
        <v>121375160025</v>
      </c>
      <c r="T215" s="37">
        <f>IF(Tabela3[[#This Row],[Passivo Circulante]]&gt;0,Tabela3[[#This Row],[Ativo Circulante]]/Tabela3[[#This Row],[Passivo Circulante]],0)</f>
        <v>0</v>
      </c>
      <c r="U21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5" s="18">
        <f>IF(Tabela3[[#This Row],[Lucro Líquido]]&gt;0,Tabela3[[#This Row],[Lucro Líquido]]/Tabela3[[#This Row],[Patrimônio Líquido]],0)/Tabela3[[#This Row],[Ref]]*4</f>
        <v>0</v>
      </c>
      <c r="W2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5" s="18">
        <f>IF(Tabela3[[#This Row],[Dívida]]&gt;0,Tabela3[[#This Row],[Dívida]]/Tabela3[[#This Row],[Patrimônio Líquido]],0)</f>
        <v>0</v>
      </c>
      <c r="Y215" s="18">
        <f>SUMPRODUCT(N([Dívida / PL]&gt;0),N(RIGHT([PAPEL],LEN([PAPEL])-(LEN([PAPEL])-1))="3"),[Dívida / PL])/SUMPRODUCT(N([Dívida / PL]&gt;0),N(RIGHT([PAPEL],LEN([PAPEL])-(LEN([PAPEL])-1))="3"))</f>
        <v>2.2435702141443779</v>
      </c>
      <c r="Z215" s="7">
        <f>Tabela3[[#This Row],[Capital Social]]*20%</f>
        <v>11000000</v>
      </c>
      <c r="AA215" s="47">
        <f>IF(([Lucro Líquido]*5%)&gt;[Teto R. Legal],[Teto R. Legal],[Lucro Líquido]*5%)</f>
        <v>-24673.350000000002</v>
      </c>
      <c r="AB215" s="47">
        <f>IF([Lucro Líquido]&lt;0,0,[Lucro Líquido]-[Reserva Legal])</f>
        <v>0</v>
      </c>
      <c r="AC215" s="47">
        <f>Tabela3[[#This Row],[Lucro Distribuir]]*[%Div]</f>
        <v>0</v>
      </c>
      <c r="AD215" s="56">
        <f>SUMPRODUCT(N([Nome]=Tabela3[[#This Row],[Nome]]),[Ações])</f>
        <v>24275032005</v>
      </c>
      <c r="AE215" s="84">
        <f>[Capital Social]/[Total Ações]</f>
        <v>2.265702471109883E-3</v>
      </c>
      <c r="AF215" s="84">
        <f>Tabela3[[#This Row],[Lucro Líquido]]/Tabela3[[#This Row],[Total Ações]]</f>
        <v>-2.0328170932930559E-5</v>
      </c>
      <c r="AG2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5" s="7">
        <f>[Div Base]*[Ações]</f>
        <v>0</v>
      </c>
      <c r="AL215" s="113">
        <f>SUMPRODUCT(N([Nome]=Tabela3[[#This Row],[Nome]]),[Div Base]*[Ações])</f>
        <v>0</v>
      </c>
      <c r="AM215" s="5">
        <f>[Patrimônio Líquido]/[Total Ações]</f>
        <v>6.4667647798637784E-3</v>
      </c>
      <c r="AN215" s="52">
        <f>MAX(Tabela3[[#This Row],[Cotação 1]:[Cotação 5]])</f>
        <v>5</v>
      </c>
      <c r="AO215" s="53">
        <f>[Cotação]/[VPA]</f>
        <v>773.18414542755716</v>
      </c>
      <c r="AP215" s="37">
        <f>IF(Tabela3[[#This Row],[Lucro/Ação]]&gt;0,Tabela3[[#This Row],[Cotação]]/(Tabela3[[#This Row],[Lucro/Ação]]/[Ref]*4),0)</f>
        <v>0</v>
      </c>
      <c r="AQ215" s="84">
        <f>[Lucro Distribuir]/[Total Ações]</f>
        <v>0</v>
      </c>
      <c r="AR21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5" s="10" t="str">
        <f>IF(AND([% A.A.]&gt;=5%,SUMPRODUCT(N([Nome]=Tabela3[[#This Row],[Nome]]),[PL])&gt;0,[Rentabilidade s/ PL]&gt;=[Rentabilidade s/ PL Média]),"Sim","Não")</f>
        <v>Não</v>
      </c>
      <c r="AT215" s="22">
        <f>IF([Cotação]&gt;0,Tabela3[[#This Row],[Lucro]]/Tabela3[[#This Row],[Cotação]],0)</f>
        <v>0</v>
      </c>
      <c r="AU215" s="22">
        <f>((1+Tabela3[[#This Row],[% Yield]])^(1/(3*Tabela3[[#This Row],[Ref]])))^(12)-1</f>
        <v>0</v>
      </c>
      <c r="AV215" s="10">
        <f>IF([Cotação]&gt;0,($BH$1/Tabela3[[#This Row],[Cotação]]-MOD($BH$1/Tabela3[[#This Row],[Cotação]],100)),)</f>
        <v>100</v>
      </c>
      <c r="AW215" s="7">
        <f>Tabela3[[#This Row],[Ativos]]*[Lucro]</f>
        <v>0</v>
      </c>
      <c r="AX215" s="7">
        <f>SUMPRODUCT(N(Tabela1[Código]=Tabela3[[#This Row],[PAPEL]]),Tabela1[Fechamento])</f>
        <v>0</v>
      </c>
      <c r="AY215" s="7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5</v>
      </c>
      <c r="BB215" s="7">
        <f>SUMPRODUCT(N(Tabela17683[Código]=Tabela3[[#This Row],[PAPEL]]),Tabela17683[Fechamento])</f>
        <v>0</v>
      </c>
    </row>
    <row r="216" spans="1:54" ht="11.25" customHeight="1">
      <c r="A216" s="4" t="s">
        <v>288</v>
      </c>
      <c r="B216" s="57" t="s">
        <v>695</v>
      </c>
      <c r="C216" s="15" t="str">
        <f>LEFT([PAPEL],LEN([PAPEL])-(LEN([PAPEL])-4))</f>
        <v>DOCA</v>
      </c>
      <c r="D216" s="15">
        <v>3</v>
      </c>
      <c r="E216" s="6">
        <v>231161118.28999999</v>
      </c>
      <c r="F216" s="8">
        <v>58388</v>
      </c>
      <c r="G216" s="85">
        <v>0.25</v>
      </c>
      <c r="H216" s="15"/>
      <c r="I216" s="19"/>
      <c r="J216" s="19">
        <v>0.1</v>
      </c>
      <c r="K216" s="87"/>
      <c r="L216" s="87"/>
      <c r="M216" s="55"/>
      <c r="N216" s="55"/>
      <c r="O216" s="55"/>
      <c r="P216" s="91">
        <v>-367598000</v>
      </c>
      <c r="Q216" s="92">
        <v>-10261000</v>
      </c>
      <c r="R216" s="92">
        <f>IF(Tabela3[[#This Row],[Ativo || Passivo]]&gt;0,Tabela3[[#This Row],[Ativo || Passivo]]-Tabela3[[#This Row],[Patrimônio Líquido]],0)</f>
        <v>0</v>
      </c>
      <c r="S216" s="92">
        <f>Tabela3[[#This Row],[Cotação]]*Tabela3[[#This Row],[Total Ações]]</f>
        <v>5806810.4399999995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6" s="19">
        <f>IF(Tabela3[[#This Row],[Lucro Líquido]]&gt;0,Tabela3[[#This Row],[Lucro Líquido]]/Tabela3[[#This Row],[Patrimônio Líquido]],0)/Tabela3[[#This Row],[Ref]]*4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2.2435702141443779</v>
      </c>
      <c r="Z216" s="13">
        <f>Tabela3[[#This Row],[Capital Social]]*20%</f>
        <v>46232223.658</v>
      </c>
      <c r="AA216" s="13">
        <f>IF(([Lucro Líquido]*5%)&gt;[Teto R. Legal],[Teto R. Legal],[Lucro Líquido]*5%)</f>
        <v>-513050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21">
        <f>SUMPRODUCT(N([Nome]=Tabela3[[#This Row],[Nome]]),[Ações])</f>
        <v>1159044</v>
      </c>
      <c r="AE216" s="6">
        <f>[Capital Social]/[Total Ações]</f>
        <v>199.4411931643665</v>
      </c>
      <c r="AF216" s="77">
        <f>Tabela3[[#This Row],[Lucro Líquido]]/Tabela3[[#This Row],[Total Ações]]</f>
        <v>-8.8529857365207878</v>
      </c>
      <c r="AG2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-317.15620804732174</v>
      </c>
      <c r="AN216" s="48">
        <f>MAX(Tabela3[[#This Row],[Cotação 1]:[Cotação 5]])</f>
        <v>5.01</v>
      </c>
      <c r="AO216" s="44">
        <f>[Cotação]/[VPA]</f>
        <v>-1.5796632299414033E-2</v>
      </c>
      <c r="AP216" s="40">
        <f>IF(Tabela3[[#This Row],[Lucro/Ação]]&gt;0,Tabela3[[#This Row],[Cotação]]/(Tabela3[[#This Row],[Lucro/Ação]]/[Ref]*4),0)</f>
        <v>0</v>
      </c>
      <c r="AQ216" s="77">
        <f>[Lucro Distribuir]/[Total Ações]</f>
        <v>0</v>
      </c>
      <c r="AR21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100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0</v>
      </c>
      <c r="AZ216" s="17">
        <f>SUMPRODUCT(N(Tabela176[Código]=Tabela3[[#This Row],[PAPEL]]),Tabela176[Fechamento])</f>
        <v>5.01</v>
      </c>
      <c r="BA216" s="1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customHeight="1">
      <c r="A217" s="3" t="s">
        <v>855</v>
      </c>
      <c r="B217" s="58" t="s">
        <v>872</v>
      </c>
      <c r="C217" s="16" t="str">
        <f>LEFT([PAPEL],LEN([PAPEL])-(LEN([PAPEL])-4))</f>
        <v>IGBR</v>
      </c>
      <c r="D217" s="16">
        <v>3</v>
      </c>
      <c r="E217" s="5">
        <v>41000000</v>
      </c>
      <c r="F217" s="56">
        <v>12504967</v>
      </c>
      <c r="G217" s="80">
        <v>0.25</v>
      </c>
      <c r="H217" s="86"/>
      <c r="J217" s="18"/>
      <c r="K217" s="16"/>
      <c r="L217" s="86"/>
      <c r="M217" s="54"/>
      <c r="N217" s="54"/>
      <c r="O217" s="54"/>
      <c r="P217" s="90">
        <v>-145474000</v>
      </c>
      <c r="Q217" s="73">
        <v>-89770000</v>
      </c>
      <c r="R217" s="73">
        <f>IF(Tabela3[[#This Row],[Ativo || Passivo]]&gt;0,Tabela3[[#This Row],[Ativo || Passivo]]-Tabela3[[#This Row],[Patrimônio Líquido]],0)</f>
        <v>0</v>
      </c>
      <c r="S217" s="73">
        <f>Tabela3[[#This Row],[Cotação]]*Tabela3[[#This Row],[Total Ações]]</f>
        <v>63775331.699999996</v>
      </c>
      <c r="T217" s="37">
        <f>IF(Tabela3[[#This Row],[Passivo Circulante]]&gt;0,Tabela3[[#This Row],[Ativo Circulante]]/Tabela3[[#This Row],[Passivo Circulante]],0)</f>
        <v>0</v>
      </c>
      <c r="U2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7" s="18">
        <f>IF(Tabela3[[#This Row],[Lucro Líquido]]&gt;0,Tabela3[[#This Row],[Lucro Líquido]]/Tabela3[[#This Row],[Patrimônio Líquido]],0)/Tabela3[[#This Row],[Ref]]*4</f>
        <v>0</v>
      </c>
      <c r="W2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7" s="18">
        <f>IF(Tabela3[[#This Row],[Dívida]]&gt;0,Tabela3[[#This Row],[Dívida]]/Tabela3[[#This Row],[Patrimônio Líquido]],0)</f>
        <v>0</v>
      </c>
      <c r="Y217" s="18">
        <f>SUMPRODUCT(N([Dívida / PL]&gt;0),N(RIGHT([PAPEL],LEN([PAPEL])-(LEN([PAPEL])-1))="3"),[Dívida / PL])/SUMPRODUCT(N([Dívida / PL]&gt;0),N(RIGHT([PAPEL],LEN([PAPEL])-(LEN([PAPEL])-1))="3"))</f>
        <v>2.2435702141443779</v>
      </c>
      <c r="Z217" s="7">
        <f>Tabela3[[#This Row],[Capital Social]]*20%</f>
        <v>8200000</v>
      </c>
      <c r="AA217" s="47">
        <f>IF(([Lucro Líquido]*5%)&gt;[Teto R. Legal],[Teto R. Legal],[Lucro Líquido]*5%)</f>
        <v>-4488500</v>
      </c>
      <c r="AB217" s="47">
        <f>IF([Lucro Líquido]&lt;0,0,[Lucro Líquido]-[Reserva Legal])</f>
        <v>0</v>
      </c>
      <c r="AC217" s="47">
        <f>Tabela3[[#This Row],[Lucro Distribuir]]*[%Div]</f>
        <v>0</v>
      </c>
      <c r="AD217" s="56">
        <f>SUMPRODUCT(N([Nome]=Tabela3[[#This Row],[Nome]]),[Ações])</f>
        <v>12504967</v>
      </c>
      <c r="AE217" s="84">
        <f>[Capital Social]/[Total Ações]</f>
        <v>3.278697176889791</v>
      </c>
      <c r="AF217" s="84">
        <f>Tabela3[[#This Row],[Lucro Líquido]]/Tabela3[[#This Row],[Total Ações]]</f>
        <v>-7.1787474529121109</v>
      </c>
      <c r="AG2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7">
        <f>[Div Base]*[Ações]</f>
        <v>0</v>
      </c>
      <c r="AL217" s="7">
        <f>SUMPRODUCT(N([Nome]=Tabela3[[#This Row],[Nome]]),[Div Base]*[Ações])</f>
        <v>0</v>
      </c>
      <c r="AM217" s="5">
        <f>[Patrimônio Líquido]/[Total Ações]</f>
        <v>-11.633297392947938</v>
      </c>
      <c r="AN217" s="52">
        <f>MAX(Tabela3[[#This Row],[Cotação 1]:[Cotação 5]])</f>
        <v>5.0999999999999996</v>
      </c>
      <c r="AO217" s="53">
        <f>[Cotação]/[VPA]</f>
        <v>-0.43839676986952991</v>
      </c>
      <c r="AP217" s="37">
        <f>IF(Tabela3[[#This Row],[Lucro/Ação]]&gt;0,Tabela3[[#This Row],[Cotação]]/(Tabela3[[#This Row],[Lucro/Ação]]/[Ref]*4),0)</f>
        <v>0</v>
      </c>
      <c r="AQ217" s="84">
        <f>[Lucro Distribuir]/[Total Ações]</f>
        <v>0</v>
      </c>
      <c r="AR21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7" s="10" t="str">
        <f>IF(AND([% A.A.]&gt;=5%,SUMPRODUCT(N([Nome]=Tabela3[[#This Row],[Nome]]),[PL])&gt;0,[Rentabilidade s/ PL]&gt;=[Rentabilidade s/ PL Média]),"Sim","Não")</f>
        <v>Não</v>
      </c>
      <c r="AT217" s="22">
        <f>IF([Cotação]&gt;0,Tabela3[[#This Row],[Lucro]]/Tabela3[[#This Row],[Cotação]],0)</f>
        <v>0</v>
      </c>
      <c r="AU217" s="22">
        <f>((1+Tabela3[[#This Row],[% Yield]])^(1/(3*Tabela3[[#This Row],[Ref]])))^(12)-1</f>
        <v>0</v>
      </c>
      <c r="AV217" s="10">
        <f>IF([Cotação]&gt;0,($BH$1/Tabela3[[#This Row],[Cotação]]-MOD($BH$1/Tabela3[[#This Row],[Cotação]],100)),)</f>
        <v>100</v>
      </c>
      <c r="AW217" s="7">
        <f>Tabela3[[#This Row],[Ativos]]*[Lucro]</f>
        <v>0</v>
      </c>
      <c r="AX217" s="7">
        <f>SUMPRODUCT(N(Tabela1[Código]=Tabela3[[#This Row],[PAPEL]]),Tabela1[Fechamento])</f>
        <v>0</v>
      </c>
      <c r="AY217" s="7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5.0999999999999996</v>
      </c>
      <c r="BB217" s="7">
        <f>SUMPRODUCT(N(Tabela17683[Código]=Tabela3[[#This Row],[PAPEL]]),Tabela17683[Fechamento])</f>
        <v>0</v>
      </c>
    </row>
    <row r="218" spans="1:54" ht="11.25" customHeight="1">
      <c r="A218" s="4" t="s">
        <v>12</v>
      </c>
      <c r="B218" s="60" t="s">
        <v>65</v>
      </c>
      <c r="C218" s="14" t="str">
        <f>LEFT([PAPEL],LEN([PAPEL])-(LEN([PAPEL])-4))</f>
        <v>RDTR</v>
      </c>
      <c r="D218" s="15">
        <v>3</v>
      </c>
      <c r="E218" s="6">
        <v>250576343.34</v>
      </c>
      <c r="F218" s="8">
        <v>108480828</v>
      </c>
      <c r="G218" s="80">
        <v>0.25</v>
      </c>
      <c r="H218" s="15"/>
      <c r="I218" s="19"/>
      <c r="J218" s="19"/>
      <c r="K218" s="87"/>
      <c r="L218" s="87"/>
      <c r="M218" s="55">
        <v>465048000</v>
      </c>
      <c r="N218" s="55">
        <v>547000</v>
      </c>
      <c r="O218" s="55">
        <v>1681000</v>
      </c>
      <c r="P218" s="88">
        <v>463367000</v>
      </c>
      <c r="Q218" s="88">
        <v>59974000</v>
      </c>
      <c r="R218" s="88">
        <f>IF(Tabela3[[#This Row],[Ativo || Passivo]]&gt;0,Tabela3[[#This Row],[Ativo || Passivo]]-Tabela3[[#This Row],[Patrimônio Líquido]],0)</f>
        <v>1681000</v>
      </c>
      <c r="S218" s="88">
        <f>Tabela3[[#This Row],[Cotação]]*Tabela3[[#This Row],[Total Ações]]</f>
        <v>556506647.63999999</v>
      </c>
      <c r="T218" s="121">
        <f>IF(Tabela3[[#This Row],[Passivo Circulante]]&gt;0,Tabela3[[#This Row],[Ativo Circulante]]/Tabela3[[#This Row],[Passivo Circulante]],0)</f>
        <v>0.32540154669839383</v>
      </c>
      <c r="U21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8" s="19">
        <f>IF(Tabela3[[#This Row],[Lucro Líquido]]&gt;0,Tabela3[[#This Row],[Lucro Líquido]]/Tabela3[[#This Row],[Patrimônio Líquido]],0)/Tabela3[[#This Row],[Ref]]*4</f>
        <v>0.17257451077295824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8" s="19">
        <f>IF(Tabela3[[#This Row],[Dívida]]&gt;0,Tabela3[[#This Row],[Dívida]]/Tabela3[[#This Row],[Patrimônio Líquido]],0)</f>
        <v>3.6277939516625051E-3</v>
      </c>
      <c r="Y218" s="19">
        <f>SUMPRODUCT(N([Dívida / PL]&gt;0),N(RIGHT([PAPEL],LEN([PAPEL])-(LEN([PAPEL])-1))="3"),[Dívida / PL])/SUMPRODUCT(N([Dívida / PL]&gt;0),N(RIGHT([PAPEL],LEN([PAPEL])-(LEN([PAPEL])-1))="3"))</f>
        <v>2.2435702141443779</v>
      </c>
      <c r="Z218" s="6">
        <f>Tabela3[[#This Row],[Capital Social]]*20%</f>
        <v>50115268.668000005</v>
      </c>
      <c r="AA218" s="6">
        <f>IF(([Lucro Líquido]*5%)&gt;[Teto R. Legal],[Teto R. Legal],[Lucro Líquido]*5%)</f>
        <v>2998700</v>
      </c>
      <c r="AB218" s="88">
        <f>IF([Lucro Líquido]&lt;0,0,[Lucro Líquido]-[Reserva Legal])</f>
        <v>56975300</v>
      </c>
      <c r="AC218" s="88">
        <f>Tabela3[[#This Row],[Lucro Distribuir]]*[%Div]</f>
        <v>14243825</v>
      </c>
      <c r="AD218" s="56">
        <f>SUMPRODUCT(N([Nome]=Tabela3[[#This Row],[Nome]]),[Ações])</f>
        <v>108480828</v>
      </c>
      <c r="AE218" s="6">
        <f>[Capital Social]/[Total Ações]</f>
        <v>2.3098675402809428</v>
      </c>
      <c r="AF218" s="77">
        <f>Tabela3[[#This Row],[Lucro Líquido]]/Tabela3[[#This Row],[Total Ações]]</f>
        <v>0.55285344982801943</v>
      </c>
      <c r="AG2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2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218" s="6">
        <f>[Div Base]*[Ações]</f>
        <v>14243824.999999998</v>
      </c>
      <c r="AL218" s="6">
        <f>SUMPRODUCT(N([Nome]=Tabela3[[#This Row],[Nome]]),[Div Base]*[Ações])</f>
        <v>14243824.999999998</v>
      </c>
      <c r="AM218" s="6">
        <f>[Patrimônio Líquido]/[Total Ações]</f>
        <v>4.2714183560619574</v>
      </c>
      <c r="AN218" s="48">
        <f>MAX(Tabela3[[#This Row],[Cotação 1]:[Cotação 5]])</f>
        <v>5.13</v>
      </c>
      <c r="AO218" s="44">
        <f>[Cotação]/[VPA]</f>
        <v>1.201006216756912</v>
      </c>
      <c r="AP218" s="40">
        <f>IF(Tabela3[[#This Row],[Lucro/Ação]]&gt;0,Tabela3[[#This Row],[Cotação]]/(Tabela3[[#This Row],[Lucro/Ação]]/[Ref]*4),0)</f>
        <v>6.9593488133191048</v>
      </c>
      <c r="AQ218" s="77">
        <f>[Lucro Distribuir]/[Total Ações]</f>
        <v>0.52521077733661836</v>
      </c>
      <c r="AR218" s="77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218" s="14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2.5595067121667561E-2</v>
      </c>
      <c r="AU218" s="19">
        <f>((1+Tabela3[[#This Row],[% Yield]])^(1/(3*Tabela3[[#This Row],[Ref]])))^(12)-1</f>
        <v>3.427151628422398E-2</v>
      </c>
      <c r="AV218" s="14">
        <f>IF([Cotação]&gt;0,($BH$1/Tabela3[[#This Row],[Cotação]]-MOD($BH$1/Tabela3[[#This Row],[Cotação]],100)),)</f>
        <v>100</v>
      </c>
      <c r="AW218" s="17">
        <f>Tabela3[[#This Row],[Ativos]]*[Lucro]</f>
        <v>13.130269433415458</v>
      </c>
      <c r="AX218" s="5">
        <f>SUMPRODUCT(N(Tabela1[Código]=Tabela3[[#This Row],[PAPEL]]),Tabela1[Fechamento])</f>
        <v>5.13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customHeight="1">
      <c r="A219" s="4" t="s">
        <v>310</v>
      </c>
      <c r="B219" s="57" t="s">
        <v>312</v>
      </c>
      <c r="C219" s="81" t="str">
        <f>LEFT([PAPEL],LEN([PAPEL])-(LEN([PAPEL])-4))</f>
        <v>EUCA</v>
      </c>
      <c r="D219" s="15">
        <v>4</v>
      </c>
      <c r="E219" s="6">
        <v>488183378.76999998</v>
      </c>
      <c r="F219" s="8">
        <v>61361556</v>
      </c>
      <c r="G219" s="85">
        <v>0.25</v>
      </c>
      <c r="H219" s="15"/>
      <c r="I219" s="19"/>
      <c r="J219" s="19">
        <v>0.1</v>
      </c>
      <c r="K219" s="87"/>
      <c r="L219" s="87"/>
      <c r="M219" s="55">
        <v>1285505000</v>
      </c>
      <c r="N219" s="55">
        <v>16811000</v>
      </c>
      <c r="O219" s="55">
        <v>113812000</v>
      </c>
      <c r="P219" s="6">
        <v>1139467000</v>
      </c>
      <c r="Q219" s="6">
        <v>88862000</v>
      </c>
      <c r="R219" s="6">
        <f>IF(Tabela3[[#This Row],[Ativo || Passivo]]&gt;0,Tabela3[[#This Row],[Ativo || Passivo]]-Tabela3[[#This Row],[Patrimônio Líquido]],0)</f>
        <v>146038000</v>
      </c>
      <c r="S219" s="6">
        <f>Tabela3[[#This Row],[Cotação]]*Tabela3[[#This Row],[Total Ações]]</f>
        <v>476989168.40000004</v>
      </c>
      <c r="T219" s="121">
        <f>IF(Tabela3[[#This Row],[Passivo Circulante]]&gt;0,Tabela3[[#This Row],[Ativo Circulante]]/Tabela3[[#This Row],[Passivo Circulante]],0)</f>
        <v>0.14770850173971109</v>
      </c>
      <c r="U21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19" s="19">
        <f>IF(Tabela3[[#This Row],[Lucro Líquido]]&gt;0,Tabela3[[#This Row],[Lucro Líquido]]/Tabela3[[#This Row],[Patrimônio Líquido]],0)/Tabela3[[#This Row],[Ref]]*4</f>
        <v>7.7985584488186141E-2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19" s="19">
        <f>IF(Tabela3[[#This Row],[Dívida]]&gt;0,Tabela3[[#This Row],[Dívida]]/Tabela3[[#This Row],[Patrimônio Líquido]],0)</f>
        <v>0.12816343079703055</v>
      </c>
      <c r="Y219" s="19">
        <f>SUMPRODUCT(N([Dívida / PL]&gt;0),N(RIGHT([PAPEL],LEN([PAPEL])-(LEN([PAPEL])-1))="3"),[Dívida / PL])/SUMPRODUCT(N([Dívida / PL]&gt;0),N(RIGHT([PAPEL],LEN([PAPEL])-(LEN([PAPEL])-1))="3"))</f>
        <v>2.2435702141443779</v>
      </c>
      <c r="Z219" s="6">
        <f>Tabela3[[#This Row],[Capital Social]]*20%</f>
        <v>97636675.754000008</v>
      </c>
      <c r="AA219" s="6">
        <f>IF(([Lucro Líquido]*5%)&gt;[Teto R. Legal],[Teto R. Legal],[Lucro Líquido]*5%)</f>
        <v>4443100</v>
      </c>
      <c r="AB219" s="6">
        <f>IF([Lucro Líquido]&lt;0,0,[Lucro Líquido]-[Reserva Legal])</f>
        <v>84418900</v>
      </c>
      <c r="AC219" s="6">
        <f>Tabela3[[#This Row],[Lucro Distribuir]]*[%Div]</f>
        <v>21104725</v>
      </c>
      <c r="AD219" s="56">
        <f>SUMPRODUCT(N([Nome]=Tabela3[[#This Row],[Nome]]),[Ações])</f>
        <v>92619256</v>
      </c>
      <c r="AE219" s="6">
        <f>[Capital Social]/[Total Ações]</f>
        <v>5.2708626678020387</v>
      </c>
      <c r="AF219" s="77">
        <f>Tabela3[[#This Row],[Lucro Líquido]]/Tabela3[[#This Row],[Total Ações]]</f>
        <v>0.95943331697676348</v>
      </c>
      <c r="AG2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19" s="6">
        <f>[Div Base]*[Ações]</f>
        <v>14901851.395787723</v>
      </c>
      <c r="AL219" s="6">
        <f>SUMPRODUCT(N([Nome]=Tabela3[[#This Row],[Nome]]),[Div Base]*[Ações])</f>
        <v>21802790.534234308</v>
      </c>
      <c r="AM219" s="6">
        <f>[Patrimônio Líquido]/[Total Ações]</f>
        <v>12.302700855208769</v>
      </c>
      <c r="AN219" s="48">
        <f>MAX(Tabela3[[#This Row],[Cotação 1]:[Cotação 5]])</f>
        <v>5.15</v>
      </c>
      <c r="AO219" s="44">
        <f>[Cotação]/[VPA]</f>
        <v>0.41860726848605539</v>
      </c>
      <c r="AP219" s="40">
        <f>IF(Tabela3[[#This Row],[Lucro/Ação]]&gt;0,Tabela3[[#This Row],[Cotação]]/(Tabela3[[#This Row],[Lucro/Ação]]/[Ref]*4),0)</f>
        <v>5.3677518894465575</v>
      </c>
      <c r="AQ219" s="77">
        <f>[Lucro Distribuir]/[Total Ações]</f>
        <v>0.91146165112792532</v>
      </c>
      <c r="AR219" s="77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19" s="15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4.7155964849112671E-2</v>
      </c>
      <c r="AU219" s="19">
        <f>((1+Tabela3[[#This Row],[% Yield]])^(1/(3*Tabela3[[#This Row],[Ref]])))^(12)-1</f>
        <v>4.7155964849112442E-2</v>
      </c>
      <c r="AV219" s="14">
        <f>IF([Cotação]&gt;0,($BH$1/Tabela3[[#This Row],[Cotação]]-MOD($BH$1/Tabela3[[#This Row],[Cotação]],100)),)</f>
        <v>100</v>
      </c>
      <c r="AW219" s="17">
        <f>Tabela3[[#This Row],[Ativos]]*[Lucro]</f>
        <v>24.285321897293027</v>
      </c>
      <c r="AX219" s="13">
        <f>SUMPRODUCT(N(Tabela1[Código]=Tabela3[[#This Row],[PAPEL]]),Tabela1[Fechamento])</f>
        <v>0</v>
      </c>
      <c r="AY219" s="55">
        <f>SUMPRODUCT(N(Tabela17[Código]=Tabela3[[#This Row],[PAPEL]]),Tabela17[Fechamento])</f>
        <v>5.15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customHeight="1">
      <c r="A220" s="3" t="s">
        <v>1225</v>
      </c>
      <c r="B220" s="57" t="s">
        <v>1212</v>
      </c>
      <c r="C220" s="16" t="str">
        <f>LEFT([PAPEL],LEN([PAPEL])-(LEN([PAPEL])-4))</f>
        <v>ROMI</v>
      </c>
      <c r="D220" s="16">
        <v>4</v>
      </c>
      <c r="E220" s="5">
        <v>502935785</v>
      </c>
      <c r="F220" s="56">
        <v>71757647</v>
      </c>
      <c r="G220" s="80">
        <v>0.25</v>
      </c>
      <c r="H220" s="86"/>
      <c r="J220" s="18"/>
      <c r="K220" s="16"/>
      <c r="L220" s="86"/>
      <c r="M220" s="54"/>
      <c r="N220" s="54"/>
      <c r="O220" s="54"/>
      <c r="P220" s="90">
        <v>648235000</v>
      </c>
      <c r="Q220" s="73">
        <v>1365000</v>
      </c>
      <c r="R220" s="73">
        <f>IF(Tabela3[[#This Row],[Ativo || Passivo]]&gt;0,Tabela3[[#This Row],[Ativo || Passivo]]-Tabela3[[#This Row],[Patrimônio Líquido]],0)</f>
        <v>0</v>
      </c>
      <c r="S220" s="73">
        <f>Tabela3[[#This Row],[Cotação]]*Tabela3[[#This Row],[Total Ações]]</f>
        <v>369551882.05000001</v>
      </c>
      <c r="T220" s="37">
        <f>IF(Tabela3[[#This Row],[Passivo Circulante]]&gt;0,Tabela3[[#This Row],[Ativo Circulante]]/Tabela3[[#This Row],[Passivo Circulante]],0)</f>
        <v>0</v>
      </c>
      <c r="U22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0" s="18">
        <f>IF(Tabela3[[#This Row],[Lucro Líquido]]&gt;0,Tabela3[[#This Row],[Lucro Líquido]]/Tabela3[[#This Row],[Patrimônio Líquido]],0)/Tabela3[[#This Row],[Ref]]*4</f>
        <v>2.1057178338102695E-3</v>
      </c>
      <c r="W2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0" s="18">
        <f>IF(Tabela3[[#This Row],[Dívida]]&gt;0,Tabela3[[#This Row],[Dívida]]/Tabela3[[#This Row],[Patrimônio Líquido]],0)</f>
        <v>0</v>
      </c>
      <c r="Y220" s="18">
        <f>SUMPRODUCT(N([Dívida / PL]&gt;0),N(RIGHT([PAPEL],LEN([PAPEL])-(LEN([PAPEL])-1))="3"),[Dívida / PL])/SUMPRODUCT(N([Dívida / PL]&gt;0),N(RIGHT([PAPEL],LEN([PAPEL])-(LEN([PAPEL])-1))="3"))</f>
        <v>2.2435702141443779</v>
      </c>
      <c r="Z220" s="7">
        <f>Tabela3[[#This Row],[Capital Social]]*20%</f>
        <v>100587157</v>
      </c>
      <c r="AA220" s="47">
        <f>IF(([Lucro Líquido]*5%)&gt;[Teto R. Legal],[Teto R. Legal],[Lucro Líquido]*5%)</f>
        <v>68250</v>
      </c>
      <c r="AB220" s="47">
        <f>IF([Lucro Líquido]&lt;0,0,[Lucro Líquido]-[Reserva Legal])</f>
        <v>1296750</v>
      </c>
      <c r="AC220" s="47">
        <f>Tabela3[[#This Row],[Lucro Distribuir]]*[%Div]</f>
        <v>324187.5</v>
      </c>
      <c r="AD220" s="56">
        <f>SUMPRODUCT(N([Nome]=Tabela3[[#This Row],[Nome]]),[Ações])</f>
        <v>71757647</v>
      </c>
      <c r="AE220" s="84">
        <f>[Capital Social]/[Total Ações]</f>
        <v>7.0088109912522629</v>
      </c>
      <c r="AF220" s="84">
        <f>Tabela3[[#This Row],[Lucro Líquido]]/Tabela3[[#This Row],[Total Ações]]</f>
        <v>1.9022362870956457E-2</v>
      </c>
      <c r="AG2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2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220" s="7">
        <f>[Div Base]*[Ações]</f>
        <v>324187.5</v>
      </c>
      <c r="AL220" s="113">
        <f>SUMPRODUCT(N([Nome]=Tabela3[[#This Row],[Nome]]),[Div Base]*[Ações])</f>
        <v>324187.5</v>
      </c>
      <c r="AM220" s="5">
        <f>[Patrimônio Líquido]/[Total Ações]</f>
        <v>9.0336713521278096</v>
      </c>
      <c r="AN220" s="52">
        <f>MAX(Tabela3[[#This Row],[Cotação 1]:[Cotação 5]])</f>
        <v>5.15</v>
      </c>
      <c r="AO220" s="53">
        <f>[Cotação]/[VPA]</f>
        <v>0.57008936890171003</v>
      </c>
      <c r="AP220" s="37">
        <f>IF(Tabela3[[#This Row],[Lucro/Ação]]&gt;0,Tabela3[[#This Row],[Cotação]]/(Tabela3[[#This Row],[Lucro/Ação]]/[Ref]*4),0)</f>
        <v>270.73397952380952</v>
      </c>
      <c r="AQ220" s="84">
        <f>[Lucro Distribuir]/[Total Ações]</f>
        <v>1.8071244727408634E-2</v>
      </c>
      <c r="AR220" s="84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220" s="10" t="str">
        <f>IF(AND([% A.A.]&gt;=5%,SUMPRODUCT(N([Nome]=Tabela3[[#This Row],[Nome]]),[PL])&gt;0,[Rentabilidade s/ PL]&gt;=[Rentabilidade s/ PL Média]),"Sim","Não")</f>
        <v>Não</v>
      </c>
      <c r="AT220" s="22">
        <f>IF([Cotação]&gt;0,Tabela3[[#This Row],[Lucro]]/Tabela3[[#This Row],[Cotação]],0)</f>
        <v>8.7724488968003072E-4</v>
      </c>
      <c r="AU220" s="22">
        <f>((1+Tabela3[[#This Row],[% Yield]])^(1/(3*Tabela3[[#This Row],[Ref]])))^(12)-1</f>
        <v>8.7724488967988457E-4</v>
      </c>
      <c r="AV220" s="10">
        <f>IF([Cotação]&gt;0,($BH$1/Tabela3[[#This Row],[Cotação]]-MOD($BH$1/Tabela3[[#This Row],[Cotação]],100)),)</f>
        <v>100</v>
      </c>
      <c r="AW220" s="7">
        <f>Tabela3[[#This Row],[Ativos]]*[Lucro]</f>
        <v>0.45178111818521582</v>
      </c>
      <c r="AX220" s="7">
        <f>SUMPRODUCT(N(Tabela1[Código]=Tabela3[[#This Row],[PAPEL]]),Tabela1[Fechamento])</f>
        <v>0</v>
      </c>
      <c r="AY220" s="7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5.15</v>
      </c>
    </row>
    <row r="221" spans="1:54" ht="11.25" customHeight="1">
      <c r="A221" s="3" t="s">
        <v>288</v>
      </c>
      <c r="B221" s="58" t="s">
        <v>297</v>
      </c>
      <c r="C221" s="82" t="str">
        <f>LEFT([PAPEL],LEN([PAPEL])-(LEN([PAPEL])-4))</f>
        <v>BAHI</v>
      </c>
      <c r="D221" s="16">
        <v>3</v>
      </c>
      <c r="E221" s="5">
        <v>26186518.66</v>
      </c>
      <c r="F221" s="56">
        <v>5996334</v>
      </c>
      <c r="G221" s="80">
        <v>0.25</v>
      </c>
      <c r="H221" s="16"/>
      <c r="J221" s="18"/>
      <c r="K221" s="86"/>
      <c r="L221" s="86"/>
      <c r="M221" s="54"/>
      <c r="N221" s="54"/>
      <c r="O221" s="54"/>
      <c r="P221" s="5">
        <v>43741000</v>
      </c>
      <c r="Q221" s="5">
        <v>2583000</v>
      </c>
      <c r="R221" s="5">
        <f>IF(Tabela3[[#This Row],[Ativo || Passivo]]&gt;0,Tabela3[[#This Row],[Ativo || Passivo]]-Tabela3[[#This Row],[Patrimônio Líquido]],0)</f>
        <v>0</v>
      </c>
      <c r="S221" s="5">
        <f>Tabela3[[#This Row],[Cotação]]*Tabela3[[#This Row],[Total Ações]]</f>
        <v>31480753.5</v>
      </c>
      <c r="T221" s="119">
        <f>IF(Tabela3[[#This Row],[Passivo Circulante]]&gt;0,Tabela3[[#This Row],[Ativo Circulante]]/Tabela3[[#This Row],[Passivo Circulante]],0)</f>
        <v>0</v>
      </c>
      <c r="U22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1" s="18">
        <f>IF(Tabela3[[#This Row],[Lucro Líquido]]&gt;0,Tabela3[[#This Row],[Lucro Líquido]]/Tabela3[[#This Row],[Patrimônio Líquido]],0)/Tabela3[[#This Row],[Ref]]*4</f>
        <v>7.8736197160558741E-2</v>
      </c>
      <c r="W2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1" s="18">
        <f>IF(Tabela3[[#This Row],[Dívida]]&gt;0,Tabela3[[#This Row],[Dívida]]/Tabela3[[#This Row],[Patrimônio Líquido]],0)</f>
        <v>0</v>
      </c>
      <c r="Y221" s="18">
        <f>SUMPRODUCT(N([Dívida / PL]&gt;0),N(RIGHT([PAPEL],LEN([PAPEL])-(LEN([PAPEL])-1))="3"),[Dívida / PL])/SUMPRODUCT(N([Dívida / PL]&gt;0),N(RIGHT([PAPEL],LEN([PAPEL])-(LEN([PAPEL])-1))="3"))</f>
        <v>2.2435702141443779</v>
      </c>
      <c r="Z221" s="5">
        <f>Tabela3[[#This Row],[Capital Social]]*20%</f>
        <v>5237303.7320000008</v>
      </c>
      <c r="AA221" s="5">
        <f>IF(([Lucro Líquido]*5%)&gt;[Teto R. Legal],[Teto R. Legal],[Lucro Líquido]*5%)</f>
        <v>129150</v>
      </c>
      <c r="AB221" s="5">
        <f>IF([Lucro Líquido]&lt;0,0,[Lucro Líquido]-[Reserva Legal])</f>
        <v>2453850</v>
      </c>
      <c r="AC221" s="5">
        <f>Tabela3[[#This Row],[Lucro Distribuir]]*[%Div]</f>
        <v>613462.5</v>
      </c>
      <c r="AD221" s="21">
        <f>SUMPRODUCT(N([Nome]=Tabela3[[#This Row],[Nome]]),[Ações])</f>
        <v>5996334</v>
      </c>
      <c r="AE221" s="5">
        <f>[Capital Social]/[Total Ações]</f>
        <v>4.3670880674758941</v>
      </c>
      <c r="AF221" s="76">
        <f>Tabela3[[#This Row],[Lucro Líquido]]/Tabela3[[#This Row],[Total Ações]]</f>
        <v>0.43076319631294718</v>
      </c>
      <c r="AG22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22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221" s="5">
        <f>[Div Base]*[Ações]</f>
        <v>613462.5</v>
      </c>
      <c r="AL221" s="5">
        <f>SUMPRODUCT(N([Nome]=Tabela3[[#This Row],[Nome]]),[Div Base]*[Ações])</f>
        <v>613462.5</v>
      </c>
      <c r="AM221" s="5">
        <f>[Patrimônio Líquido]/[Total Ações]</f>
        <v>7.2946236817362076</v>
      </c>
      <c r="AN221" s="52">
        <f>MAX(Tabela3[[#This Row],[Cotação 1]:[Cotação 5]])</f>
        <v>5.25</v>
      </c>
      <c r="AO221" s="53">
        <f>[Cotação]/[VPA]</f>
        <v>0.71970813424475888</v>
      </c>
      <c r="AP221" s="37">
        <f>IF(Tabela3[[#This Row],[Lucro/Ação]]&gt;0,Tabela3[[#This Row],[Cotação]]/(Tabela3[[#This Row],[Lucro/Ação]]/[Ref]*4),0)</f>
        <v>9.1407530487804891</v>
      </c>
      <c r="AQ221" s="76">
        <f>[Lucro Distribuir]/[Total Ações]</f>
        <v>0.40922503649729985</v>
      </c>
      <c r="AR221" s="76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221" s="16" t="str">
        <f>IF(AND([% A.A.]&gt;=5%,SUMPRODUCT(N([Nome]=Tabela3[[#This Row],[Nome]]),[PL])&gt;0,[Rentabilidade s/ PL]&gt;=[Rentabilidade s/ PL Média]),"Sim","Não")</f>
        <v>Não</v>
      </c>
      <c r="AT221" s="22">
        <f>IF([Cotação]&gt;0,Tabela3[[#This Row],[Lucro]]/Tabela3[[#This Row],[Cotação]],0)</f>
        <v>1.948690649987142E-2</v>
      </c>
      <c r="AU221" s="18">
        <f>((1+Tabela3[[#This Row],[% Yield]])^(1/(3*Tabela3[[#This Row],[Ref]])))^(12)-1</f>
        <v>2.60665660680095E-2</v>
      </c>
      <c r="AV221" s="10">
        <f>IF([Cotação]&gt;0,($BH$1/Tabela3[[#This Row],[Cotação]]-MOD($BH$1/Tabela3[[#This Row],[Cotação]],100)),)</f>
        <v>100</v>
      </c>
      <c r="AW221" s="7">
        <f>Tabela3[[#This Row],[Ativos]]*[Lucro]</f>
        <v>10.230625912432496</v>
      </c>
      <c r="AX221" s="47">
        <f>SUMPRODUCT(N(Tabela1[Código]=Tabela3[[#This Row],[PAPEL]]),Tabela1[Fechamento])</f>
        <v>0</v>
      </c>
      <c r="AY221" s="54">
        <f>SUMPRODUCT(N(Tabela17[Código]=Tabela3[[#This Row],[PAPEL]]),Tabela17[Fechamento])</f>
        <v>5.25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customHeight="1">
      <c r="A222" s="3" t="s">
        <v>876</v>
      </c>
      <c r="B222" s="58" t="s">
        <v>922</v>
      </c>
      <c r="C222" s="16" t="str">
        <f>LEFT([PAPEL],LEN([PAPEL])-(LEN([PAPEL])-4))</f>
        <v>DOHL</v>
      </c>
      <c r="D222" s="16">
        <v>3</v>
      </c>
      <c r="E222" s="5">
        <v>150000000</v>
      </c>
      <c r="F222" s="56">
        <v>14118310</v>
      </c>
      <c r="G222" s="80">
        <v>0.25</v>
      </c>
      <c r="H222" s="86"/>
      <c r="J222" s="18">
        <v>0.1</v>
      </c>
      <c r="K222" s="16"/>
      <c r="L222" s="86"/>
      <c r="M222" s="54"/>
      <c r="N222" s="54"/>
      <c r="O222" s="54"/>
      <c r="P222" s="90">
        <v>439187000</v>
      </c>
      <c r="Q222" s="92">
        <v>27944000</v>
      </c>
      <c r="R222" s="92">
        <f>IF(Tabela3[[#This Row],[Ativo || Passivo]]&gt;0,Tabela3[[#This Row],[Ativo || Passivo]]-Tabela3[[#This Row],[Patrimônio Líquido]],0)</f>
        <v>0</v>
      </c>
      <c r="S222" s="92">
        <f>Tabela3[[#This Row],[Cotação]]*Tabela3[[#This Row],[Total Ações]]</f>
        <v>264758497.5</v>
      </c>
      <c r="T222" s="40">
        <f>IF(Tabela3[[#This Row],[Passivo Circulante]]&gt;0,Tabela3[[#This Row],[Ativo Circulante]]/Tabela3[[#This Row],[Passivo Circulante]],0)</f>
        <v>0</v>
      </c>
      <c r="U22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2" s="19">
        <f>IF(Tabela3[[#This Row],[Lucro Líquido]]&gt;0,Tabela3[[#This Row],[Lucro Líquido]]/Tabela3[[#This Row],[Patrimônio Líquido]],0)/Tabela3[[#This Row],[Ref]]*4</f>
        <v>8.483554082125988E-2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2" s="19">
        <f>IF(Tabela3[[#This Row],[Dívida]]&gt;0,Tabela3[[#This Row],[Dívida]]/Tabela3[[#This Row],[Patrimônio Líquido]],0)</f>
        <v>0</v>
      </c>
      <c r="Y222" s="19">
        <f>SUMPRODUCT(N([Dívida / PL]&gt;0),N(RIGHT([PAPEL],LEN([PAPEL])-(LEN([PAPEL])-1))="3"),[Dívida / PL])/SUMPRODUCT(N([Dívida / PL]&gt;0),N(RIGHT([PAPEL],LEN([PAPEL])-(LEN([PAPEL])-1))="3"))</f>
        <v>2.2435702141443779</v>
      </c>
      <c r="Z222" s="7">
        <f>Tabela3[[#This Row],[Capital Social]]*20%</f>
        <v>30000000</v>
      </c>
      <c r="AA222" s="47">
        <f>IF(([Lucro Líquido]*5%)&gt;[Teto R. Legal],[Teto R. Legal],[Lucro Líquido]*5%)</f>
        <v>1397200</v>
      </c>
      <c r="AB222" s="47">
        <f>IF([Lucro Líquido]&lt;0,0,[Lucro Líquido]-[Reserva Legal])</f>
        <v>26546800</v>
      </c>
      <c r="AC222" s="47">
        <f>Tabela3[[#This Row],[Lucro Distribuir]]*[%Div]</f>
        <v>6636700</v>
      </c>
      <c r="AD222" s="56">
        <f>SUMPRODUCT(N([Nome]=Tabela3[[#This Row],[Nome]]),[Ações])</f>
        <v>50430190</v>
      </c>
      <c r="AE222" s="84">
        <f>[Capital Social]/[Total Ações]</f>
        <v>2.9744087817238047</v>
      </c>
      <c r="AF222" s="84">
        <f>Tabela3[[#This Row],[Lucro Líquido]]/Tabela3[[#This Row],[Total Ações]]</f>
        <v>0.55411252664326671</v>
      </c>
      <c r="AG2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2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222" s="7">
        <f>[Div Base]*[Ações]</f>
        <v>1980203.1662817604</v>
      </c>
      <c r="AL222" s="7">
        <f>SUMPRODUCT(N([Nome]=Tabela3[[#This Row],[Nome]]),[Div Base]*[Ações])</f>
        <v>6610225.498412624</v>
      </c>
      <c r="AM222" s="5">
        <f>[Patrimônio Líquido]/[Total Ações]</f>
        <v>8.7088111307928848</v>
      </c>
      <c r="AN222" s="52">
        <f>MAX(Tabela3[[#This Row],[Cotação 1]:[Cotação 5]])</f>
        <v>5.25</v>
      </c>
      <c r="AO222" s="53">
        <f>[Cotação]/[VPA]</f>
        <v>0.60283773768349236</v>
      </c>
      <c r="AP222" s="37">
        <f>IF(Tabela3[[#This Row],[Lucro/Ação]]&gt;0,Tabela3[[#This Row],[Cotação]]/(Tabela3[[#This Row],[Lucro/Ação]]/[Ref]*4),0)</f>
        <v>7.1059573835170342</v>
      </c>
      <c r="AQ222" s="84">
        <f>[Lucro Distribuir]/[Total Ações]</f>
        <v>0.52640690031110338</v>
      </c>
      <c r="AR222" s="84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222" s="10" t="str">
        <f>IF(AND([% A.A.]&gt;=5%,SUMPRODUCT(N([Nome]=Tabela3[[#This Row],[Nome]]),[PL])&gt;0,[Rentabilidade s/ PL]&gt;=[Rentabilidade s/ PL Média]),"Sim","Não")</f>
        <v>Não</v>
      </c>
      <c r="AT222" s="22">
        <f>IF([Cotação]&gt;0,Tabela3[[#This Row],[Lucro]]/Tabela3[[#This Row],[Cotação]],0)</f>
        <v>2.6715772318516882E-2</v>
      </c>
      <c r="AU222" s="22">
        <f>((1+Tabela3[[#This Row],[% Yield]])^(1/(3*Tabela3[[#This Row],[Ref]])))^(12)-1</f>
        <v>3.5778705687550261E-2</v>
      </c>
      <c r="AV222" s="10">
        <f>IF([Cotação]&gt;0,($BH$1/Tabela3[[#This Row],[Cotação]]-MOD($BH$1/Tabela3[[#This Row],[Cotação]],100)),)</f>
        <v>100</v>
      </c>
      <c r="AW222" s="7">
        <f>Tabela3[[#This Row],[Ativos]]*[Lucro]</f>
        <v>14.025780467221363</v>
      </c>
      <c r="AX222" s="7">
        <f>SUMPRODUCT(N(Tabela1[Código]=Tabela3[[#This Row],[PAPEL]]),Tabela1[Fechamento])</f>
        <v>0</v>
      </c>
      <c r="AY222" s="7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5.25</v>
      </c>
      <c r="BB222" s="7">
        <f>SUMPRODUCT(N(Tabela17683[Código]=Tabela3[[#This Row],[PAPEL]]),Tabela17683[Fechamento])</f>
        <v>0</v>
      </c>
    </row>
    <row r="223" spans="1:54" ht="11.25" customHeight="1">
      <c r="A223" s="4" t="s">
        <v>14</v>
      </c>
      <c r="B223" s="57" t="s">
        <v>76</v>
      </c>
      <c r="C223" s="14" t="str">
        <f>LEFT([PAPEL],LEN([PAPEL])-(LEN([PAPEL])-4))</f>
        <v>RPAD</v>
      </c>
      <c r="D223" s="15">
        <v>3</v>
      </c>
      <c r="E223" s="6">
        <v>267646990</v>
      </c>
      <c r="F223" s="8">
        <v>14313881</v>
      </c>
      <c r="G223" s="80">
        <v>0.25</v>
      </c>
      <c r="H223" s="15"/>
      <c r="I223" s="19">
        <v>0.12</v>
      </c>
      <c r="J223" s="19"/>
      <c r="K223" s="87"/>
      <c r="L223" s="87"/>
      <c r="M223" s="13">
        <v>731259000</v>
      </c>
      <c r="N223" s="13">
        <v>6491000</v>
      </c>
      <c r="O223" s="13">
        <v>4087000</v>
      </c>
      <c r="P223" s="6">
        <v>727021000</v>
      </c>
      <c r="Q223" s="6">
        <v>31097000</v>
      </c>
      <c r="R223" s="6">
        <f>IF(Tabela3[[#This Row],[Ativo || Passivo]]&gt;0,Tabela3[[#This Row],[Ativo || Passivo]]-Tabela3[[#This Row],[Patrimônio Líquido]],0)</f>
        <v>4238000</v>
      </c>
      <c r="S223" s="13">
        <f>Tabela3[[#This Row],[Cotação]]*Tabela3[[#This Row],[Total Ações]]</f>
        <v>444581912.25</v>
      </c>
      <c r="T223" s="121">
        <f>IF(Tabela3[[#This Row],[Passivo Circulante]]&gt;0,Tabela3[[#This Row],[Ativo Circulante]]/Tabela3[[#This Row],[Passivo Circulante]],0)</f>
        <v>1.5882065084413997</v>
      </c>
      <c r="U22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3" s="19">
        <f>IF(Tabela3[[#This Row],[Lucro Líquido]]&gt;0,Tabela3[[#This Row],[Lucro Líquido]]/Tabela3[[#This Row],[Patrimônio Líquido]],0)/Tabela3[[#This Row],[Ref]]*4</f>
        <v>5.7030906489175227E-2</v>
      </c>
      <c r="W2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3" s="19">
        <f>IF(Tabela3[[#This Row],[Dívida]]&gt;0,Tabela3[[#This Row],[Dívida]]/Tabela3[[#This Row],[Patrimônio Líquido]],0)</f>
        <v>5.829267655267179E-3</v>
      </c>
      <c r="Y223" s="19">
        <f>SUMPRODUCT(N([Dívida / PL]&gt;0),N(RIGHT([PAPEL],LEN([PAPEL])-(LEN([PAPEL])-1))="3"),[Dívida / PL])/SUMPRODUCT(N([Dívida / PL]&gt;0),N(RIGHT([PAPEL],LEN([PAPEL])-(LEN([PAPEL])-1))="3"))</f>
        <v>2.2435702141443779</v>
      </c>
      <c r="Z223" s="6">
        <f>Tabela3[[#This Row],[Capital Social]]*20%</f>
        <v>53529398</v>
      </c>
      <c r="AA223" s="6">
        <f>IF(([Lucro Líquido]*5%)&gt;[Teto R. Legal],[Teto R. Legal],[Lucro Líquido]*5%)</f>
        <v>1554850</v>
      </c>
      <c r="AB223" s="6">
        <f>IF([Lucro Líquido]&lt;0,0,[Lucro Líquido]-[Reserva Legal])</f>
        <v>29542150</v>
      </c>
      <c r="AC223" s="6">
        <f>Tabela3[[#This Row],[Lucro Distribuir]]*[%Div]</f>
        <v>7385537.5</v>
      </c>
      <c r="AD223" s="21">
        <f>SUMPRODUCT(N([Nome]=Tabela3[[#This Row],[Nome]]),[Ações])</f>
        <v>84682269</v>
      </c>
      <c r="AE223" s="6">
        <f>[Capital Social]/[Total Ações]</f>
        <v>3.1606024869267495</v>
      </c>
      <c r="AF223" s="77">
        <f>Tabela3[[#This Row],[Lucro Líquido]]/Tabela3[[#This Row],[Total Ações]]</f>
        <v>0.36721973049635692</v>
      </c>
      <c r="AG2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2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2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223" s="6">
        <f>[Div Base]*[Ações]</f>
        <v>5428858.546340825</v>
      </c>
      <c r="AL223" s="6">
        <f>SUMPRODUCT(N([Nome]=Tabela3[[#This Row],[Nome]]),[Div Base]*[Ações])</f>
        <v>7385537.5</v>
      </c>
      <c r="AM223" s="6">
        <f>[Patrimônio Líquido]/[Total Ações]</f>
        <v>8.5852801133611578</v>
      </c>
      <c r="AN223" s="48">
        <f>MAX(Tabela3[[#This Row],[Cotação 1]:[Cotação 5]])</f>
        <v>5.25</v>
      </c>
      <c r="AO223" s="44">
        <f>[Cotação]/[VPA]</f>
        <v>0.61151178886166968</v>
      </c>
      <c r="AP223" s="40">
        <f>IF(Tabela3[[#This Row],[Lucro/Ação]]&gt;0,Tabela3[[#This Row],[Cotação]]/(Tabela3[[#This Row],[Lucro/Ação]]/[Ref]*4),0)</f>
        <v>10.722463073206418</v>
      </c>
      <c r="AQ223" s="77">
        <f>[Lucro Distribuir]/[Total Ações]</f>
        <v>0.3488587439715391</v>
      </c>
      <c r="AR223" s="77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223" s="15" t="str">
        <f>IF(AND([% A.A.]&gt;=5%,SUMPRODUCT(N([Nome]=Tabela3[[#This Row],[Nome]]),[PL])&gt;0,[Rentabilidade s/ PL]&gt;=[Rentabilidade s/ PL Média]),"Sim","Não")</f>
        <v>Não</v>
      </c>
      <c r="AT223" s="42">
        <f>IF([Cotação]&gt;0,Tabela3[[#This Row],[Lucro]]/Tabela3[[#This Row],[Cotação]],0)</f>
        <v>7.2242342558325692E-2</v>
      </c>
      <c r="AU223" s="19">
        <f>((1+Tabela3[[#This Row],[% Yield]])^(1/(3*Tabela3[[#This Row],[Ref]])))^(12)-1</f>
        <v>9.7464812436453885E-2</v>
      </c>
      <c r="AV223" s="14">
        <f>IF([Cotação]&gt;0,($BH$1/Tabela3[[#This Row],[Cotação]]-MOD($BH$1/Tabela3[[#This Row],[Cotação]],100)),)</f>
        <v>100</v>
      </c>
      <c r="AW223" s="17">
        <f>Tabela3[[#This Row],[Ativos]]*[Lucro]</f>
        <v>37.92722984312099</v>
      </c>
      <c r="AX223" s="5">
        <f>SUMPRODUCT(N(Tabela1[Código]=Tabela3[[#This Row],[PAPEL]]),Tabela1[Fechamento])</f>
        <v>5.25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customHeight="1">
      <c r="A224" s="3" t="s">
        <v>1019</v>
      </c>
      <c r="B224" s="58" t="s">
        <v>1044</v>
      </c>
      <c r="C224" s="16" t="str">
        <f>LEFT([PAPEL],LEN([PAPEL])-(LEN([PAPEL])-4))</f>
        <v>JFEN</v>
      </c>
      <c r="D224" s="16">
        <v>3</v>
      </c>
      <c r="E224" s="5">
        <v>840888586.38999999</v>
      </c>
      <c r="F224" s="56">
        <v>177770363</v>
      </c>
      <c r="G224" s="80">
        <v>0.25</v>
      </c>
      <c r="H224" s="86"/>
      <c r="J224" s="18"/>
      <c r="K224" s="16"/>
      <c r="L224" s="86"/>
      <c r="M224" s="54"/>
      <c r="N224" s="54"/>
      <c r="O224" s="54"/>
      <c r="P224" s="90">
        <v>872441000</v>
      </c>
      <c r="Q224" s="73">
        <v>22038000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940405220.26999998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4" s="18">
        <f>IF(Tabela3[[#This Row],[Lucro Líquido]]&gt;0,Tabela3[[#This Row],[Lucro Líquido]]/Tabela3[[#This Row],[Patrimônio Líquido]],0)/Tabela3[[#This Row],[Ref]]*4</f>
        <v>3.3680214478686812E-2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2.2435702141443779</v>
      </c>
      <c r="Z224" s="7">
        <f>Tabela3[[#This Row],[Capital Social]]*20%</f>
        <v>168177717.278</v>
      </c>
      <c r="AA224" s="47">
        <f>IF(([Lucro Líquido]*5%)&gt;[Teto R. Legal],[Teto R. Legal],[Lucro Líquido]*5%)</f>
        <v>1101900</v>
      </c>
      <c r="AB224" s="47">
        <f>IF([Lucro Líquido]&lt;0,0,[Lucro Líquido]-[Reserva Legal])</f>
        <v>20936100</v>
      </c>
      <c r="AC224" s="47">
        <f>Tabela3[[#This Row],[Lucro Distribuir]]*[%Div]</f>
        <v>5234025</v>
      </c>
      <c r="AD224" s="56">
        <f>SUMPRODUCT(N([Nome]=Tabela3[[#This Row],[Nome]]),[Ações])</f>
        <v>177770363</v>
      </c>
      <c r="AE224" s="84">
        <f>[Capital Social]/[Total Ações]</f>
        <v>4.7301955860325267</v>
      </c>
      <c r="AF224" s="84">
        <f>Tabela3[[#This Row],[Lucro Líquido]]/Tabela3[[#This Row],[Total Ações]]</f>
        <v>0.1239689205112328</v>
      </c>
      <c r="AG2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24" s="7">
        <f>[Div Base]*[Ações]</f>
        <v>5234025</v>
      </c>
      <c r="AL224" s="113">
        <f>SUMPRODUCT(N([Nome]=Tabela3[[#This Row],[Nome]]),[Div Base]*[Ações])</f>
        <v>5234025</v>
      </c>
      <c r="AM224" s="5">
        <f>[Patrimônio Líquido]/[Total Ações]</f>
        <v>4.9076853153525937</v>
      </c>
      <c r="AN224" s="52">
        <f>MAX(Tabela3[[#This Row],[Cotação 1]:[Cotação 5]])</f>
        <v>5.29</v>
      </c>
      <c r="AO224" s="53">
        <f>[Cotação]/[VPA]</f>
        <v>1.077901222283226</v>
      </c>
      <c r="AP224" s="37">
        <f>IF(Tabela3[[#This Row],[Lucro/Ação]]&gt;0,Tabela3[[#This Row],[Cotação]]/(Tabela3[[#This Row],[Lucro/Ação]]/[Ref]*4),0)</f>
        <v>32.003989255036757</v>
      </c>
      <c r="AQ224" s="84">
        <f>[Lucro Distribuir]/[Total Ações]</f>
        <v>0.11777047448567116</v>
      </c>
      <c r="AR224" s="84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5.565712404804875E-3</v>
      </c>
      <c r="AU224" s="22">
        <f>((1+Tabela3[[#This Row],[% Yield]])^(1/(3*Tabela3[[#This Row],[Ref]])))^(12)-1</f>
        <v>7.4278251908159731E-3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2.9442618621417789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5.29</v>
      </c>
      <c r="BB224" s="7">
        <f>SUMPRODUCT(N(Tabela17683[Código]=Tabela3[[#This Row],[PAPEL]]),Tabela17683[Fechamento])</f>
        <v>0</v>
      </c>
    </row>
    <row r="225" spans="1:54" ht="11.25" customHeight="1">
      <c r="A225" s="4" t="s">
        <v>12</v>
      </c>
      <c r="B225" s="57" t="s">
        <v>2</v>
      </c>
      <c r="C225" s="15" t="str">
        <f>LEFT([PAPEL],LEN([PAPEL])-(LEN([PAPEL])-4))</f>
        <v>ELET</v>
      </c>
      <c r="D225" s="15">
        <v>3</v>
      </c>
      <c r="E225" s="6">
        <v>31305331463.740002</v>
      </c>
      <c r="F225" s="8">
        <v>1087050297</v>
      </c>
      <c r="G225" s="85">
        <v>0.25</v>
      </c>
      <c r="H225" s="15"/>
      <c r="I225" s="19"/>
      <c r="J225" s="19"/>
      <c r="K225" s="87"/>
      <c r="L225" s="87"/>
      <c r="M225" s="55"/>
      <c r="N225" s="55"/>
      <c r="O225" s="55"/>
      <c r="P225" s="88">
        <v>65493746000</v>
      </c>
      <c r="Q225" s="88">
        <v>-787071000</v>
      </c>
      <c r="R225" s="88">
        <f>IF(Tabela3[[#This Row],[Ativo || Passivo]]&gt;0,Tabela3[[#This Row],[Ativo || Passivo]]-Tabela3[[#This Row],[Patrimônio Líquido]],0)</f>
        <v>0</v>
      </c>
      <c r="S225" s="88">
        <f>Tabela3[[#This Row],[Cotação]]*Tabela3[[#This Row],[Total Ações]]</f>
        <v>7236592434.999999</v>
      </c>
      <c r="T225" s="121">
        <f>IF(Tabela3[[#This Row],[Passivo Circulante]]&gt;0,Tabela3[[#This Row],[Ativo Circulante]]/Tabela3[[#This Row],[Passivo Circulante]],0)</f>
        <v>0</v>
      </c>
      <c r="U22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5" s="19">
        <f>IF(Tabela3[[#This Row],[Lucro Líquido]]&gt;0,Tabela3[[#This Row],[Lucro Líquido]]/Tabela3[[#This Row],[Patrimônio Líquido]],0)/Tabela3[[#This Row],[Ref]]*4</f>
        <v>0</v>
      </c>
      <c r="W2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5" s="19">
        <f>IF(Tabela3[[#This Row],[Dívida]]&gt;0,Tabela3[[#This Row],[Dívida]]/Tabela3[[#This Row],[Patrimônio Líquido]],0)</f>
        <v>0</v>
      </c>
      <c r="Y225" s="19">
        <f>SUMPRODUCT(N([Dívida / PL]&gt;0),N(RIGHT([PAPEL],LEN([PAPEL])-(LEN([PAPEL])-1))="3"),[Dívida / PL])/SUMPRODUCT(N([Dívida / PL]&gt;0),N(RIGHT([PAPEL],LEN([PAPEL])-(LEN([PAPEL])-1))="3"))</f>
        <v>2.2435702141443779</v>
      </c>
      <c r="Z225" s="6">
        <f>Tabela3[[#This Row],[Capital Social]]*20%</f>
        <v>6261066292.7480011</v>
      </c>
      <c r="AA225" s="6">
        <f>IF(([Lucro Líquido]*5%)&gt;[Teto R. Legal],[Teto R. Legal],[Lucro Líquido]*5%)</f>
        <v>-39353550</v>
      </c>
      <c r="AB225" s="88">
        <f>IF([Lucro Líquido]&lt;0,0,[Lucro Líquido]-[Reserva Legal])</f>
        <v>0</v>
      </c>
      <c r="AC225" s="88">
        <f>Tabela3[[#This Row],[Lucro Distribuir]]*[%Div]</f>
        <v>0</v>
      </c>
      <c r="AD225" s="56">
        <f>SUMPRODUCT(N([Nome]=Tabela3[[#This Row],[Nome]]),[Ações])</f>
        <v>1352634100</v>
      </c>
      <c r="AE225" s="6">
        <f>[Capital Social]/[Total Ações]</f>
        <v>23.143976234031069</v>
      </c>
      <c r="AF225" s="77">
        <f>Tabela3[[#This Row],[Lucro Líquido]]/Tabela3[[#This Row],[Total Ações]]</f>
        <v>-0.58188019953067871</v>
      </c>
      <c r="AG2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6">
        <f>[Div Base]*[Ações]</f>
        <v>0</v>
      </c>
      <c r="AL225" s="6">
        <f>SUMPRODUCT(N([Nome]=Tabela3[[#This Row],[Nome]]),[Div Base]*[Ações])</f>
        <v>0</v>
      </c>
      <c r="AM225" s="6">
        <f>[Patrimônio Líquido]/[Total Ações]</f>
        <v>48.419410689113931</v>
      </c>
      <c r="AN225" s="11">
        <f>MAX(Tabela3[[#This Row],[Cotação 1]:[Cotação 5]])</f>
        <v>5.35</v>
      </c>
      <c r="AO225" s="9">
        <f>[Cotação]/[VPA]</f>
        <v>0.11049287721303953</v>
      </c>
      <c r="AP225" s="36">
        <f>IF(Tabela3[[#This Row],[Lucro/Ação]]&gt;0,Tabela3[[#This Row],[Cotação]]/(Tabela3[[#This Row],[Lucro/Ação]]/[Ref]*4),0)</f>
        <v>0</v>
      </c>
      <c r="AQ225" s="77">
        <f>[Lucro Distribuir]/[Total Ações]</f>
        <v>0</v>
      </c>
      <c r="AR22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4" t="str">
        <f>IF(AND([% A.A.]&gt;=5%,SUMPRODUCT(N([Nome]=Tabela3[[#This Row],[Nome]]),[PL])&gt;0,[Rentabilidade s/ PL]&gt;=[Rentabilidade s/ PL Média]),"Sim","Não")</f>
        <v>Não</v>
      </c>
      <c r="AT225" s="19">
        <f>IF([Cotação]&gt;0,Tabela3[[#This Row],[Lucro]]/Tabela3[[#This Row],[Cotação]],0)</f>
        <v>0</v>
      </c>
      <c r="AU225" s="19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100</v>
      </c>
      <c r="AW225" s="5">
        <f>Tabela3[[#This Row],[Ativos]]*[Lucro]</f>
        <v>0</v>
      </c>
      <c r="AX225" s="5">
        <f>SUMPRODUCT(N(Tabela1[Código]=Tabela3[[#This Row],[PAPEL]]),Tabela1[Fechamento])</f>
        <v>5.35</v>
      </c>
      <c r="AY225" s="5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</v>
      </c>
      <c r="BB225" s="7">
        <f>SUMPRODUCT(N(Tabela17683[Código]=Tabela3[[#This Row],[PAPEL]]),Tabela17683[Fechamento])</f>
        <v>0</v>
      </c>
    </row>
    <row r="226" spans="1:54" ht="11.25" customHeight="1">
      <c r="A226" s="4" t="s">
        <v>37</v>
      </c>
      <c r="B226" s="57" t="s">
        <v>66</v>
      </c>
      <c r="C226" s="14" t="str">
        <f>LEFT([PAPEL],LEN([PAPEL])-(LEN([PAPEL])-4))</f>
        <v>SAPR</v>
      </c>
      <c r="D226" s="15">
        <v>4</v>
      </c>
      <c r="E226" s="6">
        <v>2597359806</v>
      </c>
      <c r="F226" s="8">
        <v>186783336</v>
      </c>
      <c r="G226" s="85">
        <v>0.25</v>
      </c>
      <c r="H226" s="15"/>
      <c r="I226" s="19"/>
      <c r="J226" s="19">
        <v>0.1</v>
      </c>
      <c r="K226" s="87"/>
      <c r="L226" s="87"/>
      <c r="M226" s="55">
        <v>6748027000</v>
      </c>
      <c r="N226" s="55">
        <v>601122000</v>
      </c>
      <c r="O226" s="55">
        <v>544102000</v>
      </c>
      <c r="P226" s="6">
        <v>3566842000</v>
      </c>
      <c r="Q226" s="6">
        <v>402904000</v>
      </c>
      <c r="R226" s="6">
        <f>IF(Tabela3[[#This Row],[Ativo || Passivo]]&gt;0,Tabela3[[#This Row],[Ativo || Passivo]]-Tabela3[[#This Row],[Patrimônio Líquido]],0)</f>
        <v>3181185000</v>
      </c>
      <c r="S226" s="6">
        <f>Tabela3[[#This Row],[Cotação]]*Tabela3[[#This Row],[Total Ações]]</f>
        <v>2568982910.3399997</v>
      </c>
      <c r="T226" s="121">
        <f>IF(Tabela3[[#This Row],[Passivo Circulante]]&gt;0,Tabela3[[#This Row],[Ativo Circulante]]/Tabela3[[#This Row],[Passivo Circulante]],0)</f>
        <v>1.1047965271217528</v>
      </c>
      <c r="U22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6" s="19">
        <f>IF(Tabela3[[#This Row],[Lucro Líquido]]&gt;0,Tabela3[[#This Row],[Lucro Líquido]]/Tabela3[[#This Row],[Patrimônio Líquido]],0)/Tabela3[[#This Row],[Ref]]*4</f>
        <v>0.11295818542004384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6" s="19">
        <f>IF(Tabela3[[#This Row],[Dívida]]&gt;0,Tabela3[[#This Row],[Dívida]]/Tabela3[[#This Row],[Patrimônio Líquido]],0)</f>
        <v>0.89187718435523633</v>
      </c>
      <c r="Y226" s="19">
        <f>SUMPRODUCT(N([Dívida / PL]&gt;0),N(RIGHT([PAPEL],LEN([PAPEL])-(LEN([PAPEL])-1))="3"),[Dívida / PL])/SUMPRODUCT(N([Dívida / PL]&gt;0),N(RIGHT([PAPEL],LEN([PAPEL])-(LEN([PAPEL])-1))="3"))</f>
        <v>2.2435702141443779</v>
      </c>
      <c r="Z226" s="6">
        <f>Tabela3[[#This Row],[Capital Social]]*20%</f>
        <v>519471961.20000005</v>
      </c>
      <c r="AA226" s="6">
        <f>IF(([Lucro Líquido]*5%)&gt;[Teto R. Legal],[Teto R. Legal],[Lucro Líquido]*5%)</f>
        <v>20145200</v>
      </c>
      <c r="AB226" s="6">
        <f>IF([Lucro Líquido]&lt;0,0,[Lucro Líquido]-[Reserva Legal])</f>
        <v>382758800</v>
      </c>
      <c r="AC226" s="6">
        <f>Tabela3[[#This Row],[Lucro Distribuir]]*[%Div]</f>
        <v>95689700</v>
      </c>
      <c r="AD226" s="21">
        <f>SUMPRODUCT(N([Nome]=Tabela3[[#This Row],[Nome]]),[Ações])</f>
        <v>476620206</v>
      </c>
      <c r="AE226" s="6">
        <f>[Capital Social]/[Total Ações]</f>
        <v>5.4495377520775943</v>
      </c>
      <c r="AF226" s="77">
        <f>Tabela3[[#This Row],[Lucro Líquido]]/Tabela3[[#This Row],[Total Ações]]</f>
        <v>0.84533554164927704</v>
      </c>
      <c r="AG2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2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226" s="6">
        <f>[Div Base]*[Ações]</f>
        <v>39966519.163588628</v>
      </c>
      <c r="AL226" s="6">
        <f>SUMPRODUCT(N([Nome]=Tabela3[[#This Row],[Nome]]),[Div Base]*[Ações])</f>
        <v>96345749.537082076</v>
      </c>
      <c r="AM226" s="6">
        <f>[Patrimônio Líquido]/[Total Ações]</f>
        <v>7.4836147420908965</v>
      </c>
      <c r="AN226" s="48">
        <f>MAX(Tabela3[[#This Row],[Cotação 1]:[Cotação 5]])</f>
        <v>5.39</v>
      </c>
      <c r="AO226" s="44">
        <f>[Cotação]/[VPA]</f>
        <v>0.72024017613900471</v>
      </c>
      <c r="AP226" s="40">
        <f>IF(Tabela3[[#This Row],[Lucro/Ação]]&gt;0,Tabela3[[#This Row],[Cotação]]/(Tabela3[[#This Row],[Lucro/Ação]]/[Ref]*4),0)</f>
        <v>6.3761663084506477</v>
      </c>
      <c r="AQ226" s="77">
        <f>[Lucro Distribuir]/[Total Ações]</f>
        <v>0.8030687645668132</v>
      </c>
      <c r="AR226" s="77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3.9698073602946263E-2</v>
      </c>
      <c r="AU226" s="19">
        <f>((1+Tabela3[[#This Row],[% Yield]])^(1/(3*Tabela3[[#This Row],[Ref]])))^(12)-1</f>
        <v>3.9698073602947526E-2</v>
      </c>
      <c r="AV226" s="14">
        <f>IF([Cotação]&gt;0,($BH$1/Tabela3[[#This Row],[Cotação]]-MOD($BH$1/Tabela3[[#This Row],[Cotação]],100)),)</f>
        <v>100</v>
      </c>
      <c r="AW226" s="17">
        <f>Tabela3[[#This Row],[Ativos]]*[Lucro]</f>
        <v>21.397261671988037</v>
      </c>
      <c r="AX226" s="5">
        <f>SUMPRODUCT(N(Tabela1[Código]=Tabela3[[#This Row],[PAPEL]]),Tabela1[Fechamento])</f>
        <v>5.39</v>
      </c>
      <c r="AY226" s="5">
        <f>SUMPRODUCT(N(Tabela17[Código]=Tabela3[[#This Row],[PAPEL]]),Tabela17[Fechamento])</f>
        <v>0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t="11.25" customHeight="1">
      <c r="A227" s="4" t="s">
        <v>12</v>
      </c>
      <c r="B227" s="57" t="s">
        <v>164</v>
      </c>
      <c r="C227" s="14" t="str">
        <f>LEFT([PAPEL],LEN([PAPEL])-(LEN([PAPEL])-4))</f>
        <v>EMAE</v>
      </c>
      <c r="D227" s="15">
        <v>3</v>
      </c>
      <c r="E227" s="5">
        <v>285411308.35000002</v>
      </c>
      <c r="F227" s="8">
        <v>22241714</v>
      </c>
      <c r="G227" s="85">
        <v>0.25</v>
      </c>
      <c r="H227" s="15"/>
      <c r="I227" s="19"/>
      <c r="J227" s="19">
        <v>0.1</v>
      </c>
      <c r="K227" s="87"/>
      <c r="L227" s="87"/>
      <c r="M227" s="55"/>
      <c r="N227" s="55"/>
      <c r="O227" s="55"/>
      <c r="P227" s="88">
        <v>672379000</v>
      </c>
      <c r="Q227" s="88">
        <v>25747000</v>
      </c>
      <c r="R227" s="88">
        <f>IF(Tabela3[[#This Row],[Ativo || Passivo]]&gt;0,Tabela3[[#This Row],[Ativo || Passivo]]-Tabela3[[#This Row],[Patrimônio Líquido]],0)</f>
        <v>0</v>
      </c>
      <c r="S227" s="88">
        <f>Tabela3[[#This Row],[Cotação]]*Tabela3[[#This Row],[Total Ações]]</f>
        <v>202839491.16</v>
      </c>
      <c r="T227" s="121">
        <f>IF(Tabela3[[#This Row],[Passivo Circulante]]&gt;0,Tabela3[[#This Row],[Ativo Circulante]]/Tabela3[[#This Row],[Passivo Circulante]],0)</f>
        <v>0</v>
      </c>
      <c r="U22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7" s="19">
        <f>IF(Tabela3[[#This Row],[Lucro Líquido]]&gt;0,Tabela3[[#This Row],[Lucro Líquido]]/Tabela3[[#This Row],[Patrimônio Líquido]],0)/Tabela3[[#This Row],[Ref]]*4</f>
        <v>5.1056522189618259E-2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7" s="19">
        <f>IF(Tabela3[[#This Row],[Dívida]]&gt;0,Tabela3[[#This Row],[Dívida]]/Tabela3[[#This Row],[Patrimônio Líquido]],0)</f>
        <v>0</v>
      </c>
      <c r="Y227" s="19">
        <f>SUMPRODUCT(N([Dívida / PL]&gt;0),N(RIGHT([PAPEL],LEN([PAPEL])-(LEN([PAPEL])-1))="3"),[Dívida / PL])/SUMPRODUCT(N([Dívida / PL]&gt;0),N(RIGHT([PAPEL],LEN([PAPEL])-(LEN([PAPEL])-1))="3"))</f>
        <v>2.2435702141443779</v>
      </c>
      <c r="Z227" s="6">
        <f>Tabela3[[#This Row],[Capital Social]]*20%</f>
        <v>57082261.670000009</v>
      </c>
      <c r="AA227" s="6">
        <f>IF(([Lucro Líquido]*5%)&gt;[Teto R. Legal],[Teto R. Legal],[Lucro Líquido]*5%)</f>
        <v>1287350</v>
      </c>
      <c r="AB227" s="88">
        <f>IF([Lucro Líquido]&lt;0,0,[Lucro Líquido]-[Reserva Legal])</f>
        <v>24459650</v>
      </c>
      <c r="AC227" s="88">
        <f>Tabela3[[#This Row],[Lucro Distribuir]]*[%Div]</f>
        <v>6114912.5</v>
      </c>
      <c r="AD227" s="56">
        <f>SUMPRODUCT(N([Nome]=Tabela3[[#This Row],[Nome]]),[Ações])</f>
        <v>36947084</v>
      </c>
      <c r="AE227" s="6">
        <f>[Capital Social]/[Total Ações]</f>
        <v>7.7248669570242683</v>
      </c>
      <c r="AF227" s="77">
        <f>Tabela3[[#This Row],[Lucro Líquido]]/Tabela3[[#This Row],[Total Ações]]</f>
        <v>0.69686148979984452</v>
      </c>
      <c r="AG2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27" s="6">
        <f>[Div Base]*[Ações]</f>
        <v>3923230.1476216028</v>
      </c>
      <c r="AL227" s="6">
        <f>SUMPRODUCT(N([Nome]=Tabela3[[#This Row],[Nome]]),[Div Base]*[Ações])</f>
        <v>6281311.6105919778</v>
      </c>
      <c r="AM227" s="6">
        <f>[Patrimônio Líquido]/[Total Ações]</f>
        <v>18.198432114426133</v>
      </c>
      <c r="AN227" s="48">
        <f>MAX(Tabela3[[#This Row],[Cotação 1]:[Cotação 5]])</f>
        <v>5.49</v>
      </c>
      <c r="AO227" s="44">
        <f>[Cotação]/[VPA]</f>
        <v>0.30167434015637018</v>
      </c>
      <c r="AP227" s="40">
        <f>IF(Tabela3[[#This Row],[Lucro/Ação]]&gt;0,Tabela3[[#This Row],[Cotação]]/(Tabela3[[#This Row],[Lucro/Ação]]/[Ref]*4),0)</f>
        <v>5.9086347290946524</v>
      </c>
      <c r="AQ227" s="77">
        <f>[Lucro Distribuir]/[Total Ações]</f>
        <v>0.66201841530985228</v>
      </c>
      <c r="AR227" s="77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3.2129442462965264E-2</v>
      </c>
      <c r="AU227" s="19">
        <f>((1+Tabela3[[#This Row],[% Yield]])^(1/(3*Tabela3[[#This Row],[Ref]])))^(12)-1</f>
        <v>4.3067040524799705E-2</v>
      </c>
      <c r="AV227" s="14">
        <f>IF([Cotação]&gt;0,($BH$1/Tabela3[[#This Row],[Cotação]]-MOD($BH$1/Tabela3[[#This Row],[Cotação]],100)),)</f>
        <v>100</v>
      </c>
      <c r="AW227" s="17">
        <f>Tabela3[[#This Row],[Ativos]]*[Lucro]</f>
        <v>17.639063912167931</v>
      </c>
      <c r="AX227" s="5">
        <f>SUMPRODUCT(N(Tabela1[Código]=Tabela3[[#This Row],[PAPEL]]),Tabela1[Fechamento])</f>
        <v>5.49</v>
      </c>
      <c r="AY227" s="5">
        <f>SUMPRODUCT(N(Tabela17[Código]=Tabela3[[#This Row],[PAPEL]]),Tabela17[Fechamento])</f>
        <v>0</v>
      </c>
      <c r="AZ227" s="7">
        <f>SUMPRODUCT(N(Tabela176[Código]=Tabela3[[#This Row],[PAPEL]]),Tabela176[Fechamento])</f>
        <v>0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customHeight="1">
      <c r="A228" s="3" t="s">
        <v>876</v>
      </c>
      <c r="B228" s="58" t="s">
        <v>921</v>
      </c>
      <c r="C228" s="16" t="str">
        <f>LEFT([PAPEL],LEN([PAPEL])-(LEN([PAPEL])-4))</f>
        <v>DOHL</v>
      </c>
      <c r="D228" s="16">
        <v>3</v>
      </c>
      <c r="E228" s="5">
        <v>150000000</v>
      </c>
      <c r="F228" s="56">
        <v>36311880</v>
      </c>
      <c r="G228" s="80">
        <v>0.25</v>
      </c>
      <c r="H228" s="86"/>
      <c r="J228" s="18"/>
      <c r="K228" s="16"/>
      <c r="L228" s="86"/>
      <c r="M228" s="54"/>
      <c r="N228" s="54"/>
      <c r="O228" s="54"/>
      <c r="P228" s="90">
        <v>439187000</v>
      </c>
      <c r="Q228" s="73">
        <v>27944000</v>
      </c>
      <c r="R228" s="73">
        <f>IF(Tabela3[[#This Row],[Ativo || Passivo]]&gt;0,Tabela3[[#This Row],[Ativo || Passivo]]-Tabela3[[#This Row],[Patrimônio Líquido]],0)</f>
        <v>0</v>
      </c>
      <c r="S228" s="73">
        <f>Tabela3[[#This Row],[Cotação]]*Tabela3[[#This Row],[Total Ações]]</f>
        <v>277366045</v>
      </c>
      <c r="T228" s="37">
        <f>IF(Tabela3[[#This Row],[Passivo Circulante]]&gt;0,Tabela3[[#This Row],[Ativo Circulante]]/Tabela3[[#This Row],[Passivo Circulante]],0)</f>
        <v>0</v>
      </c>
      <c r="U22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8" s="18">
        <f>IF(Tabela3[[#This Row],[Lucro Líquido]]&gt;0,Tabela3[[#This Row],[Lucro Líquido]]/Tabela3[[#This Row],[Patrimônio Líquido]],0)/Tabela3[[#This Row],[Ref]]*4</f>
        <v>8.483554082125988E-2</v>
      </c>
      <c r="W2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8" s="18">
        <f>IF(Tabela3[[#This Row],[Dívida]]&gt;0,Tabela3[[#This Row],[Dívida]]/Tabela3[[#This Row],[Patrimônio Líquido]],0)</f>
        <v>0</v>
      </c>
      <c r="Y228" s="18">
        <f>SUMPRODUCT(N([Dívida / PL]&gt;0),N(RIGHT([PAPEL],LEN([PAPEL])-(LEN([PAPEL])-1))="3"),[Dívida / PL])/SUMPRODUCT(N([Dívida / PL]&gt;0),N(RIGHT([PAPEL],LEN([PAPEL])-(LEN([PAPEL])-1))="3"))</f>
        <v>2.2435702141443779</v>
      </c>
      <c r="Z228" s="7">
        <f>Tabela3[[#This Row],[Capital Social]]*20%</f>
        <v>30000000</v>
      </c>
      <c r="AA228" s="47">
        <f>IF(([Lucro Líquido]*5%)&gt;[Teto R. Legal],[Teto R. Legal],[Lucro Líquido]*5%)</f>
        <v>1397200</v>
      </c>
      <c r="AB228" s="47">
        <f>IF([Lucro Líquido]&lt;0,0,[Lucro Líquido]-[Reserva Legal])</f>
        <v>26546800</v>
      </c>
      <c r="AC228" s="47">
        <f>Tabela3[[#This Row],[Lucro Distribuir]]*[%Div]</f>
        <v>6636700</v>
      </c>
      <c r="AD228" s="56">
        <f>SUMPRODUCT(N([Nome]=Tabela3[[#This Row],[Nome]]),[Ações])</f>
        <v>50430190</v>
      </c>
      <c r="AE228" s="84">
        <f>[Capital Social]/[Total Ações]</f>
        <v>2.9744087817238047</v>
      </c>
      <c r="AF228" s="84">
        <f>Tabela3[[#This Row],[Lucro Líquido]]/Tabela3[[#This Row],[Total Ações]]</f>
        <v>0.55411252664326671</v>
      </c>
      <c r="AG22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22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228" s="7">
        <f>[Div Base]*[Ações]</f>
        <v>4630022.3321308633</v>
      </c>
      <c r="AL228" s="7">
        <f>SUMPRODUCT(N([Nome]=Tabela3[[#This Row],[Nome]]),[Div Base]*[Ações])</f>
        <v>6610225.498412624</v>
      </c>
      <c r="AM228" s="5">
        <f>[Patrimônio Líquido]/[Total Ações]</f>
        <v>8.7088111307928848</v>
      </c>
      <c r="AN228" s="52">
        <f>MAX(Tabela3[[#This Row],[Cotação 1]:[Cotação 5]])</f>
        <v>5.5</v>
      </c>
      <c r="AO228" s="53">
        <f>[Cotação]/[VPA]</f>
        <v>0.63154429662080158</v>
      </c>
      <c r="AP228" s="37">
        <f>IF(Tabela3[[#This Row],[Lucro/Ação]]&gt;0,Tabela3[[#This Row],[Cotação]]/(Tabela3[[#This Row],[Lucro/Ação]]/[Ref]*4),0)</f>
        <v>7.4443363065416541</v>
      </c>
      <c r="AQ228" s="84">
        <f>[Lucro Distribuir]/[Total Ações]</f>
        <v>0.52640690031110338</v>
      </c>
      <c r="AR228" s="84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228" s="10" t="str">
        <f>IF(AND([% A.A.]&gt;=5%,SUMPRODUCT(N([Nome]=Tabela3[[#This Row],[Nome]]),[PL])&gt;0,[Rentabilidade s/ PL]&gt;=[Rentabilidade s/ PL Média]),"Sim","Não")</f>
        <v>Não</v>
      </c>
      <c r="AT228" s="22">
        <f>IF([Cotação]&gt;0,Tabela3[[#This Row],[Lucro]]/Tabela3[[#This Row],[Cotação]],0)</f>
        <v>2.318310817852481E-2</v>
      </c>
      <c r="AU228" s="22">
        <f>((1+Tabela3[[#This Row],[% Yield]])^(1/(3*Tabela3[[#This Row],[Ref]])))^(12)-1</f>
        <v>3.1029636250386128E-2</v>
      </c>
      <c r="AV228" s="10">
        <f>IF([Cotação]&gt;0,($BH$1/Tabela3[[#This Row],[Cotação]]-MOD($BH$1/Tabela3[[#This Row],[Cotação]],100)),)</f>
        <v>100</v>
      </c>
      <c r="AW228" s="7">
        <f>Tabela3[[#This Row],[Ativos]]*[Lucro]</f>
        <v>12.750709498188645</v>
      </c>
      <c r="AX228" s="7">
        <f>SUMPRODUCT(N(Tabela1[Código]=Tabela3[[#This Row],[PAPEL]]),Tabela1[Fechamento])</f>
        <v>0</v>
      </c>
      <c r="AY228" s="7">
        <f>SUMPRODUCT(N(Tabela17[Código]=Tabela3[[#This Row],[PAPEL]]),Tabela17[Fechamento])</f>
        <v>0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5.5</v>
      </c>
      <c r="BB228" s="7">
        <f>SUMPRODUCT(N(Tabela17683[Código]=Tabela3[[#This Row],[PAPEL]]),Tabela17683[Fechamento])</f>
        <v>0</v>
      </c>
    </row>
    <row r="229" spans="1:54" ht="11.25" customHeight="1">
      <c r="A229" s="4" t="s">
        <v>12</v>
      </c>
      <c r="B229" s="57" t="s">
        <v>430</v>
      </c>
      <c r="C229" s="15" t="str">
        <f>LEFT([PAPEL],LEN([PAPEL])-(LEN([PAPEL])-4))</f>
        <v>AFLU</v>
      </c>
      <c r="D229" s="15">
        <v>3</v>
      </c>
      <c r="E229" s="6">
        <v>30916200</v>
      </c>
      <c r="F229" s="8">
        <v>10930451</v>
      </c>
      <c r="G229" s="80">
        <v>0.25</v>
      </c>
      <c r="H229" s="15"/>
      <c r="I229" s="19"/>
      <c r="J229" s="19"/>
      <c r="K229" s="87"/>
      <c r="L229" s="87"/>
      <c r="M229" s="55">
        <v>47076000</v>
      </c>
      <c r="N229" s="55">
        <v>6105000</v>
      </c>
      <c r="O229" s="55">
        <v>5255000</v>
      </c>
      <c r="P229" s="88">
        <v>41755000</v>
      </c>
      <c r="Q229" s="88">
        <v>6373000</v>
      </c>
      <c r="R229" s="88">
        <f>IF(Tabela3[[#This Row],[Ativo || Passivo]]&gt;0,Tabela3[[#This Row],[Ativo || Passivo]]-Tabela3[[#This Row],[Patrimônio Líquido]],0)</f>
        <v>5321000</v>
      </c>
      <c r="S229" s="88">
        <f>Tabela3[[#This Row],[Cotação]]*Tabela3[[#This Row],[Total Ações]]</f>
        <v>104438412.59999999</v>
      </c>
      <c r="T229" s="121">
        <f>IF(Tabela3[[#This Row],[Passivo Circulante]]&gt;0,Tabela3[[#This Row],[Ativo Circulante]]/Tabela3[[#This Row],[Passivo Circulante]],0)</f>
        <v>1.1617507136060894</v>
      </c>
      <c r="U22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29" s="19">
        <f>IF(Tabela3[[#This Row],[Lucro Líquido]]&gt;0,Tabela3[[#This Row],[Lucro Líquido]]/Tabela3[[#This Row],[Patrimônio Líquido]],0)/Tabela3[[#This Row],[Ref]]*4</f>
        <v>0.2035045703109408</v>
      </c>
      <c r="W22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29" s="19">
        <f>IF(Tabela3[[#This Row],[Dívida]]&gt;0,Tabela3[[#This Row],[Dívida]]/Tabela3[[#This Row],[Patrimônio Líquido]],0)</f>
        <v>0.12743384025865165</v>
      </c>
      <c r="Y229" s="19">
        <f>SUMPRODUCT(N([Dívida / PL]&gt;0),N(RIGHT([PAPEL],LEN([PAPEL])-(LEN([PAPEL])-1))="3"),[Dívida / PL])/SUMPRODUCT(N([Dívida / PL]&gt;0),N(RIGHT([PAPEL],LEN([PAPEL])-(LEN([PAPEL])-1))="3"))</f>
        <v>2.2435702141443779</v>
      </c>
      <c r="Z229" s="13">
        <f>Tabela3[[#This Row],[Capital Social]]*20%</f>
        <v>6183240</v>
      </c>
      <c r="AA229" s="13">
        <f>IF(([Lucro Líquido]*5%)&gt;[Teto R. Legal],[Teto R. Legal],[Lucro Líquido]*5%)</f>
        <v>318650</v>
      </c>
      <c r="AB229" s="88">
        <f>IF([Lucro Líquido]&lt;0,0,[Lucro Líquido]-[Reserva Legal])</f>
        <v>6054350</v>
      </c>
      <c r="AC229" s="88">
        <f>Tabela3[[#This Row],[Lucro Distribuir]]*[%Div]</f>
        <v>1513587.5</v>
      </c>
      <c r="AD229" s="56">
        <f>SUMPRODUCT(N([Nome]=Tabela3[[#This Row],[Nome]]),[Ações])</f>
        <v>18817732</v>
      </c>
      <c r="AE229" s="6">
        <f>[Capital Social]/[Total Ações]</f>
        <v>1.6429291266343893</v>
      </c>
      <c r="AF229" s="77">
        <f>Tabela3[[#This Row],[Lucro Líquido]]/Tabela3[[#This Row],[Total Ações]]</f>
        <v>0.33866993110540633</v>
      </c>
      <c r="AG2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2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2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229" s="13">
        <f>[Div Base]*[Ações]</f>
        <v>772866.53383816651</v>
      </c>
      <c r="AL229" s="13">
        <f>SUMPRODUCT(N([Nome]=Tabela3[[#This Row],[Nome]]),[Div Base]*[Ações])</f>
        <v>1513587.5</v>
      </c>
      <c r="AM229" s="6">
        <f>[Patrimônio Líquido]/[Total Ações]</f>
        <v>2.2189177739379007</v>
      </c>
      <c r="AN229" s="48">
        <f>MAX(Tabela3[[#This Row],[Cotação 1]:[Cotação 5]])</f>
        <v>5.55</v>
      </c>
      <c r="AO229" s="44">
        <f>[Cotação]/[VPA]</f>
        <v>2.5012193174470121</v>
      </c>
      <c r="AP229" s="40">
        <f>IF(Tabela3[[#This Row],[Lucro/Ação]]&gt;0,Tabela3[[#This Row],[Cotação]]/(Tabela3[[#This Row],[Lucro/Ação]]/[Ref]*4),0)</f>
        <v>12.290727985250275</v>
      </c>
      <c r="AQ229" s="77">
        <f>[Lucro Distribuir]/[Total Ações]</f>
        <v>0.32173643455013601</v>
      </c>
      <c r="AR229" s="77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229" s="14" t="str">
        <f>IF(AND([% A.A.]&gt;=5%,SUMPRODUCT(N([Nome]=Tabela3[[#This Row],[Nome]]),[PL])&gt;0,[Rentabilidade s/ PL]&gt;=[Rentabilidade s/ PL Média]),"Sim","Não")</f>
        <v>Não</v>
      </c>
      <c r="AT229" s="42">
        <f>IF([Cotação]&gt;0,Tabela3[[#This Row],[Lucro]]/Tabela3[[#This Row],[Cotação]],0)</f>
        <v>1.2740117614743633E-2</v>
      </c>
      <c r="AU229" s="42">
        <f>((1+Tabela3[[#This Row],[% Yield]])^(1/(3*Tabela3[[#This Row],[Ref]])))^(12)-1</f>
        <v>1.7022790929911435E-2</v>
      </c>
      <c r="AV229" s="14">
        <f>IF([Cotação]&gt;0,($BH$1/Tabela3[[#This Row],[Cotação]]-MOD($BH$1/Tabela3[[#This Row],[Cotação]],100)),)</f>
        <v>100</v>
      </c>
      <c r="AW229" s="17">
        <f>Tabela3[[#This Row],[Ativos]]*[Lucro]</f>
        <v>7.0707652761827164</v>
      </c>
      <c r="AX229" s="17">
        <f>SUMPRODUCT(N(Tabela1[Código]=Tabela3[[#This Row],[PAPEL]]),Tabela1[Fechamento])</f>
        <v>0</v>
      </c>
      <c r="AY229" s="17">
        <f>SUMPRODUCT(N(Tabela17[Código]=Tabela3[[#This Row],[PAPEL]]),Tabela17[Fechamento])</f>
        <v>5.55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0</v>
      </c>
      <c r="BB229" s="7">
        <f>SUMPRODUCT(N(Tabela17683[Código]=Tabela3[[#This Row],[PAPEL]]),Tabela17683[Fechamento])</f>
        <v>0</v>
      </c>
    </row>
    <row r="230" spans="1:54" ht="11.25" customHeight="1">
      <c r="A230" s="4" t="s">
        <v>14</v>
      </c>
      <c r="B230" s="57" t="s">
        <v>191</v>
      </c>
      <c r="C230" s="14" t="str">
        <f>LEFT([PAPEL],LEN([PAPEL])-(LEN([PAPEL])-4))</f>
        <v>BRIV</v>
      </c>
      <c r="D230" s="15">
        <v>3</v>
      </c>
      <c r="E230" s="6">
        <v>524000000</v>
      </c>
      <c r="F230" s="8">
        <v>36275493</v>
      </c>
      <c r="G230" s="80">
        <v>0.25</v>
      </c>
      <c r="H230" s="15"/>
      <c r="I230" s="19">
        <v>0.06</v>
      </c>
      <c r="J230" s="19"/>
      <c r="K230" s="87"/>
      <c r="L230" s="87"/>
      <c r="M230" s="13">
        <v>13174261000</v>
      </c>
      <c r="N230" s="13">
        <v>7758446000</v>
      </c>
      <c r="O230" s="13">
        <v>7319074000</v>
      </c>
      <c r="P230" s="6">
        <v>1179411000</v>
      </c>
      <c r="Q230" s="6">
        <v>46761000</v>
      </c>
      <c r="R230" s="6">
        <f>IF(Tabela3[[#This Row],[Ativo || Passivo]]&gt;0,Tabela3[[#This Row],[Ativo || Passivo]]-Tabela3[[#This Row],[Patrimônio Líquido]],0)</f>
        <v>11994850000</v>
      </c>
      <c r="S230" s="13">
        <f>Tabela3[[#This Row],[Cotação]]*Tabela3[[#This Row],[Total Ações]]</f>
        <v>513377359.48000002</v>
      </c>
      <c r="T230" s="121">
        <f>IF(Tabela3[[#This Row],[Passivo Circulante]]&gt;0,Tabela3[[#This Row],[Ativo Circulante]]/Tabela3[[#This Row],[Passivo Circulante]],0)</f>
        <v>1.0600310913648365</v>
      </c>
      <c r="U23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0" s="19">
        <f>IF(Tabela3[[#This Row],[Lucro Líquido]]&gt;0,Tabela3[[#This Row],[Lucro Líquido]]/Tabela3[[#This Row],[Patrimônio Líquido]],0)/Tabela3[[#This Row],[Ref]]*4</f>
        <v>5.2863675173455221E-2</v>
      </c>
      <c r="W23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0" s="19">
        <f>IF(Tabela3[[#This Row],[Dívida]]&gt;0,Tabela3[[#This Row],[Dívida]]/Tabela3[[#This Row],[Patrimônio Líquido]],0)</f>
        <v>10.17020360162827</v>
      </c>
      <c r="Y230" s="19">
        <f>SUMPRODUCT(N([Dívida / PL]&gt;0),N(RIGHT([PAPEL],LEN([PAPEL])-(LEN([PAPEL])-1))="3"),[Dívida / PL])/SUMPRODUCT(N([Dívida / PL]&gt;0),N(RIGHT([PAPEL],LEN([PAPEL])-(LEN([PAPEL])-1))="3"))</f>
        <v>2.2435702141443779</v>
      </c>
      <c r="Z230" s="6">
        <f>Tabela3[[#This Row],[Capital Social]]*20%</f>
        <v>104800000</v>
      </c>
      <c r="AA230" s="6">
        <f>IF(([Lucro Líquido]*5%)&gt;[Teto R. Legal],[Teto R. Legal],[Lucro Líquido]*5%)</f>
        <v>2338050</v>
      </c>
      <c r="AB230" s="6">
        <f>IF([Lucro Líquido]&lt;0,0,[Lucro Líquido]-[Reserva Legal])</f>
        <v>44422950</v>
      </c>
      <c r="AC230" s="6">
        <f>Tabela3[[#This Row],[Lucro Distribuir]]*[%Div]</f>
        <v>11105737.5</v>
      </c>
      <c r="AD230" s="21">
        <f>SUMPRODUCT(N([Nome]=Tabela3[[#This Row],[Nome]]),[Ações])</f>
        <v>90224492</v>
      </c>
      <c r="AE230" s="6">
        <f>[Capital Social]/[Total Ações]</f>
        <v>5.8077356645022729</v>
      </c>
      <c r="AF230" s="77">
        <f>Tabela3[[#This Row],[Lucro Líquido]]/Tabela3[[#This Row],[Total Ações]]</f>
        <v>0.51827390726677625</v>
      </c>
      <c r="AG2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2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2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230" s="6">
        <f>[Div Base]*[Ações]</f>
        <v>12640708.466610152</v>
      </c>
      <c r="AL230" s="6">
        <f>SUMPRODUCT(N([Nome]=Tabela3[[#This Row],[Nome]]),[Div Base]*[Ações])</f>
        <v>12640708.466610152</v>
      </c>
      <c r="AM230" s="6">
        <f>[Patrimônio Líquido]/[Total Ações]</f>
        <v>13.071960549248645</v>
      </c>
      <c r="AN230" s="48">
        <f>MAX(Tabela3[[#This Row],[Cotação 1]:[Cotação 5]])</f>
        <v>5.69</v>
      </c>
      <c r="AO230" s="44">
        <f>[Cotação]/[VPA]</f>
        <v>0.43528283141330715</v>
      </c>
      <c r="AP230" s="40">
        <f>IF(Tabela3[[#This Row],[Lucro/Ação]]&gt;0,Tabela3[[#This Row],[Cotação]]/(Tabela3[[#This Row],[Lucro/Ação]]/[Ref]*4),0)</f>
        <v>8.2340629928786822</v>
      </c>
      <c r="AQ230" s="77">
        <f>[Lucro Distribuir]/[Total Ações]</f>
        <v>0.49236021190343748</v>
      </c>
      <c r="AR230" s="77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230" s="15" t="str">
        <f>IF(AND([% A.A.]&gt;=5%,SUMPRODUCT(N([Nome]=Tabela3[[#This Row],[Nome]]),[PL])&gt;0,[Rentabilidade s/ PL]&gt;=[Rentabilidade s/ PL Média]),"Sim","Não")</f>
        <v>Não</v>
      </c>
      <c r="AT230" s="42">
        <f>IF([Cotação]&gt;0,Tabela3[[#This Row],[Lucro]]/Tabela3[[#This Row],[Cotação]],0)</f>
        <v>6.1241500855911485E-2</v>
      </c>
      <c r="AU230" s="19">
        <f>((1+Tabela3[[#This Row],[% Yield]])^(1/(3*Tabela3[[#This Row],[Ref]])))^(12)-1</f>
        <v>8.2477721403755089E-2</v>
      </c>
      <c r="AV230" s="14">
        <f>IF([Cotação]&gt;0,($BH$1/Tabela3[[#This Row],[Cotação]]-MOD($BH$1/Tabela3[[#This Row],[Cotação]],100)),)</f>
        <v>100</v>
      </c>
      <c r="AW230" s="17">
        <f>Tabela3[[#This Row],[Ativos]]*[Lucro]</f>
        <v>34.846413987013634</v>
      </c>
      <c r="AX230" s="5">
        <f>SUMPRODUCT(N(Tabela1[Código]=Tabela3[[#This Row],[PAPEL]]),Tabela1[Fechamento])</f>
        <v>5.69</v>
      </c>
      <c r="AY230" s="5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0</v>
      </c>
      <c r="BB230" s="7">
        <f>SUMPRODUCT(N(Tabela17683[Código]=Tabela3[[#This Row],[PAPEL]]),Tabela17683[Fechamento])</f>
        <v>0</v>
      </c>
    </row>
    <row r="231" spans="1:54" ht="11.25" customHeight="1">
      <c r="A231" s="3" t="s">
        <v>1131</v>
      </c>
      <c r="B231" s="57" t="s">
        <v>1116</v>
      </c>
      <c r="C231" s="16" t="str">
        <f>LEFT([PAPEL],LEN([PAPEL])-(LEN([PAPEL])-4))</f>
        <v>CTAX</v>
      </c>
      <c r="D231" s="16">
        <v>4</v>
      </c>
      <c r="E231" s="5">
        <v>181637683.90000001</v>
      </c>
      <c r="F231" s="56">
        <v>119725707</v>
      </c>
      <c r="G231" s="80">
        <v>0.25</v>
      </c>
      <c r="H231" s="18"/>
      <c r="J231" s="18"/>
      <c r="K231" s="16"/>
      <c r="L231" s="86"/>
      <c r="M231" s="54">
        <v>1248136000</v>
      </c>
      <c r="N231" s="54">
        <v>124319000</v>
      </c>
      <c r="O231" s="54">
        <v>129739000</v>
      </c>
      <c r="P231" s="90">
        <v>438248000</v>
      </c>
      <c r="Q231" s="73">
        <v>102257000</v>
      </c>
      <c r="R231" s="73">
        <f>IF(Tabela3[[#This Row],[Ativo || Passivo]]&gt;0,Tabela3[[#This Row],[Ativo || Passivo]]-Tabela3[[#This Row],[Patrimônio Líquido]],0)</f>
        <v>809888000</v>
      </c>
      <c r="S231" s="73">
        <f>Tabela3[[#This Row],[Cotação]]*Tabela3[[#This Row],[Total Ações]]</f>
        <v>1970876859</v>
      </c>
      <c r="T231" s="37">
        <f>IF(Tabela3[[#This Row],[Passivo Circulante]]&gt;0,Tabela3[[#This Row],[Ativo Circulante]]/Tabela3[[#This Row],[Passivo Circulante]],0)</f>
        <v>0.95822381858962991</v>
      </c>
      <c r="U23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1" s="18">
        <f>IF(Tabela3[[#This Row],[Lucro Líquido]]&gt;0,Tabela3[[#This Row],[Lucro Líquido]]/Tabela3[[#This Row],[Patrimônio Líquido]],0)/Tabela3[[#This Row],[Ref]]*4</f>
        <v>0.23333135576203429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1" s="18">
        <f>IF(Tabela3[[#This Row],[Dívida]]&gt;0,Tabela3[[#This Row],[Dívida]]/Tabela3[[#This Row],[Patrimônio Líquido]],0)</f>
        <v>1.8480129972070609</v>
      </c>
      <c r="Y231" s="18">
        <f>SUMPRODUCT(N([Dívida / PL]&gt;0),N(RIGHT([PAPEL],LEN([PAPEL])-(LEN([PAPEL])-1))="3"),[Dívida / PL])/SUMPRODUCT(N([Dívida / PL]&gt;0),N(RIGHT([PAPEL],LEN([PAPEL])-(LEN([PAPEL])-1))="3"))</f>
        <v>2.2435702141443779</v>
      </c>
      <c r="Z231" s="7">
        <f>Tabela3[[#This Row],[Capital Social]]*20%</f>
        <v>36327536.780000001</v>
      </c>
      <c r="AA231" s="47">
        <f>IF(([Lucro Líquido]*5%)&gt;[Teto R. Legal],[Teto R. Legal],[Lucro Líquido]*5%)</f>
        <v>5112850</v>
      </c>
      <c r="AB231" s="47">
        <f>IF([Lucro Líquido]&lt;0,0,[Lucro Líquido]-[Reserva Legal])</f>
        <v>97144150</v>
      </c>
      <c r="AC231" s="47">
        <f>Tabela3[[#This Row],[Lucro Distribuir]]*[%Div]</f>
        <v>24286037.5</v>
      </c>
      <c r="AD231" s="56">
        <f>SUMPRODUCT(N([Nome]=Tabela3[[#This Row],[Nome]]),[Ações])</f>
        <v>345767870</v>
      </c>
      <c r="AE231" s="84">
        <f>[Capital Social]/[Total Ações]</f>
        <v>0.52531683727582901</v>
      </c>
      <c r="AF231" s="84">
        <f>Tabela3[[#This Row],[Lucro Líquido]]/Tabela3[[#This Row],[Total Ações]]</f>
        <v>0.29573887244063479</v>
      </c>
      <c r="AG2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2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2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2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231" s="7">
        <f>[Div Base]*[Ações]</f>
        <v>8409292.0777052324</v>
      </c>
      <c r="AL231" s="113">
        <f>SUMPRODUCT(N([Nome]=Tabela3[[#This Row],[Nome]]),[Div Base]*[Ações])</f>
        <v>24286037.5</v>
      </c>
      <c r="AM231" s="5">
        <f>[Patrimônio Líquido]/[Total Ações]</f>
        <v>1.2674630525965296</v>
      </c>
      <c r="AN231" s="52">
        <f>MAX(Tabela3[[#This Row],[Cotação 1]:[Cotação 5]])</f>
        <v>5.7</v>
      </c>
      <c r="AO231" s="53">
        <f>[Cotação]/[VPA]</f>
        <v>4.4971725119110646</v>
      </c>
      <c r="AP231" s="37">
        <f>IF(Tabela3[[#This Row],[Lucro/Ação]]&gt;0,Tabela3[[#This Row],[Cotação]]/(Tabela3[[#This Row],[Lucro/Ação]]/[Ref]*4),0)</f>
        <v>19.273759830622843</v>
      </c>
      <c r="AQ231" s="84">
        <f>[Lucro Distribuir]/[Total Ações]</f>
        <v>0.28095192881860309</v>
      </c>
      <c r="AR231" s="84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1.2322453018359785E-2</v>
      </c>
      <c r="AU231" s="22">
        <f>((1+Tabela3[[#This Row],[% Yield]])^(1/(3*Tabela3[[#This Row],[Ref]])))^(12)-1</f>
        <v>1.2322453018360102E-2</v>
      </c>
      <c r="AV231" s="10">
        <f>IF([Cotação]&gt;0,($BH$1/Tabela3[[#This Row],[Cotação]]-MOD($BH$1/Tabela3[[#This Row],[Cotação]],100)),)</f>
        <v>100</v>
      </c>
      <c r="AW231" s="7">
        <f>Tabela3[[#This Row],[Ativos]]*[Lucro]</f>
        <v>7.0237982204650775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5.7</v>
      </c>
    </row>
    <row r="232" spans="1:54" ht="11.25" customHeight="1">
      <c r="A232" s="3" t="s">
        <v>876</v>
      </c>
      <c r="B232" s="58" t="s">
        <v>916</v>
      </c>
      <c r="C232" s="16" t="str">
        <f>LEFT([PAPEL],LEN([PAPEL])-(LEN([PAPEL])-4))</f>
        <v>CTSA</v>
      </c>
      <c r="D232" s="16">
        <v>3</v>
      </c>
      <c r="E232" s="5">
        <v>101921764.5</v>
      </c>
      <c r="F232" s="56">
        <v>1256792</v>
      </c>
      <c r="G232" s="80">
        <v>0.25</v>
      </c>
      <c r="H232" s="86"/>
      <c r="J232" s="18"/>
      <c r="K232" s="16"/>
      <c r="L232" s="86"/>
      <c r="M232" s="54"/>
      <c r="N232" s="54"/>
      <c r="O232" s="54"/>
      <c r="P232" s="90">
        <v>277004000</v>
      </c>
      <c r="Q232" s="73">
        <v>31976000</v>
      </c>
      <c r="R232" s="73">
        <f>IF(Tabela3[[#This Row],[Ativo || Passivo]]&gt;0,Tabela3[[#This Row],[Ativo || Passivo]]-Tabela3[[#This Row],[Patrimônio Líquido]],0)</f>
        <v>0</v>
      </c>
      <c r="S232" s="73">
        <f>Tabela3[[#This Row],[Cotação]]*Tabela3[[#This Row],[Total Ações]]</f>
        <v>230686186.59999999</v>
      </c>
      <c r="T232" s="37">
        <f>IF(Tabela3[[#This Row],[Passivo Circulante]]&gt;0,Tabela3[[#This Row],[Ativo Circulante]]/Tabela3[[#This Row],[Passivo Circulante]],0)</f>
        <v>0</v>
      </c>
      <c r="U23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2" s="18">
        <f>IF(Tabela3[[#This Row],[Lucro Líquido]]&gt;0,Tabela3[[#This Row],[Lucro Líquido]]/Tabela3[[#This Row],[Patrimônio Líquido]],0)/Tabela3[[#This Row],[Ref]]*4</f>
        <v>0.15391354156137335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2.2435702141443779</v>
      </c>
      <c r="Z232" s="7">
        <f>Tabela3[[#This Row],[Capital Social]]*20%</f>
        <v>20384352.900000002</v>
      </c>
      <c r="AA232" s="47">
        <f>IF(([Lucro Líquido]*5%)&gt;[Teto R. Legal],[Teto R. Legal],[Lucro Líquido]*5%)</f>
        <v>1598800</v>
      </c>
      <c r="AB232" s="47">
        <f>IF([Lucro Líquido]&lt;0,0,[Lucro Líquido]-[Reserva Legal])</f>
        <v>30377200</v>
      </c>
      <c r="AC232" s="47">
        <f>Tabela3[[#This Row],[Lucro Distribuir]]*[%Div]</f>
        <v>7594300</v>
      </c>
      <c r="AD232" s="56">
        <f>SUMPRODUCT(N([Nome]=Tabela3[[#This Row],[Nome]]),[Ações])</f>
        <v>39299180</v>
      </c>
      <c r="AE232" s="84">
        <f>[Capital Social]/[Total Ações]</f>
        <v>2.5934832355280695</v>
      </c>
      <c r="AF232" s="84">
        <f>Tabela3[[#This Row],[Lucro Líquido]]/Tabela3[[#This Row],[Total Ações]]</f>
        <v>0.8136556538838724</v>
      </c>
      <c r="AG23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23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232" s="7">
        <f>[Div Base]*[Ações]</f>
        <v>235310.02890382329</v>
      </c>
      <c r="AL232" s="7">
        <f>SUMPRODUCT(N([Nome]=Tabela3[[#This Row],[Nome]]),[Div Base]*[Ações])</f>
        <v>7358036.3582738405</v>
      </c>
      <c r="AM232" s="5">
        <f>[Patrimônio Líquido]/[Total Ações]</f>
        <v>7.0485949070693081</v>
      </c>
      <c r="AN232" s="52">
        <f>MAX(Tabela3[[#This Row],[Cotação 1]:[Cotação 5]])</f>
        <v>5.87</v>
      </c>
      <c r="AO232" s="53">
        <f>[Cotação]/[VPA]</f>
        <v>0.83279009183982899</v>
      </c>
      <c r="AP232" s="37">
        <f>IF(Tabela3[[#This Row],[Lucro/Ação]]&gt;0,Tabela3[[#This Row],[Cotação]]/(Tabela3[[#This Row],[Lucro/Ação]]/[Ref]*4),0)</f>
        <v>5.4107655726169623</v>
      </c>
      <c r="AQ232" s="84">
        <f>[Lucro Distribuir]/[Total Ações]</f>
        <v>0.77297287118967872</v>
      </c>
      <c r="AR232" s="84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232" s="10" t="str">
        <f>IF(AND([% A.A.]&gt;=5%,SUMPRODUCT(N([Nome]=Tabela3[[#This Row],[Nome]]),[PL])&gt;0,[Rentabilidade s/ PL]&gt;=[Rentabilidade s/ PL Média]),"Sim","Não")</f>
        <v>Não</v>
      </c>
      <c r="AT232" s="22">
        <f>IF([Cotação]&gt;0,Tabela3[[#This Row],[Lucro]]/Tabela3[[#This Row],[Cotação]],0)</f>
        <v>3.1896198716368306E-2</v>
      </c>
      <c r="AU232" s="22">
        <f>((1+Tabela3[[#This Row],[% Yield]])^(1/(3*Tabela3[[#This Row],[Ref]])))^(12)-1</f>
        <v>4.2752765085019684E-2</v>
      </c>
      <c r="AV232" s="10">
        <f>IF([Cotação]&gt;0,($BH$1/Tabela3[[#This Row],[Cotação]]-MOD($BH$1/Tabela3[[#This Row],[Cotação]],100)),)</f>
        <v>100</v>
      </c>
      <c r="AW232" s="7">
        <f>Tabela3[[#This Row],[Ativos]]*[Lucro]</f>
        <v>18.723068646508196</v>
      </c>
      <c r="AX232" s="7">
        <f>SUMPRODUCT(N(Tabela1[Código]=Tabela3[[#This Row],[PAPEL]]),Tabela1[Fechamento])</f>
        <v>0</v>
      </c>
      <c r="AY232" s="7">
        <f>SUMPRODUCT(N(Tabela17[Código]=Tabela3[[#This Row],[PAPEL]]),Tabela17[Fechamento])</f>
        <v>0</v>
      </c>
      <c r="AZ232" s="7">
        <f>SUMPRODUCT(N(Tabela176[Código]=Tabela3[[#This Row],[PAPEL]]),Tabela176[Fechamento])</f>
        <v>0</v>
      </c>
      <c r="BA232" s="7">
        <f>SUMPRODUCT(N(Tabela1768[Código]=Tabela3[[#This Row],[PAPEL]]),Tabela1768[Fechamento])</f>
        <v>5.87</v>
      </c>
      <c r="BB232" s="7">
        <f>SUMPRODUCT(N(Tabela17683[Código]=Tabela3[[#This Row],[PAPEL]]),Tabela17683[Fechamento])</f>
        <v>0</v>
      </c>
    </row>
    <row r="233" spans="1:54" ht="11.25" customHeight="1">
      <c r="A233" s="4" t="s">
        <v>14</v>
      </c>
      <c r="B233" s="57" t="s">
        <v>77</v>
      </c>
      <c r="C233" s="15" t="str">
        <f>LEFT([PAPEL],LEN([PAPEL])-(LEN([PAPEL])-4))</f>
        <v>BRGE</v>
      </c>
      <c r="D233" s="16">
        <v>3</v>
      </c>
      <c r="E233" s="5">
        <v>303375520</v>
      </c>
      <c r="F233" s="56">
        <v>2330271</v>
      </c>
      <c r="G233" s="85">
        <v>0.25</v>
      </c>
      <c r="H233" s="16"/>
      <c r="I233" s="18">
        <v>0.12</v>
      </c>
      <c r="J233" s="18"/>
      <c r="K233" s="86"/>
      <c r="L233" s="86"/>
      <c r="M233" s="47">
        <v>847911000</v>
      </c>
      <c r="N233" s="47">
        <v>3497000</v>
      </c>
      <c r="O233" s="47">
        <v>3890000</v>
      </c>
      <c r="P233" s="5">
        <v>843867000</v>
      </c>
      <c r="Q233" s="5">
        <v>34502000</v>
      </c>
      <c r="R233" s="5">
        <f>IF(Tabela3[[#This Row],[Ativo || Passivo]]&gt;0,Tabela3[[#This Row],[Ativo || Passivo]]-Tabela3[[#This Row],[Patrimônio Líquido]],0)</f>
        <v>4044000</v>
      </c>
      <c r="S233" s="47">
        <f>Tabela3[[#This Row],[Cotação]]*Tabela3[[#This Row],[Total Ações]]</f>
        <v>438932472.48000002</v>
      </c>
      <c r="T233" s="119">
        <f>IF(Tabela3[[#This Row],[Passivo Circulante]]&gt;0,Tabela3[[#This Row],[Ativo Circulante]]/Tabela3[[#This Row],[Passivo Circulante]],0)</f>
        <v>0.89897172236503853</v>
      </c>
      <c r="U233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3" s="18">
        <f>IF(Tabela3[[#This Row],[Lucro Líquido]]&gt;0,Tabela3[[#This Row],[Lucro Líquido]]/Tabela3[[#This Row],[Patrimônio Líquido]],0)/Tabela3[[#This Row],[Ref]]*4</f>
        <v>5.451411972107769E-2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3" s="18">
        <f>IF(Tabela3[[#This Row],[Dívida]]&gt;0,Tabela3[[#This Row],[Dívida]]/Tabela3[[#This Row],[Patrimônio Líquido]],0)</f>
        <v>4.7922243671099833E-3</v>
      </c>
      <c r="Y233" s="18">
        <f>SUMPRODUCT(N([Dívida / PL]&gt;0),N(RIGHT([PAPEL],LEN([PAPEL])-(LEN([PAPEL])-1))="3"),[Dívida / PL])/SUMPRODUCT(N([Dívida / PL]&gt;0),N(RIGHT([PAPEL],LEN([PAPEL])-(LEN([PAPEL])-1))="3"))</f>
        <v>2.2435702141443779</v>
      </c>
      <c r="Z233" s="5">
        <f>Tabela3[[#This Row],[Capital Social]]*20%</f>
        <v>60675104</v>
      </c>
      <c r="AA233" s="5">
        <f>IF(([Lucro Líquido]*5%)&gt;[Teto R. Legal],[Teto R. Legal],[Lucro Líquido]*5%)</f>
        <v>1725100</v>
      </c>
      <c r="AB233" s="5">
        <f>IF([Lucro Líquido]&lt;0,0,[Lucro Líquido]-[Reserva Legal])</f>
        <v>32776900</v>
      </c>
      <c r="AC233" s="5">
        <f>Tabela3[[#This Row],[Lucro Distribuir]]*[%Div]</f>
        <v>8194225</v>
      </c>
      <c r="AD233" s="21">
        <f>SUMPRODUCT(N([Nome]=Tabela3[[#This Row],[Nome]]),[Ações])</f>
        <v>73646388</v>
      </c>
      <c r="AE233" s="5">
        <f>[Capital Social]/[Total Ações]</f>
        <v>4.1193536877871049</v>
      </c>
      <c r="AF233" s="76">
        <f>Tabela3[[#This Row],[Lucro Líquido]]/Tabela3[[#This Row],[Total Ações]]</f>
        <v>0.46848190300928266</v>
      </c>
      <c r="AG23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3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23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233" s="5">
        <f>[Div Base]*[Ações]</f>
        <v>1151905.2524872012</v>
      </c>
      <c r="AL233" s="5">
        <f>SUMPRODUCT(N([Nome]=Tabela3[[#This Row],[Nome]]),[Div Base]*[Ações])</f>
        <v>8194225</v>
      </c>
      <c r="AM233" s="5">
        <f>[Patrimônio Líquido]/[Total Ações]</f>
        <v>11.45836235716</v>
      </c>
      <c r="AN233" s="52">
        <f>MAX(Tabela3[[#This Row],[Cotação 1]:[Cotação 5]])</f>
        <v>5.96</v>
      </c>
      <c r="AO233" s="53">
        <f>[Cotação]/[VPA]</f>
        <v>0.52014413702633233</v>
      </c>
      <c r="AP233" s="37">
        <f>IF(Tabela3[[#This Row],[Lucro/Ação]]&gt;0,Tabela3[[#This Row],[Cotação]]/(Tabela3[[#This Row],[Lucro/Ação]]/[Ref]*4),0)</f>
        <v>9.541457143354009</v>
      </c>
      <c r="AQ233" s="76">
        <f>[Lucro Distribuir]/[Total Ações]</f>
        <v>0.44505780785881854</v>
      </c>
      <c r="AR233" s="76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8.2940007136653116E-2</v>
      </c>
      <c r="AU233" s="18">
        <f>((1+Tabela3[[#This Row],[% Yield]])^(1/(3*Tabela3[[#This Row],[Ref]])))^(12)-1</f>
        <v>0.11208811027646859</v>
      </c>
      <c r="AV233" s="10">
        <f>IF([Cotação]&gt;0,($BH$1/Tabela3[[#This Row],[Cotação]]-MOD($BH$1/Tabela3[[#This Row],[Cotação]],100)),)</f>
        <v>100</v>
      </c>
      <c r="AW233" s="7">
        <f>Tabela3[[#This Row],[Ativos]]*[Lucro]</f>
        <v>49.432244253445255</v>
      </c>
      <c r="AX233" s="5">
        <f>SUMPRODUCT(N(Tabela1[Código]=Tabela3[[#This Row],[PAPEL]]),Tabela1[Fechamento])</f>
        <v>5.96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customHeight="1">
      <c r="A234" s="4" t="s">
        <v>14</v>
      </c>
      <c r="B234" s="57" t="s">
        <v>190</v>
      </c>
      <c r="C234" s="14" t="str">
        <f>LEFT([PAPEL],LEN([PAPEL])-(LEN([PAPEL])-4))</f>
        <v>BRIV</v>
      </c>
      <c r="D234" s="15">
        <v>3</v>
      </c>
      <c r="E234" s="6">
        <v>524000000</v>
      </c>
      <c r="F234" s="8">
        <v>53948999</v>
      </c>
      <c r="G234" s="85">
        <v>0.25</v>
      </c>
      <c r="H234" s="15"/>
      <c r="I234" s="19"/>
      <c r="J234" s="19"/>
      <c r="K234" s="87"/>
      <c r="L234" s="87"/>
      <c r="M234" s="13">
        <v>13174261000</v>
      </c>
      <c r="N234" s="13">
        <v>7758446000</v>
      </c>
      <c r="O234" s="13">
        <v>7319074000</v>
      </c>
      <c r="P234" s="6">
        <v>1179411000</v>
      </c>
      <c r="Q234" s="6">
        <v>46761000</v>
      </c>
      <c r="R234" s="6">
        <f>IF(Tabela3[[#This Row],[Ativo || Passivo]]&gt;0,Tabela3[[#This Row],[Ativo || Passivo]]-Tabela3[[#This Row],[Patrimônio Líquido]],0)</f>
        <v>11994850000</v>
      </c>
      <c r="S234" s="6">
        <f>Tabela3[[#This Row],[Cotação]]*Tabela3[[#This Row],[Total Ações]]</f>
        <v>541346952</v>
      </c>
      <c r="T234" s="121">
        <f>IF(Tabela3[[#This Row],[Passivo Circulante]]&gt;0,Tabela3[[#This Row],[Ativo Circulante]]/Tabela3[[#This Row],[Passivo Circulante]],0)</f>
        <v>1.0600310913648365</v>
      </c>
      <c r="U23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4" s="19">
        <f>IF(Tabela3[[#This Row],[Lucro Líquido]]&gt;0,Tabela3[[#This Row],[Lucro Líquido]]/Tabela3[[#This Row],[Patrimônio Líquido]],0)/Tabela3[[#This Row],[Ref]]*4</f>
        <v>5.2863675173455221E-2</v>
      </c>
      <c r="W2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4" s="19">
        <f>IF(Tabela3[[#This Row],[Dívida]]&gt;0,Tabela3[[#This Row],[Dívida]]/Tabela3[[#This Row],[Patrimônio Líquido]],0)</f>
        <v>10.17020360162827</v>
      </c>
      <c r="Y234" s="19">
        <f>SUMPRODUCT(N([Dívida / PL]&gt;0),N(RIGHT([PAPEL],LEN([PAPEL])-(LEN([PAPEL])-1))="3"),[Dívida / PL])/SUMPRODUCT(N([Dívida / PL]&gt;0),N(RIGHT([PAPEL],LEN([PAPEL])-(LEN([PAPEL])-1))="3"))</f>
        <v>2.2435702141443779</v>
      </c>
      <c r="Z234" s="6">
        <f>Tabela3[[#This Row],[Capital Social]]*20%</f>
        <v>104800000</v>
      </c>
      <c r="AA234" s="6">
        <f>IF(([Lucro Líquido]*5%)&gt;[Teto R. Legal],[Teto R. Legal],[Lucro Líquido]*5%)</f>
        <v>2338050</v>
      </c>
      <c r="AB234" s="6">
        <f>IF([Lucro Líquido]&lt;0,0,[Lucro Líquido]-[Reserva Legal])</f>
        <v>44422950</v>
      </c>
      <c r="AC234" s="6">
        <f>Tabela3[[#This Row],[Lucro Distribuir]]*[%Div]</f>
        <v>11105737.5</v>
      </c>
      <c r="AD234" s="21">
        <f>SUMPRODUCT(N([Nome]=Tabela3[[#This Row],[Nome]]),[Ações])</f>
        <v>90224492</v>
      </c>
      <c r="AE234" s="6">
        <f>[Capital Social]/[Total Ações]</f>
        <v>5.8077356645022729</v>
      </c>
      <c r="AF234" s="77">
        <f>Tabela3[[#This Row],[Lucro Líquido]]/Tabela3[[#This Row],[Total Ações]]</f>
        <v>0.51827390726677625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4" s="6">
        <f>[Div Base]*[Ações]</f>
        <v>0</v>
      </c>
      <c r="AL234" s="6">
        <f>SUMPRODUCT(N([Nome]=Tabela3[[#This Row],[Nome]]),[Div Base]*[Ações])</f>
        <v>12640708.466610152</v>
      </c>
      <c r="AM234" s="6">
        <f>[Patrimônio Líquido]/[Total Ações]</f>
        <v>13.071960549248645</v>
      </c>
      <c r="AN234" s="48">
        <f>MAX(Tabela3[[#This Row],[Cotação 1]:[Cotação 5]])</f>
        <v>6</v>
      </c>
      <c r="AO234" s="44">
        <f>[Cotação]/[VPA]</f>
        <v>0.45899771326535022</v>
      </c>
      <c r="AP234" s="40">
        <f>IF(Tabela3[[#This Row],[Lucro/Ação]]&gt;0,Tabela3[[#This Row],[Cotação]]/(Tabela3[[#This Row],[Lucro/Ação]]/[Ref]*4),0)</f>
        <v>8.6826674793096821</v>
      </c>
      <c r="AQ234" s="77">
        <f>[Lucro Distribuir]/[Total Ações]</f>
        <v>0.49236021190343748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4" s="15" t="str">
        <f>IF(AND([% A.A.]&gt;=5%,SUMPRODUCT(N([Nome]=Tabela3[[#This Row],[Nome]]),[PL])&gt;0,[Rentabilidade s/ PL]&gt;=[Rentabilidade s/ PL Média]),"Sim","Não")</f>
        <v>Não</v>
      </c>
      <c r="AT234" s="42">
        <f>IF([Cotação]&gt;0,Tabela3[[#This Row],[Lucro]]/Tabela3[[#This Row],[Cotação]],0)</f>
        <v>0</v>
      </c>
      <c r="AU234" s="19">
        <f>((1+Tabela3[[#This Row],[% Yield]])^(1/(3*Tabela3[[#This Row],[Ref]])))^(12)-1</f>
        <v>0</v>
      </c>
      <c r="AV234" s="14">
        <f>IF([Cotação]&gt;0,($BH$1/Tabela3[[#This Row],[Cotação]]-MOD($BH$1/Tabela3[[#This Row],[Cotação]],100)),)</f>
        <v>100</v>
      </c>
      <c r="AW234" s="17">
        <f>Tabela3[[#This Row],[Ativos]]*[Lucro]</f>
        <v>0</v>
      </c>
      <c r="AX234" s="5">
        <f>SUMPRODUCT(N(Tabela1[Código]=Tabela3[[#This Row],[PAPEL]]),Tabela1[Fechamento])</f>
        <v>6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customHeight="1">
      <c r="A235" s="3" t="s">
        <v>996</v>
      </c>
      <c r="B235" s="58" t="s">
        <v>994</v>
      </c>
      <c r="C235" s="16" t="str">
        <f>LEFT([PAPEL],LEN([PAPEL])-(LEN([PAPEL])-4))</f>
        <v>LLIS</v>
      </c>
      <c r="D235" s="16">
        <v>4</v>
      </c>
      <c r="E235" s="5">
        <v>131150000</v>
      </c>
      <c r="F235" s="56">
        <v>171171254</v>
      </c>
      <c r="G235" s="80">
        <v>0.25</v>
      </c>
      <c r="H235" s="86"/>
      <c r="J235" s="18"/>
      <c r="K235" s="16"/>
      <c r="L235" s="86"/>
      <c r="M235" s="54">
        <v>989623000</v>
      </c>
      <c r="N235" s="54">
        <v>502977000</v>
      </c>
      <c r="O235" s="54">
        <v>263063000</v>
      </c>
      <c r="P235" s="90">
        <v>156121000</v>
      </c>
      <c r="Q235" s="73">
        <v>-18408000</v>
      </c>
      <c r="R235" s="73">
        <f>IF(Tabela3[[#This Row],[Ativo || Passivo]]&gt;0,Tabela3[[#This Row],[Ativo || Passivo]]-Tabela3[[#This Row],[Patrimônio Líquido]],0)</f>
        <v>833502000</v>
      </c>
      <c r="S235" s="73">
        <f>Tabela3[[#This Row],[Cotação]]*Tabela3[[#This Row],[Total Ações]]</f>
        <v>1040721224.3200001</v>
      </c>
      <c r="T235" s="37">
        <f>IF(Tabela3[[#This Row],[Passivo Circulante]]&gt;0,Tabela3[[#This Row],[Ativo Circulante]]/Tabela3[[#This Row],[Passivo Circulante]],0)</f>
        <v>1.9120020679457013</v>
      </c>
      <c r="U2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5" s="18">
        <f>IF(Tabela3[[#This Row],[Lucro Líquido]]&gt;0,Tabela3[[#This Row],[Lucro Líquido]]/Tabela3[[#This Row],[Patrimônio Líquido]],0)/Tabela3[[#This Row],[Ref]]*4</f>
        <v>0</v>
      </c>
      <c r="W2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5" s="18">
        <f>IF(Tabela3[[#This Row],[Dívida]]&gt;0,Tabela3[[#This Row],[Dívida]]/Tabela3[[#This Row],[Patrimônio Líquido]],0)</f>
        <v>5.338820530229758</v>
      </c>
      <c r="Y235" s="18">
        <f>SUMPRODUCT(N([Dívida / PL]&gt;0),N(RIGHT([PAPEL],LEN([PAPEL])-(LEN([PAPEL])-1))="3"),[Dívida / PL])/SUMPRODUCT(N([Dívida / PL]&gt;0),N(RIGHT([PAPEL],LEN([PAPEL])-(LEN([PAPEL])-1))="3"))</f>
        <v>2.2435702141443779</v>
      </c>
      <c r="Z235" s="7">
        <f>Tabela3[[#This Row],[Capital Social]]*20%</f>
        <v>26230000</v>
      </c>
      <c r="AA235" s="47">
        <f>IF(([Lucro Líquido]*5%)&gt;[Teto R. Legal],[Teto R. Legal],[Lucro Líquido]*5%)</f>
        <v>-920400</v>
      </c>
      <c r="AB235" s="47">
        <f>IF([Lucro Líquido]&lt;0,0,[Lucro Líquido]-[Reserva Legal])</f>
        <v>0</v>
      </c>
      <c r="AC235" s="47">
        <f>Tabela3[[#This Row],[Lucro Distribuir]]*[%Div]</f>
        <v>0</v>
      </c>
      <c r="AD235" s="56">
        <f>SUMPRODUCT(N([Nome]=Tabela3[[#This Row],[Nome]]),[Ações])</f>
        <v>171171254</v>
      </c>
      <c r="AE235" s="84">
        <f>[Capital Social]/[Total Ações]</f>
        <v>0.76619173450701017</v>
      </c>
      <c r="AF235" s="84">
        <f>Tabela3[[#This Row],[Lucro Líquido]]/Tabela3[[#This Row],[Total Ações]]</f>
        <v>-0.1075414216454826</v>
      </c>
      <c r="AG2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7">
        <f>[Div Base]*[Ações]</f>
        <v>0</v>
      </c>
      <c r="AL235" s="113">
        <f>SUMPRODUCT(N([Nome]=Tabela3[[#This Row],[Nome]]),[Div Base]*[Ações])</f>
        <v>0</v>
      </c>
      <c r="AM235" s="5">
        <f>[Patrimônio Líquido]/[Total Ações]</f>
        <v>0.91207487444124236</v>
      </c>
      <c r="AN235" s="52">
        <f>MAX(Tabela3[[#This Row],[Cotação 1]:[Cotação 5]])</f>
        <v>6.08</v>
      </c>
      <c r="AO235" s="53">
        <f>[Cotação]/[VPA]</f>
        <v>6.6661193838112744</v>
      </c>
      <c r="AP235" s="37">
        <f>IF(Tabela3[[#This Row],[Lucro/Ação]]&gt;0,Tabela3[[#This Row],[Cotação]]/(Tabela3[[#This Row],[Lucro/Ação]]/[Ref]*4),0)</f>
        <v>0</v>
      </c>
      <c r="AQ235" s="84">
        <f>[Lucro Distribuir]/[Total Ações]</f>
        <v>0</v>
      </c>
      <c r="AR23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0" t="str">
        <f>IF(AND([% A.A.]&gt;=5%,SUMPRODUCT(N([Nome]=Tabela3[[#This Row],[Nome]]),[PL])&gt;0,[Rentabilidade s/ PL]&gt;=[Rentabilidade s/ PL Média]),"Sim","Não")</f>
        <v>Não</v>
      </c>
      <c r="AT235" s="22">
        <f>IF([Cotação]&gt;0,Tabela3[[#This Row],[Lucro]]/Tabela3[[#This Row],[Cotação]],0)</f>
        <v>0</v>
      </c>
      <c r="AU235" s="22">
        <f>((1+Tabela3[[#This Row],[% Yield]])^(1/(3*Tabela3[[#This Row],[Ref]])))^(12)-1</f>
        <v>0</v>
      </c>
      <c r="AV235" s="10">
        <f>IF([Cotação]&gt;0,($BH$1/Tabela3[[#This Row],[Cotação]]-MOD($BH$1/Tabela3[[#This Row],[Cotação]],100)),)</f>
        <v>100</v>
      </c>
      <c r="AW235" s="7">
        <f>Tabela3[[#This Row],[Ativos]]*[Lucro]</f>
        <v>0</v>
      </c>
      <c r="AX235" s="7">
        <f>SUMPRODUCT(N(Tabela1[Código]=Tabela3[[#This Row],[PAPEL]]),Tabela1[Fechamento])</f>
        <v>0</v>
      </c>
      <c r="AY235" s="7">
        <f>SUMPRODUCT(N(Tabela17[Código]=Tabela3[[#This Row],[PAPEL]]),Tabela17[Fechamento])</f>
        <v>0</v>
      </c>
      <c r="AZ235" s="7">
        <f>SUMPRODUCT(N(Tabela176[Código]=Tabela3[[#This Row],[PAPEL]]),Tabela176[Fechamento])</f>
        <v>0</v>
      </c>
      <c r="BA235" s="7">
        <f>SUMPRODUCT(N(Tabela1768[Código]=Tabela3[[#This Row],[PAPEL]]),Tabela1768[Fechamento])</f>
        <v>6.08</v>
      </c>
      <c r="BB235" s="7">
        <f>SUMPRODUCT(N(Tabela17683[Código]=Tabela3[[#This Row],[PAPEL]]),Tabela17683[Fechamento])</f>
        <v>0</v>
      </c>
    </row>
    <row r="236" spans="1:54" ht="11.25" customHeight="1">
      <c r="A236" s="3" t="s">
        <v>761</v>
      </c>
      <c r="B236" s="58" t="s">
        <v>763</v>
      </c>
      <c r="C236" s="16" t="str">
        <f>LEFT([PAPEL],LEN([PAPEL])-(LEN([PAPEL])-4))</f>
        <v>BOBR</v>
      </c>
      <c r="D236" s="16">
        <v>3</v>
      </c>
      <c r="E236" s="5">
        <v>795142427.63999999</v>
      </c>
      <c r="F236" s="56">
        <v>34064588</v>
      </c>
      <c r="G236" s="80">
        <v>0.25</v>
      </c>
      <c r="H236" s="86"/>
      <c r="J236" s="18">
        <v>0.1</v>
      </c>
      <c r="K236" s="16"/>
      <c r="L236" s="86"/>
      <c r="M236" s="54"/>
      <c r="N236" s="54"/>
      <c r="O236" s="54"/>
      <c r="P236" s="90">
        <v>-37030000</v>
      </c>
      <c r="Q236" s="73">
        <v>-45486000</v>
      </c>
      <c r="R236" s="73">
        <f>IF(Tabela3[[#This Row],[Ativo || Passivo]]&gt;0,Tabela3[[#This Row],[Ativo || Passivo]]-Tabela3[[#This Row],[Patrimônio Líquido]],0)</f>
        <v>0</v>
      </c>
      <c r="S236" s="73">
        <f>Tabela3[[#This Row],[Cotação]]*Tabela3[[#This Row],[Total Ações]]</f>
        <v>330875278.56</v>
      </c>
      <c r="T236" s="37">
        <f>IF(Tabela3[[#This Row],[Passivo Circulante]]&gt;0,Tabela3[[#This Row],[Ativo Circulante]]/Tabela3[[#This Row],[Passivo Circulante]],0)</f>
        <v>0</v>
      </c>
      <c r="U23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6" s="18">
        <f>IF(Tabela3[[#This Row],[Lucro Líquido]]&gt;0,Tabela3[[#This Row],[Lucro Líquido]]/Tabela3[[#This Row],[Patrimônio Líquido]],0)/Tabela3[[#This Row],[Ref]]*4</f>
        <v>0</v>
      </c>
      <c r="W23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6" s="18">
        <f>IF(Tabela3[[#This Row],[Dívida]]&gt;0,Tabela3[[#This Row],[Dívida]]/Tabela3[[#This Row],[Patrimônio Líquido]],0)</f>
        <v>0</v>
      </c>
      <c r="Y236" s="18">
        <f>SUMPRODUCT(N([Dívida / PL]&gt;0),N(RIGHT([PAPEL],LEN([PAPEL])-(LEN([PAPEL])-1))="3"),[Dívida / PL])/SUMPRODUCT(N([Dívida / PL]&gt;0),N(RIGHT([PAPEL],LEN([PAPEL])-(LEN([PAPEL])-1))="3"))</f>
        <v>2.2435702141443779</v>
      </c>
      <c r="Z236" s="7">
        <f>Tabela3[[#This Row],[Capital Social]]*20%</f>
        <v>159028485.528</v>
      </c>
      <c r="AA236" s="47">
        <f>IF(([Lucro Líquido]*5%)&gt;[Teto R. Legal],[Teto R. Legal],[Lucro Líquido]*5%)</f>
        <v>-2274300</v>
      </c>
      <c r="AB236" s="47">
        <f>IF([Lucro Líquido]&lt;0,0,[Lucro Líquido]-[Reserva Legal])</f>
        <v>0</v>
      </c>
      <c r="AC236" s="47">
        <f>Tabela3[[#This Row],[Lucro Distribuir]]*[%Div]</f>
        <v>0</v>
      </c>
      <c r="AD236" s="56">
        <f>SUMPRODUCT(N([Nome]=Tabela3[[#This Row],[Nome]]),[Ações])</f>
        <v>54064588</v>
      </c>
      <c r="AE236" s="84">
        <f>[Capital Social]/[Total Ações]</f>
        <v>14.70726878821309</v>
      </c>
      <c r="AF236" s="84">
        <f>Tabela3[[#This Row],[Lucro Líquido]]/Tabela3[[#This Row],[Total Ações]]</f>
        <v>-0.841327043868345</v>
      </c>
      <c r="AG23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7">
        <f>[Div Base]*[Ações]</f>
        <v>0</v>
      </c>
      <c r="AL236" s="7">
        <f>SUMPRODUCT(N([Nome]=Tabela3[[#This Row],[Nome]]),[Div Base]*[Ações])</f>
        <v>0</v>
      </c>
      <c r="AM236" s="5">
        <f>[Patrimônio Líquido]/[Total Ações]</f>
        <v>-0.68492152386327254</v>
      </c>
      <c r="AN236" s="52">
        <f>MAX(Tabela3[[#This Row],[Cotação 1]:[Cotação 5]])</f>
        <v>6.12</v>
      </c>
      <c r="AO236" s="53">
        <f>[Cotação]/[VPA]</f>
        <v>-8.935330233864434</v>
      </c>
      <c r="AP236" s="37">
        <f>IF(Tabela3[[#This Row],[Lucro/Ação]]&gt;0,Tabela3[[#This Row],[Cotação]]/(Tabela3[[#This Row],[Lucro/Ação]]/[Ref]*4),0)</f>
        <v>0</v>
      </c>
      <c r="AQ236" s="84">
        <f>[Lucro Distribuir]/[Total Ações]</f>
        <v>0</v>
      </c>
      <c r="AR23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0" t="str">
        <f>IF(AND([% A.A.]&gt;=5%,SUMPRODUCT(N([Nome]=Tabela3[[#This Row],[Nome]]),[PL])&gt;0,[Rentabilidade s/ PL]&gt;=[Rentabilidade s/ PL Média]),"Sim","Não")</f>
        <v>Não</v>
      </c>
      <c r="AT236" s="22">
        <f>IF([Cotação]&gt;0,Tabela3[[#This Row],[Lucro]]/Tabela3[[#This Row],[Cotação]],0)</f>
        <v>0</v>
      </c>
      <c r="AU236" s="22">
        <f>((1+Tabela3[[#This Row],[% Yield]])^(1/(3*Tabela3[[#This Row],[Ref]])))^(12)-1</f>
        <v>0</v>
      </c>
      <c r="AV236" s="10">
        <f>IF([Cotação]&gt;0,($BH$1/Tabela3[[#This Row],[Cotação]]-MOD($BH$1/Tabela3[[#This Row],[Cotação]],100)),)</f>
        <v>100</v>
      </c>
      <c r="AW236" s="7">
        <f>Tabela3[[#This Row],[Ativos]]*[Lucro]</f>
        <v>0</v>
      </c>
      <c r="AX236" s="7">
        <f>SUMPRODUCT(N(Tabela1[Código]=Tabela3[[#This Row],[PAPEL]]),Tabela1[Fechamento])</f>
        <v>0</v>
      </c>
      <c r="AY236" s="7">
        <f>SUMPRODUCT(N(Tabela17[Código]=Tabela3[[#This Row],[PAPEL]]),Tabela17[Fechamento])</f>
        <v>0</v>
      </c>
      <c r="AZ236" s="7">
        <f>SUMPRODUCT(N(Tabela176[Código]=Tabela3[[#This Row],[PAPEL]]),Tabela176[Fechamento])</f>
        <v>6.12</v>
      </c>
      <c r="BA236" s="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customHeight="1">
      <c r="A237" s="3" t="s">
        <v>855</v>
      </c>
      <c r="B237" s="58" t="s">
        <v>864</v>
      </c>
      <c r="C237" s="16" t="str">
        <f>LEFT([PAPEL],LEN([PAPEL])-(LEN([PAPEL])-4))</f>
        <v>MGLU</v>
      </c>
      <c r="D237" s="16">
        <v>4</v>
      </c>
      <c r="E237" s="5">
        <v>626911472</v>
      </c>
      <c r="F237" s="56">
        <v>186494467</v>
      </c>
      <c r="G237" s="80">
        <v>0.15</v>
      </c>
      <c r="H237" s="86"/>
      <c r="J237" s="18"/>
      <c r="K237" s="16"/>
      <c r="L237" s="86"/>
      <c r="M237" s="54">
        <v>4684316000</v>
      </c>
      <c r="N237" s="54">
        <v>2900243000</v>
      </c>
      <c r="O237" s="54">
        <v>2518982000</v>
      </c>
      <c r="P237" s="90">
        <v>694611000</v>
      </c>
      <c r="Q237" s="73">
        <v>113806000</v>
      </c>
      <c r="R237" s="73">
        <f>IF(Tabela3[[#This Row],[Ativo || Passivo]]&gt;0,Tabela3[[#This Row],[Ativo || Passivo]]-Tabela3[[#This Row],[Patrimônio Líquido]],0)</f>
        <v>3989705000</v>
      </c>
      <c r="S237" s="73">
        <f>Tabela3[[#This Row],[Cotação]]*Tabela3[[#This Row],[Total Ações]]</f>
        <v>1141346138.04</v>
      </c>
      <c r="T237" s="37">
        <f>IF(Tabela3[[#This Row],[Passivo Circulante]]&gt;0,Tabela3[[#This Row],[Ativo Circulante]]/Tabela3[[#This Row],[Passivo Circulante]],0)</f>
        <v>1.1513551903110066</v>
      </c>
      <c r="U23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7" s="18">
        <f>IF(Tabela3[[#This Row],[Lucro Líquido]]&gt;0,Tabela3[[#This Row],[Lucro Líquido]]/Tabela3[[#This Row],[Patrimônio Líquido]],0)/Tabela3[[#This Row],[Ref]]*4</f>
        <v>0.16384134429198502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7" s="18">
        <f>IF(Tabela3[[#This Row],[Dívida]]&gt;0,Tabela3[[#This Row],[Dívida]]/Tabela3[[#This Row],[Patrimônio Líquido]],0)</f>
        <v>5.7437976075817971</v>
      </c>
      <c r="Y237" s="18">
        <f>SUMPRODUCT(N([Dívida / PL]&gt;0),N(RIGHT([PAPEL],LEN([PAPEL])-(LEN([PAPEL])-1))="3"),[Dívida / PL])/SUMPRODUCT(N([Dívida / PL]&gt;0),N(RIGHT([PAPEL],LEN([PAPEL])-(LEN([PAPEL])-1))="3"))</f>
        <v>2.2435702141443779</v>
      </c>
      <c r="Z237" s="7">
        <f>Tabela3[[#This Row],[Capital Social]]*20%</f>
        <v>125382294.40000001</v>
      </c>
      <c r="AA237" s="47">
        <f>IF(([Lucro Líquido]*5%)&gt;[Teto R. Legal],[Teto R. Legal],[Lucro Líquido]*5%)</f>
        <v>5690300</v>
      </c>
      <c r="AB237" s="47">
        <f>IF([Lucro Líquido]&lt;0,0,[Lucro Líquido]-[Reserva Legal])</f>
        <v>108115700</v>
      </c>
      <c r="AC237" s="47">
        <f>Tabela3[[#This Row],[Lucro Distribuir]]*[%Div]</f>
        <v>16217355</v>
      </c>
      <c r="AD237" s="56">
        <f>SUMPRODUCT(N([Nome]=Tabela3[[#This Row],[Nome]]),[Ações])</f>
        <v>186494467</v>
      </c>
      <c r="AE237" s="84">
        <f>[Capital Social]/[Total Ações]</f>
        <v>3.3615553430869345</v>
      </c>
      <c r="AF237" s="84">
        <f>Tabela3[[#This Row],[Lucro Líquido]]/Tabela3[[#This Row],[Total Ações]]</f>
        <v>0.61023794341308801</v>
      </c>
      <c r="AG2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2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237" s="7">
        <f>[Div Base]*[Ações]</f>
        <v>16217355</v>
      </c>
      <c r="AL237" s="7">
        <f>SUMPRODUCT(N([Nome]=Tabela3[[#This Row],[Nome]]),[Div Base]*[Ações])</f>
        <v>16217355</v>
      </c>
      <c r="AM237" s="5">
        <f>[Patrimônio Líquido]/[Total Ações]</f>
        <v>3.724566262869343</v>
      </c>
      <c r="AN237" s="52">
        <f>MAX(Tabela3[[#This Row],[Cotação 1]:[Cotação 5]])</f>
        <v>6.12</v>
      </c>
      <c r="AO237" s="53">
        <f>[Cotação]/[VPA]</f>
        <v>1.6431443470374065</v>
      </c>
      <c r="AP237" s="37">
        <f>IF(Tabela3[[#This Row],[Lucro/Ação]]&gt;0,Tabela3[[#This Row],[Cotação]]/(Tabela3[[#This Row],[Lucro/Ação]]/[Ref]*4),0)</f>
        <v>10.028874910285925</v>
      </c>
      <c r="AQ237" s="84">
        <f>[Lucro Distribuir]/[Total Ações]</f>
        <v>0.57972604624243351</v>
      </c>
      <c r="AR237" s="84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1.4208971721628272E-2</v>
      </c>
      <c r="AU237" s="22">
        <f>((1+Tabela3[[#This Row],[% Yield]])^(1/(3*Tabela3[[#This Row],[Ref]])))^(12)-1</f>
        <v>1.420897172162916E-2</v>
      </c>
      <c r="AV237" s="10">
        <f>IF([Cotação]&gt;0,($BH$1/Tabela3[[#This Row],[Cotação]]-MOD($BH$1/Tabela3[[#This Row],[Cotação]],100)),)</f>
        <v>100</v>
      </c>
      <c r="AW237" s="7">
        <f>Tabela3[[#This Row],[Ativos]]*[Lucro]</f>
        <v>8.6958906936365032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6.12</v>
      </c>
      <c r="BB237" s="7">
        <f>SUMPRODUCT(N(Tabela17683[Código]=Tabela3[[#This Row],[PAPEL]]),Tabela17683[Fechamento])</f>
        <v>0</v>
      </c>
    </row>
    <row r="238" spans="1:54" ht="11.25" customHeight="1">
      <c r="A238" s="4" t="s">
        <v>14</v>
      </c>
      <c r="B238" s="57" t="s">
        <v>531</v>
      </c>
      <c r="C238" s="15" t="str">
        <f>LEFT([PAPEL],LEN([PAPEL])-(LEN([PAPEL])-4))</f>
        <v>IDVL</v>
      </c>
      <c r="D238" s="15">
        <v>4</v>
      </c>
      <c r="E238" s="6">
        <v>769843000</v>
      </c>
      <c r="F238" s="8">
        <v>58513218</v>
      </c>
      <c r="G238" s="85">
        <v>0.25</v>
      </c>
      <c r="H238" s="15"/>
      <c r="I238" s="19"/>
      <c r="J238" s="19"/>
      <c r="K238" s="87"/>
      <c r="L238" s="87"/>
      <c r="M238" s="55">
        <v>4667591000</v>
      </c>
      <c r="N238" s="55">
        <v>3479268000</v>
      </c>
      <c r="O238" s="55">
        <v>2824930000</v>
      </c>
      <c r="P238" s="91">
        <v>673346000</v>
      </c>
      <c r="Q238" s="92">
        <v>-119908000</v>
      </c>
      <c r="R238" s="92">
        <f>IF(Tabela3[[#This Row],[Ativo || Passivo]]&gt;0,Tabela3[[#This Row],[Ativo || Passivo]]-Tabela3[[#This Row],[Patrimônio Líquido]],0)</f>
        <v>3994245000</v>
      </c>
      <c r="S238" s="92">
        <f>Tabela3[[#This Row],[Cotação]]*Tabela3[[#This Row],[Total Ações]]</f>
        <v>559594531.25</v>
      </c>
      <c r="T238" s="40">
        <f>IF(Tabela3[[#This Row],[Passivo Circulante]]&gt;0,Tabela3[[#This Row],[Ativo Circulante]]/Tabela3[[#This Row],[Passivo Circulante]],0)</f>
        <v>1.2316298102961842</v>
      </c>
      <c r="U23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8" s="19">
        <f>IF(Tabela3[[#This Row],[Lucro Líquido]]&gt;0,Tabela3[[#This Row],[Lucro Líquido]]/Tabela3[[#This Row],[Patrimônio Líquido]],0)/Tabela3[[#This Row],[Ref]]*4</f>
        <v>0</v>
      </c>
      <c r="W23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8" s="19">
        <f>IF(Tabela3[[#This Row],[Dívida]]&gt;0,Tabela3[[#This Row],[Dívida]]/Tabela3[[#This Row],[Patrimônio Líquido]],0)</f>
        <v>5.9319354388382797</v>
      </c>
      <c r="Y238" s="19">
        <f>SUMPRODUCT(N([Dívida / PL]&gt;0),N(RIGHT([PAPEL],LEN([PAPEL])-(LEN([PAPEL])-1))="3"),[Dívida / PL])/SUMPRODUCT(N([Dívida / PL]&gt;0),N(RIGHT([PAPEL],LEN([PAPEL])-(LEN([PAPEL])-1))="3"))</f>
        <v>2.2435702141443779</v>
      </c>
      <c r="Z238" s="13">
        <f>Tabela3[[#This Row],[Capital Social]]*20%</f>
        <v>153968600</v>
      </c>
      <c r="AA238" s="13">
        <f>IF(([Lucro Líquido]*5%)&gt;[Teto R. Legal],[Teto R. Legal],[Lucro Líquido]*5%)</f>
        <v>-5995400</v>
      </c>
      <c r="AB238" s="13">
        <f>IF([Lucro Líquido]&lt;0,0,[Lucro Líquido]-[Reserva Legal])</f>
        <v>0</v>
      </c>
      <c r="AC238" s="13">
        <f>Tabela3[[#This Row],[Lucro Distribuir]]*[%Div]</f>
        <v>0</v>
      </c>
      <c r="AD238" s="56">
        <f>SUMPRODUCT(N([Nome]=Tabela3[[#This Row],[Nome]]),[Ações])</f>
        <v>89535125</v>
      </c>
      <c r="AE238" s="6">
        <f>[Capital Social]/[Total Ações]</f>
        <v>8.5982233229696163</v>
      </c>
      <c r="AF238" s="77">
        <f>Tabela3[[#This Row],[Lucro Líquido]]/Tabela3[[#This Row],[Total Ações]]</f>
        <v>-1.3392285988320227</v>
      </c>
      <c r="AG2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13">
        <f>[Div Base]*[Ações]</f>
        <v>0</v>
      </c>
      <c r="AL238" s="13">
        <f>SUMPRODUCT(N([Nome]=Tabela3[[#This Row],[Nome]]),[Div Base]*[Ações])</f>
        <v>0</v>
      </c>
      <c r="AM238" s="6">
        <f>[Patrimônio Líquido]/[Total Ações]</f>
        <v>7.520467526012836</v>
      </c>
      <c r="AN238" s="48">
        <f>MAX(Tabela3[[#This Row],[Cotação 1]:[Cotação 5]])</f>
        <v>6.25</v>
      </c>
      <c r="AO238" s="44">
        <f>[Cotação]/[VPA]</f>
        <v>0.83106535310226837</v>
      </c>
      <c r="AP238" s="40">
        <f>IF(Tabela3[[#This Row],[Lucro/Ação]]&gt;0,Tabela3[[#This Row],[Cotação]]/(Tabela3[[#This Row],[Lucro/Ação]]/[Ref]*4),0)</f>
        <v>0</v>
      </c>
      <c r="AQ238" s="77">
        <f>[Lucro Distribuir]/[Total Ações]</f>
        <v>0</v>
      </c>
      <c r="AR23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4" t="str">
        <f>IF(AND([% A.A.]&gt;=5%,SUMPRODUCT(N([Nome]=Tabela3[[#This Row],[Nome]]),[PL])&gt;0,[Rentabilidade s/ PL]&gt;=[Rentabilidade s/ PL Média]),"Sim","Não")</f>
        <v>Não</v>
      </c>
      <c r="AT238" s="42">
        <f>IF([Cotação]&gt;0,Tabela3[[#This Row],[Lucro]]/Tabela3[[#This Row],[Cotação]],0)</f>
        <v>0</v>
      </c>
      <c r="AU238" s="42">
        <f>((1+Tabela3[[#This Row],[% Yield]])^(1/(3*Tabela3[[#This Row],[Ref]])))^(12)-1</f>
        <v>0</v>
      </c>
      <c r="AV238" s="14">
        <f>IF([Cotação]&gt;0,($BH$1/Tabela3[[#This Row],[Cotação]]-MOD($BH$1/Tabela3[[#This Row],[Cotação]],100)),)</f>
        <v>100</v>
      </c>
      <c r="AW238" s="17">
        <f>Tabela3[[#This Row],[Ativos]]*[Lucro]</f>
        <v>0</v>
      </c>
      <c r="AX238" s="17">
        <f>SUMPRODUCT(N(Tabela1[Código]=Tabela3[[#This Row],[PAPEL]]),Tabela1[Fechamento])</f>
        <v>0</v>
      </c>
      <c r="AY238" s="17">
        <f>SUMPRODUCT(N(Tabela17[Código]=Tabela3[[#This Row],[PAPEL]]),Tabela17[Fechamento])</f>
        <v>0</v>
      </c>
      <c r="AZ238" s="17">
        <f>SUMPRODUCT(N(Tabela176[Código]=Tabela3[[#This Row],[PAPEL]]),Tabela176[Fechamento])</f>
        <v>6.25</v>
      </c>
      <c r="BA238" s="17">
        <f>SUMPRODUCT(N(Tabela1768[Código]=Tabela3[[#This Row],[PAPEL]]),Tabela1768[Fechamento])</f>
        <v>0</v>
      </c>
      <c r="BB238" s="7">
        <f>SUMPRODUCT(N(Tabela17683[Código]=Tabela3[[#This Row],[PAPEL]]),Tabela17683[Fechamento])</f>
        <v>0</v>
      </c>
    </row>
    <row r="239" spans="1:54" ht="11.25" customHeight="1">
      <c r="A239" s="3" t="s">
        <v>855</v>
      </c>
      <c r="B239" s="58" t="s">
        <v>867</v>
      </c>
      <c r="C239" s="16" t="str">
        <f>LEFT([PAPEL],LEN([PAPEL])-(LEN([PAPEL])-4))</f>
        <v>VVAR</v>
      </c>
      <c r="D239" s="16">
        <v>4</v>
      </c>
      <c r="E239" s="5">
        <v>2895452570.5900002</v>
      </c>
      <c r="F239" s="56">
        <v>659164518</v>
      </c>
      <c r="G239" s="80">
        <v>0.25</v>
      </c>
      <c r="H239" s="86"/>
      <c r="J239" s="18"/>
      <c r="K239" s="16"/>
      <c r="L239" s="86"/>
      <c r="M239" s="54">
        <v>13300516000</v>
      </c>
      <c r="N239" s="54">
        <v>8853593000</v>
      </c>
      <c r="O239" s="54">
        <v>7717457000</v>
      </c>
      <c r="P239" s="90">
        <v>3950803000</v>
      </c>
      <c r="Q239" s="73">
        <v>1159542000</v>
      </c>
      <c r="R239" s="73">
        <f>IF(Tabela3[[#This Row],[Ativo || Passivo]]&gt;0,Tabela3[[#This Row],[Ativo || Passivo]]-Tabela3[[#This Row],[Patrimônio Líquido]],0)</f>
        <v>9349713000</v>
      </c>
      <c r="S239" s="73">
        <f>Tabela3[[#This Row],[Cotação]]*Tabela3[[#This Row],[Total Ações]]</f>
        <v>8325344878.8000002</v>
      </c>
      <c r="T239" s="37">
        <f>IF(Tabela3[[#This Row],[Passivo Circulante]]&gt;0,Tabela3[[#This Row],[Ativo Circulante]]/Tabela3[[#This Row],[Passivo Circulante]],0)</f>
        <v>1.1472163693299491</v>
      </c>
      <c r="U23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39" s="18">
        <f>IF(Tabela3[[#This Row],[Lucro Líquido]]&gt;0,Tabela3[[#This Row],[Lucro Líquido]]/Tabela3[[#This Row],[Patrimônio Líquido]],0)/Tabela3[[#This Row],[Ref]]*4</f>
        <v>0.29349527172071094</v>
      </c>
      <c r="W2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39" s="18">
        <f>IF(Tabela3[[#This Row],[Dívida]]&gt;0,Tabela3[[#This Row],[Dívida]]/Tabela3[[#This Row],[Patrimônio Líquido]],0)</f>
        <v>2.3665348538006072</v>
      </c>
      <c r="Y239" s="18">
        <f>SUMPRODUCT(N([Dívida / PL]&gt;0),N(RIGHT([PAPEL],LEN([PAPEL])-(LEN([PAPEL])-1))="3"),[Dívida / PL])/SUMPRODUCT(N([Dívida / PL]&gt;0),N(RIGHT([PAPEL],LEN([PAPEL])-(LEN([PAPEL])-1))="3"))</f>
        <v>2.2435702141443779</v>
      </c>
      <c r="Z239" s="7">
        <f>Tabela3[[#This Row],[Capital Social]]*20%</f>
        <v>579090514.11800003</v>
      </c>
      <c r="AA239" s="47">
        <f>IF(([Lucro Líquido]*5%)&gt;[Teto R. Legal],[Teto R. Legal],[Lucro Líquido]*5%)</f>
        <v>57977100</v>
      </c>
      <c r="AB239" s="47">
        <f>IF([Lucro Líquido]&lt;0,0,[Lucro Líquido]-[Reserva Legal])</f>
        <v>1101564900</v>
      </c>
      <c r="AC239" s="47">
        <f>Tabela3[[#This Row],[Lucro Distribuir]]*[%Div]</f>
        <v>275391225</v>
      </c>
      <c r="AD239" s="56">
        <f>SUMPRODUCT(N([Nome]=Tabela3[[#This Row],[Nome]]),[Ações])</f>
        <v>1290751144</v>
      </c>
      <c r="AE239" s="84">
        <f>[Capital Social]/[Total Ações]</f>
        <v>2.2432306831951179</v>
      </c>
      <c r="AF239" s="84">
        <f>Tabela3[[#This Row],[Lucro Líquido]]/Tabela3[[#This Row],[Total Ações]]</f>
        <v>0.89834667618934916</v>
      </c>
      <c r="AG2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2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239" s="7">
        <f>[Div Base]*[Ações]</f>
        <v>140637585.27922291</v>
      </c>
      <c r="AL239" s="7">
        <f>SUMPRODUCT(N([Nome]=Tabela3[[#This Row],[Nome]]),[Div Base]*[Ações])</f>
        <v>275391225</v>
      </c>
      <c r="AM239" s="5">
        <f>[Patrimônio Líquido]/[Total Ações]</f>
        <v>3.0608557027937833</v>
      </c>
      <c r="AN239" s="52">
        <f>MAX(Tabela3[[#This Row],[Cotação 1]:[Cotação 5]])</f>
        <v>6.45</v>
      </c>
      <c r="AO239" s="53">
        <f>[Cotação]/[VPA]</f>
        <v>2.1072538617592427</v>
      </c>
      <c r="AP239" s="37">
        <f>IF(Tabela3[[#This Row],[Lucro/Ação]]&gt;0,Tabela3[[#This Row],[Cotação]]/(Tabela3[[#This Row],[Lucro/Ação]]/[Ref]*4),0)</f>
        <v>7.1798562525548881</v>
      </c>
      <c r="AQ239" s="84">
        <f>[Lucro Distribuir]/[Total Ações]</f>
        <v>0.85342934237988166</v>
      </c>
      <c r="AR239" s="84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239" s="10" t="str">
        <f>IF(AND([% A.A.]&gt;=5%,SUMPRODUCT(N([Nome]=Tabela3[[#This Row],[Nome]]),[PL])&gt;0,[Rentabilidade s/ PL]&gt;=[Rentabilidade s/ PL Média]),"Sim","Não")</f>
        <v>Não</v>
      </c>
      <c r="AT239" s="22">
        <f>IF([Cotação]&gt;0,Tabela3[[#This Row],[Lucro]]/Tabela3[[#This Row],[Cotação]],0)</f>
        <v>3.3078656681390761E-2</v>
      </c>
      <c r="AU239" s="22">
        <f>((1+Tabela3[[#This Row],[% Yield]])^(1/(3*Tabela3[[#This Row],[Ref]])))^(12)-1</f>
        <v>3.3078656681391871E-2</v>
      </c>
      <c r="AV239" s="10">
        <f>IF([Cotação]&gt;0,($BH$1/Tabela3[[#This Row],[Cotação]]-MOD($BH$1/Tabela3[[#This Row],[Cotação]],100)),)</f>
        <v>100</v>
      </c>
      <c r="AW239" s="7">
        <f>Tabela3[[#This Row],[Ativos]]*[Lucro]</f>
        <v>21.33573355949704</v>
      </c>
      <c r="AX239" s="7">
        <f>SUMPRODUCT(N(Tabela1[Código]=Tabela3[[#This Row],[PAPEL]]),Tabela1[Fechamento])</f>
        <v>0</v>
      </c>
      <c r="AY239" s="7">
        <f>SUMPRODUCT(N(Tabela17[Código]=Tabela3[[#This Row],[PAPEL]]),Tabela17[Fechamento])</f>
        <v>0</v>
      </c>
      <c r="AZ239" s="7">
        <f>SUMPRODUCT(N(Tabela176[Código]=Tabela3[[#This Row],[PAPEL]]),Tabela176[Fechamento])</f>
        <v>0</v>
      </c>
      <c r="BA239" s="7">
        <f>SUMPRODUCT(N(Tabela1768[Código]=Tabela3[[#This Row],[PAPEL]]),Tabela1768[Fechamento])</f>
        <v>6.45</v>
      </c>
      <c r="BB239" s="7">
        <f>SUMPRODUCT(N(Tabela17683[Código]=Tabela3[[#This Row],[PAPEL]]),Tabela17683[Fechamento])</f>
        <v>0</v>
      </c>
    </row>
    <row r="240" spans="1:54" ht="11.25" customHeight="1">
      <c r="A240" s="4" t="s">
        <v>14</v>
      </c>
      <c r="B240" s="57" t="s">
        <v>537</v>
      </c>
      <c r="C240" s="15" t="str">
        <f>LEFT([PAPEL],LEN([PAPEL])-(LEN([PAPEL])-4))</f>
        <v>BMEB</v>
      </c>
      <c r="D240" s="15">
        <v>4</v>
      </c>
      <c r="E240" s="6">
        <v>433340000</v>
      </c>
      <c r="F240" s="8">
        <v>19837918</v>
      </c>
      <c r="G240" s="85">
        <v>0.25</v>
      </c>
      <c r="H240" s="15"/>
      <c r="I240" s="19">
        <v>0.06</v>
      </c>
      <c r="J240" s="19">
        <v>0.1</v>
      </c>
      <c r="K240" s="87"/>
      <c r="L240" s="87"/>
      <c r="M240" s="55">
        <v>13463359000</v>
      </c>
      <c r="N240" s="55">
        <v>8915470000</v>
      </c>
      <c r="O240" s="55">
        <v>4526213000</v>
      </c>
      <c r="P240" s="91">
        <v>847554000</v>
      </c>
      <c r="Q240" s="92">
        <v>827000</v>
      </c>
      <c r="R240" s="92">
        <f>IF(Tabela3[[#This Row],[Ativo || Passivo]]&gt;0,Tabela3[[#This Row],[Ativo || Passivo]]-Tabela3[[#This Row],[Patrimônio Líquido]],0)</f>
        <v>12615805000</v>
      </c>
      <c r="S240" s="92">
        <f>Tabela3[[#This Row],[Cotação]]*Tabela3[[#This Row],[Total Ações]]</f>
        <v>304721000</v>
      </c>
      <c r="T240" s="40">
        <f>IF(Tabela3[[#This Row],[Passivo Circulante]]&gt;0,Tabela3[[#This Row],[Ativo Circulante]]/Tabela3[[#This Row],[Passivo Circulante]],0)</f>
        <v>1.9697415919224306</v>
      </c>
      <c r="U24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0" s="19">
        <f>IF(Tabela3[[#This Row],[Lucro Líquido]]&gt;0,Tabela3[[#This Row],[Lucro Líquido]]/Tabela3[[#This Row],[Patrimônio Líquido]],0)/Tabela3[[#This Row],[Ref]]*4</f>
        <v>9.7574903781941918E-4</v>
      </c>
      <c r="W2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0" s="19">
        <f>IF(Tabela3[[#This Row],[Dívida]]&gt;0,Tabela3[[#This Row],[Dívida]]/Tabela3[[#This Row],[Patrimônio Líquido]],0)</f>
        <v>14.884957182669186</v>
      </c>
      <c r="Y240" s="19">
        <f>SUMPRODUCT(N([Dívida / PL]&gt;0),N(RIGHT([PAPEL],LEN([PAPEL])-(LEN([PAPEL])-1))="3"),[Dívida / PL])/SUMPRODUCT(N([Dívida / PL]&gt;0),N(RIGHT([PAPEL],LEN([PAPEL])-(LEN([PAPEL])-1))="3"))</f>
        <v>2.2435702141443779</v>
      </c>
      <c r="Z240" s="13">
        <f>Tabela3[[#This Row],[Capital Social]]*20%</f>
        <v>86668000</v>
      </c>
      <c r="AA240" s="13">
        <f>IF(([Lucro Líquido]*5%)&gt;[Teto R. Legal],[Teto R. Legal],[Lucro Líquido]*5%)</f>
        <v>41350</v>
      </c>
      <c r="AB240" s="13">
        <f>IF([Lucro Líquido]&lt;0,0,[Lucro Líquido]-[Reserva Legal])</f>
        <v>785650</v>
      </c>
      <c r="AC240" s="13">
        <f>Tabela3[[#This Row],[Lucro Distribuir]]*[%Div]</f>
        <v>196412.5</v>
      </c>
      <c r="AD240" s="56">
        <f>SUMPRODUCT(N([Nome]=Tabela3[[#This Row],[Nome]]),[Ações])</f>
        <v>46100000</v>
      </c>
      <c r="AE240" s="6">
        <f>[Capital Social]/[Total Ações]</f>
        <v>9.4</v>
      </c>
      <c r="AF240" s="77">
        <f>Tabela3[[#This Row],[Lucro Líquido]]/Tabela3[[#This Row],[Total Ações]]</f>
        <v>1.7939262472885034E-2</v>
      </c>
      <c r="AG2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2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2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240" s="13">
        <f>[Div Base]*[Ações]</f>
        <v>785650</v>
      </c>
      <c r="AL240" s="13">
        <f>SUMPRODUCT(N([Nome]=Tabela3[[#This Row],[Nome]]),[Div Base]*[Ações])</f>
        <v>785650</v>
      </c>
      <c r="AM240" s="6">
        <f>[Patrimônio Líquido]/[Total Ações]</f>
        <v>18.385119305856833</v>
      </c>
      <c r="AN240" s="48">
        <f>MAX(Tabela3[[#This Row],[Cotação 1]:[Cotação 5]])</f>
        <v>6.61</v>
      </c>
      <c r="AO240" s="44">
        <f>[Cotação]/[VPA]</f>
        <v>0.35952989426042475</v>
      </c>
      <c r="AP240" s="40">
        <f>IF(Tabela3[[#This Row],[Lucro/Ação]]&gt;0,Tabela3[[#This Row],[Cotação]]/(Tabela3[[#This Row],[Lucro/Ação]]/[Ref]*4),0)</f>
        <v>368.46553808948005</v>
      </c>
      <c r="AQ240" s="77">
        <f>[Lucro Distribuir]/[Total Ações]</f>
        <v>1.7042299349240782E-2</v>
      </c>
      <c r="AR240" s="77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240" s="14" t="str">
        <f>IF(AND([% A.A.]&gt;=5%,SUMPRODUCT(N([Nome]=Tabela3[[#This Row],[Nome]]),[PL])&gt;0,[Rentabilidade s/ PL]&gt;=[Rentabilidade s/ PL Média]),"Sim","Não")</f>
        <v>Não</v>
      </c>
      <c r="AT240" s="42">
        <f>IF([Cotação]&gt;0,Tabela3[[#This Row],[Lucro]]/Tabela3[[#This Row],[Cotação]],0)</f>
        <v>5.9914448293120291E-3</v>
      </c>
      <c r="AU240" s="42">
        <f>((1+Tabela3[[#This Row],[% Yield]])^(1/(3*Tabela3[[#This Row],[Ref]])))^(12)-1</f>
        <v>5.9914448293123534E-3</v>
      </c>
      <c r="AV240" s="14">
        <f>IF([Cotação]&gt;0,($BH$1/Tabela3[[#This Row],[Cotação]]-MOD($BH$1/Tabela3[[#This Row],[Cotação]],100)),)</f>
        <v>100</v>
      </c>
      <c r="AW240" s="17">
        <f>Tabela3[[#This Row],[Ativos]]*[Lucro]</f>
        <v>3.9603450321752511</v>
      </c>
      <c r="AX240" s="17">
        <f>SUMPRODUCT(N(Tabela1[Código]=Tabela3[[#This Row],[PAPEL]]),Tabela1[Fechamento])</f>
        <v>0</v>
      </c>
      <c r="AY240" s="17">
        <f>SUMPRODUCT(N(Tabela17[Código]=Tabela3[[#This Row],[PAPEL]]),Tabela17[Fechamento])</f>
        <v>0</v>
      </c>
      <c r="AZ240" s="17">
        <f>SUMPRODUCT(N(Tabela176[Código]=Tabela3[[#This Row],[PAPEL]]),Tabela176[Fechamento])</f>
        <v>6.61</v>
      </c>
      <c r="BA240" s="17">
        <f>SUMPRODUCT(N(Tabela1768[Código]=Tabela3[[#This Row],[PAPEL]]),Tabela1768[Fechamento])</f>
        <v>0</v>
      </c>
      <c r="BB240" s="7">
        <f>SUMPRODUCT(N(Tabela17683[Código]=Tabela3[[#This Row],[PAPEL]]),Tabela17683[Fechamento])</f>
        <v>0</v>
      </c>
    </row>
    <row r="241" spans="1:54" ht="11.25" customHeight="1">
      <c r="A241" s="3" t="s">
        <v>1019</v>
      </c>
      <c r="B241" s="57" t="s">
        <v>1034</v>
      </c>
      <c r="C241" s="16" t="str">
        <f>LEFT([PAPEL],LEN([PAPEL])-(LEN([PAPEL])-4))</f>
        <v>HBOR</v>
      </c>
      <c r="D241" s="16">
        <v>3</v>
      </c>
      <c r="E241" s="5">
        <v>806376305</v>
      </c>
      <c r="F241" s="56">
        <v>257699937</v>
      </c>
      <c r="G241" s="80">
        <v>0.5</v>
      </c>
      <c r="H241" s="86"/>
      <c r="J241" s="18"/>
      <c r="K241" s="16"/>
      <c r="L241" s="86"/>
      <c r="M241" s="47">
        <v>1551852000</v>
      </c>
      <c r="N241" s="47">
        <v>117228000</v>
      </c>
      <c r="O241" s="47">
        <v>74274000</v>
      </c>
      <c r="P241" s="90">
        <v>1247354000</v>
      </c>
      <c r="Q241" s="73">
        <v>211777000</v>
      </c>
      <c r="R241" s="73">
        <f>IF(Tabela3[[#This Row],[Ativo || Passivo]]&gt;0,Tabela3[[#This Row],[Ativo || Passivo]]-Tabela3[[#This Row],[Patrimônio Líquido]],0)</f>
        <v>304498000</v>
      </c>
      <c r="S241" s="7">
        <f>Tabela3[[#This Row],[Cotação]]*Tabela3[[#This Row],[Total Ações]]</f>
        <v>1754936570.9699998</v>
      </c>
      <c r="T241" s="37">
        <f>IF(Tabela3[[#This Row],[Passivo Circulante]]&gt;0,Tabela3[[#This Row],[Ativo Circulante]]/Tabela3[[#This Row],[Passivo Circulante]],0)</f>
        <v>1.578318119395751</v>
      </c>
      <c r="U24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1" s="18">
        <f>IF(Tabela3[[#This Row],[Lucro Líquido]]&gt;0,Tabela3[[#This Row],[Lucro Líquido]]/Tabela3[[#This Row],[Patrimônio Líquido]],0)/Tabela3[[#This Row],[Ref]]*4</f>
        <v>0.22637465653962974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1" s="18">
        <f>IF(Tabela3[[#This Row],[Dívida]]&gt;0,Tabela3[[#This Row],[Dívida]]/Tabela3[[#This Row],[Patrimônio Líquido]],0)</f>
        <v>0.24411514293456388</v>
      </c>
      <c r="Y241" s="18">
        <f>SUMPRODUCT(N([Dívida / PL]&gt;0),N(RIGHT([PAPEL],LEN([PAPEL])-(LEN([PAPEL])-1))="3"),[Dívida / PL])/SUMPRODUCT(N([Dívida / PL]&gt;0),N(RIGHT([PAPEL],LEN([PAPEL])-(LEN([PAPEL])-1))="3"))</f>
        <v>2.2435702141443779</v>
      </c>
      <c r="Z241" s="7">
        <f>Tabela3[[#This Row],[Capital Social]]*20%</f>
        <v>161275261</v>
      </c>
      <c r="AA241" s="47">
        <f>IF(([Lucro Líquido]*5%)&gt;[Teto R. Legal],[Teto R. Legal],[Lucro Líquido]*5%)</f>
        <v>10588850</v>
      </c>
      <c r="AB241" s="47">
        <f>IF([Lucro Líquido]&lt;0,0,[Lucro Líquido]-[Reserva Legal])</f>
        <v>201188150</v>
      </c>
      <c r="AC241" s="47">
        <f>Tabela3[[#This Row],[Lucro Distribuir]]*[%Div]</f>
        <v>100594075</v>
      </c>
      <c r="AD241" s="56">
        <f>SUMPRODUCT(N([Nome]=Tabela3[[#This Row],[Nome]]),[Ações])</f>
        <v>257699937</v>
      </c>
      <c r="AE241" s="84">
        <f>[Capital Social]/[Total Ações]</f>
        <v>3.1291288402604458</v>
      </c>
      <c r="AF241" s="84">
        <f>Tabela3[[#This Row],[Lucro Líquido]]/Tabela3[[#This Row],[Total Ações]]</f>
        <v>0.82179686369112304</v>
      </c>
      <c r="AG2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2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241" s="7">
        <f>[Div Base]*[Ações]</f>
        <v>100594075</v>
      </c>
      <c r="AL241" s="113">
        <f>SUMPRODUCT(N([Nome]=Tabela3[[#This Row],[Nome]]),[Div Base]*[Ações])</f>
        <v>100594075</v>
      </c>
      <c r="AM241" s="5">
        <f>[Patrimônio Líquido]/[Total Ações]</f>
        <v>4.8403349046996471</v>
      </c>
      <c r="AN241" s="52">
        <f>MAX(Tabela3[[#This Row],[Cotação 1]:[Cotação 5]])</f>
        <v>6.81</v>
      </c>
      <c r="AO241" s="53">
        <f>[Cotação]/[VPA]</f>
        <v>1.4069274407826486</v>
      </c>
      <c r="AP241" s="37">
        <f>IF(Tabela3[[#This Row],[Lucro/Ação]]&gt;0,Tabela3[[#This Row],[Cotação]]/(Tabela3[[#This Row],[Lucro/Ação]]/[Ref]*4),0)</f>
        <v>6.2150395379455752</v>
      </c>
      <c r="AQ241" s="84">
        <f>[Lucro Distribuir]/[Total Ações]</f>
        <v>0.78070702050656693</v>
      </c>
      <c r="AR241" s="84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241" s="10" t="str">
        <f>IF(AND([% A.A.]&gt;=5%,SUMPRODUCT(N([Nome]=Tabela3[[#This Row],[Nome]]),[PL])&gt;0,[Rentabilidade s/ PL]&gt;=[Rentabilidade s/ PL Média]),"Sim","Não")</f>
        <v>Sim</v>
      </c>
      <c r="AT241" s="22">
        <f>IF([Cotação]&gt;0,Tabela3[[#This Row],[Lucro]]/Tabela3[[#This Row],[Cotação]],0)</f>
        <v>5.7320632929997575E-2</v>
      </c>
      <c r="AU241" s="22">
        <f>((1+Tabela3[[#This Row],[% Yield]])^(1/(3*Tabela3[[#This Row],[Ref]])))^(12)-1</f>
        <v>7.7148571154081802E-2</v>
      </c>
      <c r="AV241" s="14">
        <f>IF([Cotação]&gt;0,($BH$1/Tabela3[[#This Row],[Cotação]]-MOD($BH$1/Tabela3[[#This Row],[Cotação]],100)),)</f>
        <v>100</v>
      </c>
      <c r="AW241" s="7">
        <f>Tabela3[[#This Row],[Ativos]]*[Lucro]</f>
        <v>39.035351025328346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6.81</v>
      </c>
      <c r="BB241" s="7">
        <f>SUMPRODUCT(N(Tabela17683[Código]=Tabela3[[#This Row],[PAPEL]]),Tabela17683[Fechamento])</f>
        <v>0</v>
      </c>
    </row>
    <row r="242" spans="1:54" ht="11.25" customHeight="1">
      <c r="A242" s="3" t="s">
        <v>1019</v>
      </c>
      <c r="B242" s="57" t="s">
        <v>1031</v>
      </c>
      <c r="C242" s="16" t="str">
        <f>LEFT([PAPEL],LEN([PAPEL])-(LEN([PAPEL])-4))</f>
        <v>EVEN</v>
      </c>
      <c r="D242" s="16">
        <v>4</v>
      </c>
      <c r="E242" s="5">
        <v>1067491000</v>
      </c>
      <c r="F242" s="56">
        <v>233293408</v>
      </c>
      <c r="G242" s="80">
        <v>0.25</v>
      </c>
      <c r="H242" s="86"/>
      <c r="J242" s="18"/>
      <c r="K242" s="16"/>
      <c r="L242" s="86"/>
      <c r="M242" s="54">
        <v>2897456000</v>
      </c>
      <c r="N242" s="54">
        <v>46386000</v>
      </c>
      <c r="O242" s="54">
        <v>254883000</v>
      </c>
      <c r="P242" s="90">
        <v>1988168000</v>
      </c>
      <c r="Q242" s="73">
        <v>282886000</v>
      </c>
      <c r="R242" s="73">
        <f>IF(Tabela3[[#This Row],[Ativo || Passivo]]&gt;0,Tabela3[[#This Row],[Ativo || Passivo]]-Tabela3[[#This Row],[Patrimônio Líquido]],0)</f>
        <v>909288000</v>
      </c>
      <c r="S242" s="73">
        <f>Tabela3[[#This Row],[Cotação]]*Tabela3[[#This Row],[Total Ações]]</f>
        <v>1623722119.6800001</v>
      </c>
      <c r="T242" s="37">
        <f>IF(Tabela3[[#This Row],[Passivo Circulante]]&gt;0,Tabela3[[#This Row],[Ativo Circulante]]/Tabela3[[#This Row],[Passivo Circulante]],0)</f>
        <v>0.18198938336413178</v>
      </c>
      <c r="U24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2" s="18">
        <f>IF(Tabela3[[#This Row],[Lucro Líquido]]&gt;0,Tabela3[[#This Row],[Lucro Líquido]]/Tabela3[[#This Row],[Patrimônio Líquido]],0)/Tabela3[[#This Row],[Ref]]*4</f>
        <v>0.1422847566201649</v>
      </c>
      <c r="W24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2" s="18">
        <f>IF(Tabela3[[#This Row],[Dívida]]&gt;0,Tabela3[[#This Row],[Dívida]]/Tabela3[[#This Row],[Patrimônio Líquido]],0)</f>
        <v>0.45734968071108678</v>
      </c>
      <c r="Y242" s="18">
        <f>SUMPRODUCT(N([Dívida / PL]&gt;0),N(RIGHT([PAPEL],LEN([PAPEL])-(LEN([PAPEL])-1))="3"),[Dívida / PL])/SUMPRODUCT(N([Dívida / PL]&gt;0),N(RIGHT([PAPEL],LEN([PAPEL])-(LEN([PAPEL])-1))="3"))</f>
        <v>2.2435702141443779</v>
      </c>
      <c r="Z242" s="7">
        <f>Tabela3[[#This Row],[Capital Social]]*20%</f>
        <v>213498200</v>
      </c>
      <c r="AA242" s="47">
        <f>IF(([Lucro Líquido]*5%)&gt;[Teto R. Legal],[Teto R. Legal],[Lucro Líquido]*5%)</f>
        <v>14144300</v>
      </c>
      <c r="AB242" s="47">
        <f>IF([Lucro Líquido]&lt;0,0,[Lucro Líquido]-[Reserva Legal])</f>
        <v>268741700</v>
      </c>
      <c r="AC242" s="47">
        <f>Tabela3[[#This Row],[Lucro Distribuir]]*[%Div]</f>
        <v>67185425</v>
      </c>
      <c r="AD242" s="56">
        <f>SUMPRODUCT(N([Nome]=Tabela3[[#This Row],[Nome]]),[Ações])</f>
        <v>233293408</v>
      </c>
      <c r="AE242" s="84">
        <f>[Capital Social]/[Total Ações]</f>
        <v>4.5757443776551119</v>
      </c>
      <c r="AF242" s="84">
        <f>Tabela3[[#This Row],[Lucro Líquido]]/Tabela3[[#This Row],[Total Ações]]</f>
        <v>1.2125760535848489</v>
      </c>
      <c r="AG24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4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42" s="7">
        <f>[Div Base]*[Ações]</f>
        <v>67185425</v>
      </c>
      <c r="AL242" s="113">
        <f>SUMPRODUCT(N([Nome]=Tabela3[[#This Row],[Nome]]),[Div Base]*[Ações])</f>
        <v>67185425</v>
      </c>
      <c r="AM242" s="5">
        <f>[Patrimônio Líquido]/[Total Ações]</f>
        <v>8.5221782177402972</v>
      </c>
      <c r="AN242" s="52">
        <f>MAX(Tabela3[[#This Row],[Cotação 1]:[Cotação 5]])</f>
        <v>6.96</v>
      </c>
      <c r="AO242" s="53">
        <f>[Cotação]/[VPA]</f>
        <v>0.81669261334052257</v>
      </c>
      <c r="AP242" s="37">
        <f>IF(Tabela3[[#This Row],[Lucro/Ação]]&gt;0,Tabela3[[#This Row],[Cotação]]/(Tabela3[[#This Row],[Lucro/Ação]]/[Ref]*4),0)</f>
        <v>5.7398461559780261</v>
      </c>
      <c r="AQ242" s="84">
        <f>[Lucro Distribuir]/[Total Ações]</f>
        <v>1.1519472509056063</v>
      </c>
      <c r="AR242" s="84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42" s="10" t="str">
        <f>IF(AND([% A.A.]&gt;=5%,SUMPRODUCT(N([Nome]=Tabela3[[#This Row],[Nome]]),[PL])&gt;0,[Rentabilidade s/ PL]&gt;=[Rentabilidade s/ PL Média]),"Sim","Não")</f>
        <v>Não</v>
      </c>
      <c r="AT242" s="22">
        <f>IF([Cotação]&gt;0,Tabela3[[#This Row],[Lucro]]/Tabela3[[#This Row],[Cotação]],0)</f>
        <v>4.1377415621609424E-2</v>
      </c>
      <c r="AU242" s="22">
        <f>((1+Tabela3[[#This Row],[% Yield]])^(1/(3*Tabela3[[#This Row],[Ref]])))^(12)-1</f>
        <v>4.1377415621608238E-2</v>
      </c>
      <c r="AV242" s="10">
        <f>IF([Cotação]&gt;0,($BH$1/Tabela3[[#This Row],[Cotação]]-MOD($BH$1/Tabela3[[#This Row],[Cotação]],100)),)</f>
        <v>100</v>
      </c>
      <c r="AW242" s="7">
        <f>Tabela3[[#This Row],[Ativos]]*[Lucro]</f>
        <v>28.79868127264016</v>
      </c>
      <c r="AX242" s="7">
        <f>SUMPRODUCT(N(Tabela1[Código]=Tabela3[[#This Row],[PAPEL]]),Tabela1[Fechamento])</f>
        <v>0</v>
      </c>
      <c r="AY242" s="7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6.96</v>
      </c>
      <c r="BB242" s="7">
        <f>SUMPRODUCT(N(Tabela17683[Código]=Tabela3[[#This Row],[PAPEL]]),Tabela17683[Fechamento])</f>
        <v>0</v>
      </c>
    </row>
    <row r="243" spans="1:54" ht="11.25" customHeight="1">
      <c r="A243" s="3" t="s">
        <v>275</v>
      </c>
      <c r="B243" s="58" t="s">
        <v>273</v>
      </c>
      <c r="C243" s="16" t="str">
        <f>LEFT([PAPEL],LEN([PAPEL])-(LEN([PAPEL])-4))</f>
        <v>VIGR</v>
      </c>
      <c r="D243" s="16">
        <v>3</v>
      </c>
      <c r="E243" s="5">
        <v>1191378411.71</v>
      </c>
      <c r="F243" s="56">
        <v>149714346</v>
      </c>
      <c r="G243" s="80">
        <v>0.25</v>
      </c>
      <c r="H243" s="86"/>
      <c r="J243" s="18"/>
      <c r="K243" s="16"/>
      <c r="L243" s="86"/>
      <c r="M243" s="54"/>
      <c r="N243" s="54"/>
      <c r="O243" s="54"/>
      <c r="P243" s="90">
        <v>1326579000</v>
      </c>
      <c r="Q243" s="73">
        <v>106731000</v>
      </c>
      <c r="R243" s="73">
        <f>IF(Tabela3[[#This Row],[Ativo || Passivo]]&gt;0,Tabela3[[#This Row],[Ativo || Passivo]]-Tabela3[[#This Row],[Patrimônio Líquido]],0)</f>
        <v>0</v>
      </c>
      <c r="S243" s="73">
        <f>Tabela3[[#This Row],[Cotação]]*Tabela3[[#This Row],[Total Ações]]</f>
        <v>1048000422</v>
      </c>
      <c r="T243" s="37">
        <f>IF(Tabela3[[#This Row],[Passivo Circulante]]&gt;0,Tabela3[[#This Row],[Ativo Circulante]]/Tabela3[[#This Row],[Passivo Circulante]],0)</f>
        <v>0</v>
      </c>
      <c r="U24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3" s="18">
        <f>IF(Tabela3[[#This Row],[Lucro Líquido]]&gt;0,Tabela3[[#This Row],[Lucro Líquido]]/Tabela3[[#This Row],[Patrimônio Líquido]],0)/Tabela3[[#This Row],[Ref]]*4</f>
        <v>0.10727442542057426</v>
      </c>
      <c r="W24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3" s="18">
        <f>IF(Tabela3[[#This Row],[Dívida]]&gt;0,Tabela3[[#This Row],[Dívida]]/Tabela3[[#This Row],[Patrimônio Líquido]],0)</f>
        <v>0</v>
      </c>
      <c r="Y243" s="18">
        <f>SUMPRODUCT(N([Dívida / PL]&gt;0),N(RIGHT([PAPEL],LEN([PAPEL])-(LEN([PAPEL])-1))="3"),[Dívida / PL])/SUMPRODUCT(N([Dívida / PL]&gt;0),N(RIGHT([PAPEL],LEN([PAPEL])-(LEN([PAPEL])-1))="3"))</f>
        <v>2.2435702141443779</v>
      </c>
      <c r="Z243" s="7">
        <f>Tabela3[[#This Row],[Capital Social]]*20%</f>
        <v>238275682.34200001</v>
      </c>
      <c r="AA243" s="47">
        <f>IF(([Lucro Líquido]*5%)&gt;[Teto R. Legal],[Teto R. Legal],[Lucro Líquido]*5%)</f>
        <v>5336550</v>
      </c>
      <c r="AB243" s="47">
        <f>IF([Lucro Líquido]&lt;0,0,[Lucro Líquido]-[Reserva Legal])</f>
        <v>101394450</v>
      </c>
      <c r="AC243" s="47">
        <f>Tabela3[[#This Row],[Lucro Distribuir]]*[%Div]</f>
        <v>25348612.5</v>
      </c>
      <c r="AD243" s="56">
        <f>SUMPRODUCT(N([Nome]=Tabela3[[#This Row],[Nome]]),[Ações])</f>
        <v>149714346</v>
      </c>
      <c r="AE243" s="84">
        <f>[Capital Social]/[Total Ações]</f>
        <v>7.9576770265556247</v>
      </c>
      <c r="AF243" s="84">
        <f>Tabela3[[#This Row],[Lucro Líquido]]/Tabela3[[#This Row],[Total Ações]]</f>
        <v>0.71289761369962501</v>
      </c>
      <c r="AG24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24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243" s="7">
        <f>[Div Base]*[Ações]</f>
        <v>25348612.5</v>
      </c>
      <c r="AL243" s="7">
        <f>SUMPRODUCT(N([Nome]=Tabela3[[#This Row],[Nome]]),[Div Base]*[Ações])</f>
        <v>25348612.5</v>
      </c>
      <c r="AM243" s="5">
        <f>[Patrimônio Líquido]/[Total Ações]</f>
        <v>8.8607340274525193</v>
      </c>
      <c r="AN243" s="52">
        <f>MAX(Tabela3[[#This Row],[Cotação 1]:[Cotação 5]])</f>
        <v>7</v>
      </c>
      <c r="AO243" s="53">
        <f>[Cotação]/[VPA]</f>
        <v>0.7900022705017945</v>
      </c>
      <c r="AP243" s="37">
        <f>IF(Tabela3[[#This Row],[Lucro/Ação]]&gt;0,Tabela3[[#This Row],[Cotação]]/(Tabela3[[#This Row],[Lucro/Ação]]/[Ref]*4),0)</f>
        <v>7.3643113668943414</v>
      </c>
      <c r="AQ243" s="84">
        <f>[Lucro Distribuir]/[Total Ações]</f>
        <v>0.67725273301464373</v>
      </c>
      <c r="AR243" s="84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243" s="10" t="str">
        <f>IF(AND([% A.A.]&gt;=5%,SUMPRODUCT(N([Nome]=Tabela3[[#This Row],[Nome]]),[PL])&gt;0,[Rentabilidade s/ PL]&gt;=[Rentabilidade s/ PL Média]),"Sim","Não")</f>
        <v>Não</v>
      </c>
      <c r="AT243" s="22">
        <f>IF([Cotação]&gt;0,Tabela3[[#This Row],[Lucro]]/Tabela3[[#This Row],[Cotação]],0)</f>
        <v>2.4187597607665846E-2</v>
      </c>
      <c r="AU243" s="22">
        <f>((1+Tabela3[[#This Row],[% Yield]])^(1/(3*Tabela3[[#This Row],[Ref]])))^(12)-1</f>
        <v>3.2379447157985464E-2</v>
      </c>
      <c r="AV243" s="10">
        <f>IF([Cotação]&gt;0,($BH$1/Tabela3[[#This Row],[Cotação]]-MOD($BH$1/Tabela3[[#This Row],[Cotação]],100)),)</f>
        <v>100</v>
      </c>
      <c r="AW243" s="7">
        <f>Tabela3[[#This Row],[Ativos]]*[Lucro]</f>
        <v>16.931318325366092</v>
      </c>
      <c r="AX243" s="7">
        <f>SUMPRODUCT(N(Tabela1[Código]=Tabela3[[#This Row],[PAPEL]]),Tabela1[Fechamento])</f>
        <v>0</v>
      </c>
      <c r="AY243" s="7">
        <f>SUMPRODUCT(N(Tabela17[Código]=Tabela3[[#This Row],[PAPEL]]),Tabela17[Fechamento])</f>
        <v>7</v>
      </c>
      <c r="AZ243" s="7">
        <f>SUMPRODUCT(N(Tabela176[Código]=Tabela3[[#This Row],[PAPEL]]),Tabela176[Fechamento])</f>
        <v>7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customHeight="1">
      <c r="A244" s="3" t="s">
        <v>1159</v>
      </c>
      <c r="B244" s="57" t="s">
        <v>1160</v>
      </c>
      <c r="C244" s="16" t="str">
        <f>LEFT([PAPEL],LEN([PAPEL])-(LEN([PAPEL])-4))</f>
        <v>ALLL</v>
      </c>
      <c r="D244" s="16">
        <v>4</v>
      </c>
      <c r="E244" s="5">
        <v>3448283431.6199999</v>
      </c>
      <c r="F244" s="56">
        <v>687664312</v>
      </c>
      <c r="G244" s="80">
        <v>0.25</v>
      </c>
      <c r="H244" s="86"/>
      <c r="J244" s="18"/>
      <c r="K244" s="16"/>
      <c r="L244" s="86"/>
      <c r="M244" s="54">
        <v>8867378000</v>
      </c>
      <c r="N244" s="54">
        <v>330461000</v>
      </c>
      <c r="O244" s="54">
        <v>360414000</v>
      </c>
      <c r="P244" s="90">
        <v>4351743000</v>
      </c>
      <c r="Q244" s="73">
        <v>13029000</v>
      </c>
      <c r="R244" s="73">
        <f>IF(Tabela3[[#This Row],[Ativo || Passivo]]&gt;0,Tabela3[[#This Row],[Ativo || Passivo]]-Tabela3[[#This Row],[Patrimônio Líquido]],0)</f>
        <v>4515635000</v>
      </c>
      <c r="S244" s="73">
        <f>Tabela3[[#This Row],[Cotação]]*Tabela3[[#This Row],[Total Ações]]</f>
        <v>4848033399.5999994</v>
      </c>
      <c r="T244" s="37">
        <f>IF(Tabela3[[#This Row],[Passivo Circulante]]&gt;0,Tabela3[[#This Row],[Ativo Circulante]]/Tabela3[[#This Row],[Passivo Circulante]],0)</f>
        <v>0.91689279550738878</v>
      </c>
      <c r="U24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4" s="18">
        <f>IF(Tabela3[[#This Row],[Lucro Líquido]]&gt;0,Tabela3[[#This Row],[Lucro Líquido]]/Tabela3[[#This Row],[Patrimônio Líquido]],0)/Tabela3[[#This Row],[Ref]]*4</f>
        <v>2.9939727598803515E-3</v>
      </c>
      <c r="W24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4" s="18">
        <f>IF(Tabela3[[#This Row],[Dívida]]&gt;0,Tabela3[[#This Row],[Dívida]]/Tabela3[[#This Row],[Patrimônio Líquido]],0)</f>
        <v>1.037661231373268</v>
      </c>
      <c r="Y244" s="18">
        <f>SUMPRODUCT(N([Dívida / PL]&gt;0),N(RIGHT([PAPEL],LEN([PAPEL])-(LEN([PAPEL])-1))="3"),[Dívida / PL])/SUMPRODUCT(N([Dívida / PL]&gt;0),N(RIGHT([PAPEL],LEN([PAPEL])-(LEN([PAPEL])-1))="3"))</f>
        <v>2.2435702141443779</v>
      </c>
      <c r="Z244" s="7">
        <f>Tabela3[[#This Row],[Capital Social]]*20%</f>
        <v>689656686.324</v>
      </c>
      <c r="AA244" s="47">
        <f>IF(([Lucro Líquido]*5%)&gt;[Teto R. Legal],[Teto R. Legal],[Lucro Líquido]*5%)</f>
        <v>651450</v>
      </c>
      <c r="AB244" s="47">
        <f>IF([Lucro Líquido]&lt;0,0,[Lucro Líquido]-[Reserva Legal])</f>
        <v>12377550</v>
      </c>
      <c r="AC244" s="47">
        <f>Tabela3[[#This Row],[Lucro Distribuir]]*[%Div]</f>
        <v>3094387.5</v>
      </c>
      <c r="AD244" s="56">
        <f>SUMPRODUCT(N([Nome]=Tabela3[[#This Row],[Nome]]),[Ações])</f>
        <v>687664312</v>
      </c>
      <c r="AE244" s="84">
        <f>[Capital Social]/[Total Ações]</f>
        <v>5.0144865328128292</v>
      </c>
      <c r="AF244" s="84">
        <f>Tabela3[[#This Row],[Lucro Líquido]]/Tabela3[[#This Row],[Total Ações]]</f>
        <v>1.8946744469124057E-2</v>
      </c>
      <c r="AG24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24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244" s="7">
        <f>[Div Base]*[Ações]</f>
        <v>3094387.4999999995</v>
      </c>
      <c r="AL244" s="113">
        <f>SUMPRODUCT(N([Nome]=Tabela3[[#This Row],[Nome]]),[Div Base]*[Ações])</f>
        <v>3094387.4999999995</v>
      </c>
      <c r="AM244" s="5">
        <f>[Patrimônio Líquido]/[Total Ações]</f>
        <v>6.3282955419678668</v>
      </c>
      <c r="AN244" s="52">
        <f>MAX(Tabela3[[#This Row],[Cotação 1]:[Cotação 5]])</f>
        <v>7.05</v>
      </c>
      <c r="AO244" s="53">
        <f>[Cotação]/[VPA]</f>
        <v>1.114044050763108</v>
      </c>
      <c r="AP244" s="37">
        <f>IF(Tabela3[[#This Row],[Lucro/Ação]]&gt;0,Tabela3[[#This Row],[Cotação]]/(Tabela3[[#This Row],[Lucro/Ação]]/[Ref]*4),0)</f>
        <v>372.09558673727838</v>
      </c>
      <c r="AQ244" s="84">
        <f>[Lucro Distribuir]/[Total Ações]</f>
        <v>1.7999407245667853E-2</v>
      </c>
      <c r="AR244" s="84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244" s="10" t="str">
        <f>IF(AND([% A.A.]&gt;=5%,SUMPRODUCT(N([Nome]=Tabela3[[#This Row],[Nome]]),[PL])&gt;0,[Rentabilidade s/ PL]&gt;=[Rentabilidade s/ PL Média]),"Sim","Não")</f>
        <v>Não</v>
      </c>
      <c r="AT244" s="22">
        <f>IF([Cotação]&gt;0,Tabela3[[#This Row],[Lucro]]/Tabela3[[#This Row],[Cotação]],0)</f>
        <v>6.3827685268325724E-4</v>
      </c>
      <c r="AU244" s="22">
        <f>((1+Tabela3[[#This Row],[% Yield]])^(1/(3*Tabela3[[#This Row],[Ref]])))^(12)-1</f>
        <v>6.3827685268291745E-4</v>
      </c>
      <c r="AV244" s="10">
        <f>IF([Cotação]&gt;0,($BH$1/Tabela3[[#This Row],[Cotação]]-MOD($BH$1/Tabela3[[#This Row],[Cotação]],100)),)</f>
        <v>100</v>
      </c>
      <c r="AW244" s="7">
        <f>Tabela3[[#This Row],[Ativos]]*[Lucro]</f>
        <v>0.44998518114169633</v>
      </c>
      <c r="AX244" s="7">
        <f>SUMPRODUCT(N(Tabela1[Código]=Tabela3[[#This Row],[PAPEL]]),Tabela1[Fechamento])</f>
        <v>0</v>
      </c>
      <c r="AY244" s="7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7.05</v>
      </c>
    </row>
    <row r="245" spans="1:54" ht="11.25" customHeight="1">
      <c r="A245" s="3" t="s">
        <v>267</v>
      </c>
      <c r="B245" s="58" t="s">
        <v>264</v>
      </c>
      <c r="C245" s="82" t="str">
        <f>LEFT([PAPEL],LEN([PAPEL])-(LEN([PAPEL])-4))</f>
        <v>CIQU</v>
      </c>
      <c r="D245" s="16">
        <v>3</v>
      </c>
      <c r="E245" s="5">
        <v>173000000</v>
      </c>
      <c r="F245" s="56">
        <v>8316000</v>
      </c>
      <c r="G245" s="85">
        <v>0.25</v>
      </c>
      <c r="H245" s="16"/>
      <c r="J245" s="18"/>
      <c r="K245" s="86"/>
      <c r="L245" s="86"/>
      <c r="M245" s="54">
        <v>571642000</v>
      </c>
      <c r="N245" s="54">
        <v>361717000</v>
      </c>
      <c r="O245" s="54">
        <v>263730000</v>
      </c>
      <c r="P245" s="5">
        <v>264517000</v>
      </c>
      <c r="Q245" s="6">
        <v>37183000</v>
      </c>
      <c r="R245" s="5">
        <f>IF(Tabela3[[#This Row],[Ativo || Passivo]]&gt;0,Tabela3[[#This Row],[Ativo || Passivo]]-Tabela3[[#This Row],[Patrimônio Líquido]],0)</f>
        <v>307125000</v>
      </c>
      <c r="S245" s="5">
        <f>Tabela3[[#This Row],[Cotação]]*Tabela3[[#This Row],[Total Ações]]</f>
        <v>176631840</v>
      </c>
      <c r="T245" s="119">
        <f>IF(Tabela3[[#This Row],[Passivo Circulante]]&gt;0,Tabela3[[#This Row],[Ativo Circulante]]/Tabela3[[#This Row],[Passivo Circulante]],0)</f>
        <v>1.3715428658097297</v>
      </c>
      <c r="U24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5" s="18">
        <f>IF(Tabela3[[#This Row],[Lucro Líquido]]&gt;0,Tabela3[[#This Row],[Lucro Líquido]]/Tabela3[[#This Row],[Patrimônio Líquido]],0)/Tabela3[[#This Row],[Ref]]*4</f>
        <v>0.18742588693102269</v>
      </c>
      <c r="W24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5" s="18">
        <f>IF(Tabela3[[#This Row],[Dívida]]&gt;0,Tabela3[[#This Row],[Dívida]]/Tabela3[[#This Row],[Patrimônio Líquido]],0)</f>
        <v>1.1610784940098369</v>
      </c>
      <c r="Y245" s="18">
        <f>SUMPRODUCT(N([Dívida / PL]&gt;0),N(RIGHT([PAPEL],LEN([PAPEL])-(LEN([PAPEL])-1))="3"),[Dívida / PL])/SUMPRODUCT(N([Dívida / PL]&gt;0),N(RIGHT([PAPEL],LEN([PAPEL])-(LEN([PAPEL])-1))="3"))</f>
        <v>2.2435702141443779</v>
      </c>
      <c r="Z245" s="5">
        <f>Tabela3[[#This Row],[Capital Social]]*20%</f>
        <v>34600000</v>
      </c>
      <c r="AA245" s="5">
        <f>IF(([Lucro Líquido]*5%)&gt;[Teto R. Legal],[Teto R. Legal],[Lucro Líquido]*5%)</f>
        <v>1859150</v>
      </c>
      <c r="AB245" s="5">
        <f>IF([Lucro Líquido]&lt;0,0,[Lucro Líquido]-[Reserva Legal])</f>
        <v>35323850</v>
      </c>
      <c r="AC245" s="5">
        <f>Tabela3[[#This Row],[Lucro Distribuir]]*[%Div]</f>
        <v>8830962.5</v>
      </c>
      <c r="AD245" s="56">
        <f>SUMPRODUCT(N([Nome]=Tabela3[[#This Row],[Nome]]),[Ações])</f>
        <v>24948000</v>
      </c>
      <c r="AE245" s="5">
        <f>[Capital Social]/[Total Ações]</f>
        <v>6.934423601090268</v>
      </c>
      <c r="AF245" s="76">
        <f>Tabela3[[#This Row],[Lucro Líquido]]/Tabela3[[#This Row],[Total Ações]]</f>
        <v>1.490420073753407</v>
      </c>
      <c r="AG24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24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245" s="5">
        <f>[Div Base]*[Ações]</f>
        <v>2852065.892002333</v>
      </c>
      <c r="AL245" s="5">
        <f>SUMPRODUCT(N([Nome]=Tabela3[[#This Row],[Nome]]),[Div Base]*[Ações])</f>
        <v>9126610.8630029354</v>
      </c>
      <c r="AM245" s="5">
        <f>[Patrimônio Líquido]/[Total Ações]</f>
        <v>10.602733686067019</v>
      </c>
      <c r="AN245" s="52">
        <f>MAX(Tabela3[[#This Row],[Cotação 1]:[Cotação 5]])</f>
        <v>7.08</v>
      </c>
      <c r="AO245" s="53">
        <f>[Cotação]/[VPA]</f>
        <v>0.66775231837651272</v>
      </c>
      <c r="AP245" s="37">
        <f>IF(Tabela3[[#This Row],[Lucro/Ação]]&gt;0,Tabela3[[#This Row],[Cotação]]/(Tabela3[[#This Row],[Lucro/Ação]]/[Ref]*4),0)</f>
        <v>3.5627539466960707</v>
      </c>
      <c r="AQ245" s="76">
        <f>[Lucro Distribuir]/[Total Ações]</f>
        <v>1.4158990700657368</v>
      </c>
      <c r="AR245" s="76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245" s="16" t="str">
        <f>IF(AND([% A.A.]&gt;=5%,SUMPRODUCT(N([Nome]=Tabela3[[#This Row],[Nome]]),[PL])&gt;0,[Rentabilidade s/ PL]&gt;=[Rentabilidade s/ PL Média]),"Sim","Não")</f>
        <v>Sim</v>
      </c>
      <c r="AT245" s="22">
        <f>IF([Cotação]&gt;0,Tabela3[[#This Row],[Lucro]]/Tabela3[[#This Row],[Cotação]],0)</f>
        <v>4.8440856846687426E-2</v>
      </c>
      <c r="AU245" s="18">
        <f>((1+Tabela3[[#This Row],[% Yield]])^(1/(3*Tabela3[[#This Row],[Ref]])))^(12)-1</f>
        <v>6.510375451816186E-2</v>
      </c>
      <c r="AV245" s="14">
        <f>IF([Cotação]&gt;0,($BH$1/Tabela3[[#This Row],[Cotação]]-MOD($BH$1/Tabela3[[#This Row],[Cotação]],100)),)</f>
        <v>100</v>
      </c>
      <c r="AW245" s="7">
        <f>Tabela3[[#This Row],[Ativos]]*[Lucro]</f>
        <v>34.296126647454699</v>
      </c>
      <c r="AX245" s="47">
        <f>SUMPRODUCT(N(Tabela1[Código]=Tabela3[[#This Row],[PAPEL]]),Tabela1[Fechamento])</f>
        <v>0</v>
      </c>
      <c r="AY245" s="54">
        <f>SUMPRODUCT(N(Tabela17[Código]=Tabela3[[#This Row],[PAPEL]]),Tabela17[Fechamento])</f>
        <v>7.08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4" t="s">
        <v>310</v>
      </c>
      <c r="B246" s="57" t="s">
        <v>669</v>
      </c>
      <c r="C246" s="81" t="str">
        <f>LEFT([PAPEL],LEN([PAPEL])-(LEN([PAPEL])-4))</f>
        <v>EUCA</v>
      </c>
      <c r="D246" s="15">
        <v>4</v>
      </c>
      <c r="E246" s="6">
        <v>488183378.76999998</v>
      </c>
      <c r="F246" s="8">
        <v>31257700</v>
      </c>
      <c r="G246" s="80">
        <v>0.25</v>
      </c>
      <c r="H246" s="19"/>
      <c r="I246" s="19"/>
      <c r="J246" s="19"/>
      <c r="K246" s="87"/>
      <c r="L246" s="87"/>
      <c r="M246" s="55">
        <v>1285505000</v>
      </c>
      <c r="N246" s="55">
        <v>16811000</v>
      </c>
      <c r="O246" s="55">
        <v>113812000</v>
      </c>
      <c r="P246" s="6">
        <v>1139467000</v>
      </c>
      <c r="Q246" s="6">
        <v>88862000</v>
      </c>
      <c r="R246" s="6">
        <f>IF(Tabela3[[#This Row],[Ativo || Passivo]]&gt;0,Tabela3[[#This Row],[Ativo || Passivo]]-Tabela3[[#This Row],[Patrimônio Líquido]],0)</f>
        <v>146038000</v>
      </c>
      <c r="S246" s="6">
        <f>Tabela3[[#This Row],[Cotação]]*Tabela3[[#This Row],[Total Ações]]</f>
        <v>658522910.16000009</v>
      </c>
      <c r="T246" s="121">
        <f>IF(Tabela3[[#This Row],[Passivo Circulante]]&gt;0,Tabela3[[#This Row],[Ativo Circulante]]/Tabela3[[#This Row],[Passivo Circulante]],0)</f>
        <v>0.14770850173971109</v>
      </c>
      <c r="U24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6" s="19">
        <f>IF(Tabela3[[#This Row],[Lucro Líquido]]&gt;0,Tabela3[[#This Row],[Lucro Líquido]]/Tabela3[[#This Row],[Patrimônio Líquido]],0)/Tabela3[[#This Row],[Ref]]*4</f>
        <v>7.7985584488186141E-2</v>
      </c>
      <c r="W24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6" s="19">
        <f>IF(Tabela3[[#This Row],[Dívida]]&gt;0,Tabela3[[#This Row],[Dívida]]/Tabela3[[#This Row],[Patrimônio Líquido]],0)</f>
        <v>0.12816343079703055</v>
      </c>
      <c r="Y246" s="19">
        <f>SUMPRODUCT(N([Dívida / PL]&gt;0),N(RIGHT([PAPEL],LEN([PAPEL])-(LEN([PAPEL])-1))="3"),[Dívida / PL])/SUMPRODUCT(N([Dívida / PL]&gt;0),N(RIGHT([PAPEL],LEN([PAPEL])-(LEN([PAPEL])-1))="3"))</f>
        <v>2.2435702141443779</v>
      </c>
      <c r="Z246" s="6">
        <f>Tabela3[[#This Row],[Capital Social]]*20%</f>
        <v>97636675.754000008</v>
      </c>
      <c r="AA246" s="6">
        <f>IF(([Lucro Líquido]*5%)&gt;[Teto R. Legal],[Teto R. Legal],[Lucro Líquido]*5%)</f>
        <v>4443100</v>
      </c>
      <c r="AB246" s="6">
        <f>IF([Lucro Líquido]&lt;0,0,[Lucro Líquido]-[Reserva Legal])</f>
        <v>84418900</v>
      </c>
      <c r="AC246" s="6">
        <f>Tabela3[[#This Row],[Lucro Distribuir]]*[%Div]</f>
        <v>21104725</v>
      </c>
      <c r="AD246" s="56">
        <f>SUMPRODUCT(N([Nome]=Tabela3[[#This Row],[Nome]]),[Ações])</f>
        <v>92619256</v>
      </c>
      <c r="AE246" s="6">
        <f>[Capital Social]/[Total Ações]</f>
        <v>5.2708626678020387</v>
      </c>
      <c r="AF246" s="77">
        <f>Tabela3[[#This Row],[Lucro Líquido]]/Tabela3[[#This Row],[Total Ações]]</f>
        <v>0.95943331697676348</v>
      </c>
      <c r="AG2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46" s="6">
        <f>[Div Base]*[Ações]</f>
        <v>6900939.1384465834</v>
      </c>
      <c r="AL246" s="6">
        <f>SUMPRODUCT(N([Nome]=Tabela3[[#This Row],[Nome]]),[Div Base]*[Ações])</f>
        <v>21802790.534234308</v>
      </c>
      <c r="AM246" s="6">
        <f>[Patrimônio Líquido]/[Total Ações]</f>
        <v>12.302700855208769</v>
      </c>
      <c r="AN246" s="48">
        <f>MAX(Tabela3[[#This Row],[Cotação 1]:[Cotação 5]])</f>
        <v>7.11</v>
      </c>
      <c r="AO246" s="44">
        <f>[Cotação]/[VPA]</f>
        <v>0.57792187940502016</v>
      </c>
      <c r="AP246" s="40">
        <f>IF(Tabela3[[#This Row],[Lucro/Ação]]&gt;0,Tabela3[[#This Row],[Cotação]]/(Tabela3[[#This Row],[Lucro/Ação]]/[Ref]*4),0)</f>
        <v>7.4106244531970926</v>
      </c>
      <c r="AQ246" s="77">
        <f>[Lucro Distribuir]/[Total Ações]</f>
        <v>0.91146165112792532</v>
      </c>
      <c r="AR246" s="77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46" s="15" t="str">
        <f>IF(AND([% A.A.]&gt;=5%,SUMPRODUCT(N([Nome]=Tabela3[[#This Row],[Nome]]),[PL])&gt;0,[Rentabilidade s/ PL]&gt;=[Rentabilidade s/ PL Média]),"Sim","Não")</f>
        <v>Não</v>
      </c>
      <c r="AT246" s="42">
        <f>IF([Cotação]&gt;0,Tabela3[[#This Row],[Lucro]]/Tabela3[[#This Row],[Cotação]],0)</f>
        <v>3.1051428032252495E-2</v>
      </c>
      <c r="AU246" s="19">
        <f>((1+Tabela3[[#This Row],[% Yield]])^(1/(3*Tabela3[[#This Row],[Ref]])))^(12)-1</f>
        <v>3.1051428032251582E-2</v>
      </c>
      <c r="AV246" s="14">
        <f>IF([Cotação]&gt;0,($BH$1/Tabela3[[#This Row],[Cotação]]-MOD($BH$1/Tabela3[[#This Row],[Cotação]],100)),)</f>
        <v>100</v>
      </c>
      <c r="AW246" s="17">
        <f>Tabela3[[#This Row],[Ativos]]*[Lucro]</f>
        <v>22.077565330931527</v>
      </c>
      <c r="AX246" s="13">
        <f>SUMPRODUCT(N(Tabela1[Código]=Tabela3[[#This Row],[PAPEL]]),Tabela1[Fechamento])</f>
        <v>0</v>
      </c>
      <c r="AY246" s="55">
        <f>SUMPRODUCT(N(Tabela17[Código]=Tabela3[[#This Row],[PAPEL]]),Tabela17[Fechamento])</f>
        <v>0</v>
      </c>
      <c r="AZ246" s="7">
        <f>SUMPRODUCT(N(Tabela176[Código]=Tabela3[[#This Row],[PAPEL]]),Tabela176[Fechamento])</f>
        <v>7.11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0</v>
      </c>
    </row>
    <row r="247" spans="1:54" ht="11.25" customHeight="1">
      <c r="A247" s="3" t="s">
        <v>1019</v>
      </c>
      <c r="B247" s="57" t="s">
        <v>1045</v>
      </c>
      <c r="C247" s="16" t="str">
        <f>LEFT([PAPEL],LEN([PAPEL])-(LEN([PAPEL])-4))</f>
        <v>MRVE</v>
      </c>
      <c r="D247" s="16">
        <v>3</v>
      </c>
      <c r="E247" s="5">
        <v>3197736059.7600002</v>
      </c>
      <c r="F247" s="56">
        <v>477221343</v>
      </c>
      <c r="G247" s="80">
        <v>0.25</v>
      </c>
      <c r="H247" s="86"/>
      <c r="J247" s="18"/>
      <c r="K247" s="16"/>
      <c r="L247" s="86"/>
      <c r="M247" s="54"/>
      <c r="N247" s="54"/>
      <c r="O247" s="54"/>
      <c r="P247" s="90">
        <v>4129362000</v>
      </c>
      <c r="Q247" s="73">
        <v>350720000</v>
      </c>
      <c r="R247" s="73">
        <f>IF(Tabela3[[#This Row],[Ativo || Passivo]]&gt;0,Tabela3[[#This Row],[Ativo || Passivo]]-Tabela3[[#This Row],[Patrimônio Líquido]],0)</f>
        <v>0</v>
      </c>
      <c r="S247" s="73">
        <f>Tabela3[[#This Row],[Cotação]]*Tabela3[[#This Row],[Total Ações]]</f>
        <v>3393043748.73</v>
      </c>
      <c r="T247" s="37">
        <f>IF(Tabela3[[#This Row],[Passivo Circulante]]&gt;0,Tabela3[[#This Row],[Ativo Circulante]]/Tabela3[[#This Row],[Passivo Circulante]],0)</f>
        <v>0</v>
      </c>
      <c r="U24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7" s="18">
        <f>IF(Tabela3[[#This Row],[Lucro Líquido]]&gt;0,Tabela3[[#This Row],[Lucro Líquido]]/Tabela3[[#This Row],[Patrimônio Líquido]],0)/Tabela3[[#This Row],[Ref]]*4</f>
        <v>0.11324428971513435</v>
      </c>
      <c r="W24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7" s="18">
        <f>IF(Tabela3[[#This Row],[Dívida]]&gt;0,Tabela3[[#This Row],[Dívida]]/Tabela3[[#This Row],[Patrimônio Líquido]],0)</f>
        <v>0</v>
      </c>
      <c r="Y247" s="18">
        <f>SUMPRODUCT(N([Dívida / PL]&gt;0),N(RIGHT([PAPEL],LEN([PAPEL])-(LEN([PAPEL])-1))="3"),[Dívida / PL])/SUMPRODUCT(N([Dívida / PL]&gt;0),N(RIGHT([PAPEL],LEN([PAPEL])-(LEN([PAPEL])-1))="3"))</f>
        <v>2.2435702141443779</v>
      </c>
      <c r="Z247" s="7">
        <f>Tabela3[[#This Row],[Capital Social]]*20%</f>
        <v>639547211.95200002</v>
      </c>
      <c r="AA247" s="47">
        <f>IF(([Lucro Líquido]*5%)&gt;[Teto R. Legal],[Teto R. Legal],[Lucro Líquido]*5%)</f>
        <v>17536000</v>
      </c>
      <c r="AB247" s="47">
        <f>IF([Lucro Líquido]&lt;0,0,[Lucro Líquido]-[Reserva Legal])</f>
        <v>333184000</v>
      </c>
      <c r="AC247" s="47">
        <f>Tabela3[[#This Row],[Lucro Distribuir]]*[%Div]</f>
        <v>83296000</v>
      </c>
      <c r="AD247" s="56">
        <f>SUMPRODUCT(N([Nome]=Tabela3[[#This Row],[Nome]]),[Ações])</f>
        <v>477221343</v>
      </c>
      <c r="AE247" s="84">
        <f>[Capital Social]/[Total Ações]</f>
        <v>6.700739827891562</v>
      </c>
      <c r="AF247" s="84">
        <f>Tabela3[[#This Row],[Lucro Líquido]]/Tabela3[[#This Row],[Total Ações]]</f>
        <v>0.73492102803960302</v>
      </c>
      <c r="AG24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24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247" s="7">
        <f>[Div Base]*[Ações]</f>
        <v>83296000</v>
      </c>
      <c r="AL247" s="113">
        <f>SUMPRODUCT(N([Nome]=Tabela3[[#This Row],[Nome]]),[Div Base]*[Ações])</f>
        <v>83296000</v>
      </c>
      <c r="AM247" s="5">
        <f>[Patrimônio Líquido]/[Total Ações]</f>
        <v>8.6529281654529857</v>
      </c>
      <c r="AN247" s="52">
        <f>MAX(Tabela3[[#This Row],[Cotação 1]:[Cotação 5]])</f>
        <v>7.11</v>
      </c>
      <c r="AO247" s="53">
        <f>[Cotação]/[VPA]</f>
        <v>0.82168716347222648</v>
      </c>
      <c r="AP247" s="37">
        <f>IF(Tabela3[[#This Row],[Lucro/Ação]]&gt;0,Tabela3[[#This Row],[Cotação]]/(Tabela3[[#This Row],[Lucro/Ação]]/[Ref]*4),0)</f>
        <v>7.2558816478886294</v>
      </c>
      <c r="AQ247" s="84">
        <f>[Lucro Distribuir]/[Total Ações]</f>
        <v>0.69817497663762285</v>
      </c>
      <c r="AR247" s="84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247" s="10" t="str">
        <f>IF(AND([% A.A.]&gt;=5%,SUMPRODUCT(N([Nome]=Tabela3[[#This Row],[Nome]]),[PL])&gt;0,[Rentabilidade s/ PL]&gt;=[Rentabilidade s/ PL Média]),"Sim","Não")</f>
        <v>Não</v>
      </c>
      <c r="AT247" s="22">
        <f>IF([Cotação]&gt;0,Tabela3[[#This Row],[Lucro]]/Tabela3[[#This Row],[Cotação]],0)</f>
        <v>2.4549049811449467E-2</v>
      </c>
      <c r="AU247" s="22">
        <f>((1+Tabela3[[#This Row],[% Yield]])^(1/(3*Tabela3[[#This Row],[Ref]])))^(12)-1</f>
        <v>3.2865266714538377E-2</v>
      </c>
      <c r="AV247" s="10">
        <f>IF([Cotação]&gt;0,($BH$1/Tabela3[[#This Row],[Cotação]]-MOD($BH$1/Tabela3[[#This Row],[Cotação]],100)),)</f>
        <v>100</v>
      </c>
      <c r="AW247" s="7">
        <f>Tabela3[[#This Row],[Ativos]]*[Lucro]</f>
        <v>17.45437441594057</v>
      </c>
      <c r="AX247" s="7">
        <f>SUMPRODUCT(N(Tabela1[Código]=Tabela3[[#This Row],[PAPEL]]),Tabela1[Fechamento])</f>
        <v>0</v>
      </c>
      <c r="AY247" s="7">
        <f>SUMPRODUCT(N(Tabela17[Código]=Tabela3[[#This Row],[PAPEL]]),Tabela17[Fechamento])</f>
        <v>0</v>
      </c>
      <c r="AZ247" s="7">
        <f>SUMPRODUCT(N(Tabela176[Código]=Tabela3[[#This Row],[PAPEL]]),Tabela176[Fechamento])</f>
        <v>0</v>
      </c>
      <c r="BA247" s="7">
        <f>SUMPRODUCT(N(Tabela1768[Código]=Tabela3[[#This Row],[PAPEL]]),Tabela1768[Fechamento])</f>
        <v>7.11</v>
      </c>
      <c r="BB247" s="7">
        <f>SUMPRODUCT(N(Tabela17683[Código]=Tabela3[[#This Row],[PAPEL]]),Tabela17683[Fechamento])</f>
        <v>0</v>
      </c>
    </row>
    <row r="248" spans="1:54" ht="11.25" customHeight="1">
      <c r="A248" s="4" t="s">
        <v>12</v>
      </c>
      <c r="B248" s="57" t="s">
        <v>67</v>
      </c>
      <c r="C248" s="81" t="str">
        <f>LEFT([PAPEL],LEN([PAPEL])-(LEN([PAPEL])-4))</f>
        <v>AELP</v>
      </c>
      <c r="D248" s="15">
        <v>4</v>
      </c>
      <c r="E248" s="6">
        <v>1387982000</v>
      </c>
      <c r="F248" s="8">
        <v>95061053</v>
      </c>
      <c r="G248" s="80">
        <v>0.25</v>
      </c>
      <c r="H248" s="15"/>
      <c r="I248" s="19"/>
      <c r="J248" s="19"/>
      <c r="K248" s="87"/>
      <c r="L248" s="87"/>
      <c r="M248" s="55">
        <v>1579931000</v>
      </c>
      <c r="N248" s="55">
        <v>37600000</v>
      </c>
      <c r="O248" s="55">
        <v>4414000</v>
      </c>
      <c r="P248" s="88">
        <v>1557125000</v>
      </c>
      <c r="Q248" s="88">
        <v>13766000</v>
      </c>
      <c r="R248" s="88">
        <f>IF(Tabela3[[#This Row],[Ativo || Passivo]]&gt;0,Tabela3[[#This Row],[Ativo || Passivo]]-Tabela3[[#This Row],[Patrimônio Líquido]],0)</f>
        <v>22806000</v>
      </c>
      <c r="S248" s="88">
        <f>Tabela3[[#This Row],[Cotação]]*Tabela3[[#This Row],[Total Ações]]</f>
        <v>677785307.88999999</v>
      </c>
      <c r="T248" s="121">
        <f>IF(Tabela3[[#This Row],[Passivo Circulante]]&gt;0,Tabela3[[#This Row],[Ativo Circulante]]/Tabela3[[#This Row],[Passivo Circulante]],0)</f>
        <v>8.5183507023108298</v>
      </c>
      <c r="U2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8" s="19">
        <f>IF(Tabela3[[#This Row],[Lucro Líquido]]&gt;0,Tabela3[[#This Row],[Lucro Líquido]]/Tabela3[[#This Row],[Patrimônio Líquido]],0)/Tabela3[[#This Row],[Ref]]*4</f>
        <v>8.8406518423376421E-3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8" s="19">
        <f>IF(Tabela3[[#This Row],[Dívida]]&gt;0,Tabela3[[#This Row],[Dívida]]/Tabela3[[#This Row],[Patrimônio Líquido]],0)</f>
        <v>1.4646223007144578E-2</v>
      </c>
      <c r="Y248" s="19">
        <f>SUMPRODUCT(N([Dívida / PL]&gt;0),N(RIGHT([PAPEL],LEN([PAPEL])-(LEN([PAPEL])-1))="3"),[Dívida / PL])/SUMPRODUCT(N([Dívida / PL]&gt;0),N(RIGHT([PAPEL],LEN([PAPEL])-(LEN([PAPEL])-1))="3"))</f>
        <v>2.2435702141443779</v>
      </c>
      <c r="Z248" s="6">
        <f>Tabela3[[#This Row],[Capital Social]]*20%</f>
        <v>277596400</v>
      </c>
      <c r="AA248" s="6">
        <f>IF(([Lucro Líquido]*5%)&gt;[Teto R. Legal],[Teto R. Legal],[Lucro Líquido]*5%)</f>
        <v>688300</v>
      </c>
      <c r="AB248" s="88">
        <f>IF([Lucro Líquido]&lt;0,0,[Lucro Líquido]-[Reserva Legal])</f>
        <v>13077700</v>
      </c>
      <c r="AC248" s="88">
        <f>Tabela3[[#This Row],[Lucro Distribuir]]*[%Div]</f>
        <v>3269425</v>
      </c>
      <c r="AD248" s="56">
        <f>SUMPRODUCT(N([Nome]=Tabela3[[#This Row],[Nome]]),[Ações])</f>
        <v>95061053</v>
      </c>
      <c r="AE248" s="6">
        <f>[Capital Social]/[Total Ações]</f>
        <v>14.600953347318802</v>
      </c>
      <c r="AF248" s="77">
        <f>Tabela3[[#This Row],[Lucro Líquido]]/Tabela3[[#This Row],[Total Ações]]</f>
        <v>0.14481219769362327</v>
      </c>
      <c r="AG2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2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248" s="6">
        <f>[Div Base]*[Ações]</f>
        <v>3269425</v>
      </c>
      <c r="AL248" s="6">
        <f>SUMPRODUCT(N([Nome]=Tabela3[[#This Row],[Nome]]),[Div Base]*[Ações])</f>
        <v>3269425</v>
      </c>
      <c r="AM248" s="6">
        <f>[Patrimônio Líquido]/[Total Ações]</f>
        <v>16.38026248247008</v>
      </c>
      <c r="AN248" s="48">
        <f>MAX(Tabela3[[#This Row],[Cotação 1]:[Cotação 5]])</f>
        <v>7.13</v>
      </c>
      <c r="AO248" s="44">
        <f>[Cotação]/[VPA]</f>
        <v>0.43527996011238662</v>
      </c>
      <c r="AP248" s="40">
        <f>IF(Tabela3[[#This Row],[Lucro/Ação]]&gt;0,Tabela3[[#This Row],[Cotação]]/(Tabela3[[#This Row],[Lucro/Ação]]/[Ref]*4),0)</f>
        <v>49.236183923434552</v>
      </c>
      <c r="AQ248" s="77">
        <f>[Lucro Distribuir]/[Total Ações]</f>
        <v>0.1375715878089421</v>
      </c>
      <c r="AR248" s="77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4.8236882120947441E-3</v>
      </c>
      <c r="AU248" s="19">
        <f>((1+Tabela3[[#This Row],[% Yield]])^(1/(3*Tabela3[[#This Row],[Ref]])))^(12)-1</f>
        <v>4.8236882120933355E-3</v>
      </c>
      <c r="AV248" s="14">
        <f>IF([Cotação]&gt;0,($BH$1/Tabela3[[#This Row],[Cotação]]-MOD($BH$1/Tabela3[[#This Row],[Cotação]],100)),)</f>
        <v>100</v>
      </c>
      <c r="AW248" s="17">
        <f>Tabela3[[#This Row],[Ativos]]*[Lucro]</f>
        <v>3.4392896952235525</v>
      </c>
      <c r="AX248" s="5">
        <f>SUMPRODUCT(N(Tabela1[Código]=Tabela3[[#This Row],[PAPEL]]),Tabela1[Fechamento])</f>
        <v>7.13</v>
      </c>
      <c r="AY248" s="5">
        <f>SUMPRODUCT(N(Tabela17[Código]=Tabela3[[#This Row],[PAPEL]]),Tabela17[Fechamento])</f>
        <v>0</v>
      </c>
      <c r="AZ248" s="7">
        <f>SUMPRODUCT(N(Tabela176[Código]=Tabela3[[#This Row],[PAPEL]]),Tabela176[Fechamento])</f>
        <v>0</v>
      </c>
      <c r="BA248" s="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customHeight="1">
      <c r="A249" s="4" t="s">
        <v>14</v>
      </c>
      <c r="B249" s="57" t="s">
        <v>10</v>
      </c>
      <c r="C249" s="14" t="str">
        <f>LEFT([PAPEL],LEN([PAPEL])-(LEN([PAPEL])-4))</f>
        <v>BICB</v>
      </c>
      <c r="D249" s="15">
        <v>4</v>
      </c>
      <c r="E249" s="6">
        <v>1434205798</v>
      </c>
      <c r="F249" s="8">
        <v>92696736</v>
      </c>
      <c r="G249" s="85">
        <v>0.25</v>
      </c>
      <c r="H249" s="15"/>
      <c r="I249" s="19"/>
      <c r="J249" s="19"/>
      <c r="K249" s="87"/>
      <c r="L249" s="87"/>
      <c r="M249" s="55">
        <v>15989397000</v>
      </c>
      <c r="N249" s="55">
        <v>9962019000</v>
      </c>
      <c r="O249" s="55">
        <v>7465535000</v>
      </c>
      <c r="P249" s="6">
        <v>1952345000</v>
      </c>
      <c r="Q249" s="6">
        <v>61019000</v>
      </c>
      <c r="R249" s="6">
        <f>IF(Tabela3[[#This Row],[Ativo || Passivo]]&gt;0,Tabela3[[#This Row],[Ativo || Passivo]]-Tabela3[[#This Row],[Patrimônio Líquido]],0)</f>
        <v>14037052000</v>
      </c>
      <c r="S249" s="6">
        <f>Tabela3[[#This Row],[Cotação]]*Tabela3[[#This Row],[Total Ações]]</f>
        <v>1808260518.3500001</v>
      </c>
      <c r="T249" s="121">
        <f>IF(Tabela3[[#This Row],[Passivo Circulante]]&gt;0,Tabela3[[#This Row],[Ativo Circulante]]/Tabela3[[#This Row],[Passivo Circulante]],0)</f>
        <v>1.3344012183989493</v>
      </c>
      <c r="U24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49" s="19">
        <f>IF(Tabela3[[#This Row],[Lucro Líquido]]&gt;0,Tabela3[[#This Row],[Lucro Líquido]]/Tabela3[[#This Row],[Patrimônio Líquido]],0)/Tabela3[[#This Row],[Ref]]*4</f>
        <v>3.1254209681178279E-2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49" s="19">
        <f>IF(Tabela3[[#This Row],[Dívida]]&gt;0,Tabela3[[#This Row],[Dívida]]/Tabela3[[#This Row],[Patrimônio Líquido]],0)</f>
        <v>7.1898419592848599</v>
      </c>
      <c r="Y249" s="19">
        <f>SUMPRODUCT(N([Dívida / PL]&gt;0),N(RIGHT([PAPEL],LEN([PAPEL])-(LEN([PAPEL])-1))="3"),[Dívida / PL])/SUMPRODUCT(N([Dívida / PL]&gt;0),N(RIGHT([PAPEL],LEN([PAPEL])-(LEN([PAPEL])-1))="3"))</f>
        <v>2.2435702141443779</v>
      </c>
      <c r="Z249" s="6">
        <f>Tabela3[[#This Row],[Capital Social]]*20%</f>
        <v>286841159.60000002</v>
      </c>
      <c r="AA249" s="6">
        <f>IF(([Lucro Líquido]*5%)&gt;[Teto R. Legal],[Teto R. Legal],[Lucro Líquido]*5%)</f>
        <v>3050950</v>
      </c>
      <c r="AB249" s="6">
        <f>IF([Lucro Líquido]&lt;0,0,[Lucro Líquido]-[Reserva Legal])</f>
        <v>57968050</v>
      </c>
      <c r="AC249" s="6">
        <f>Tabela3[[#This Row],[Lucro Distribuir]]*[%Div]</f>
        <v>14492012.5</v>
      </c>
      <c r="AD249" s="21">
        <f>SUMPRODUCT(N([Nome]=Tabela3[[#This Row],[Nome]]),[Ações])</f>
        <v>252903569</v>
      </c>
      <c r="AE249" s="6">
        <f>[Capital Social]/[Total Ações]</f>
        <v>5.6709591077380166</v>
      </c>
      <c r="AF249" s="77">
        <f>Tabela3[[#This Row],[Lucro Líquido]]/Tabela3[[#This Row],[Total Ações]]</f>
        <v>0.24127377973064509</v>
      </c>
      <c r="AG2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2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249" s="6">
        <f>[Div Base]*[Ações]</f>
        <v>5311756.8175607678</v>
      </c>
      <c r="AL249" s="6">
        <f>SUMPRODUCT(N([Nome]=Tabela3[[#This Row],[Nome]]),[Div Base]*[Ações])</f>
        <v>14492012.5</v>
      </c>
      <c r="AM249" s="6">
        <f>[Patrimônio Líquido]/[Total Ações]</f>
        <v>7.7197210293224447</v>
      </c>
      <c r="AN249" s="48">
        <f>MAX(Tabela3[[#This Row],[Cotação 1]:[Cotação 5]])</f>
        <v>7.15</v>
      </c>
      <c r="AO249" s="44">
        <f>[Cotação]/[VPA]</f>
        <v>0.92619927233660038</v>
      </c>
      <c r="AP249" s="40">
        <f>IF(Tabela3[[#This Row],[Lucro/Ação]]&gt;0,Tabela3[[#This Row],[Cotação]]/(Tabela3[[#This Row],[Lucro/Ação]]/[Ref]*4),0)</f>
        <v>29.634384672806831</v>
      </c>
      <c r="AQ249" s="77">
        <f>[Lucro Distribuir]/[Total Ações]</f>
        <v>0.22921009074411283</v>
      </c>
      <c r="AR249" s="77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249" s="15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8.0143388372067425E-3</v>
      </c>
      <c r="AU249" s="19">
        <f>((1+Tabela3[[#This Row],[% Yield]])^(1/(3*Tabela3[[#This Row],[Ref]])))^(12)-1</f>
        <v>8.0143388372055924E-3</v>
      </c>
      <c r="AV249" s="14">
        <f>IF([Cotação]&gt;0,($BH$1/Tabela3[[#This Row],[Cotação]]-MOD($BH$1/Tabela3[[#This Row],[Cotação]],100)),)</f>
        <v>100</v>
      </c>
      <c r="AW249" s="17">
        <f>Tabela3[[#This Row],[Ativos]]*[Lucro]</f>
        <v>5.730252268602821</v>
      </c>
      <c r="AX249" s="5">
        <f>SUMPRODUCT(N(Tabela1[Código]=Tabela3[[#This Row],[PAPEL]]),Tabela1[Fechamento])</f>
        <v>7.15</v>
      </c>
      <c r="AY249" s="5">
        <f>SUMPRODUCT(N(Tabela17[Código]=Tabela3[[#This Row],[PAPEL]]),Tabela17[Fechamento])</f>
        <v>0</v>
      </c>
      <c r="AZ249" s="7">
        <f>SUMPRODUCT(N(Tabela176[Código]=Tabela3[[#This Row],[PAPEL]]),Tabela176[Fechamento])</f>
        <v>0</v>
      </c>
      <c r="BA249" s="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customHeight="1">
      <c r="A250" s="3" t="s">
        <v>1019</v>
      </c>
      <c r="B250" s="57" t="s">
        <v>1051</v>
      </c>
      <c r="C250" s="16" t="str">
        <f>LEFT([PAPEL],LEN([PAPEL])-(LEN([PAPEL])-4))</f>
        <v>TCSA</v>
      </c>
      <c r="D250" s="16">
        <v>4</v>
      </c>
      <c r="E250" s="5">
        <v>1072815631.8</v>
      </c>
      <c r="F250" s="56">
        <v>185966569</v>
      </c>
      <c r="G250" s="80">
        <v>0.25</v>
      </c>
      <c r="H250" s="86"/>
      <c r="J250" s="18"/>
      <c r="K250" s="16"/>
      <c r="L250" s="86"/>
      <c r="M250" s="54">
        <v>2914886000</v>
      </c>
      <c r="N250" s="54">
        <v>225896000</v>
      </c>
      <c r="O250" s="54">
        <v>926641000</v>
      </c>
      <c r="P250" s="90">
        <v>1412430000</v>
      </c>
      <c r="Q250" s="73">
        <v>221146000</v>
      </c>
      <c r="R250" s="73">
        <f>IF(Tabela3[[#This Row],[Ativo || Passivo]]&gt;0,Tabela3[[#This Row],[Ativo || Passivo]]-Tabela3[[#This Row],[Patrimônio Líquido]],0)</f>
        <v>1502456000</v>
      </c>
      <c r="S250" s="73">
        <f>Tabela3[[#This Row],[Cotação]]*Tabela3[[#This Row],[Total Ações]]</f>
        <v>1329660968.3500001</v>
      </c>
      <c r="T250" s="37">
        <f>IF(Tabela3[[#This Row],[Passivo Circulante]]&gt;0,Tabela3[[#This Row],[Ativo Circulante]]/Tabela3[[#This Row],[Passivo Circulante]],0)</f>
        <v>0.24377941403412973</v>
      </c>
      <c r="U25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0" s="18">
        <f>IF(Tabela3[[#This Row],[Lucro Líquido]]&gt;0,Tabela3[[#This Row],[Lucro Líquido]]/Tabela3[[#This Row],[Patrimônio Líquido]],0)/Tabela3[[#This Row],[Ref]]*4</f>
        <v>0.15657129910862838</v>
      </c>
      <c r="W25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0" s="18">
        <f>IF(Tabela3[[#This Row],[Dívida]]&gt;0,Tabela3[[#This Row],[Dívida]]/Tabela3[[#This Row],[Patrimônio Líquido]],0)</f>
        <v>1.0637383799551128</v>
      </c>
      <c r="Y250" s="18">
        <f>SUMPRODUCT(N([Dívida / PL]&gt;0),N(RIGHT([PAPEL],LEN([PAPEL])-(LEN([PAPEL])-1))="3"),[Dívida / PL])/SUMPRODUCT(N([Dívida / PL]&gt;0),N(RIGHT([PAPEL],LEN([PAPEL])-(LEN([PAPEL])-1))="3"))</f>
        <v>2.2435702141443779</v>
      </c>
      <c r="Z250" s="7">
        <f>Tabela3[[#This Row],[Capital Social]]*20%</f>
        <v>214563126.36000001</v>
      </c>
      <c r="AA250" s="47">
        <f>IF(([Lucro Líquido]*5%)&gt;[Teto R. Legal],[Teto R. Legal],[Lucro Líquido]*5%)</f>
        <v>11057300</v>
      </c>
      <c r="AB250" s="47">
        <f>IF([Lucro Líquido]&lt;0,0,[Lucro Líquido]-[Reserva Legal])</f>
        <v>210088700</v>
      </c>
      <c r="AC250" s="47">
        <f>Tabela3[[#This Row],[Lucro Distribuir]]*[%Div]</f>
        <v>52522175</v>
      </c>
      <c r="AD250" s="56">
        <f>SUMPRODUCT(N([Nome]=Tabela3[[#This Row],[Nome]]),[Ações])</f>
        <v>185966569</v>
      </c>
      <c r="AE250" s="84">
        <f>[Capital Social]/[Total Ações]</f>
        <v>5.7688628529786987</v>
      </c>
      <c r="AF250" s="84">
        <f>Tabela3[[#This Row],[Lucro Líquido]]/Tabela3[[#This Row],[Total Ações]]</f>
        <v>1.1891707267019589</v>
      </c>
      <c r="AG25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25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250" s="7">
        <f>[Div Base]*[Ações]</f>
        <v>52522175</v>
      </c>
      <c r="AL250" s="113">
        <f>SUMPRODUCT(N([Nome]=Tabela3[[#This Row],[Nome]]),[Div Base]*[Ações])</f>
        <v>52522175</v>
      </c>
      <c r="AM250" s="5">
        <f>[Patrimônio Líquido]/[Total Ações]</f>
        <v>7.5950747900285238</v>
      </c>
      <c r="AN250" s="52">
        <f>MAX(Tabela3[[#This Row],[Cotação 1]:[Cotação 5]])</f>
        <v>7.15</v>
      </c>
      <c r="AO250" s="53">
        <f>[Cotação]/[VPA]</f>
        <v>0.9413995513759974</v>
      </c>
      <c r="AP250" s="37">
        <f>IF(Tabela3[[#This Row],[Lucro/Ação]]&gt;0,Tabela3[[#This Row],[Cotação]]/(Tabela3[[#This Row],[Lucro/Ação]]/[Ref]*4),0)</f>
        <v>6.0125933471552742</v>
      </c>
      <c r="AQ250" s="84">
        <f>[Lucro Distribuir]/[Total Ações]</f>
        <v>1.129712190366861</v>
      </c>
      <c r="AR250" s="84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250" s="10" t="str">
        <f>IF(AND([% A.A.]&gt;=5%,SUMPRODUCT(N([Nome]=Tabela3[[#This Row],[Nome]]),[PL])&gt;0,[Rentabilidade s/ PL]&gt;=[Rentabilidade s/ PL Média]),"Sim","Não")</f>
        <v>Não</v>
      </c>
      <c r="AT250" s="22">
        <f>IF([Cotação]&gt;0,Tabela3[[#This Row],[Lucro]]/Tabela3[[#This Row],[Cotação]],0)</f>
        <v>3.9500426236603527E-2</v>
      </c>
      <c r="AU250" s="22">
        <f>((1+Tabela3[[#This Row],[% Yield]])^(1/(3*Tabela3[[#This Row],[Ref]])))^(12)-1</f>
        <v>3.9500426236603881E-2</v>
      </c>
      <c r="AV250" s="10">
        <f>IF([Cotação]&gt;0,($BH$1/Tabela3[[#This Row],[Cotação]]-MOD($BH$1/Tabela3[[#This Row],[Cotação]],100)),)</f>
        <v>100</v>
      </c>
      <c r="AW250" s="7">
        <f>Tabela3[[#This Row],[Ativos]]*[Lucro]</f>
        <v>28.242804759171523</v>
      </c>
      <c r="AX250" s="7">
        <f>SUMPRODUCT(N(Tabela1[Código]=Tabela3[[#This Row],[PAPEL]]),Tabela1[Fechamento])</f>
        <v>0</v>
      </c>
      <c r="AY250" s="7">
        <f>SUMPRODUCT(N(Tabela17[Código]=Tabela3[[#This Row],[PAPEL]]),Tabela17[Fechamento])</f>
        <v>0</v>
      </c>
      <c r="AZ250" s="7">
        <f>SUMPRODUCT(N(Tabela176[Código]=Tabela3[[#This Row],[PAPEL]]),Tabela176[Fechamento])</f>
        <v>0</v>
      </c>
      <c r="BA250" s="7">
        <f>SUMPRODUCT(N(Tabela1768[Código]=Tabela3[[#This Row],[PAPEL]]),Tabela1768[Fechamento])</f>
        <v>7.15</v>
      </c>
      <c r="BB250" s="7">
        <f>SUMPRODUCT(N(Tabela17683[Código]=Tabela3[[#This Row],[PAPEL]]),Tabela17683[Fechamento])</f>
        <v>0</v>
      </c>
    </row>
    <row r="251" spans="1:54" ht="11.25" customHeight="1">
      <c r="A251" s="4" t="s">
        <v>283</v>
      </c>
      <c r="B251" s="57" t="s">
        <v>516</v>
      </c>
      <c r="C251" s="81" t="str">
        <f>LEFT([PAPEL],LEN([PAPEL])-(LEN([PAPEL])-4))</f>
        <v>EBTP</v>
      </c>
      <c r="D251" s="15">
        <v>3</v>
      </c>
      <c r="E251" s="6">
        <v>7373355808.1999998</v>
      </c>
      <c r="F251" s="8">
        <v>638224661</v>
      </c>
      <c r="G251" s="85">
        <v>0.25</v>
      </c>
      <c r="H251" s="19"/>
      <c r="I251" s="19"/>
      <c r="J251" s="19"/>
      <c r="K251" s="87"/>
      <c r="L251" s="87"/>
      <c r="M251" s="55">
        <v>11675353000</v>
      </c>
      <c r="N251" s="55">
        <v>7657000</v>
      </c>
      <c r="O251" s="55">
        <v>13788000</v>
      </c>
      <c r="P251" s="6">
        <v>11657711000</v>
      </c>
      <c r="Q251" s="6">
        <v>411188000</v>
      </c>
      <c r="R251" s="6">
        <f>IF(Tabela3[[#This Row],[Ativo || Passivo]]&gt;0,Tabela3[[#This Row],[Ativo || Passivo]]-Tabela3[[#This Row],[Patrimônio Líquido]],0)</f>
        <v>17642000</v>
      </c>
      <c r="S251" s="6">
        <f>Tabela3[[#This Row],[Cotação]]*Tabela3[[#This Row],[Total Ações]]</f>
        <v>8865825372</v>
      </c>
      <c r="T251" s="121">
        <f>IF(Tabela3[[#This Row],[Passivo Circulante]]&gt;0,Tabela3[[#This Row],[Ativo Circulante]]/Tabela3[[#This Row],[Passivo Circulante]],0)</f>
        <v>0.55533797505076876</v>
      </c>
      <c r="U25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1" s="19">
        <f>IF(Tabela3[[#This Row],[Lucro Líquido]]&gt;0,Tabela3[[#This Row],[Lucro Líquido]]/Tabela3[[#This Row],[Patrimônio Líquido]],0)/Tabela3[[#This Row],[Ref]]*4</f>
        <v>4.7029015101392263E-2</v>
      </c>
      <c r="W25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1" s="19">
        <f>IF(Tabela3[[#This Row],[Dívida]]&gt;0,Tabela3[[#This Row],[Dívida]]/Tabela3[[#This Row],[Patrimônio Líquido]],0)</f>
        <v>1.5133331063019147E-3</v>
      </c>
      <c r="Y251" s="19">
        <f>SUMPRODUCT(N([Dívida / PL]&gt;0),N(RIGHT([PAPEL],LEN([PAPEL])-(LEN([PAPEL])-1))="3"),[Dívida / PL])/SUMPRODUCT(N([Dívida / PL]&gt;0),N(RIGHT([PAPEL],LEN([PAPEL])-(LEN([PAPEL])-1))="3"))</f>
        <v>2.2435702141443779</v>
      </c>
      <c r="Z251" s="6">
        <f>Tabela3[[#This Row],[Capital Social]]*20%</f>
        <v>1474671161.6400001</v>
      </c>
      <c r="AA251" s="6">
        <f>IF(([Lucro Líquido]*5%)&gt;[Teto R. Legal],[Teto R. Legal],[Lucro Líquido]*5%)</f>
        <v>20559400</v>
      </c>
      <c r="AB251" s="6">
        <f>IF([Lucro Líquido]&lt;0,0,[Lucro Líquido]-[Reserva Legal])</f>
        <v>390628600</v>
      </c>
      <c r="AC251" s="6">
        <f>Tabela3[[#This Row],[Lucro Distribuir]]*[%Div]</f>
        <v>97657150</v>
      </c>
      <c r="AD251" s="56">
        <f>SUMPRODUCT(N([Nome]=Tabela3[[#This Row],[Nome]]),[Ações])</f>
        <v>1231364635</v>
      </c>
      <c r="AE251" s="6">
        <f>[Capital Social]/[Total Ações]</f>
        <v>5.9879548255825945</v>
      </c>
      <c r="AF251" s="77">
        <f>Tabela3[[#This Row],[Lucro Líquido]]/Tabela3[[#This Row],[Total Ações]]</f>
        <v>0.33392870666616148</v>
      </c>
      <c r="AG2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2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6">
        <f>[Div Base]*[Ações]</f>
        <v>0</v>
      </c>
      <c r="AL251" s="6">
        <f>SUMPRODUCT(N([Nome]=Tabela3[[#This Row],[Nome]]),[Div Base]*[Ações])</f>
        <v>213101722.17355406</v>
      </c>
      <c r="AM251" s="6">
        <f>[Patrimônio Líquido]/[Total Ações]</f>
        <v>9.4673102252932573</v>
      </c>
      <c r="AN251" s="48">
        <f>MAX(Tabela3[[#This Row],[Cotação 1]:[Cotação 5]])</f>
        <v>7.2</v>
      </c>
      <c r="AO251" s="44">
        <f>[Cotação]/[VPA]</f>
        <v>0.76051167952267817</v>
      </c>
      <c r="AP251" s="40">
        <f>IF(Tabela3[[#This Row],[Lucro/Ação]]&gt;0,Tabela3[[#This Row],[Cotação]]/(Tabela3[[#This Row],[Lucro/Ação]]/[Ref]*4),0)</f>
        <v>16.171116445518837</v>
      </c>
      <c r="AQ251" s="77">
        <f>[Lucro Distribuir]/[Total Ações]</f>
        <v>0.31723227133285342</v>
      </c>
      <c r="AR25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5" t="str">
        <f>IF(AND([% A.A.]&gt;=5%,SUMPRODUCT(N([Nome]=Tabela3[[#This Row],[Nome]]),[PL])&gt;0,[Rentabilidade s/ PL]&gt;=[Rentabilidade s/ PL Média]),"Sim","Não")</f>
        <v>Não</v>
      </c>
      <c r="AT251" s="42">
        <f>IF([Cotação]&gt;0,Tabela3[[#This Row],[Lucro]]/Tabela3[[#This Row],[Cotação]],0)</f>
        <v>0</v>
      </c>
      <c r="AU251" s="19">
        <f>((1+Tabela3[[#This Row],[% Yield]])^(1/(3*Tabela3[[#This Row],[Ref]])))^(12)-1</f>
        <v>0</v>
      </c>
      <c r="AV251" s="14">
        <f>IF([Cotação]&gt;0,($BH$1/Tabela3[[#This Row],[Cotação]]-MOD($BH$1/Tabela3[[#This Row],[Cotação]],100)),)</f>
        <v>100</v>
      </c>
      <c r="AW251" s="17">
        <f>Tabela3[[#This Row],[Ativos]]*[Lucro]</f>
        <v>0</v>
      </c>
      <c r="AX251" s="13">
        <f>SUMPRODUCT(N(Tabela1[Código]=Tabela3[[#This Row],[PAPEL]]),Tabela1[Fechamento])</f>
        <v>0</v>
      </c>
      <c r="AY251" s="55">
        <f>SUMPRODUCT(N(Tabela17[Código]=Tabela3[[#This Row],[PAPEL]]),Tabela17[Fechamento])</f>
        <v>7.2</v>
      </c>
      <c r="AZ251" s="55">
        <f>SUMPRODUCT(N(Tabela176[Código]=Tabela3[[#This Row],[PAPEL]]),Tabela176[Fechamento])</f>
        <v>0</v>
      </c>
      <c r="BA251" s="55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customHeight="1">
      <c r="A252" s="3" t="s">
        <v>1276</v>
      </c>
      <c r="B252" s="58" t="s">
        <v>1251</v>
      </c>
      <c r="C252" s="16" t="str">
        <f>LEFT([PAPEL],LEN([PAPEL])-(LEN([PAPEL])-4))</f>
        <v>RAPT</v>
      </c>
      <c r="D252" s="16">
        <v>4</v>
      </c>
      <c r="E252" s="5">
        <v>730000000</v>
      </c>
      <c r="F252" s="56">
        <v>81888294</v>
      </c>
      <c r="G252" s="80">
        <v>0.3</v>
      </c>
      <c r="H252" s="86"/>
      <c r="J252" s="18"/>
      <c r="K252" s="16"/>
      <c r="L252" s="86"/>
      <c r="M252" s="54">
        <v>3430269000</v>
      </c>
      <c r="N252" s="54">
        <v>1739435000</v>
      </c>
      <c r="O252" s="54">
        <v>667710000</v>
      </c>
      <c r="P252" s="90">
        <v>1337201000</v>
      </c>
      <c r="Q252" s="73">
        <v>235062000</v>
      </c>
      <c r="R252" s="73">
        <f>IF(Tabela3[[#This Row],[Ativo || Passivo]]&gt;0,Tabela3[[#This Row],[Ativo || Passivo]]-Tabela3[[#This Row],[Patrimônio Líquido]],0)</f>
        <v>2093068000</v>
      </c>
      <c r="S252" s="73">
        <f>Tabela3[[#This Row],[Cotação]]*Tabela3[[#This Row],[Total Ações]]</f>
        <v>1755255254.4000001</v>
      </c>
      <c r="T252" s="37">
        <f>IF(Tabela3[[#This Row],[Passivo Circulante]]&gt;0,Tabela3[[#This Row],[Ativo Circulante]]/Tabela3[[#This Row],[Passivo Circulante]],0)</f>
        <v>2.6050755567536803</v>
      </c>
      <c r="U2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2" s="18">
        <f>IF(Tabela3[[#This Row],[Lucro Líquido]]&gt;0,Tabela3[[#This Row],[Lucro Líquido]]/Tabela3[[#This Row],[Patrimônio Líquido]],0)/Tabela3[[#This Row],[Ref]]*4</f>
        <v>0.17578658705759267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2" s="18">
        <f>IF(Tabela3[[#This Row],[Dívida]]&gt;0,Tabela3[[#This Row],[Dívida]]/Tabela3[[#This Row],[Patrimônio Líquido]],0)</f>
        <v>1.565260570400411</v>
      </c>
      <c r="Y252" s="18">
        <f>SUMPRODUCT(N([Dívida / PL]&gt;0),N(RIGHT([PAPEL],LEN([PAPEL])-(LEN([PAPEL])-1))="3"),[Dívida / PL])/SUMPRODUCT(N([Dívida / PL]&gt;0),N(RIGHT([PAPEL],LEN([PAPEL])-(LEN([PAPEL])-1))="3"))</f>
        <v>2.2435702141443779</v>
      </c>
      <c r="Z252" s="7">
        <f>Tabela3[[#This Row],[Capital Social]]*20%</f>
        <v>146000000</v>
      </c>
      <c r="AA252" s="47">
        <f>IF(([Lucro Líquido]*5%)&gt;[Teto R. Legal],[Teto R. Legal],[Lucro Líquido]*5%)</f>
        <v>11753100</v>
      </c>
      <c r="AB252" s="47">
        <f>IF([Lucro Líquido]&lt;0,0,[Lucro Líquido]-[Reserva Legal])</f>
        <v>223308900</v>
      </c>
      <c r="AC252" s="47">
        <f>Tabela3[[#This Row],[Lucro Distribuir]]*[%Div]</f>
        <v>66992670</v>
      </c>
      <c r="AD252" s="56">
        <f>SUMPRODUCT(N([Nome]=Tabela3[[#This Row],[Nome]]),[Ações])</f>
        <v>243785452</v>
      </c>
      <c r="AE252" s="84">
        <f>[Capital Social]/[Total Ações]</f>
        <v>2.994436271775561</v>
      </c>
      <c r="AF252" s="84">
        <f>Tabela3[[#This Row],[Lucro Líquido]]/Tabela3[[#This Row],[Total Ações]]</f>
        <v>0.96421668344672185</v>
      </c>
      <c r="AG2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2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252" s="7">
        <f>[Div Base]*[Ações]</f>
        <v>22503046.887330174</v>
      </c>
      <c r="AL252" s="113">
        <f>SUMPRODUCT(N([Nome]=Tabela3[[#This Row],[Nome]]),[Div Base]*[Ações])</f>
        <v>66992670</v>
      </c>
      <c r="AM252" s="5">
        <f>[Patrimônio Líquido]/[Total Ações]</f>
        <v>5.4851550370610305</v>
      </c>
      <c r="AN252" s="52">
        <f>MAX(Tabela3[[#This Row],[Cotação 1]:[Cotação 5]])</f>
        <v>7.2</v>
      </c>
      <c r="AO252" s="53">
        <f>[Cotação]/[VPA]</f>
        <v>1.3126338182517063</v>
      </c>
      <c r="AP252" s="37">
        <f>IF(Tabela3[[#This Row],[Lucro/Ação]]&gt;0,Tabela3[[#This Row],[Cotação]]/(Tabela3[[#This Row],[Lucro/Ação]]/[Ref]*4),0)</f>
        <v>7.4672012252086688</v>
      </c>
      <c r="AQ252" s="84">
        <f>[Lucro Distribuir]/[Total Ações]</f>
        <v>0.91600584927438577</v>
      </c>
      <c r="AR252" s="84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3.8166910386432738E-2</v>
      </c>
      <c r="AU252" s="22">
        <f>((1+Tabela3[[#This Row],[% Yield]])^(1/(3*Tabela3[[#This Row],[Ref]])))^(12)-1</f>
        <v>3.8166910386433051E-2</v>
      </c>
      <c r="AV252" s="10">
        <f>IF([Cotação]&gt;0,($BH$1/Tabela3[[#This Row],[Cotação]]-MOD($BH$1/Tabela3[[#This Row],[Cotação]],100)),)</f>
        <v>100</v>
      </c>
      <c r="AW252" s="7">
        <f>Tabela3[[#This Row],[Ativos]]*[Lucro]</f>
        <v>27.480175478231573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7.2</v>
      </c>
    </row>
    <row r="253" spans="1:54" ht="11.25" customHeight="1">
      <c r="A253" s="4" t="s">
        <v>14</v>
      </c>
      <c r="B253" s="57" t="s">
        <v>202</v>
      </c>
      <c r="C253" s="14" t="str">
        <f>LEFT([PAPEL],LEN([PAPEL])-(LEN([PAPEL])-4))</f>
        <v>BICB</v>
      </c>
      <c r="D253" s="15">
        <v>4</v>
      </c>
      <c r="E253" s="6">
        <v>1434205798</v>
      </c>
      <c r="F253" s="8">
        <v>160206833</v>
      </c>
      <c r="G253" s="80">
        <v>0.25</v>
      </c>
      <c r="H253" s="15"/>
      <c r="I253" s="19"/>
      <c r="J253" s="19"/>
      <c r="K253" s="87"/>
      <c r="L253" s="87"/>
      <c r="M253" s="55">
        <v>15989397000</v>
      </c>
      <c r="N253" s="55">
        <v>9962019000</v>
      </c>
      <c r="O253" s="55">
        <v>7465535000</v>
      </c>
      <c r="P253" s="6">
        <v>1952345000</v>
      </c>
      <c r="Q253" s="6">
        <v>61019000</v>
      </c>
      <c r="R253" s="6">
        <f>IF(Tabela3[[#This Row],[Ativo || Passivo]]&gt;0,Tabela3[[#This Row],[Ativo || Passivo]]-Tabela3[[#This Row],[Patrimônio Líquido]],0)</f>
        <v>14037052000</v>
      </c>
      <c r="S253" s="6">
        <f>Tabela3[[#This Row],[Cotação]]*Tabela3[[#This Row],[Total Ações]]</f>
        <v>1823434732.49</v>
      </c>
      <c r="T253" s="121">
        <f>IF(Tabela3[[#This Row],[Passivo Circulante]]&gt;0,Tabela3[[#This Row],[Ativo Circulante]]/Tabela3[[#This Row],[Passivo Circulante]],0)</f>
        <v>1.3344012183989493</v>
      </c>
      <c r="U25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3" s="19">
        <f>IF(Tabela3[[#This Row],[Lucro Líquido]]&gt;0,Tabela3[[#This Row],[Lucro Líquido]]/Tabela3[[#This Row],[Patrimônio Líquido]],0)/Tabela3[[#This Row],[Ref]]*4</f>
        <v>3.1254209681178279E-2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3" s="19">
        <f>IF(Tabela3[[#This Row],[Dívida]]&gt;0,Tabela3[[#This Row],[Dívida]]/Tabela3[[#This Row],[Patrimônio Líquido]],0)</f>
        <v>7.1898419592848599</v>
      </c>
      <c r="Y253" s="19">
        <f>SUMPRODUCT(N([Dívida / PL]&gt;0),N(RIGHT([PAPEL],LEN([PAPEL])-(LEN([PAPEL])-1))="3"),[Dívida / PL])/SUMPRODUCT(N([Dívida / PL]&gt;0),N(RIGHT([PAPEL],LEN([PAPEL])-(LEN([PAPEL])-1))="3"))</f>
        <v>2.2435702141443779</v>
      </c>
      <c r="Z253" s="6">
        <f>Tabela3[[#This Row],[Capital Social]]*20%</f>
        <v>286841159.60000002</v>
      </c>
      <c r="AA253" s="6">
        <f>IF(([Lucro Líquido]*5%)&gt;[Teto R. Legal],[Teto R. Legal],[Lucro Líquido]*5%)</f>
        <v>3050950</v>
      </c>
      <c r="AB253" s="6">
        <f>IF([Lucro Líquido]&lt;0,0,[Lucro Líquido]-[Reserva Legal])</f>
        <v>57968050</v>
      </c>
      <c r="AC253" s="6">
        <f>Tabela3[[#This Row],[Lucro Distribuir]]*[%Div]</f>
        <v>14492012.5</v>
      </c>
      <c r="AD253" s="21">
        <f>SUMPRODUCT(N([Nome]=Tabela3[[#This Row],[Nome]]),[Ações])</f>
        <v>252903569</v>
      </c>
      <c r="AE253" s="6">
        <f>[Capital Social]/[Total Ações]</f>
        <v>5.6709591077380166</v>
      </c>
      <c r="AF253" s="77">
        <f>Tabela3[[#This Row],[Lucro Líquido]]/Tabela3[[#This Row],[Total Ações]]</f>
        <v>0.24127377973064509</v>
      </c>
      <c r="AG25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25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253" s="6">
        <f>[Div Base]*[Ações]</f>
        <v>9180255.6824392322</v>
      </c>
      <c r="AL253" s="6">
        <f>SUMPRODUCT(N([Nome]=Tabela3[[#This Row],[Nome]]),[Div Base]*[Ações])</f>
        <v>14492012.5</v>
      </c>
      <c r="AM253" s="6">
        <f>[Patrimônio Líquido]/[Total Ações]</f>
        <v>7.7197210293224447</v>
      </c>
      <c r="AN253" s="48">
        <f>MAX(Tabela3[[#This Row],[Cotação 1]:[Cotação 5]])</f>
        <v>7.21</v>
      </c>
      <c r="AO253" s="44">
        <f>[Cotação]/[VPA]</f>
        <v>0.93397157392264174</v>
      </c>
      <c r="AP253" s="40">
        <f>IF(Tabela3[[#This Row],[Lucro/Ação]]&gt;0,Tabela3[[#This Row],[Cotação]]/(Tabela3[[#This Row],[Lucro/Ação]]/[Ref]*4),0)</f>
        <v>29.883064823907304</v>
      </c>
      <c r="AQ253" s="77">
        <f>[Lucro Distribuir]/[Total Ações]</f>
        <v>0.22921009074411283</v>
      </c>
      <c r="AR253" s="77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253" s="15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7.9476453101287384E-3</v>
      </c>
      <c r="AU253" s="19">
        <f>((1+Tabela3[[#This Row],[% Yield]])^(1/(3*Tabela3[[#This Row],[Ref]])))^(12)-1</f>
        <v>7.9476453101281486E-3</v>
      </c>
      <c r="AV253" s="14">
        <f>IF([Cotação]&gt;0,($BH$1/Tabela3[[#This Row],[Cotação]]-MOD($BH$1/Tabela3[[#This Row],[Cotação]],100)),)</f>
        <v>100</v>
      </c>
      <c r="AW253" s="17">
        <f>Tabela3[[#This Row],[Ativos]]*[Lucro]</f>
        <v>5.730252268602821</v>
      </c>
      <c r="AX253" s="5">
        <f>SUMPRODUCT(N(Tabela1[Código]=Tabela3[[#This Row],[PAPEL]]),Tabela1[Fechamento])</f>
        <v>7.21</v>
      </c>
      <c r="AY253" s="5">
        <f>SUMPRODUCT(N(Tabela17[Código]=Tabela3[[#This Row],[PAPEL]]),Tabela17[Fechamento])</f>
        <v>0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t="11.25" customHeight="1">
      <c r="A254" s="4" t="s">
        <v>283</v>
      </c>
      <c r="B254" s="57" t="s">
        <v>371</v>
      </c>
      <c r="C254" s="81" t="str">
        <f>LEFT([PAPEL],LEN([PAPEL])-(LEN([PAPEL])-4))</f>
        <v>EBTP</v>
      </c>
      <c r="D254" s="15">
        <v>3</v>
      </c>
      <c r="E254" s="6">
        <v>7373355808.1999998</v>
      </c>
      <c r="F254" s="8">
        <v>593139974</v>
      </c>
      <c r="G254" s="80">
        <v>0.25</v>
      </c>
      <c r="H254" s="19"/>
      <c r="I254" s="19">
        <v>0.06</v>
      </c>
      <c r="J254" s="19">
        <v>0.1</v>
      </c>
      <c r="K254" s="87"/>
      <c r="L254" s="87"/>
      <c r="M254" s="55">
        <v>11675353000</v>
      </c>
      <c r="N254" s="55">
        <v>7657000</v>
      </c>
      <c r="O254" s="55">
        <v>13788000</v>
      </c>
      <c r="P254" s="6">
        <v>11657711000</v>
      </c>
      <c r="Q254" s="6">
        <v>411188000</v>
      </c>
      <c r="R254" s="6">
        <f>IF(Tabela3[[#This Row],[Ativo || Passivo]]&gt;0,Tabela3[[#This Row],[Ativo || Passivo]]-Tabela3[[#This Row],[Patrimônio Líquido]],0)</f>
        <v>17642000</v>
      </c>
      <c r="S254" s="6">
        <f>Tabela3[[#This Row],[Cotação]]*Tabela3[[#This Row],[Total Ações]]</f>
        <v>9087471006.2999992</v>
      </c>
      <c r="T254" s="121">
        <f>IF(Tabela3[[#This Row],[Passivo Circulante]]&gt;0,Tabela3[[#This Row],[Ativo Circulante]]/Tabela3[[#This Row],[Passivo Circulante]],0)</f>
        <v>0.55533797505076876</v>
      </c>
      <c r="U25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4" s="19">
        <f>IF(Tabela3[[#This Row],[Lucro Líquido]]&gt;0,Tabela3[[#This Row],[Lucro Líquido]]/Tabela3[[#This Row],[Patrimônio Líquido]],0)/Tabela3[[#This Row],[Ref]]*4</f>
        <v>4.7029015101392263E-2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4" s="19">
        <f>IF(Tabela3[[#This Row],[Dívida]]&gt;0,Tabela3[[#This Row],[Dívida]]/Tabela3[[#This Row],[Patrimônio Líquido]],0)</f>
        <v>1.5133331063019147E-3</v>
      </c>
      <c r="Y254" s="19">
        <f>SUMPRODUCT(N([Dívida / PL]&gt;0),N(RIGHT([PAPEL],LEN([PAPEL])-(LEN([PAPEL])-1))="3"),[Dívida / PL])/SUMPRODUCT(N([Dívida / PL]&gt;0),N(RIGHT([PAPEL],LEN([PAPEL])-(LEN([PAPEL])-1))="3"))</f>
        <v>2.2435702141443779</v>
      </c>
      <c r="Z254" s="6">
        <f>Tabela3[[#This Row],[Capital Social]]*20%</f>
        <v>1474671161.6400001</v>
      </c>
      <c r="AA254" s="6">
        <f>IF(([Lucro Líquido]*5%)&gt;[Teto R. Legal],[Teto R. Legal],[Lucro Líquido]*5%)</f>
        <v>20559400</v>
      </c>
      <c r="AB254" s="6">
        <f>IF([Lucro Líquido]&lt;0,0,[Lucro Líquido]-[Reserva Legal])</f>
        <v>390628600</v>
      </c>
      <c r="AC254" s="6">
        <f>Tabela3[[#This Row],[Lucro Distribuir]]*[%Div]</f>
        <v>97657150</v>
      </c>
      <c r="AD254" s="56">
        <f>SUMPRODUCT(N([Nome]=Tabela3[[#This Row],[Nome]]),[Ações])</f>
        <v>1231364635</v>
      </c>
      <c r="AE254" s="6">
        <f>[Capital Social]/[Total Ações]</f>
        <v>5.9879548255825945</v>
      </c>
      <c r="AF254" s="77">
        <f>Tabela3[[#This Row],[Lucro Líquido]]/Tabela3[[#This Row],[Total Ações]]</f>
        <v>0.33392870666616148</v>
      </c>
      <c r="AG2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2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2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254" s="6">
        <f>[Div Base]*[Ações]</f>
        <v>213101722.17355406</v>
      </c>
      <c r="AL254" s="6">
        <f>SUMPRODUCT(N([Nome]=Tabela3[[#This Row],[Nome]]),[Div Base]*[Ações])</f>
        <v>213101722.17355406</v>
      </c>
      <c r="AM254" s="6">
        <f>[Patrimônio Líquido]/[Total Ações]</f>
        <v>9.4673102252932573</v>
      </c>
      <c r="AN254" s="48">
        <f>MAX(Tabela3[[#This Row],[Cotação 1]:[Cotação 5]])</f>
        <v>7.38</v>
      </c>
      <c r="AO254" s="44">
        <f>[Cotação]/[VPA]</f>
        <v>0.77952447151074511</v>
      </c>
      <c r="AP254" s="40">
        <f>IF(Tabela3[[#This Row],[Lucro/Ação]]&gt;0,Tabela3[[#This Row],[Cotação]]/(Tabela3[[#This Row],[Lucro/Ação]]/[Ref]*4),0)</f>
        <v>16.575394356656808</v>
      </c>
      <c r="AQ254" s="77">
        <f>[Lucro Distribuir]/[Total Ações]</f>
        <v>0.31723227133285342</v>
      </c>
      <c r="AR254" s="77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254" s="15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4.8682559557582064E-2</v>
      </c>
      <c r="AU254" s="19">
        <f>((1+Tabela3[[#This Row],[% Yield]])^(1/(3*Tabela3[[#This Row],[Ref]])))^(12)-1</f>
        <v>6.5431159227873792E-2</v>
      </c>
      <c r="AV254" s="14">
        <f>IF([Cotação]&gt;0,($BH$1/Tabela3[[#This Row],[Cotação]]-MOD($BH$1/Tabela3[[#This Row],[Cotação]],100)),)</f>
        <v>100</v>
      </c>
      <c r="AW254" s="13">
        <f>Tabela3[[#This Row],[Ativos]]*[Lucro]</f>
        <v>35.92772895349556</v>
      </c>
      <c r="AX254" s="55">
        <f>SUMPRODUCT(N(Tabela1[Código]=Tabela3[[#This Row],[PAPEL]]),Tabela1[Fechamento])</f>
        <v>0</v>
      </c>
      <c r="AY254" s="17">
        <f>SUMPRODUCT(N(Tabela17[Código]=Tabela3[[#This Row],[PAPEL]]),Tabela17[Fechamento])</f>
        <v>7.38</v>
      </c>
      <c r="AZ254" s="7">
        <f>SUMPRODUCT(N(Tabela176[Código]=Tabela3[[#This Row],[PAPEL]]),Tabela176[Fechamento])</f>
        <v>0</v>
      </c>
      <c r="BA254" s="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customHeight="1">
      <c r="A255" s="3" t="s">
        <v>269</v>
      </c>
      <c r="B255" s="58" t="s">
        <v>271</v>
      </c>
      <c r="C255" s="82" t="str">
        <f>LEFT([PAPEL],LEN([PAPEL])-(LEN([PAPEL])-4))</f>
        <v>JBSS</v>
      </c>
      <c r="D255" s="16">
        <v>3</v>
      </c>
      <c r="E255" s="5">
        <v>21561112078.68</v>
      </c>
      <c r="F255" s="21">
        <v>2943644008</v>
      </c>
      <c r="G255" s="80">
        <v>0.25</v>
      </c>
      <c r="H255" s="16"/>
      <c r="J255" s="18"/>
      <c r="K255" s="86"/>
      <c r="L255" s="86"/>
      <c r="M255" s="54"/>
      <c r="N255" s="54"/>
      <c r="O255" s="54"/>
      <c r="P255" s="5">
        <v>21913989000</v>
      </c>
      <c r="Q255" s="5">
        <v>786184000</v>
      </c>
      <c r="R255" s="5">
        <f>IF(Tabela3[[#This Row],[Ativo || Passivo]]&gt;0,Tabela3[[#This Row],[Ativo || Passivo]]-Tabela3[[#This Row],[Patrimônio Líquido]],0)</f>
        <v>0</v>
      </c>
      <c r="S255" s="5">
        <f>Tabela3[[#This Row],[Cotação]]*Tabela3[[#This Row],[Total Ações]]</f>
        <v>21753529219.119999</v>
      </c>
      <c r="T255" s="119">
        <f>IF(Tabela3[[#This Row],[Passivo Circulante]]&gt;0,Tabela3[[#This Row],[Ativo Circulante]]/Tabela3[[#This Row],[Passivo Circulante]],0)</f>
        <v>0</v>
      </c>
      <c r="U25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5" s="18">
        <f>IF(Tabela3[[#This Row],[Lucro Líquido]]&gt;0,Tabela3[[#This Row],[Lucro Líquido]]/Tabela3[[#This Row],[Patrimônio Líquido]],0)/Tabela3[[#This Row],[Ref]]*4</f>
        <v>4.7834528589629811E-2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5" s="18">
        <f>IF(Tabela3[[#This Row],[Dívida]]&gt;0,Tabela3[[#This Row],[Dívida]]/Tabela3[[#This Row],[Patrimônio Líquido]],0)</f>
        <v>0</v>
      </c>
      <c r="Y255" s="18">
        <f>SUMPRODUCT(N([Dívida / PL]&gt;0),N(RIGHT([PAPEL],LEN([PAPEL])-(LEN([PAPEL])-1))="3"),[Dívida / PL])/SUMPRODUCT(N([Dívida / PL]&gt;0),N(RIGHT([PAPEL],LEN([PAPEL])-(LEN([PAPEL])-1))="3"))</f>
        <v>2.2435702141443779</v>
      </c>
      <c r="Z255" s="5">
        <f>Tabela3[[#This Row],[Capital Social]]*20%</f>
        <v>4312222415.7360001</v>
      </c>
      <c r="AA255" s="5">
        <f>IF(([Lucro Líquido]*5%)&gt;[Teto R. Legal],[Teto R. Legal],[Lucro Líquido]*5%)</f>
        <v>39309200</v>
      </c>
      <c r="AB255" s="5">
        <f>IF([Lucro Líquido]&lt;0,0,[Lucro Líquido]-[Reserva Legal])</f>
        <v>746874800</v>
      </c>
      <c r="AC255" s="5">
        <f>Tabela3[[#This Row],[Lucro Distribuir]]*[%Div]</f>
        <v>186718700</v>
      </c>
      <c r="AD255" s="56">
        <f>SUMPRODUCT(N([Nome]=Tabela3[[#This Row],[Nome]]),[Ações])</f>
        <v>2943644008</v>
      </c>
      <c r="AE255" s="5">
        <f>[Capital Social]/[Total Ações]</f>
        <v>7.3246330127158501</v>
      </c>
      <c r="AF255" s="76">
        <f>Tabela3[[#This Row],[Lucro Líquido]]/Tabela3[[#This Row],[Total Ações]]</f>
        <v>0.26707849110265103</v>
      </c>
      <c r="AG25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5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55" s="5">
        <f>[Div Base]*[Ações]</f>
        <v>186718700</v>
      </c>
      <c r="AL255" s="5">
        <f>SUMPRODUCT(N([Nome]=Tabela3[[#This Row],[Nome]]),[Div Base]*[Ações])</f>
        <v>186718700</v>
      </c>
      <c r="AM255" s="5">
        <f>[Patrimônio Líquido]/[Total Ações]</f>
        <v>7.4445105931437077</v>
      </c>
      <c r="AN255" s="52">
        <f>MAX(Tabela3[[#This Row],[Cotação 1]:[Cotação 5]])</f>
        <v>7.39</v>
      </c>
      <c r="AO255" s="53">
        <f>[Cotação]/[VPA]</f>
        <v>0.99267774658096242</v>
      </c>
      <c r="AP255" s="37">
        <f>IF(Tabela3[[#This Row],[Lucro/Ação]]&gt;0,Tabela3[[#This Row],[Cotação]]/(Tabela3[[#This Row],[Lucro/Ação]]/[Ref]*4),0)</f>
        <v>20.752326318444535</v>
      </c>
      <c r="AQ255" s="76">
        <f>[Lucro Distribuir]/[Total Ações]</f>
        <v>0.25372456654751846</v>
      </c>
      <c r="AR255" s="76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55" s="16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8.5833750523517747E-3</v>
      </c>
      <c r="AU255" s="18">
        <f>((1+Tabela3[[#This Row],[% Yield]])^(1/(3*Tabela3[[#This Row],[Ref]])))^(12)-1</f>
        <v>1.1460841025344726E-2</v>
      </c>
      <c r="AV255" s="10">
        <f>IF([Cotação]&gt;0,($BH$1/Tabela3[[#This Row],[Cotação]]-MOD($BH$1/Tabela3[[#This Row],[Cotação]],100)),)</f>
        <v>100</v>
      </c>
      <c r="AW255" s="7">
        <f>Tabela3[[#This Row],[Ativos]]*[Lucro]</f>
        <v>6.3431141636879618</v>
      </c>
      <c r="AX255" s="47">
        <f>SUMPRODUCT(N(Tabela1[Código]=Tabela3[[#This Row],[PAPEL]]),Tabela1[Fechamento])</f>
        <v>0</v>
      </c>
      <c r="AY255" s="54">
        <f>SUMPRODUCT(N(Tabela17[Código]=Tabela3[[#This Row],[PAPEL]]),Tabela17[Fechamento])</f>
        <v>7.39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customHeight="1">
      <c r="A256" s="4" t="s">
        <v>14</v>
      </c>
      <c r="B256" s="57" t="s">
        <v>74</v>
      </c>
      <c r="C256" s="14" t="str">
        <f>LEFT([PAPEL],LEN([PAPEL])-(LEN([PAPEL])-4))</f>
        <v>PINE</v>
      </c>
      <c r="D256" s="15">
        <v>4</v>
      </c>
      <c r="E256" s="6">
        <v>1112258700.96</v>
      </c>
      <c r="F256" s="8">
        <v>58434273</v>
      </c>
      <c r="G256" s="80">
        <v>0.25</v>
      </c>
      <c r="H256" s="19"/>
      <c r="I256" s="19"/>
      <c r="J256" s="19"/>
      <c r="K256" s="87"/>
      <c r="L256" s="87"/>
      <c r="M256" s="55">
        <v>10593056000</v>
      </c>
      <c r="N256" s="55">
        <v>6775528000</v>
      </c>
      <c r="O256" s="55">
        <v>6029282000</v>
      </c>
      <c r="P256" s="6">
        <v>1272408000</v>
      </c>
      <c r="Q256" s="6">
        <v>161596000</v>
      </c>
      <c r="R256" s="6">
        <f>IF(Tabela3[[#This Row],[Ativo || Passivo]]&gt;0,Tabela3[[#This Row],[Ativo || Passivo]]-Tabela3[[#This Row],[Patrimônio Líquido]],0)</f>
        <v>9320648000</v>
      </c>
      <c r="S256" s="6">
        <f>Tabela3[[#This Row],[Cotação]]*Tabela3[[#This Row],[Total Ações]]</f>
        <v>938220818.03999996</v>
      </c>
      <c r="T256" s="121">
        <f>IF(Tabela3[[#This Row],[Passivo Circulante]]&gt;0,Tabela3[[#This Row],[Ativo Circulante]]/Tabela3[[#This Row],[Passivo Circulante]],0)</f>
        <v>1.1237702930465021</v>
      </c>
      <c r="U25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6" s="19">
        <f>IF(Tabela3[[#This Row],[Lucro Líquido]]&gt;0,Tabela3[[#This Row],[Lucro Líquido]]/Tabela3[[#This Row],[Patrimônio Líquido]],0)/Tabela3[[#This Row],[Ref]]*4</f>
        <v>0.12700014460770445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6" s="19">
        <f>IF(Tabela3[[#This Row],[Dívida]]&gt;0,Tabela3[[#This Row],[Dívida]]/Tabela3[[#This Row],[Patrimônio Líquido]],0)</f>
        <v>7.325203865426813</v>
      </c>
      <c r="Y256" s="19">
        <f>SUMPRODUCT(N([Dívida / PL]&gt;0),N(RIGHT([PAPEL],LEN([PAPEL])-(LEN([PAPEL])-1))="3"),[Dívida / PL])/SUMPRODUCT(N([Dívida / PL]&gt;0),N(RIGHT([PAPEL],LEN([PAPEL])-(LEN([PAPEL])-1))="3"))</f>
        <v>2.2435702141443779</v>
      </c>
      <c r="Z256" s="6">
        <f>Tabela3[[#This Row],[Capital Social]]*20%</f>
        <v>222451740.19200003</v>
      </c>
      <c r="AA256" s="6">
        <f>IF(([Lucro Líquido]*5%)&gt;[Teto R. Legal],[Teto R. Legal],[Lucro Líquido]*5%)</f>
        <v>8079800</v>
      </c>
      <c r="AB256" s="6">
        <f>IF([Lucro Líquido]&lt;0,0,[Lucro Líquido]-[Reserva Legal])</f>
        <v>153516200</v>
      </c>
      <c r="AC256" s="6">
        <f>Tabela3[[#This Row],[Lucro Distribuir]]*[%Div]</f>
        <v>38379050</v>
      </c>
      <c r="AD256" s="21">
        <f>SUMPRODUCT(N([Nome]=Tabela3[[#This Row],[Nome]]),[Ações])</f>
        <v>123612756</v>
      </c>
      <c r="AE256" s="6">
        <f>[Capital Social]/[Total Ações]</f>
        <v>8.9979281827516253</v>
      </c>
      <c r="AF256" s="77">
        <f>Tabela3[[#This Row],[Lucro Líquido]]/Tabela3[[#This Row],[Total Ações]]</f>
        <v>1.3072760872672395</v>
      </c>
      <c r="AG25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25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256" s="6">
        <f>[Div Base]*[Ações]</f>
        <v>18142560.345314603</v>
      </c>
      <c r="AL256" s="6">
        <f>SUMPRODUCT(N([Nome]=Tabela3[[#This Row],[Nome]]),[Div Base]*[Ações])</f>
        <v>38379050</v>
      </c>
      <c r="AM256" s="6">
        <f>[Patrimônio Líquido]/[Total Ações]</f>
        <v>10.293500777541114</v>
      </c>
      <c r="AN256" s="48">
        <f>MAX(Tabela3[[#This Row],[Cotação 1]:[Cotação 5]])</f>
        <v>7.59</v>
      </c>
      <c r="AO256" s="44">
        <f>[Cotação]/[VPA]</f>
        <v>0.73735847152800038</v>
      </c>
      <c r="AP256" s="40">
        <f>IF(Tabela3[[#This Row],[Lucro/Ação]]&gt;0,Tabela3[[#This Row],[Cotação]]/(Tabela3[[#This Row],[Lucro/Ação]]/[Ref]*4),0)</f>
        <v>5.8059656058318279</v>
      </c>
      <c r="AQ256" s="77">
        <f>[Lucro Distribuir]/[Total Ações]</f>
        <v>1.2419122829038776</v>
      </c>
      <c r="AR256" s="77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256" s="15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4.0906201676675809E-2</v>
      </c>
      <c r="AU256" s="19">
        <f>((1+Tabela3[[#This Row],[% Yield]])^(1/(3*Tabela3[[#This Row],[Ref]])))^(12)-1</f>
        <v>4.0906201676674137E-2</v>
      </c>
      <c r="AV256" s="14">
        <f>IF([Cotação]&gt;0,($BH$1/Tabela3[[#This Row],[Cotação]]-MOD($BH$1/Tabela3[[#This Row],[Cotação]],100)),)</f>
        <v>100</v>
      </c>
      <c r="AW256" s="17">
        <f>Tabela3[[#This Row],[Ativos]]*[Lucro]</f>
        <v>31.047807072596939</v>
      </c>
      <c r="AX256" s="5">
        <f>SUMPRODUCT(N(Tabela1[Código]=Tabela3[[#This Row],[PAPEL]]),Tabela1[Fechamento])</f>
        <v>7.59</v>
      </c>
      <c r="AY256" s="5">
        <f>SUMPRODUCT(N(Tabela17[Código]=Tabela3[[#This Row],[PAPEL]]),Tabela17[Fechamento])</f>
        <v>0</v>
      </c>
      <c r="AZ256" s="7">
        <f>SUMPRODUCT(N(Tabela176[Código]=Tabela3[[#This Row],[PAPEL]]),Tabela176[Fechamento])</f>
        <v>0</v>
      </c>
      <c r="BA256" s="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customHeight="1">
      <c r="A257" s="3" t="s">
        <v>335</v>
      </c>
      <c r="B257" s="57" t="s">
        <v>714</v>
      </c>
      <c r="C257" s="15" t="str">
        <f>LEFT([PAPEL],LEN([PAPEL])-(LEN([PAPEL])-4))</f>
        <v>GSHP</v>
      </c>
      <c r="D257" s="15">
        <v>3</v>
      </c>
      <c r="E257" s="6">
        <v>317813163</v>
      </c>
      <c r="F257" s="8">
        <v>50480600</v>
      </c>
      <c r="G257" s="80">
        <v>0.25</v>
      </c>
      <c r="H257" s="15"/>
      <c r="I257" s="19"/>
      <c r="J257" s="19"/>
      <c r="K257" s="87"/>
      <c r="L257" s="87"/>
      <c r="M257" s="55"/>
      <c r="N257" s="55"/>
      <c r="O257" s="55"/>
      <c r="P257" s="91">
        <v>172998000</v>
      </c>
      <c r="Q257" s="92">
        <v>-69875000</v>
      </c>
      <c r="R257" s="92">
        <f>IF(Tabela3[[#This Row],[Ativo || Passivo]]&gt;0,Tabela3[[#This Row],[Ativo || Passivo]]-Tabela3[[#This Row],[Patrimônio Líquido]],0)</f>
        <v>0</v>
      </c>
      <c r="S257" s="92">
        <f>Tabela3[[#This Row],[Cotação]]*Tabela3[[#This Row],[Total Ações]]</f>
        <v>389710232</v>
      </c>
      <c r="T257" s="40">
        <f>IF(Tabela3[[#This Row],[Passivo Circulante]]&gt;0,Tabela3[[#This Row],[Ativo Circulante]]/Tabela3[[#This Row],[Passivo Circulante]],0)</f>
        <v>0</v>
      </c>
      <c r="U25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7" s="19">
        <f>IF(Tabela3[[#This Row],[Lucro Líquido]]&gt;0,Tabela3[[#This Row],[Lucro Líquido]]/Tabela3[[#This Row],[Patrimônio Líquido]],0)/Tabela3[[#This Row],[Ref]]*4</f>
        <v>0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7" s="19">
        <f>IF(Tabela3[[#This Row],[Dívida]]&gt;0,Tabela3[[#This Row],[Dívida]]/Tabela3[[#This Row],[Patrimônio Líquido]],0)</f>
        <v>0</v>
      </c>
      <c r="Y257" s="19">
        <f>SUMPRODUCT(N([Dívida / PL]&gt;0),N(RIGHT([PAPEL],LEN([PAPEL])-(LEN([PAPEL])-1))="3"),[Dívida / PL])/SUMPRODUCT(N([Dívida / PL]&gt;0),N(RIGHT([PAPEL],LEN([PAPEL])-(LEN([PAPEL])-1))="3"))</f>
        <v>2.2435702141443779</v>
      </c>
      <c r="Z257" s="13">
        <f>Tabela3[[#This Row],[Capital Social]]*20%</f>
        <v>63562632.600000001</v>
      </c>
      <c r="AA257" s="13">
        <f>IF(([Lucro Líquido]*5%)&gt;[Teto R. Legal],[Teto R. Legal],[Lucro Líquido]*5%)</f>
        <v>-3493750</v>
      </c>
      <c r="AB257" s="13">
        <f>IF([Lucro Líquido]&lt;0,0,[Lucro Líquido]-[Reserva Legal])</f>
        <v>0</v>
      </c>
      <c r="AC257" s="13">
        <f>Tabela3[[#This Row],[Lucro Distribuir]]*[%Div]</f>
        <v>0</v>
      </c>
      <c r="AD257" s="21">
        <f>SUMPRODUCT(N([Nome]=Tabela3[[#This Row],[Nome]]),[Ações])</f>
        <v>50480600</v>
      </c>
      <c r="AE257" s="6">
        <f>[Capital Social]/[Total Ações]</f>
        <v>6.2957485251760081</v>
      </c>
      <c r="AF257" s="77">
        <f>Tabela3[[#This Row],[Lucro Líquido]]/Tabela3[[#This Row],[Total Ações]]</f>
        <v>-1.3841951165398192</v>
      </c>
      <c r="AG2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7" s="13">
        <f>[Div Base]*[Ações]</f>
        <v>0</v>
      </c>
      <c r="AL257" s="13">
        <f>SUMPRODUCT(N([Nome]=Tabela3[[#This Row],[Nome]]),[Div Base]*[Ações])</f>
        <v>0</v>
      </c>
      <c r="AM257" s="6">
        <f>[Patrimônio Líquido]/[Total Ações]</f>
        <v>3.4270194886748571</v>
      </c>
      <c r="AN257" s="48">
        <f>MAX(Tabela3[[#This Row],[Cotação 1]:[Cotação 5]])</f>
        <v>7.72</v>
      </c>
      <c r="AO257" s="44">
        <f>[Cotação]/[VPA]</f>
        <v>2.2526863431947191</v>
      </c>
      <c r="AP257" s="40">
        <f>IF(Tabela3[[#This Row],[Lucro/Ação]]&gt;0,Tabela3[[#This Row],[Cotação]]/(Tabela3[[#This Row],[Lucro/Ação]]/[Ref]*4),0)</f>
        <v>0</v>
      </c>
      <c r="AQ257" s="77">
        <f>[Lucro Distribuir]/[Total Ações]</f>
        <v>0</v>
      </c>
      <c r="AR25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7" s="14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0</v>
      </c>
      <c r="AU257" s="42">
        <f>((1+Tabela3[[#This Row],[% Yield]])^(1/(3*Tabela3[[#This Row],[Ref]])))^(12)-1</f>
        <v>0</v>
      </c>
      <c r="AV257" s="14">
        <f>IF([Cotação]&gt;0,($BH$1/Tabela3[[#This Row],[Cotação]]-MOD($BH$1/Tabela3[[#This Row],[Cotação]],100)),)</f>
        <v>100</v>
      </c>
      <c r="AW257" s="17">
        <f>Tabela3[[#This Row],[Ativos]]*[Lucro]</f>
        <v>0</v>
      </c>
      <c r="AX257" s="17">
        <f>SUMPRODUCT(N(Tabela1[Código]=Tabela3[[#This Row],[PAPEL]]),Tabela1[Fechamento])</f>
        <v>0</v>
      </c>
      <c r="AY257" s="17">
        <f>SUMPRODUCT(N(Tabela17[Código]=Tabela3[[#This Row],[PAPEL]]),Tabela17[Fechamento])</f>
        <v>0</v>
      </c>
      <c r="AZ257" s="17">
        <f>SUMPRODUCT(N(Tabela176[Código]=Tabela3[[#This Row],[PAPEL]]),Tabela176[Fechamento])</f>
        <v>7.72</v>
      </c>
      <c r="BA257" s="1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customHeight="1">
      <c r="A258" s="4" t="s">
        <v>19</v>
      </c>
      <c r="B258" s="57" t="s">
        <v>183</v>
      </c>
      <c r="C258" s="14" t="str">
        <f>LEFT([PAPEL],LEN([PAPEL])-(LEN([PAPEL])-4))</f>
        <v>SUZB</v>
      </c>
      <c r="D258" s="15">
        <v>3</v>
      </c>
      <c r="E258" s="6">
        <v>6241753032.1599998</v>
      </c>
      <c r="F258" s="8">
        <v>1940819</v>
      </c>
      <c r="G258" s="85">
        <v>0.25</v>
      </c>
      <c r="H258" s="15"/>
      <c r="I258" s="19"/>
      <c r="J258" s="19"/>
      <c r="K258" s="87"/>
      <c r="L258" s="87"/>
      <c r="M258" s="55"/>
      <c r="N258" s="55"/>
      <c r="O258" s="55"/>
      <c r="P258" s="6">
        <v>10702169000</v>
      </c>
      <c r="Q258" s="6">
        <v>-162427000</v>
      </c>
      <c r="R258" s="6">
        <f>IF(Tabela3[[#This Row],[Ativo || Passivo]]&gt;0,Tabela3[[#This Row],[Ativo || Passivo]]-Tabela3[[#This Row],[Patrimônio Líquido]],0)</f>
        <v>0</v>
      </c>
      <c r="S258" s="6">
        <f>Tabela3[[#This Row],[Cotação]]*Tabela3[[#This Row],[Total Ações]]</f>
        <v>8655500068.7999992</v>
      </c>
      <c r="T258" s="121">
        <f>IF(Tabela3[[#This Row],[Passivo Circulante]]&gt;0,Tabela3[[#This Row],[Ativo Circulante]]/Tabela3[[#This Row],[Passivo Circulante]],0)</f>
        <v>0</v>
      </c>
      <c r="U25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8" s="19">
        <f>IF(Tabela3[[#This Row],[Lucro Líquido]]&gt;0,Tabela3[[#This Row],[Lucro Líquido]]/Tabela3[[#This Row],[Patrimônio Líquido]],0)/Tabela3[[#This Row],[Ref]]*4</f>
        <v>0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8" s="19">
        <f>IF(Tabela3[[#This Row],[Dívida]]&gt;0,Tabela3[[#This Row],[Dívida]]/Tabela3[[#This Row],[Patrimônio Líquido]],0)</f>
        <v>0</v>
      </c>
      <c r="Y258" s="19">
        <f>SUMPRODUCT(N([Dívida / PL]&gt;0),N(RIGHT([PAPEL],LEN([PAPEL])-(LEN([PAPEL])-1))="3"),[Dívida / PL])/SUMPRODUCT(N([Dívida / PL]&gt;0),N(RIGHT([PAPEL],LEN([PAPEL])-(LEN([PAPEL])-1))="3"))</f>
        <v>2.2435702141443779</v>
      </c>
      <c r="Z258" s="6">
        <f>Tabela3[[#This Row],[Capital Social]]*20%</f>
        <v>1248350606.4319999</v>
      </c>
      <c r="AA258" s="6">
        <f>IF(([Lucro Líquido]*5%)&gt;[Teto R. Legal],[Teto R. Legal],[Lucro Líquido]*5%)</f>
        <v>-8121350</v>
      </c>
      <c r="AB258" s="6">
        <f>IF([Lucro Líquido]&lt;0,0,[Lucro Líquido]-[Reserva Legal])</f>
        <v>0</v>
      </c>
      <c r="AC258" s="6">
        <f>Tabela3[[#This Row],[Lucro Distribuir]]*[%Div]</f>
        <v>0</v>
      </c>
      <c r="AD258" s="56">
        <f>SUMPRODUCT(N([Nome]=Tabela3[[#This Row],[Nome]]),[Ações])</f>
        <v>1109679496</v>
      </c>
      <c r="AE258" s="6">
        <f>[Capital Social]/[Total Ações]</f>
        <v>5.6248250550355303</v>
      </c>
      <c r="AF258" s="77">
        <f>Tabela3[[#This Row],[Lucro Líquido]]/Tabela3[[#This Row],[Total Ações]]</f>
        <v>-0.14637289468309686</v>
      </c>
      <c r="AG2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8" s="6">
        <f>[Div Base]*[Ações]</f>
        <v>0</v>
      </c>
      <c r="AL258" s="6">
        <f>SUMPRODUCT(N([Nome]=Tabela3[[#This Row],[Nome]]),[Div Base]*[Ações])</f>
        <v>0</v>
      </c>
      <c r="AM258" s="6">
        <f>[Patrimônio Líquido]/[Total Ações]</f>
        <v>9.6443784341131948</v>
      </c>
      <c r="AN258" s="48">
        <f>MAX(Tabela3[[#This Row],[Cotação 1]:[Cotação 5]])</f>
        <v>7.8</v>
      </c>
      <c r="AO258" s="44">
        <f>[Cotação]/[VPA]</f>
        <v>0.80876129584572998</v>
      </c>
      <c r="AP258" s="40">
        <f>IF(Tabela3[[#This Row],[Lucro/Ação]]&gt;0,Tabela3[[#This Row],[Cotação]]/(Tabela3[[#This Row],[Lucro/Ação]]/[Ref]*4),0)</f>
        <v>0</v>
      </c>
      <c r="AQ258" s="77">
        <f>[Lucro Distribuir]/[Total Ações]</f>
        <v>0</v>
      </c>
      <c r="AR25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0</v>
      </c>
      <c r="AU258" s="19">
        <f>((1+Tabela3[[#This Row],[% Yield]])^(1/(3*Tabela3[[#This Row],[Ref]])))^(12)-1</f>
        <v>0</v>
      </c>
      <c r="AV258" s="14">
        <f>IF([Cotação]&gt;0,($BH$1/Tabela3[[#This Row],[Cotação]]-MOD($BH$1/Tabela3[[#This Row],[Cotação]],100)),)</f>
        <v>0</v>
      </c>
      <c r="AW258" s="17">
        <f>Tabela3[[#This Row],[Ativos]]*[Lucro]</f>
        <v>0</v>
      </c>
      <c r="AX258" s="5">
        <f>SUMPRODUCT(N(Tabela1[Código]=Tabela3[[#This Row],[PAPEL]]),Tabela1[Fechamento])</f>
        <v>7.8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customHeight="1">
      <c r="A259" s="4" t="s">
        <v>314</v>
      </c>
      <c r="B259" s="57" t="s">
        <v>315</v>
      </c>
      <c r="C259" s="81" t="str">
        <f>LEFT([PAPEL],LEN([PAPEL])-(LEN([PAPEL])-4))</f>
        <v>PRVI</v>
      </c>
      <c r="D259" s="15">
        <v>4</v>
      </c>
      <c r="E259" s="6">
        <v>409003000</v>
      </c>
      <c r="F259" s="8">
        <v>80041132</v>
      </c>
      <c r="G259" s="80">
        <v>0.25</v>
      </c>
      <c r="H259" s="15"/>
      <c r="I259" s="19"/>
      <c r="J259" s="19"/>
      <c r="K259" s="87"/>
      <c r="L259" s="87"/>
      <c r="M259" s="55">
        <v>877511000</v>
      </c>
      <c r="N259" s="55">
        <v>284358000</v>
      </c>
      <c r="O259" s="55">
        <v>65626000</v>
      </c>
      <c r="P259" s="6">
        <v>665550000</v>
      </c>
      <c r="Q259" s="6">
        <v>26920000</v>
      </c>
      <c r="R259" s="6">
        <f>IF(Tabela3[[#This Row],[Ativo || Passivo]]&gt;0,Tabela3[[#This Row],[Ativo || Passivo]]-Tabela3[[#This Row],[Patrimônio Líquido]],0)</f>
        <v>211961000</v>
      </c>
      <c r="S259" s="6">
        <f>Tabela3[[#This Row],[Cotação]]*Tabela3[[#This Row],[Total Ações]]</f>
        <v>630724120.15999997</v>
      </c>
      <c r="T259" s="121">
        <f>IF(Tabela3[[#This Row],[Passivo Circulante]]&gt;0,Tabela3[[#This Row],[Ativo Circulante]]/Tabela3[[#This Row],[Passivo Circulante]],0)</f>
        <v>4.3330082589217689</v>
      </c>
      <c r="U25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59" s="19">
        <f>IF(Tabela3[[#This Row],[Lucro Líquido]]&gt;0,Tabela3[[#This Row],[Lucro Líquido]]/Tabela3[[#This Row],[Patrimônio Líquido]],0)/Tabela3[[#This Row],[Ref]]*4</f>
        <v>4.0447749981218542E-2</v>
      </c>
      <c r="W2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59" s="19">
        <f>IF(Tabela3[[#This Row],[Dívida]]&gt;0,Tabela3[[#This Row],[Dívida]]/Tabela3[[#This Row],[Patrimônio Líquido]],0)</f>
        <v>0.31847494553376904</v>
      </c>
      <c r="Y259" s="19">
        <f>SUMPRODUCT(N([Dívida / PL]&gt;0),N(RIGHT([PAPEL],LEN([PAPEL])-(LEN([PAPEL])-1))="3"),[Dívida / PL])/SUMPRODUCT(N([Dívida / PL]&gt;0),N(RIGHT([PAPEL],LEN([PAPEL])-(LEN([PAPEL])-1))="3"))</f>
        <v>2.2435702141443779</v>
      </c>
      <c r="Z259" s="6">
        <f>Tabela3[[#This Row],[Capital Social]]*20%</f>
        <v>81800600</v>
      </c>
      <c r="AA259" s="6">
        <f>IF(([Lucro Líquido]*5%)&gt;[Teto R. Legal],[Teto R. Legal],[Lucro Líquido]*5%)</f>
        <v>1346000</v>
      </c>
      <c r="AB259" s="6">
        <f>IF([Lucro Líquido]&lt;0,0,[Lucro Líquido]-[Reserva Legal])</f>
        <v>25574000</v>
      </c>
      <c r="AC259" s="6">
        <f>Tabela3[[#This Row],[Lucro Distribuir]]*[%Div]</f>
        <v>6393500</v>
      </c>
      <c r="AD259" s="56">
        <f>SUMPRODUCT(N([Nome]=Tabela3[[#This Row],[Nome]]),[Ações])</f>
        <v>80041132</v>
      </c>
      <c r="AE259" s="6">
        <f>[Capital Social]/[Total Ações]</f>
        <v>5.1099102396502838</v>
      </c>
      <c r="AF259" s="77">
        <f>Tabela3[[#This Row],[Lucro Líquido]]/Tabela3[[#This Row],[Total Ações]]</f>
        <v>0.33632707743313778</v>
      </c>
      <c r="AG2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2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259" s="6">
        <f>[Div Base]*[Ações]</f>
        <v>6393500</v>
      </c>
      <c r="AL259" s="6">
        <f>SUMPRODUCT(N([Nome]=Tabela3[[#This Row],[Nome]]),[Div Base]*[Ações])</f>
        <v>6393500</v>
      </c>
      <c r="AM259" s="6">
        <f>[Patrimônio Líquido]/[Total Ações]</f>
        <v>8.3150997914422291</v>
      </c>
      <c r="AN259" s="48">
        <f>MAX(Tabela3[[#This Row],[Cotação 1]:[Cotação 5]])</f>
        <v>7.88</v>
      </c>
      <c r="AO259" s="44">
        <f>[Cotação]/[VPA]</f>
        <v>0.94767353340845928</v>
      </c>
      <c r="AP259" s="40">
        <f>IF(Tabela3[[#This Row],[Lucro/Ação]]&gt;0,Tabela3[[#This Row],[Cotação]]/(Tabela3[[#This Row],[Lucro/Ação]]/[Ref]*4),0)</f>
        <v>23.429573557206535</v>
      </c>
      <c r="AQ259" s="77">
        <f>[Lucro Distribuir]/[Total Ações]</f>
        <v>0.31951072356148086</v>
      </c>
      <c r="AR259" s="77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259" s="15" t="str">
        <f>IF(AND([% A.A.]&gt;=5%,SUMPRODUCT(N([Nome]=Tabela3[[#This Row],[Nome]]),[PL])&gt;0,[Rentabilidade s/ PL]&gt;=[Rentabilidade s/ PL Média]),"Sim","Não")</f>
        <v>Não</v>
      </c>
      <c r="AT259" s="42">
        <f>IF([Cotação]&gt;0,Tabela3[[#This Row],[Lucro]]/Tabela3[[#This Row],[Cotação]],0)</f>
        <v>1.013676153431094E-2</v>
      </c>
      <c r="AU259" s="19">
        <f>((1+Tabela3[[#This Row],[% Yield]])^(1/(3*Tabela3[[#This Row],[Ref]])))^(12)-1</f>
        <v>1.0136761534312422E-2</v>
      </c>
      <c r="AV259" s="14">
        <f>IF([Cotação]&gt;0,($BH$1/Tabela3[[#This Row],[Cotação]]-MOD($BH$1/Tabela3[[#This Row],[Cotação]],100)),)</f>
        <v>0</v>
      </c>
      <c r="AW259" s="17">
        <f>Tabela3[[#This Row],[Ativos]]*[Lucro]</f>
        <v>0</v>
      </c>
      <c r="AX259" s="13">
        <f>SUMPRODUCT(N(Tabela1[Código]=Tabela3[[#This Row],[PAPEL]]),Tabela1[Fechamento])</f>
        <v>0</v>
      </c>
      <c r="AY259" s="55">
        <f>SUMPRODUCT(N(Tabela17[Código]=Tabela3[[#This Row],[PAPEL]]),Tabela17[Fechamento])</f>
        <v>7.88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0</v>
      </c>
      <c r="BB259" s="7">
        <f>SUMPRODUCT(N(Tabela17683[Código]=Tabela3[[#This Row],[PAPEL]]),Tabela17683[Fechamento])</f>
        <v>0</v>
      </c>
    </row>
    <row r="260" spans="1:54" ht="11.25" customHeight="1">
      <c r="A260" s="4" t="s">
        <v>570</v>
      </c>
      <c r="B260" s="57" t="s">
        <v>571</v>
      </c>
      <c r="C260" s="15" t="str">
        <f>LEFT([PAPEL],LEN([PAPEL])-(LEN([PAPEL])-4))</f>
        <v>BEMA</v>
      </c>
      <c r="D260" s="15">
        <v>4</v>
      </c>
      <c r="E260" s="6">
        <v>344601120.56</v>
      </c>
      <c r="F260" s="8">
        <v>51568270</v>
      </c>
      <c r="G260" s="85">
        <v>0.25</v>
      </c>
      <c r="H260" s="15"/>
      <c r="I260" s="19"/>
      <c r="J260" s="19"/>
      <c r="K260" s="87"/>
      <c r="L260" s="87"/>
      <c r="M260" s="55">
        <v>490921000</v>
      </c>
      <c r="N260" s="55">
        <v>198128000</v>
      </c>
      <c r="O260" s="55">
        <v>59309000</v>
      </c>
      <c r="P260" s="91">
        <v>403984000</v>
      </c>
      <c r="Q260" s="92">
        <v>42943000</v>
      </c>
      <c r="R260" s="92">
        <f>IF(Tabela3[[#This Row],[Ativo || Passivo]]&gt;0,Tabela3[[#This Row],[Ativo || Passivo]]-Tabela3[[#This Row],[Patrimônio Líquido]],0)</f>
        <v>86937000</v>
      </c>
      <c r="S260" s="92">
        <f>Tabela3[[#This Row],[Cotação]]*Tabela3[[#This Row],[Total Ações]]</f>
        <v>407389333</v>
      </c>
      <c r="T260" s="40">
        <f>IF(Tabela3[[#This Row],[Passivo Circulante]]&gt;0,Tabela3[[#This Row],[Ativo Circulante]]/Tabela3[[#This Row],[Passivo Circulante]],0)</f>
        <v>3.3406059788564972</v>
      </c>
      <c r="U26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0" s="19">
        <f>IF(Tabela3[[#This Row],[Lucro Líquido]]&gt;0,Tabela3[[#This Row],[Lucro Líquido]]/Tabela3[[#This Row],[Patrimônio Líquido]],0)/Tabela3[[#This Row],[Ref]]*4</f>
        <v>0.10629876430749732</v>
      </c>
      <c r="W2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0" s="19">
        <f>IF(Tabela3[[#This Row],[Dívida]]&gt;0,Tabela3[[#This Row],[Dívida]]/Tabela3[[#This Row],[Patrimônio Líquido]],0)</f>
        <v>0.21519911679670481</v>
      </c>
      <c r="Y260" s="19">
        <f>SUMPRODUCT(N([Dívida / PL]&gt;0),N(RIGHT([PAPEL],LEN([PAPEL])-(LEN([PAPEL])-1))="3"),[Dívida / PL])/SUMPRODUCT(N([Dívida / PL]&gt;0),N(RIGHT([PAPEL],LEN([PAPEL])-(LEN([PAPEL])-1))="3"))</f>
        <v>2.2435702141443779</v>
      </c>
      <c r="Z260" s="13">
        <f>Tabela3[[#This Row],[Capital Social]]*20%</f>
        <v>68920224.112000003</v>
      </c>
      <c r="AA260" s="13">
        <f>IF(([Lucro Líquido]*5%)&gt;[Teto R. Legal],[Teto R. Legal],[Lucro Líquido]*5%)</f>
        <v>2147150</v>
      </c>
      <c r="AB260" s="13">
        <f>IF([Lucro Líquido]&lt;0,0,[Lucro Líquido]-[Reserva Legal])</f>
        <v>40795850</v>
      </c>
      <c r="AC260" s="13">
        <f>Tabela3[[#This Row],[Lucro Distribuir]]*[%Div]</f>
        <v>10198962.5</v>
      </c>
      <c r="AD260" s="56">
        <f>SUMPRODUCT(N([Nome]=Tabela3[[#This Row],[Nome]]),[Ações])</f>
        <v>51568270</v>
      </c>
      <c r="AE260" s="6">
        <f>[Capital Social]/[Total Ações]</f>
        <v>6.682425463565095</v>
      </c>
      <c r="AF260" s="77">
        <f>Tabela3[[#This Row],[Lucro Líquido]]/Tabela3[[#This Row],[Total Ações]]</f>
        <v>0.83274075318020169</v>
      </c>
      <c r="AG2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2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260" s="13">
        <f>[Div Base]*[Ações]</f>
        <v>10198962.5</v>
      </c>
      <c r="AL260" s="13">
        <f>SUMPRODUCT(N([Nome]=Tabela3[[#This Row],[Nome]]),[Div Base]*[Ações])</f>
        <v>10198962.5</v>
      </c>
      <c r="AM260" s="6">
        <f>[Patrimônio Líquido]/[Total Ações]</f>
        <v>7.8339645677467944</v>
      </c>
      <c r="AN260" s="48">
        <f>MAX(Tabela3[[#This Row],[Cotação 1]:[Cotação 5]])</f>
        <v>7.9</v>
      </c>
      <c r="AO260" s="44">
        <f>[Cotação]/[VPA]</f>
        <v>1.008429375915878</v>
      </c>
      <c r="AP260" s="40">
        <f>IF(Tabela3[[#This Row],[Lucro/Ação]]&gt;0,Tabela3[[#This Row],[Cotação]]/(Tabela3[[#This Row],[Lucro/Ação]]/[Ref]*4),0)</f>
        <v>9.4867459888689663</v>
      </c>
      <c r="AQ260" s="77">
        <f>[Lucro Distribuir]/[Total Ações]</f>
        <v>0.79110371552119163</v>
      </c>
      <c r="AR260" s="77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260" s="14" t="str">
        <f>IF(AND([% A.A.]&gt;=5%,SUMPRODUCT(N([Nome]=Tabela3[[#This Row],[Nome]]),[PL])&gt;0,[Rentabilidade s/ PL]&gt;=[Rentabilidade s/ PL Média]),"Sim","Não")</f>
        <v>Não</v>
      </c>
      <c r="AT260" s="42">
        <f>IF([Cotação]&gt;0,Tabela3[[#This Row],[Lucro]]/Tabela3[[#This Row],[Cotação]],0)</f>
        <v>2.5034927706366821E-2</v>
      </c>
      <c r="AU260" s="42">
        <f>((1+Tabela3[[#This Row],[% Yield]])^(1/(3*Tabela3[[#This Row],[Ref]])))^(12)-1</f>
        <v>2.5034927706367505E-2</v>
      </c>
      <c r="AV260" s="14">
        <f>IF([Cotação]&gt;0,($BH$1/Tabela3[[#This Row],[Cotação]]-MOD($BH$1/Tabela3[[#This Row],[Cotação]],100)),)</f>
        <v>0</v>
      </c>
      <c r="AW260" s="17">
        <f>Tabela3[[#This Row],[Ativos]]*[Lucro]</f>
        <v>0</v>
      </c>
      <c r="AX260" s="17">
        <f>SUMPRODUCT(N(Tabela1[Código]=Tabela3[[#This Row],[PAPEL]]),Tabela1[Fechamento])</f>
        <v>0</v>
      </c>
      <c r="AY260" s="17">
        <f>SUMPRODUCT(N(Tabela17[Código]=Tabela3[[#This Row],[PAPEL]]),Tabela17[Fechamento])</f>
        <v>0</v>
      </c>
      <c r="AZ260" s="17">
        <f>SUMPRODUCT(N(Tabela176[Código]=Tabela3[[#This Row],[PAPEL]]),Tabela176[Fechamento])</f>
        <v>7.9</v>
      </c>
      <c r="BA260" s="17">
        <f>SUMPRODUCT(N(Tabela1768[Código]=Tabela3[[#This Row],[PAPEL]]),Tabela1768[Fechamento])</f>
        <v>0</v>
      </c>
      <c r="BB260" s="7">
        <f>SUMPRODUCT(N(Tabela17683[Código]=Tabela3[[#This Row],[PAPEL]]),Tabela17683[Fechamento])</f>
        <v>0</v>
      </c>
    </row>
    <row r="261" spans="1:54" ht="11.25" customHeight="1">
      <c r="A261" s="4" t="s">
        <v>12</v>
      </c>
      <c r="B261" s="57" t="s">
        <v>1</v>
      </c>
      <c r="C261" s="81" t="str">
        <f>LEFT([PAPEL],LEN([PAPEL])-(LEN([PAPEL])-4))</f>
        <v>ELPL</v>
      </c>
      <c r="D261" s="16">
        <v>4</v>
      </c>
      <c r="E261" s="5">
        <v>1257629316.47</v>
      </c>
      <c r="F261" s="56">
        <v>100739070</v>
      </c>
      <c r="G261" s="80">
        <v>0.25</v>
      </c>
      <c r="H261" s="18"/>
      <c r="J261" s="18">
        <v>0.1</v>
      </c>
      <c r="K261" s="86"/>
      <c r="L261" s="86"/>
      <c r="M261" s="54">
        <v>10694051000</v>
      </c>
      <c r="N261" s="54">
        <v>2675679000</v>
      </c>
      <c r="O261" s="54">
        <v>2220725000</v>
      </c>
      <c r="P261" s="88">
        <v>2829462000</v>
      </c>
      <c r="Q261" s="88">
        <v>198182000</v>
      </c>
      <c r="R261" s="88">
        <f>IF(Tabela3[[#This Row],[Ativo || Passivo]]&gt;0,Tabela3[[#This Row],[Ativo || Passivo]]-Tabela3[[#This Row],[Patrimônio Líquido]],0)</f>
        <v>7864589000</v>
      </c>
      <c r="S261" s="88">
        <f>Tabela3[[#This Row],[Cotação]]*Tabela3[[#This Row],[Total Ações]]</f>
        <v>1328710462.78</v>
      </c>
      <c r="T261" s="121">
        <f>IF(Tabela3[[#This Row],[Passivo Circulante]]&gt;0,Tabela3[[#This Row],[Ativo Circulante]]/Tabela3[[#This Row],[Passivo Circulante]],0)</f>
        <v>1.2048673293631584</v>
      </c>
      <c r="U26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1" s="19">
        <f>IF(Tabela3[[#This Row],[Lucro Líquido]]&gt;0,Tabela3[[#This Row],[Lucro Líquido]]/Tabela3[[#This Row],[Patrimônio Líquido]],0)/Tabela3[[#This Row],[Ref]]*4</f>
        <v>7.0042290725233283E-2</v>
      </c>
      <c r="W2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1" s="19">
        <f>IF(Tabela3[[#This Row],[Dívida]]&gt;0,Tabela3[[#This Row],[Dívida]]/Tabela3[[#This Row],[Patrimônio Líquido]],0)</f>
        <v>2.7795351201041045</v>
      </c>
      <c r="Y261" s="19">
        <f>SUMPRODUCT(N([Dívida / PL]&gt;0),N(RIGHT([PAPEL],LEN([PAPEL])-(LEN([PAPEL])-1))="3"),[Dívida / PL])/SUMPRODUCT(N([Dívida / PL]&gt;0),N(RIGHT([PAPEL],LEN([PAPEL])-(LEN([PAPEL])-1))="3"))</f>
        <v>2.2435702141443779</v>
      </c>
      <c r="Z261" s="6">
        <f>Tabela3[[#This Row],[Capital Social]]*20%</f>
        <v>251525863.29400003</v>
      </c>
      <c r="AA261" s="6">
        <f>IF(([Lucro Líquido]*5%)&gt;[Teto R. Legal],[Teto R. Legal],[Lucro Líquido]*5%)</f>
        <v>9909100</v>
      </c>
      <c r="AB261" s="88">
        <f>IF([Lucro Líquido]&lt;0,0,[Lucro Líquido]-[Reserva Legal])</f>
        <v>188272900</v>
      </c>
      <c r="AC261" s="88">
        <f>Tabela3[[#This Row],[Lucro Distribuir]]*[%Div]</f>
        <v>47068225</v>
      </c>
      <c r="AD261" s="56">
        <f>SUMPRODUCT(N([Nome]=Tabela3[[#This Row],[Nome]]),[Ações])</f>
        <v>167343887</v>
      </c>
      <c r="AE261" s="6">
        <f>[Capital Social]/[Total Ações]</f>
        <v>7.5152390626016716</v>
      </c>
      <c r="AF261" s="77">
        <f>Tabela3[[#This Row],[Lucro Líquido]]/Tabela3[[#This Row],[Total Ações]]</f>
        <v>1.1842798894709552</v>
      </c>
      <c r="AG2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61" s="6">
        <f>[Div Base]*[Ações]</f>
        <v>30198221.097321898</v>
      </c>
      <c r="AL261" s="6">
        <f>SUMPRODUCT(N([Nome]=Tabela3[[#This Row],[Nome]]),[Div Base]*[Ações])</f>
        <v>48349046.403254516</v>
      </c>
      <c r="AM261" s="6">
        <f>[Patrimônio Líquido]/[Total Ações]</f>
        <v>16.908069070966423</v>
      </c>
      <c r="AN261" s="11">
        <f>MAX(Tabela3[[#This Row],[Cotação 1]:[Cotação 5]])</f>
        <v>7.94</v>
      </c>
      <c r="AO261" s="9">
        <f>[Cotação]/[VPA]</f>
        <v>0.46959827090096989</v>
      </c>
      <c r="AP261" s="36">
        <f>IF(Tabela3[[#This Row],[Lucro/Ação]]&gt;0,Tabela3[[#This Row],[Cotação]]/(Tabela3[[#This Row],[Lucro/Ação]]/[Ref]*4),0)</f>
        <v>6.7044961842145101</v>
      </c>
      <c r="AQ261" s="77">
        <f>[Lucro Distribuir]/[Total Ações]</f>
        <v>1.1250658949974073</v>
      </c>
      <c r="AR261" s="77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61" s="14" t="str">
        <f>IF(AND([% A.A.]&gt;=5%,SUMPRODUCT(N([Nome]=Tabela3[[#This Row],[Nome]]),[PL])&gt;0,[Rentabilidade s/ PL]&gt;=[Rentabilidade s/ PL Média]),"Sim","Não")</f>
        <v>Não</v>
      </c>
      <c r="AT261" s="19">
        <f>IF([Cotação]&gt;0,Tabela3[[#This Row],[Lucro]]/Tabela3[[#This Row],[Cotação]],0)</f>
        <v>3.7753995596785529E-2</v>
      </c>
      <c r="AU261" s="19">
        <f>((1+Tabela3[[#This Row],[% Yield]])^(1/(3*Tabela3[[#This Row],[Ref]])))^(12)-1</f>
        <v>3.7753995596785606E-2</v>
      </c>
      <c r="AV261" s="10">
        <f>IF([Cotação]&gt;0,($BH$1/Tabela3[[#This Row],[Cotação]]-MOD($BH$1/Tabela3[[#This Row],[Cotação]],100)),)</f>
        <v>0</v>
      </c>
      <c r="AW261" s="5">
        <f>Tabela3[[#This Row],[Ativos]]*[Lucro]</f>
        <v>0</v>
      </c>
      <c r="AX261" s="5">
        <f>SUMPRODUCT(N(Tabela1[Código]=Tabela3[[#This Row],[PAPEL]]),Tabela1[Fechamento])</f>
        <v>7.94</v>
      </c>
      <c r="AY261" s="5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0</v>
      </c>
    </row>
    <row r="262" spans="1:54" ht="11.25" customHeight="1">
      <c r="A262" s="3" t="s">
        <v>1276</v>
      </c>
      <c r="B262" s="58" t="s">
        <v>1252</v>
      </c>
      <c r="C262" s="16" t="str">
        <f>LEFT([PAPEL],LEN([PAPEL])-(LEN([PAPEL])-4))</f>
        <v>RAPT</v>
      </c>
      <c r="D262" s="16">
        <v>4</v>
      </c>
      <c r="E262" s="5">
        <v>730000000</v>
      </c>
      <c r="F262" s="56">
        <v>161897158</v>
      </c>
      <c r="G262" s="80">
        <v>0.3</v>
      </c>
      <c r="H262" s="86"/>
      <c r="J262" s="18"/>
      <c r="K262" s="16"/>
      <c r="L262" s="86"/>
      <c r="M262" s="54">
        <v>3430269000</v>
      </c>
      <c r="N262" s="54">
        <v>1739435000</v>
      </c>
      <c r="O262" s="54">
        <v>667710000</v>
      </c>
      <c r="P262" s="90">
        <v>1337201000</v>
      </c>
      <c r="Q262" s="73">
        <v>235062000</v>
      </c>
      <c r="R262" s="73">
        <f>IF(Tabela3[[#This Row],[Ativo || Passivo]]&gt;0,Tabela3[[#This Row],[Ativo || Passivo]]-Tabela3[[#This Row],[Patrimônio Líquido]],0)</f>
        <v>2093068000</v>
      </c>
      <c r="S262" s="73">
        <f>Tabela3[[#This Row],[Cotação]]*Tabela3[[#This Row],[Total Ações]]</f>
        <v>1967348597.6400001</v>
      </c>
      <c r="T262" s="37">
        <f>IF(Tabela3[[#This Row],[Passivo Circulante]]&gt;0,Tabela3[[#This Row],[Ativo Circulante]]/Tabela3[[#This Row],[Passivo Circulante]],0)</f>
        <v>2.6050755567536803</v>
      </c>
      <c r="U26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2" s="18">
        <f>IF(Tabela3[[#This Row],[Lucro Líquido]]&gt;0,Tabela3[[#This Row],[Lucro Líquido]]/Tabela3[[#This Row],[Patrimônio Líquido]],0)/Tabela3[[#This Row],[Ref]]*4</f>
        <v>0.17578658705759267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2" s="18">
        <f>IF(Tabela3[[#This Row],[Dívida]]&gt;0,Tabela3[[#This Row],[Dívida]]/Tabela3[[#This Row],[Patrimônio Líquido]],0)</f>
        <v>1.565260570400411</v>
      </c>
      <c r="Y262" s="18">
        <f>SUMPRODUCT(N([Dívida / PL]&gt;0),N(RIGHT([PAPEL],LEN([PAPEL])-(LEN([PAPEL])-1))="3"),[Dívida / PL])/SUMPRODUCT(N([Dívida / PL]&gt;0),N(RIGHT([PAPEL],LEN([PAPEL])-(LEN([PAPEL])-1))="3"))</f>
        <v>2.2435702141443779</v>
      </c>
      <c r="Z262" s="7">
        <f>Tabela3[[#This Row],[Capital Social]]*20%</f>
        <v>146000000</v>
      </c>
      <c r="AA262" s="47">
        <f>IF(([Lucro Líquido]*5%)&gt;[Teto R. Legal],[Teto R. Legal],[Lucro Líquido]*5%)</f>
        <v>11753100</v>
      </c>
      <c r="AB262" s="47">
        <f>IF([Lucro Líquido]&lt;0,0,[Lucro Líquido]-[Reserva Legal])</f>
        <v>223308900</v>
      </c>
      <c r="AC262" s="47">
        <f>Tabela3[[#This Row],[Lucro Distribuir]]*[%Div]</f>
        <v>66992670</v>
      </c>
      <c r="AD262" s="56">
        <f>SUMPRODUCT(N([Nome]=Tabela3[[#This Row],[Nome]]),[Ações])</f>
        <v>243785452</v>
      </c>
      <c r="AE262" s="84">
        <f>[Capital Social]/[Total Ações]</f>
        <v>2.994436271775561</v>
      </c>
      <c r="AF262" s="84">
        <f>Tabela3[[#This Row],[Lucro Líquido]]/Tabela3[[#This Row],[Total Ações]]</f>
        <v>0.96421668344672185</v>
      </c>
      <c r="AG26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26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262" s="7">
        <f>[Div Base]*[Ações]</f>
        <v>44489623.112669826</v>
      </c>
      <c r="AL262" s="113">
        <f>SUMPRODUCT(N([Nome]=Tabela3[[#This Row],[Nome]]),[Div Base]*[Ações])</f>
        <v>66992670</v>
      </c>
      <c r="AM262" s="5">
        <f>[Patrimônio Líquido]/[Total Ações]</f>
        <v>5.4851550370610305</v>
      </c>
      <c r="AN262" s="52">
        <f>MAX(Tabela3[[#This Row],[Cotação 1]:[Cotação 5]])</f>
        <v>8.07</v>
      </c>
      <c r="AO262" s="53">
        <f>[Cotação]/[VPA]</f>
        <v>1.4712437379571208</v>
      </c>
      <c r="AP262" s="37">
        <f>IF(Tabela3[[#This Row],[Lucro/Ação]]&gt;0,Tabela3[[#This Row],[Cotação]]/(Tabela3[[#This Row],[Lucro/Ação]]/[Ref]*4),0)</f>
        <v>8.3694880399213822</v>
      </c>
      <c r="AQ262" s="84">
        <f>[Lucro Distribuir]/[Total Ações]</f>
        <v>0.91600584927438577</v>
      </c>
      <c r="AR262" s="84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3.4052262054809879E-2</v>
      </c>
      <c r="AU262" s="22">
        <f>((1+Tabela3[[#This Row],[% Yield]])^(1/(3*Tabela3[[#This Row],[Ref]])))^(12)-1</f>
        <v>3.4052262054809601E-2</v>
      </c>
      <c r="AV262" s="10">
        <f>IF([Cotação]&gt;0,($BH$1/Tabela3[[#This Row],[Cotação]]-MOD($BH$1/Tabela3[[#This Row],[Cotação]],100)),)</f>
        <v>0</v>
      </c>
      <c r="AW262" s="7">
        <f>Tabela3[[#This Row],[Ativos]]*[Lucro]</f>
        <v>0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8.07</v>
      </c>
    </row>
    <row r="263" spans="1:54">
      <c r="A263" s="3" t="s">
        <v>1276</v>
      </c>
      <c r="B263" s="57" t="s">
        <v>1243</v>
      </c>
      <c r="C263" s="16" t="str">
        <f>LEFT([PAPEL],LEN([PAPEL])-(LEN([PAPEL])-4))</f>
        <v>DHBI</v>
      </c>
      <c r="D263" s="16">
        <v>3</v>
      </c>
      <c r="E263" s="5">
        <v>105487086</v>
      </c>
      <c r="F263" s="56">
        <v>2748746</v>
      </c>
      <c r="G263" s="80">
        <v>0.25</v>
      </c>
      <c r="H263" s="86"/>
      <c r="J263" s="18"/>
      <c r="K263" s="16"/>
      <c r="L263" s="86"/>
      <c r="M263" s="54"/>
      <c r="N263" s="54"/>
      <c r="O263" s="54"/>
      <c r="P263" s="90">
        <v>-388239000</v>
      </c>
      <c r="Q263" s="73">
        <v>-80146000</v>
      </c>
      <c r="R263" s="73">
        <f>IF(Tabela3[[#This Row],[Ativo || Passivo]]&gt;0,Tabela3[[#This Row],[Ativo || Passivo]]-Tabela3[[#This Row],[Patrimônio Líquido]],0)</f>
        <v>0</v>
      </c>
      <c r="S263" s="73">
        <f>Tabela3[[#This Row],[Cotação]]*Tabela3[[#This Row],[Total Ações]]</f>
        <v>34203536.950000003</v>
      </c>
      <c r="T263" s="37">
        <f>IF(Tabela3[[#This Row],[Passivo Circulante]]&gt;0,Tabela3[[#This Row],[Ativo Circulante]]/Tabela3[[#This Row],[Passivo Circulante]],0)</f>
        <v>0</v>
      </c>
      <c r="U26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3" s="18">
        <f>IF(Tabela3[[#This Row],[Lucro Líquido]]&gt;0,Tabela3[[#This Row],[Lucro Líquido]]/Tabela3[[#This Row],[Patrimônio Líquido]],0)/Tabela3[[#This Row],[Ref]]*4</f>
        <v>0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3" s="18">
        <f>IF(Tabela3[[#This Row],[Dívida]]&gt;0,Tabela3[[#This Row],[Dívida]]/Tabela3[[#This Row],[Patrimônio Líquido]],0)</f>
        <v>0</v>
      </c>
      <c r="Y263" s="18">
        <f>SUMPRODUCT(N([Dívida / PL]&gt;0),N(RIGHT([PAPEL],LEN([PAPEL])-(LEN([PAPEL])-1))="3"),[Dívida / PL])/SUMPRODUCT(N([Dívida / PL]&gt;0),N(RIGHT([PAPEL],LEN([PAPEL])-(LEN([PAPEL])-1))="3"))</f>
        <v>2.2435702141443779</v>
      </c>
      <c r="Z263" s="7">
        <f>Tabela3[[#This Row],[Capital Social]]*20%</f>
        <v>21097417.200000003</v>
      </c>
      <c r="AA263" s="47">
        <f>IF(([Lucro Líquido]*5%)&gt;[Teto R. Legal],[Teto R. Legal],[Lucro Líquido]*5%)</f>
        <v>-4007300</v>
      </c>
      <c r="AB263" s="47">
        <f>IF([Lucro Líquido]&lt;0,0,[Lucro Líquido]-[Reserva Legal])</f>
        <v>0</v>
      </c>
      <c r="AC263" s="47">
        <f>Tabela3[[#This Row],[Lucro Distribuir]]*[%Div]</f>
        <v>0</v>
      </c>
      <c r="AD263" s="56">
        <f>SUMPRODUCT(N([Nome]=Tabela3[[#This Row],[Nome]]),[Ações])</f>
        <v>4196753</v>
      </c>
      <c r="AE263" s="84">
        <f>[Capital Social]/[Total Ações]</f>
        <v>25.135404918993327</v>
      </c>
      <c r="AF263" s="84">
        <f>Tabela3[[#This Row],[Lucro Líquido]]/Tabela3[[#This Row],[Total Ações]]</f>
        <v>-19.097144864136631</v>
      </c>
      <c r="AG26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3" s="7">
        <f>[Div Base]*[Ações]</f>
        <v>0</v>
      </c>
      <c r="AL263" s="113">
        <f>SUMPRODUCT(N([Nome]=Tabela3[[#This Row],[Nome]]),[Div Base]*[Ações])</f>
        <v>0</v>
      </c>
      <c r="AM263" s="5">
        <f>[Patrimônio Líquido]/[Total Ações]</f>
        <v>-92.509375700690512</v>
      </c>
      <c r="AN263" s="52">
        <f>MAX(Tabela3[[#This Row],[Cotação 1]:[Cotação 5]])</f>
        <v>8.15</v>
      </c>
      <c r="AO263" s="53">
        <f>[Cotação]/[VPA]</f>
        <v>-8.8099178469963096E-2</v>
      </c>
      <c r="AP263" s="37">
        <f>IF(Tabela3[[#This Row],[Lucro/Ação]]&gt;0,Tabela3[[#This Row],[Cotação]]/(Tabela3[[#This Row],[Lucro/Ação]]/[Ref]*4),0)</f>
        <v>0</v>
      </c>
      <c r="AQ263" s="84">
        <f>[Lucro Distribuir]/[Total Ações]</f>
        <v>0</v>
      </c>
      <c r="AR26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3" s="10" t="str">
        <f>IF(AND([% A.A.]&gt;=5%,SUMPRODUCT(N([Nome]=Tabela3[[#This Row],[Nome]]),[PL])&gt;0,[Rentabilidade s/ PL]&gt;=[Rentabilidade s/ PL Média]),"Sim","Não")</f>
        <v>Não</v>
      </c>
      <c r="AT263" s="22">
        <f>IF([Cotação]&gt;0,Tabela3[[#This Row],[Lucro]]/Tabela3[[#This Row],[Cotação]],0)</f>
        <v>0</v>
      </c>
      <c r="AU263" s="22">
        <f>((1+Tabela3[[#This Row],[% Yield]])^(1/(3*Tabela3[[#This Row],[Ref]])))^(12)-1</f>
        <v>0</v>
      </c>
      <c r="AV263" s="10">
        <f>IF([Cotação]&gt;0,($BH$1/Tabela3[[#This Row],[Cotação]]-MOD($BH$1/Tabela3[[#This Row],[Cotação]],100)),)</f>
        <v>0</v>
      </c>
      <c r="AW263" s="7">
        <f>Tabela3[[#This Row],[Ativos]]*[Lucro]</f>
        <v>0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8.15</v>
      </c>
    </row>
    <row r="264" spans="1:54" ht="11.25" customHeight="1">
      <c r="A264" s="3" t="s">
        <v>1140</v>
      </c>
      <c r="B264" s="57" t="s">
        <v>1135</v>
      </c>
      <c r="C264" s="16" t="str">
        <f>LEFT([PAPEL],LEN([PAPEL])-(LEN([PAPEL])-4))</f>
        <v>TPIS</v>
      </c>
      <c r="D264" s="16">
        <v>3</v>
      </c>
      <c r="E264" s="5">
        <v>512979226.55000001</v>
      </c>
      <c r="F264" s="56">
        <v>176000000</v>
      </c>
      <c r="G264" s="80">
        <v>0.25</v>
      </c>
      <c r="H264" s="86"/>
      <c r="J264" s="18"/>
      <c r="K264" s="16"/>
      <c r="L264" s="86"/>
      <c r="M264" s="54"/>
      <c r="N264" s="54"/>
      <c r="O264" s="54"/>
      <c r="P264" s="90">
        <v>2109303000</v>
      </c>
      <c r="Q264" s="73">
        <v>172000</v>
      </c>
      <c r="R264" s="73">
        <f>IF(Tabela3[[#This Row],[Ativo || Passivo]]&gt;0,Tabela3[[#This Row],[Ativo || Passivo]]-Tabela3[[#This Row],[Patrimônio Líquido]],0)</f>
        <v>0</v>
      </c>
      <c r="S264" s="73">
        <f>Tabela3[[#This Row],[Cotação]]*Tabela3[[#This Row],[Total Ações]]</f>
        <v>1436160000</v>
      </c>
      <c r="T264" s="37">
        <f>IF(Tabela3[[#This Row],[Passivo Circulante]]&gt;0,Tabela3[[#This Row],[Ativo Circulante]]/Tabela3[[#This Row],[Passivo Circulante]],0)</f>
        <v>0</v>
      </c>
      <c r="U26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4" s="18">
        <f>IF(Tabela3[[#This Row],[Lucro Líquido]]&gt;0,Tabela3[[#This Row],[Lucro Líquido]]/Tabela3[[#This Row],[Patrimônio Líquido]],0)/Tabela3[[#This Row],[Ref]]*4</f>
        <v>1.0872469879070638E-4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2.2435702141443779</v>
      </c>
      <c r="Z264" s="7">
        <f>Tabela3[[#This Row],[Capital Social]]*20%</f>
        <v>102595845.31</v>
      </c>
      <c r="AA264" s="47">
        <f>IF(([Lucro Líquido]*5%)&gt;[Teto R. Legal],[Teto R. Legal],[Lucro Líquido]*5%)</f>
        <v>8600</v>
      </c>
      <c r="AB264" s="47">
        <f>IF([Lucro Líquido]&lt;0,0,[Lucro Líquido]-[Reserva Legal])</f>
        <v>163400</v>
      </c>
      <c r="AC264" s="47">
        <f>Tabela3[[#This Row],[Lucro Distribuir]]*[%Div]</f>
        <v>40850</v>
      </c>
      <c r="AD264" s="56">
        <f>SUMPRODUCT(N([Nome]=Tabela3[[#This Row],[Nome]]),[Ações])</f>
        <v>176000000</v>
      </c>
      <c r="AE264" s="84">
        <f>[Capital Social]/[Total Ações]</f>
        <v>2.9146546963068181</v>
      </c>
      <c r="AF264" s="84">
        <f>Tabela3[[#This Row],[Lucro Líquido]]/Tabela3[[#This Row],[Total Ações]]</f>
        <v>9.7727272727272723E-4</v>
      </c>
      <c r="AG2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2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264" s="7">
        <f>[Div Base]*[Ações]</f>
        <v>40850</v>
      </c>
      <c r="AL264" s="113">
        <f>SUMPRODUCT(N([Nome]=Tabela3[[#This Row],[Nome]]),[Div Base]*[Ações])</f>
        <v>40850</v>
      </c>
      <c r="AM264" s="5">
        <f>[Patrimônio Líquido]/[Total Ações]</f>
        <v>11.984676136363637</v>
      </c>
      <c r="AN264" s="52">
        <f>MAX(Tabela3[[#This Row],[Cotação 1]:[Cotação 5]])</f>
        <v>8.16</v>
      </c>
      <c r="AO264" s="53">
        <f>[Cotação]/[VPA]</f>
        <v>0.68086946256654446</v>
      </c>
      <c r="AP264" s="37">
        <f>IF(Tabela3[[#This Row],[Lucro/Ação]]&gt;0,Tabela3[[#This Row],[Cotação]]/(Tabela3[[#This Row],[Lucro/Ação]]/[Ref]*4),0)</f>
        <v>6262.3255813953492</v>
      </c>
      <c r="AQ264" s="84">
        <f>[Lucro Distribuir]/[Total Ações]</f>
        <v>9.2840909090909096E-4</v>
      </c>
      <c r="AR264" s="84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264" s="10" t="str">
        <f>IF(AND([% A.A.]&gt;=5%,SUMPRODUCT(N([Nome]=Tabela3[[#This Row],[Nome]]),[PL])&gt;0,[Rentabilidade s/ PL]&gt;=[Rentabilidade s/ PL Média]),"Sim","Não")</f>
        <v>Não</v>
      </c>
      <c r="AT264" s="22">
        <f>IF([Cotação]&gt;0,Tabela3[[#This Row],[Lucro]]/Tabela3[[#This Row],[Cotação]],0)</f>
        <v>2.8443905971479503E-5</v>
      </c>
      <c r="AU264" s="22">
        <f>((1+Tabela3[[#This Row],[% Yield]])^(1/(3*Tabela3[[#This Row],[Ref]])))^(12)-1</f>
        <v>3.7925387751380768E-5</v>
      </c>
      <c r="AV264" s="10">
        <f>IF([Cotação]&gt;0,($BH$1/Tabela3[[#This Row],[Cotação]]-MOD($BH$1/Tabela3[[#This Row],[Cotação]],100)),)</f>
        <v>0</v>
      </c>
      <c r="AW264" s="7">
        <f>Tabela3[[#This Row],[Ativos]]*[Lucro]</f>
        <v>0</v>
      </c>
      <c r="AX264" s="7">
        <f>SUMPRODUCT(N(Tabela1[Código]=Tabela3[[#This Row],[PAPEL]]),Tabela1[Fechamento])</f>
        <v>0</v>
      </c>
      <c r="AY264" s="7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8.16</v>
      </c>
    </row>
    <row r="265" spans="1:54" ht="11.25" customHeight="1">
      <c r="A265" s="4" t="s">
        <v>37</v>
      </c>
      <c r="B265" s="57" t="s">
        <v>177</v>
      </c>
      <c r="C265" s="14" t="str">
        <f>LEFT([PAPEL],LEN([PAPEL])-(LEN([PAPEL])-4))</f>
        <v>SAPR</v>
      </c>
      <c r="D265" s="15">
        <v>4</v>
      </c>
      <c r="E265" s="6">
        <v>2597359806</v>
      </c>
      <c r="F265" s="8">
        <v>289836870</v>
      </c>
      <c r="G265" s="80">
        <v>0.25</v>
      </c>
      <c r="H265" s="15"/>
      <c r="I265" s="19"/>
      <c r="J265" s="19"/>
      <c r="K265" s="87"/>
      <c r="L265" s="87"/>
      <c r="M265" s="55">
        <v>6748027000</v>
      </c>
      <c r="N265" s="55">
        <v>601122000</v>
      </c>
      <c r="O265" s="55">
        <v>544102000</v>
      </c>
      <c r="P265" s="6">
        <v>3566842000</v>
      </c>
      <c r="Q265" s="6">
        <v>402904000</v>
      </c>
      <c r="R265" s="6">
        <f>IF(Tabela3[[#This Row],[Ativo || Passivo]]&gt;0,Tabela3[[#This Row],[Ativo || Passivo]]-Tabela3[[#This Row],[Patrimônio Líquido]],0)</f>
        <v>3181185000</v>
      </c>
      <c r="S265" s="6">
        <f>Tabela3[[#This Row],[Cotação]]*Tabela3[[#This Row],[Total Ações]]</f>
        <v>3903519487.1399999</v>
      </c>
      <c r="T265" s="121">
        <f>IF(Tabela3[[#This Row],[Passivo Circulante]]&gt;0,Tabela3[[#This Row],[Ativo Circulante]]/Tabela3[[#This Row],[Passivo Circulante]],0)</f>
        <v>1.1047965271217528</v>
      </c>
      <c r="U26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5" s="19">
        <f>IF(Tabela3[[#This Row],[Lucro Líquido]]&gt;0,Tabela3[[#This Row],[Lucro Líquido]]/Tabela3[[#This Row],[Patrimônio Líquido]],0)/Tabela3[[#This Row],[Ref]]*4</f>
        <v>0.11295818542004384</v>
      </c>
      <c r="W26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5" s="19">
        <f>IF(Tabela3[[#This Row],[Dívida]]&gt;0,Tabela3[[#This Row],[Dívida]]/Tabela3[[#This Row],[Patrimônio Líquido]],0)</f>
        <v>0.89187718435523633</v>
      </c>
      <c r="Y265" s="19">
        <f>SUMPRODUCT(N([Dívida / PL]&gt;0),N(RIGHT([PAPEL],LEN([PAPEL])-(LEN([PAPEL])-1))="3"),[Dívida / PL])/SUMPRODUCT(N([Dívida / PL]&gt;0),N(RIGHT([PAPEL],LEN([PAPEL])-(LEN([PAPEL])-1))="3"))</f>
        <v>2.2435702141443779</v>
      </c>
      <c r="Z265" s="6">
        <f>Tabela3[[#This Row],[Capital Social]]*20%</f>
        <v>519471961.20000005</v>
      </c>
      <c r="AA265" s="6">
        <f>IF(([Lucro Líquido]*5%)&gt;[Teto R. Legal],[Teto R. Legal],[Lucro Líquido]*5%)</f>
        <v>20145200</v>
      </c>
      <c r="AB265" s="6">
        <f>IF([Lucro Líquido]&lt;0,0,[Lucro Líquido]-[Reserva Legal])</f>
        <v>382758800</v>
      </c>
      <c r="AC265" s="6">
        <f>Tabela3[[#This Row],[Lucro Distribuir]]*[%Div]</f>
        <v>95689700</v>
      </c>
      <c r="AD265" s="21">
        <f>SUMPRODUCT(N([Nome]=Tabela3[[#This Row],[Nome]]),[Ações])</f>
        <v>476620206</v>
      </c>
      <c r="AE265" s="6">
        <f>[Capital Social]/[Total Ações]</f>
        <v>5.4495377520775943</v>
      </c>
      <c r="AF265" s="77">
        <f>Tabela3[[#This Row],[Lucro Líquido]]/Tabela3[[#This Row],[Total Ações]]</f>
        <v>0.84533554164927704</v>
      </c>
      <c r="AG2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2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265" s="6">
        <f>[Div Base]*[Ações]</f>
        <v>56379230.37349344</v>
      </c>
      <c r="AL265" s="6">
        <f>SUMPRODUCT(N([Nome]=Tabela3[[#This Row],[Nome]]),[Div Base]*[Ações])</f>
        <v>96345749.537082076</v>
      </c>
      <c r="AM265" s="6">
        <f>[Patrimônio Líquido]/[Total Ações]</f>
        <v>7.4836147420908965</v>
      </c>
      <c r="AN265" s="48">
        <f>MAX(Tabela3[[#This Row],[Cotação 1]:[Cotação 5]])</f>
        <v>8.19</v>
      </c>
      <c r="AO265" s="44">
        <f>[Cotação]/[VPA]</f>
        <v>1.0943909169904358</v>
      </c>
      <c r="AP265" s="40">
        <f>IF(Tabela3[[#This Row],[Lucro/Ação]]&gt;0,Tabela3[[#This Row],[Cotação]]/(Tabela3[[#This Row],[Lucro/Ação]]/[Ref]*4),0)</f>
        <v>9.6884604946587771</v>
      </c>
      <c r="AQ265" s="77">
        <f>[Lucro Distribuir]/[Total Ações]</f>
        <v>0.8030687645668132</v>
      </c>
      <c r="AR265" s="77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2.3750984174354568E-2</v>
      </c>
      <c r="AU265" s="19">
        <f>((1+Tabela3[[#This Row],[% Yield]])^(1/(3*Tabela3[[#This Row],[Ref]])))^(12)-1</f>
        <v>2.3750984174354617E-2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8.19</v>
      </c>
      <c r="AY265" s="5">
        <f>SUMPRODUCT(N(Tabela17[Código]=Tabela3[[#This Row],[PAPEL]]),Tabela17[Fechamento])</f>
        <v>0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customHeight="1">
      <c r="A266" s="4" t="s">
        <v>14</v>
      </c>
      <c r="B266" s="57" t="s">
        <v>16</v>
      </c>
      <c r="C266" s="15" t="str">
        <f>LEFT([PAPEL],LEN([PAPEL])-(LEN([PAPEL])-4))</f>
        <v>ITSA</v>
      </c>
      <c r="D266" s="15">
        <v>4</v>
      </c>
      <c r="E266" s="5">
        <v>22525000010</v>
      </c>
      <c r="F266" s="8">
        <f>3279287212+85153346+51659696</f>
        <v>3416100254</v>
      </c>
      <c r="G266" s="85">
        <v>0.25</v>
      </c>
      <c r="H266" s="15"/>
      <c r="I266" s="19">
        <v>2.5000000000000001E-3</v>
      </c>
      <c r="J266" s="19"/>
      <c r="K266" s="87"/>
      <c r="L266" s="87"/>
      <c r="M266" s="54">
        <v>34432000000</v>
      </c>
      <c r="N266" s="54">
        <v>1091000000</v>
      </c>
      <c r="O266" s="54">
        <v>1012000000</v>
      </c>
      <c r="P266" s="6">
        <v>33131000000</v>
      </c>
      <c r="Q266" s="5">
        <v>5698000000</v>
      </c>
      <c r="R266" s="5">
        <f>IF(Tabela3[[#This Row],[Ativo || Passivo]]&gt;0,Tabela3[[#This Row],[Ativo || Passivo]]-Tabela3[[#This Row],[Patrimônio Líquido]],0)</f>
        <v>1301000000</v>
      </c>
      <c r="S266" s="5">
        <f>Tabela3[[#This Row],[Cotação]]*Tabela3[[#This Row],[Total Ações]]</f>
        <v>46103738266.300003</v>
      </c>
      <c r="T266" s="119">
        <f>IF(Tabela3[[#This Row],[Passivo Circulante]]&gt;0,Tabela3[[#This Row],[Ativo Circulante]]/Tabela3[[#This Row],[Passivo Circulante]],0)</f>
        <v>1.0780632411067195</v>
      </c>
      <c r="U26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6" s="18">
        <f>IF(Tabela3[[#This Row],[Lucro Líquido]]&gt;0,Tabela3[[#This Row],[Lucro Líquido]]/Tabela3[[#This Row],[Patrimônio Líquido]],0)/Tabela3[[#This Row],[Ref]]*4</f>
        <v>0.17198394253116417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6" s="18">
        <f>IF(Tabela3[[#This Row],[Dívida]]&gt;0,Tabela3[[#This Row],[Dívida]]/Tabela3[[#This Row],[Patrimônio Líquido]],0)</f>
        <v>3.9268358938758262E-2</v>
      </c>
      <c r="Y266" s="18">
        <f>SUMPRODUCT(N([Dívida / PL]&gt;0),N(RIGHT([PAPEL],LEN([PAPEL])-(LEN([PAPEL])-1))="3"),[Dívida / PL])/SUMPRODUCT(N([Dívida / PL]&gt;0),N(RIGHT([PAPEL],LEN([PAPEL])-(LEN([PAPEL])-1))="3"))</f>
        <v>2.2435702141443779</v>
      </c>
      <c r="Z266" s="5">
        <f>Tabela3[[#This Row],[Capital Social]]*20%</f>
        <v>4505000002</v>
      </c>
      <c r="AA266" s="5">
        <f>IF(([Lucro Líquido]*5%)&gt;[Teto R. Legal],[Teto R. Legal],[Lucro Líquido]*5%)</f>
        <v>284900000</v>
      </c>
      <c r="AB266" s="5">
        <f>IF([Lucro Líquido]&lt;0,0,[Lucro Líquido]-[Reserva Legal])</f>
        <v>5413100000</v>
      </c>
      <c r="AC266" s="5">
        <f>Tabela3[[#This Row],[Lucro Distribuir]]*[%Div]</f>
        <v>1353275000</v>
      </c>
      <c r="AD266" s="21">
        <f>SUMPRODUCT(N([Nome]=Tabela3[[#This Row],[Nome]]),[Ações])</f>
        <v>5554667261</v>
      </c>
      <c r="AE266" s="5">
        <f>[Capital Social]/[Total Ações]</f>
        <v>4.0551483917229003</v>
      </c>
      <c r="AF266" s="77">
        <f>Tabela3[[#This Row],[Lucro Líquido]]/Tabela3[[#This Row],[Total Ações]]</f>
        <v>1.0258040189025104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6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6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66" s="5">
        <f>[Div Base]*[Ações]</f>
        <v>832259225.26268303</v>
      </c>
      <c r="AL266" s="5">
        <f>SUMPRODUCT(N([Nome]=Tabela3[[#This Row],[Nome]]),[Div Base]*[Ações])</f>
        <v>1353275000</v>
      </c>
      <c r="AM266" s="6">
        <f>[Patrimônio Líquido]/[Total Ações]</f>
        <v>5.9645336873041552</v>
      </c>
      <c r="AN266" s="48">
        <f>MAX(Tabela3[[#This Row],[Cotação 1]:[Cotação 5]])</f>
        <v>8.3000000000000007</v>
      </c>
      <c r="AO266" s="44">
        <f>[Cotação]/[VPA]</f>
        <v>1.3915589105761976</v>
      </c>
      <c r="AP266" s="40">
        <f>IF(Tabela3[[#This Row],[Lucro/Ação]]&gt;0,Tabela3[[#This Row],[Cotação]]/(Tabela3[[#This Row],[Lucro/Ação]]/[Ref]*4),0)</f>
        <v>8.0912141569498086</v>
      </c>
      <c r="AQ266" s="77">
        <f>[Lucro Distribuir]/[Total Ações]</f>
        <v>0.9745138179573849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66" s="15" t="str">
        <f>IF(AND([% A.A.]&gt;=5%,SUMPRODUCT(N([Nome]=Tabela3[[#This Row],[Nome]]),[PL])&gt;0,[Rentabilidade s/ PL]&gt;=[Rentabilidade s/ PL Média]),"Sim","Não")</f>
        <v>Não</v>
      </c>
      <c r="AT266" s="42">
        <f>IF([Cotação]&gt;0,Tabela3[[#This Row],[Lucro]]/Tabela3[[#This Row],[Cotação]],0)</f>
        <v>2.9352825842089904E-2</v>
      </c>
      <c r="AU266" s="19">
        <f>((1+Tabela3[[#This Row],[% Yield]])^(1/(3*Tabela3[[#This Row],[Ref]])))^(12)-1</f>
        <v>2.9352825842089425E-2</v>
      </c>
      <c r="AV266" s="14">
        <f>IF([Cotação]&gt;0,($BH$1/Tabela3[[#This Row],[Cotação]]-MOD($BH$1/Tabela3[[#This Row],[Cotação]],100)),)</f>
        <v>0</v>
      </c>
      <c r="AW266" s="17">
        <f>Tabela3[[#This Row],[Ativos]]*[Lucro]</f>
        <v>0</v>
      </c>
      <c r="AX266" s="5">
        <f>SUMPRODUCT(N(Tabela1[Código]=Tabela3[[#This Row],[PAPEL]]),Tabela1[Fechamento])</f>
        <v>8.3000000000000007</v>
      </c>
      <c r="AY266" s="5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customHeight="1">
      <c r="A267" s="4" t="s">
        <v>236</v>
      </c>
      <c r="B267" s="57" t="s">
        <v>237</v>
      </c>
      <c r="C267" s="81" t="str">
        <f>LEFT([PAPEL],LEN([PAPEL])-(LEN([PAPEL])-4))</f>
        <v>QGEP</v>
      </c>
      <c r="D267" s="15">
        <v>3</v>
      </c>
      <c r="E267" s="6">
        <v>2135496103.8199999</v>
      </c>
      <c r="F267" s="8">
        <v>265806905</v>
      </c>
      <c r="G267" s="85">
        <v>1.0000000000000001E-5</v>
      </c>
      <c r="H267" s="9"/>
      <c r="I267" s="9"/>
      <c r="J267" s="19"/>
      <c r="K267" s="87"/>
      <c r="L267" s="87"/>
      <c r="M267" s="55"/>
      <c r="N267" s="55"/>
      <c r="O267" s="55"/>
      <c r="P267" s="6">
        <v>2384232000</v>
      </c>
      <c r="Q267" s="6">
        <v>171061000</v>
      </c>
      <c r="R267" s="6">
        <f>IF(Tabela3[[#This Row],[Ativo || Passivo]]&gt;0,Tabela3[[#This Row],[Ativo || Passivo]]-Tabela3[[#This Row],[Patrimônio Líquido]],0)</f>
        <v>0</v>
      </c>
      <c r="S267" s="6">
        <f>Tabela3[[#This Row],[Cotação]]*Tabela3[[#This Row],[Total Ações]]</f>
        <v>2240752209.1500001</v>
      </c>
      <c r="T267" s="121">
        <f>IF(Tabela3[[#This Row],[Passivo Circulante]]&gt;0,Tabela3[[#This Row],[Ativo Circulante]]/Tabela3[[#This Row],[Passivo Circulante]],0)</f>
        <v>0</v>
      </c>
      <c r="U26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7" s="19">
        <f>IF(Tabela3[[#This Row],[Lucro Líquido]]&gt;0,Tabela3[[#This Row],[Lucro Líquido]]/Tabela3[[#This Row],[Patrimônio Líquido]],0)/Tabela3[[#This Row],[Ref]]*4</f>
        <v>9.5662390796421373E-2</v>
      </c>
      <c r="W26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7" s="19">
        <f>IF(Tabela3[[#This Row],[Dívida]]&gt;0,Tabela3[[#This Row],[Dívida]]/Tabela3[[#This Row],[Patrimônio Líquido]],0)</f>
        <v>0</v>
      </c>
      <c r="Y267" s="19">
        <f>SUMPRODUCT(N([Dívida / PL]&gt;0),N(RIGHT([PAPEL],LEN([PAPEL])-(LEN([PAPEL])-1))="3"),[Dívida / PL])/SUMPRODUCT(N([Dívida / PL]&gt;0),N(RIGHT([PAPEL],LEN([PAPEL])-(LEN([PAPEL])-1))="3"))</f>
        <v>2.2435702141443779</v>
      </c>
      <c r="Z267" s="6">
        <f>Tabela3[[#This Row],[Capital Social]]*20%</f>
        <v>427099220.764</v>
      </c>
      <c r="AA267" s="6">
        <f>IF(([Lucro Líquido]*5%)&gt;[Teto R. Legal],[Teto R. Legal],[Lucro Líquido]*5%)</f>
        <v>8553050</v>
      </c>
      <c r="AB267" s="6">
        <f>IF([Lucro Líquido]&lt;0,0,[Lucro Líquido]-[Reserva Legal])</f>
        <v>162507950</v>
      </c>
      <c r="AC267" s="6">
        <f>Tabela3[[#This Row],[Lucro Distribuir]]*[%Div]</f>
        <v>1625.0795000000001</v>
      </c>
      <c r="AD267" s="56">
        <f>SUMPRODUCT(N([Nome]=Tabela3[[#This Row],[Nome]]),[Ações])</f>
        <v>265806905</v>
      </c>
      <c r="AE267" s="6">
        <f>[Capital Social]/[Total Ações]</f>
        <v>8.034012900530179</v>
      </c>
      <c r="AF267" s="77">
        <f>Tabela3[[#This Row],[Lucro Líquido]]/Tabela3[[#This Row],[Total Ações]]</f>
        <v>0.64355363529777376</v>
      </c>
      <c r="AG2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2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267" s="6">
        <f>[Div Base]*[Ações]</f>
        <v>1625.0795000000001</v>
      </c>
      <c r="AL267" s="6">
        <f>SUMPRODUCT(N([Nome]=Tabela3[[#This Row],[Nome]]),[Div Base]*[Ações])</f>
        <v>1625.0795000000001</v>
      </c>
      <c r="AM267" s="6">
        <f>[Patrimônio Líquido]/[Total Ações]</f>
        <v>8.9697895545640538</v>
      </c>
      <c r="AN267" s="48">
        <f>MAX(Tabela3[[#This Row],[Cotação 1]:[Cotação 5]])</f>
        <v>8.43</v>
      </c>
      <c r="AO267" s="44">
        <f>[Cotação]/[VPA]</f>
        <v>0.93982138028094586</v>
      </c>
      <c r="AP267" s="40">
        <f>IF(Tabela3[[#This Row],[Lucro/Ação]]&gt;0,Tabela3[[#This Row],[Cotação]]/(Tabela3[[#This Row],[Lucro/Ação]]/[Ref]*4),0)</f>
        <v>9.8243559716270799</v>
      </c>
      <c r="AQ267" s="77">
        <f>[Lucro Distribuir]/[Total Ações]</f>
        <v>0.6113759535328851</v>
      </c>
      <c r="AR267" s="77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267" s="15" t="str">
        <f>IF(AND([% A.A.]&gt;=5%,SUMPRODUCT(N([Nome]=Tabela3[[#This Row],[Nome]]),[PL])&gt;0,[Rentabilidade s/ PL]&gt;=[Rentabilidade s/ PL Média]),"Sim","Não")</f>
        <v>Não</v>
      </c>
      <c r="AT267" s="42">
        <f>IF([Cotação]&gt;0,Tabela3[[#This Row],[Lucro]]/Tabela3[[#This Row],[Cotação]],0)</f>
        <v>7.2523837904256843E-7</v>
      </c>
      <c r="AU267" s="19">
        <f>((1+Tabela3[[#This Row],[% Yield]])^(1/(3*Tabela3[[#This Row],[Ref]])))^(12)-1</f>
        <v>9.669846223747669E-7</v>
      </c>
      <c r="AV267" s="14">
        <f>IF([Cotação]&gt;0,($BH$1/Tabela3[[#This Row],[Cotação]]-MOD($BH$1/Tabela3[[#This Row],[Cotação]],100)),)</f>
        <v>0</v>
      </c>
      <c r="AW267" s="17">
        <f>Tabela3[[#This Row],[Ativos]]*[Lucro]</f>
        <v>0</v>
      </c>
      <c r="AX267" s="13">
        <f>SUMPRODUCT(N(Tabela1[Código]=Tabela3[[#This Row],[PAPEL]]),Tabela1[Fechamento])</f>
        <v>0</v>
      </c>
      <c r="AY267" s="13">
        <f>SUMPRODUCT(N(Tabela17[Código]=Tabela3[[#This Row],[PAPEL]]),Tabela17[Fechamento])</f>
        <v>8.43</v>
      </c>
      <c r="AZ267" s="7">
        <f>SUMPRODUCT(N(Tabela176[Código]=Tabela3[[#This Row],[PAPEL]]),Tabela176[Fechamento])</f>
        <v>0</v>
      </c>
      <c r="BA267" s="7">
        <f>SUMPRODUCT(N(Tabela1768[Código]=Tabela3[[#This Row],[PAPEL]]),Tabela1768[Fechamento])</f>
        <v>0</v>
      </c>
      <c r="BB267" s="7">
        <f>SUMPRODUCT(N(Tabela17683[Código]=Tabela3[[#This Row],[PAPEL]]),Tabela17683[Fechamento])</f>
        <v>0</v>
      </c>
    </row>
    <row r="268" spans="1:54" ht="11.25" customHeight="1">
      <c r="A268" s="3" t="s">
        <v>1166</v>
      </c>
      <c r="B268" s="57" t="s">
        <v>1167</v>
      </c>
      <c r="C268" s="16" t="str">
        <f>LEFT([PAPEL],LEN([PAPEL])-(LEN([PAPEL])-4))</f>
        <v>LOGN</v>
      </c>
      <c r="D268" s="16">
        <v>3</v>
      </c>
      <c r="E268" s="5">
        <v>527000000</v>
      </c>
      <c r="F268" s="56">
        <v>91711620</v>
      </c>
      <c r="G268" s="80">
        <v>0.25</v>
      </c>
      <c r="H268" s="86"/>
      <c r="J268" s="18"/>
      <c r="K268" s="16"/>
      <c r="L268" s="86"/>
      <c r="M268" s="54"/>
      <c r="N268" s="54"/>
      <c r="O268" s="54"/>
      <c r="P268" s="90">
        <v>533102000</v>
      </c>
      <c r="Q268" s="73">
        <v>2534000</v>
      </c>
      <c r="R268" s="73">
        <f>IF(Tabela3[[#This Row],[Ativo || Passivo]]&gt;0,Tabela3[[#This Row],[Ativo || Passivo]]-Tabela3[[#This Row],[Patrimônio Líquido]],0)</f>
        <v>0</v>
      </c>
      <c r="S268" s="73">
        <f>Tabela3[[#This Row],[Cotação]]*Tabela3[[#This Row],[Total Ações]]</f>
        <v>777714537.60000002</v>
      </c>
      <c r="T268" s="37">
        <f>IF(Tabela3[[#This Row],[Passivo Circulante]]&gt;0,Tabela3[[#This Row],[Ativo Circulante]]/Tabela3[[#This Row],[Passivo Circulante]],0)</f>
        <v>0</v>
      </c>
      <c r="U2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8" s="18">
        <f>IF(Tabela3[[#This Row],[Lucro Líquido]]&gt;0,Tabela3[[#This Row],[Lucro Líquido]]/Tabela3[[#This Row],[Patrimônio Líquido]],0)/Tabela3[[#This Row],[Ref]]*4</f>
        <v>6.3377489986281557E-3</v>
      </c>
      <c r="W2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8" s="18">
        <f>IF(Tabela3[[#This Row],[Dívida]]&gt;0,Tabela3[[#This Row],[Dívida]]/Tabela3[[#This Row],[Patrimônio Líquido]],0)</f>
        <v>0</v>
      </c>
      <c r="Y268" s="18">
        <f>SUMPRODUCT(N([Dívida / PL]&gt;0),N(RIGHT([PAPEL],LEN([PAPEL])-(LEN([PAPEL])-1))="3"),[Dívida / PL])/SUMPRODUCT(N([Dívida / PL]&gt;0),N(RIGHT([PAPEL],LEN([PAPEL])-(LEN([PAPEL])-1))="3"))</f>
        <v>2.2435702141443779</v>
      </c>
      <c r="Z268" s="7">
        <f>Tabela3[[#This Row],[Capital Social]]*20%</f>
        <v>105400000</v>
      </c>
      <c r="AA268" s="47">
        <f>IF(([Lucro Líquido]*5%)&gt;[Teto R. Legal],[Teto R. Legal],[Lucro Líquido]*5%)</f>
        <v>126700</v>
      </c>
      <c r="AB268" s="47">
        <f>IF([Lucro Líquido]&lt;0,0,[Lucro Líquido]-[Reserva Legal])</f>
        <v>2407300</v>
      </c>
      <c r="AC268" s="47">
        <f>Tabela3[[#This Row],[Lucro Distribuir]]*[%Div]</f>
        <v>601825</v>
      </c>
      <c r="AD268" s="56">
        <f>SUMPRODUCT(N([Nome]=Tabela3[[#This Row],[Nome]]),[Ações])</f>
        <v>91711620</v>
      </c>
      <c r="AE268" s="84">
        <f>[Capital Social]/[Total Ações]</f>
        <v>5.746272936842681</v>
      </c>
      <c r="AF268" s="84">
        <f>Tabela3[[#This Row],[Lucro Líquido]]/Tabela3[[#This Row],[Total Ações]]</f>
        <v>2.7630086569182838E-2</v>
      </c>
      <c r="AG2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2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268" s="7">
        <f>[Div Base]*[Ações]</f>
        <v>601825</v>
      </c>
      <c r="AL268" s="113">
        <f>SUMPRODUCT(N([Nome]=Tabela3[[#This Row],[Nome]]),[Div Base]*[Ações])</f>
        <v>601825</v>
      </c>
      <c r="AM268" s="5">
        <f>[Patrimônio Líquido]/[Total Ações]</f>
        <v>5.8128075809804693</v>
      </c>
      <c r="AN268" s="52">
        <f>MAX(Tabela3[[#This Row],[Cotação 1]:[Cotação 5]])</f>
        <v>8.48</v>
      </c>
      <c r="AO268" s="53">
        <f>[Cotação]/[VPA]</f>
        <v>1.4588475331174897</v>
      </c>
      <c r="AP268" s="37">
        <f>IF(Tabela3[[#This Row],[Lucro/Ação]]&gt;0,Tabela3[[#This Row],[Cotação]]/(Tabela3[[#This Row],[Lucro/Ação]]/[Ref]*4),0)</f>
        <v>230.18386077348069</v>
      </c>
      <c r="AQ268" s="84">
        <f>[Lucro Distribuir]/[Total Ações]</f>
        <v>2.6248582240723694E-2</v>
      </c>
      <c r="AR268" s="84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7.7383791983265599E-4</v>
      </c>
      <c r="AU268" s="22">
        <f>((1+Tabela3[[#This Row],[% Yield]])^(1/(3*Tabela3[[#This Row],[Ref]])))^(12)-1</f>
        <v>1.0319169424826136E-3</v>
      </c>
      <c r="AV268" s="10">
        <f>IF([Cotação]&gt;0,($BH$1/Tabela3[[#This Row],[Cotação]]-MOD($BH$1/Tabela3[[#This Row],[Cotação]],100)),)</f>
        <v>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</v>
      </c>
      <c r="BB268" s="7">
        <f>SUMPRODUCT(N(Tabela17683[Código]=Tabela3[[#This Row],[PAPEL]]),Tabela17683[Fechamento])</f>
        <v>8.48</v>
      </c>
    </row>
    <row r="269" spans="1:54" ht="11.25" customHeight="1">
      <c r="A269" s="4" t="s">
        <v>354</v>
      </c>
      <c r="B269" s="57" t="s">
        <v>353</v>
      </c>
      <c r="C269" s="81" t="str">
        <f>LEFT([PAPEL],LEN([PAPEL])-(LEN([PAPEL])-4))</f>
        <v>MERC</v>
      </c>
      <c r="D269" s="15">
        <v>4</v>
      </c>
      <c r="E269" s="6">
        <v>82320000</v>
      </c>
      <c r="F269" s="8">
        <v>5113043</v>
      </c>
      <c r="G269" s="80">
        <v>0.25</v>
      </c>
      <c r="H269" s="19"/>
      <c r="I269" s="19">
        <v>0.06</v>
      </c>
      <c r="J269" s="19">
        <v>0.1</v>
      </c>
      <c r="K269" s="87"/>
      <c r="L269" s="87"/>
      <c r="M269" s="55">
        <v>1337948000</v>
      </c>
      <c r="N269" s="55">
        <v>513358000</v>
      </c>
      <c r="O269" s="55">
        <v>1118820000</v>
      </c>
      <c r="P269" s="5">
        <v>162452000</v>
      </c>
      <c r="Q269" s="5">
        <v>20514000</v>
      </c>
      <c r="R269" s="5">
        <f>IF(Tabela3[[#This Row],[Ativo || Passivo]]&gt;0,Tabela3[[#This Row],[Ativo || Passivo]]-Tabela3[[#This Row],[Patrimônio Líquido]],0)</f>
        <v>1175496000</v>
      </c>
      <c r="S269" s="5">
        <f>Tabela3[[#This Row],[Cotação]]*Tabela3[[#This Row],[Total Ações]]</f>
        <v>99959991.5</v>
      </c>
      <c r="T269" s="119">
        <f>IF(Tabela3[[#This Row],[Passivo Circulante]]&gt;0,Tabela3[[#This Row],[Ativo Circulante]]/Tabela3[[#This Row],[Passivo Circulante]],0)</f>
        <v>0.45883877656817001</v>
      </c>
      <c r="U26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69" s="18">
        <f>IF(Tabela3[[#This Row],[Lucro Líquido]]&gt;0,Tabela3[[#This Row],[Lucro Líquido]]/Tabela3[[#This Row],[Patrimônio Líquido]],0)/Tabela3[[#This Row],[Ref]]*4</f>
        <v>0.12627730037180213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69" s="18">
        <f>IF(Tabela3[[#This Row],[Dívida]]&gt;0,Tabela3[[#This Row],[Dívida]]/Tabela3[[#This Row],[Patrimônio Líquido]],0)</f>
        <v>7.2359589294068405</v>
      </c>
      <c r="Y269" s="18">
        <f>SUMPRODUCT(N([Dívida / PL]&gt;0),N(RIGHT([PAPEL],LEN([PAPEL])-(LEN([PAPEL])-1))="3"),[Dívida / PL])/SUMPRODUCT(N([Dívida / PL]&gt;0),N(RIGHT([PAPEL],LEN([PAPEL])-(LEN([PAPEL])-1))="3"))</f>
        <v>2.2435702141443779</v>
      </c>
      <c r="Z269" s="5">
        <f>Tabela3[[#This Row],[Capital Social]]*20%</f>
        <v>16464000</v>
      </c>
      <c r="AA269" s="5">
        <f>IF(([Lucro Líquido]*5%)&gt;[Teto R. Legal],[Teto R. Legal],[Lucro Líquido]*5%)</f>
        <v>1025700</v>
      </c>
      <c r="AB269" s="5">
        <f>IF([Lucro Líquido]&lt;0,0,[Lucro Líquido]-[Reserva Legal])</f>
        <v>19488300</v>
      </c>
      <c r="AC269" s="5">
        <f>Tabela3[[#This Row],[Lucro Distribuir]]*[%Div]</f>
        <v>4872075</v>
      </c>
      <c r="AD269" s="56">
        <f>SUMPRODUCT(N([Nome]=Tabela3[[#This Row],[Nome]]),[Ações])</f>
        <v>11759999</v>
      </c>
      <c r="AE269" s="5">
        <f>[Capital Social]/[Total Ações]</f>
        <v>7.0000005952381459</v>
      </c>
      <c r="AF269" s="77">
        <f>Tabela3[[#This Row],[Lucro Líquido]]/Tabela3[[#This Row],[Total Ações]]</f>
        <v>1.7443879034343455</v>
      </c>
      <c r="AG2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26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26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269" s="5">
        <f>[Div Base]*[Ações]</f>
        <v>2257623.8283375576</v>
      </c>
      <c r="AL269" s="5">
        <f>SUMPRODUCT(N([Nome]=Tabela3[[#This Row],[Nome]]),[Div Base]*[Ações])</f>
        <v>4925724.7528580269</v>
      </c>
      <c r="AM269" s="6">
        <f>[Patrimônio Líquido]/[Total Ações]</f>
        <v>13.813946752886629</v>
      </c>
      <c r="AN269" s="48">
        <f>MAX(Tabela3[[#This Row],[Cotação 1]:[Cotação 5]])</f>
        <v>8.5</v>
      </c>
      <c r="AO269" s="44">
        <f>[Cotação]/[VPA]</f>
        <v>0.61532016534114686</v>
      </c>
      <c r="AP269" s="40">
        <f>IF(Tabela3[[#This Row],[Lucro/Ação]]&gt;0,Tabela3[[#This Row],[Cotação]]/(Tabela3[[#This Row],[Lucro/Ação]]/[Ref]*4),0)</f>
        <v>4.8727694013844207</v>
      </c>
      <c r="AQ269" s="77">
        <f>[Lucro Distribuir]/[Total Ações]</f>
        <v>1.6571685082626282</v>
      </c>
      <c r="AR269" s="77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269" s="15" t="str">
        <f>IF(AND([% A.A.]&gt;=5%,SUMPRODUCT(N([Nome]=Tabela3[[#This Row],[Nome]]),[PL])&gt;0,[Rentabilidade s/ PL]&gt;=[Rentabilidade s/ PL Média]),"Sim","Não")</f>
        <v>Não</v>
      </c>
      <c r="AT269" s="42">
        <f>IF([Cotação]&gt;0,Tabela3[[#This Row],[Lucro]]/Tabela3[[#This Row],[Cotação]],0)</f>
        <v>5.1946131361271623E-2</v>
      </c>
      <c r="AU269" s="19">
        <f>((1+Tabela3[[#This Row],[% Yield]])^(1/(3*Tabela3[[#This Row],[Ref]])))^(12)-1</f>
        <v>5.194613136127102E-2</v>
      </c>
      <c r="AV269" s="14">
        <f>IF([Cotação]&gt;0,($BH$1/Tabela3[[#This Row],[Cotação]]-MOD($BH$1/Tabela3[[#This Row],[Cotação]],100)),)</f>
        <v>0</v>
      </c>
      <c r="AW269" s="17">
        <f>Tabela3[[#This Row],[Ativos]]*[Lucro]</f>
        <v>0</v>
      </c>
      <c r="AX269" s="13">
        <f>SUMPRODUCT(N(Tabela1[Código]=Tabela3[[#This Row],[PAPEL]]),Tabela1[Fechamento])</f>
        <v>0</v>
      </c>
      <c r="AY269" s="55">
        <f>SUMPRODUCT(N(Tabela17[Código]=Tabela3[[#This Row],[PAPEL]]),Tabela17[Fechamento])</f>
        <v>8.5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0</v>
      </c>
      <c r="BB269" s="7">
        <f>SUMPRODUCT(N(Tabela17683[Código]=Tabela3[[#This Row],[PAPEL]]),Tabela17683[Fechamento])</f>
        <v>0</v>
      </c>
    </row>
    <row r="270" spans="1:54" ht="11.25" customHeight="1">
      <c r="A270" s="4" t="s">
        <v>231</v>
      </c>
      <c r="B270" s="57" t="s">
        <v>585</v>
      </c>
      <c r="C270" s="15" t="str">
        <f>LEFT([PAPEL],LEN([PAPEL])-(LEN([PAPEL])-4))</f>
        <v>USIM</v>
      </c>
      <c r="D270" s="15">
        <v>4</v>
      </c>
      <c r="E270" s="6">
        <v>12150000000</v>
      </c>
      <c r="F270" s="8">
        <v>505786684</v>
      </c>
      <c r="G270" s="85">
        <v>0.25</v>
      </c>
      <c r="H270" s="15"/>
      <c r="I270" s="19"/>
      <c r="J270" s="19"/>
      <c r="K270" s="87"/>
      <c r="L270" s="87"/>
      <c r="M270" s="55"/>
      <c r="N270" s="55"/>
      <c r="O270" s="55"/>
      <c r="P270" s="91">
        <v>16711908000</v>
      </c>
      <c r="Q270" s="92">
        <v>-141678000</v>
      </c>
      <c r="R270" s="92">
        <f>IF(Tabela3[[#This Row],[Ativo || Passivo]]&gt;0,Tabela3[[#This Row],[Ativo || Passivo]]-Tabela3[[#This Row],[Patrimônio Líquido]],0)</f>
        <v>0</v>
      </c>
      <c r="S270" s="92">
        <f>Tabela3[[#This Row],[Cotação]]*Tabela3[[#This Row],[Total Ações]]</f>
        <v>8631796736.8999996</v>
      </c>
      <c r="T270" s="40">
        <f>IF(Tabela3[[#This Row],[Passivo Circulante]]&gt;0,Tabela3[[#This Row],[Ativo Circulante]]/Tabela3[[#This Row],[Passivo Circulante]],0)</f>
        <v>0</v>
      </c>
      <c r="U27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0" s="19">
        <f>IF(Tabela3[[#This Row],[Lucro Líquido]]&gt;0,Tabela3[[#This Row],[Lucro Líquido]]/Tabela3[[#This Row],[Patrimônio Líquido]],0)/Tabela3[[#This Row],[Ref]]*4</f>
        <v>0</v>
      </c>
      <c r="W2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0" s="19">
        <f>IF(Tabela3[[#This Row],[Dívida]]&gt;0,Tabela3[[#This Row],[Dívida]]/Tabela3[[#This Row],[Patrimônio Líquido]],0)</f>
        <v>0</v>
      </c>
      <c r="Y270" s="19">
        <f>SUMPRODUCT(N([Dívida / PL]&gt;0),N(RIGHT([PAPEL],LEN([PAPEL])-(LEN([PAPEL])-1))="3"),[Dívida / PL])/SUMPRODUCT(N([Dívida / PL]&gt;0),N(RIGHT([PAPEL],LEN([PAPEL])-(LEN([PAPEL])-1))="3"))</f>
        <v>2.2435702141443779</v>
      </c>
      <c r="Z270" s="13">
        <f>Tabela3[[#This Row],[Capital Social]]*20%</f>
        <v>2430000000</v>
      </c>
      <c r="AA270" s="13">
        <f>IF(([Lucro Líquido]*5%)&gt;[Teto R. Legal],[Teto R. Legal],[Lucro Líquido]*5%)</f>
        <v>-7083900</v>
      </c>
      <c r="AB270" s="13">
        <f>IF([Lucro Líquido]&lt;0,0,[Lucro Líquido]-[Reserva Legal])</f>
        <v>0</v>
      </c>
      <c r="AC270" s="13">
        <f>Tabela3[[#This Row],[Lucro Distribuir]]*[%Div]</f>
        <v>0</v>
      </c>
      <c r="AD270" s="56">
        <f>SUMPRODUCT(N([Nome]=Tabela3[[#This Row],[Nome]]),[Ações])</f>
        <v>1014312190</v>
      </c>
      <c r="AE270" s="6">
        <f>[Capital Social]/[Total Ações]</f>
        <v>11.978560565263443</v>
      </c>
      <c r="AF270" s="77">
        <f>Tabela3[[#This Row],[Lucro Líquido]]/Tabela3[[#This Row],[Total Ações]]</f>
        <v>-0.13967888919879787</v>
      </c>
      <c r="AG2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0" s="13">
        <f>[Div Base]*[Ações]</f>
        <v>0</v>
      </c>
      <c r="AL270" s="13">
        <f>SUMPRODUCT(N([Nome]=Tabela3[[#This Row],[Nome]]),[Div Base]*[Ações])</f>
        <v>0</v>
      </c>
      <c r="AM270" s="6">
        <f>[Patrimônio Líquido]/[Total Ações]</f>
        <v>16.476098941490587</v>
      </c>
      <c r="AN270" s="48">
        <f>MAX(Tabela3[[#This Row],[Cotação 1]:[Cotação 5]])</f>
        <v>8.51</v>
      </c>
      <c r="AO270" s="44">
        <f>[Cotação]/[VPA]</f>
        <v>0.51650575965951939</v>
      </c>
      <c r="AP270" s="40">
        <f>IF(Tabela3[[#This Row],[Lucro/Ação]]&gt;0,Tabela3[[#This Row],[Cotação]]/(Tabela3[[#This Row],[Lucro/Ação]]/[Ref]*4),0)</f>
        <v>0</v>
      </c>
      <c r="AQ270" s="77">
        <f>[Lucro Distribuir]/[Total Ações]</f>
        <v>0</v>
      </c>
      <c r="AR27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0" s="14" t="str">
        <f>IF(AND([% A.A.]&gt;=5%,SUMPRODUCT(N([Nome]=Tabela3[[#This Row],[Nome]]),[PL])&gt;0,[Rentabilidade s/ PL]&gt;=[Rentabilidade s/ PL Média]),"Sim","Não")</f>
        <v>Não</v>
      </c>
      <c r="AT270" s="42">
        <f>IF([Cotação]&gt;0,Tabela3[[#This Row],[Lucro]]/Tabela3[[#This Row],[Cotação]],0)</f>
        <v>0</v>
      </c>
      <c r="AU270" s="42">
        <f>((1+Tabela3[[#This Row],[% Yield]])^(1/(3*Tabela3[[#This Row],[Ref]])))^(12)-1</f>
        <v>0</v>
      </c>
      <c r="AV270" s="14">
        <f>IF([Cotação]&gt;0,($BH$1/Tabela3[[#This Row],[Cotação]]-MOD($BH$1/Tabela3[[#This Row],[Cotação]],100)),)</f>
        <v>0</v>
      </c>
      <c r="AW270" s="17">
        <f>Tabela3[[#This Row],[Ativos]]*[Lucro]</f>
        <v>0</v>
      </c>
      <c r="AX270" s="17">
        <f>SUMPRODUCT(N(Tabela1[Código]=Tabela3[[#This Row],[PAPEL]]),Tabela1[Fechamento])</f>
        <v>0</v>
      </c>
      <c r="AY270" s="17">
        <f>SUMPRODUCT(N(Tabela17[Código]=Tabela3[[#This Row],[PAPEL]]),Tabela17[Fechamento])</f>
        <v>0</v>
      </c>
      <c r="AZ270" s="17">
        <f>SUMPRODUCT(N(Tabela176[Código]=Tabela3[[#This Row],[PAPEL]]),Tabela176[Fechamento])</f>
        <v>8.51</v>
      </c>
      <c r="BA270" s="1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t="11.25" customHeight="1">
      <c r="A271" s="4" t="s">
        <v>14</v>
      </c>
      <c r="B271" s="57" t="s">
        <v>15</v>
      </c>
      <c r="C271" s="14" t="str">
        <f>LEFT([PAPEL],LEN([PAPEL])-(LEN([PAPEL])-4))</f>
        <v>DAYC</v>
      </c>
      <c r="D271" s="15">
        <v>4</v>
      </c>
      <c r="E271" s="6">
        <v>1868862897.47</v>
      </c>
      <c r="F271" s="8">
        <v>91370145</v>
      </c>
      <c r="G271" s="80">
        <v>0.25</v>
      </c>
      <c r="H271" s="15"/>
      <c r="I271" s="19"/>
      <c r="J271" s="19"/>
      <c r="K271" s="87"/>
      <c r="L271" s="87"/>
      <c r="M271" s="55">
        <v>15000953000</v>
      </c>
      <c r="N271" s="55">
        <v>8886317000</v>
      </c>
      <c r="O271" s="55">
        <v>6507424000</v>
      </c>
      <c r="P271" s="6">
        <v>2440276000</v>
      </c>
      <c r="Q271" s="6">
        <v>233804000</v>
      </c>
      <c r="R271" s="6">
        <f>IF(Tabela3[[#This Row],[Ativo || Passivo]]&gt;0,Tabela3[[#This Row],[Ativo || Passivo]]-Tabela3[[#This Row],[Patrimônio Líquido]],0)</f>
        <v>12560677000</v>
      </c>
      <c r="S271" s="6">
        <f>Tabela3[[#This Row],[Cotação]]*Tabela3[[#This Row],[Total Ações]]</f>
        <v>2154129061.98</v>
      </c>
      <c r="T271" s="121">
        <f>IF(Tabela3[[#This Row],[Passivo Circulante]]&gt;0,Tabela3[[#This Row],[Ativo Circulante]]/Tabela3[[#This Row],[Passivo Circulante]],0)</f>
        <v>1.365566005841943</v>
      </c>
      <c r="U27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1" s="19">
        <f>IF(Tabela3[[#This Row],[Lucro Líquido]]&gt;0,Tabela3[[#This Row],[Lucro Líquido]]/Tabela3[[#This Row],[Patrimônio Líquido]],0)/Tabela3[[#This Row],[Ref]]*4</f>
        <v>9.5810473897214907E-2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1" s="19">
        <f>IF(Tabela3[[#This Row],[Dívida]]&gt;0,Tabela3[[#This Row],[Dívida]]/Tabela3[[#This Row],[Patrimônio Líquido]],0)</f>
        <v>5.1472362142642885</v>
      </c>
      <c r="Y271" s="19">
        <f>SUMPRODUCT(N([Dívida / PL]&gt;0),N(RIGHT([PAPEL],LEN([PAPEL])-(LEN([PAPEL])-1))="3"),[Dívida / PL])/SUMPRODUCT(N([Dívida / PL]&gt;0),N(RIGHT([PAPEL],LEN([PAPEL])-(LEN([PAPEL])-1))="3"))</f>
        <v>2.2435702141443779</v>
      </c>
      <c r="Z271" s="6">
        <f>Tabela3[[#This Row],[Capital Social]]*20%</f>
        <v>373772579.49400002</v>
      </c>
      <c r="AA271" s="6">
        <f>IF(([Lucro Líquido]*5%)&gt;[Teto R. Legal],[Teto R. Legal],[Lucro Líquido]*5%)</f>
        <v>11690200</v>
      </c>
      <c r="AB271" s="6">
        <f>IF([Lucro Líquido]&lt;0,0,[Lucro Líquido]-[Reserva Legal])</f>
        <v>222113800</v>
      </c>
      <c r="AC271" s="6">
        <f>Tabela3[[#This Row],[Lucro Distribuir]]*[%Div]</f>
        <v>55528450</v>
      </c>
      <c r="AD271" s="21">
        <f>SUMPRODUCT(N([Nome]=Tabela3[[#This Row],[Nome]]),[Ações])</f>
        <v>252239937</v>
      </c>
      <c r="AE271" s="6">
        <f>[Capital Social]/[Total Ações]</f>
        <v>7.4090682058408541</v>
      </c>
      <c r="AF271" s="77">
        <f>Tabela3[[#This Row],[Lucro Líquido]]/Tabela3[[#This Row],[Total Ações]]</f>
        <v>0.92691111003568005</v>
      </c>
      <c r="AG2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2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271" s="6">
        <f>[Div Base]*[Ações]</f>
        <v>20114350.599941872</v>
      </c>
      <c r="AL271" s="6">
        <f>SUMPRODUCT(N([Nome]=Tabela3[[#This Row],[Nome]]),[Div Base]*[Ações])</f>
        <v>55528450</v>
      </c>
      <c r="AM271" s="6">
        <f>[Patrimônio Líquido]/[Total Ações]</f>
        <v>9.6744236024765584</v>
      </c>
      <c r="AN271" s="48">
        <f>MAX(Tabela3[[#This Row],[Cotação 1]:[Cotação 5]])</f>
        <v>8.5399999999999991</v>
      </c>
      <c r="AO271" s="44">
        <f>[Cotação]/[VPA]</f>
        <v>0.88273992859004458</v>
      </c>
      <c r="AP271" s="40">
        <f>IF(Tabela3[[#This Row],[Lucro/Ação]]&gt;0,Tabela3[[#This Row],[Cotação]]/(Tabela3[[#This Row],[Lucro/Ação]]/[Ref]*4),0)</f>
        <v>9.2133969563394977</v>
      </c>
      <c r="AQ271" s="77">
        <f>[Lucro Distribuir]/[Total Ações]</f>
        <v>0.88056555453389607</v>
      </c>
      <c r="AR271" s="77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271" s="15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2.5777680167854103E-2</v>
      </c>
      <c r="AU271" s="19">
        <f>((1+Tabela3[[#This Row],[% Yield]])^(1/(3*Tabela3[[#This Row],[Ref]])))^(12)-1</f>
        <v>2.577768016785531E-2</v>
      </c>
      <c r="AV271" s="14">
        <f>IF([Cotação]&gt;0,($BH$1/Tabela3[[#This Row],[Cotação]]-MOD($BH$1/Tabela3[[#This Row],[Cotação]],100)),)</f>
        <v>0</v>
      </c>
      <c r="AW271" s="17">
        <f>Tabela3[[#This Row],[Ativos]]*[Lucro]</f>
        <v>0</v>
      </c>
      <c r="AX271" s="5">
        <f>SUMPRODUCT(N(Tabela1[Código]=Tabela3[[#This Row],[PAPEL]]),Tabela1[Fechamento])</f>
        <v>8.5399999999999991</v>
      </c>
      <c r="AY271" s="5">
        <f>SUMPRODUCT(N(Tabela17[Código]=Tabela3[[#This Row],[PAPEL]]),Tabela17[Fechamento])</f>
        <v>0</v>
      </c>
      <c r="AZ271" s="7">
        <f>SUMPRODUCT(N(Tabela176[Código]=Tabela3[[#This Row],[PAPEL]]),Tabela176[Fechamento])</f>
        <v>0</v>
      </c>
      <c r="BA271" s="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customHeight="1">
      <c r="A272" s="3" t="s">
        <v>335</v>
      </c>
      <c r="B272" s="57" t="s">
        <v>704</v>
      </c>
      <c r="C272" s="15" t="str">
        <f>LEFT([PAPEL],LEN([PAPEL])-(LEN([PAPEL])-4))</f>
        <v>AGRO</v>
      </c>
      <c r="D272" s="15">
        <v>4</v>
      </c>
      <c r="E272" s="6">
        <v>584224000</v>
      </c>
      <c r="F272" s="8">
        <v>58422400</v>
      </c>
      <c r="G272" s="80">
        <v>0.25</v>
      </c>
      <c r="H272" s="15"/>
      <c r="I272" s="19"/>
      <c r="J272" s="19"/>
      <c r="K272" s="87"/>
      <c r="L272" s="87"/>
      <c r="M272" s="55"/>
      <c r="N272" s="55"/>
      <c r="O272" s="55"/>
      <c r="P272" s="6">
        <v>584316000</v>
      </c>
      <c r="Q272" s="92">
        <v>-4448000</v>
      </c>
      <c r="R272" s="92">
        <f>IF(Tabela3[[#This Row],[Ativo || Passivo]]&gt;0,Tabela3[[#This Row],[Ativo || Passivo]]-Tabela3[[#This Row],[Patrimônio Líquido]],0)</f>
        <v>0</v>
      </c>
      <c r="S272" s="92">
        <f>Tabela3[[#This Row],[Cotação]]*Tabela3[[#This Row],[Total Ações]]</f>
        <v>501264192</v>
      </c>
      <c r="T272" s="40">
        <f>IF(Tabela3[[#This Row],[Passivo Circulante]]&gt;0,Tabela3[[#This Row],[Ativo Circulante]]/Tabela3[[#This Row],[Passivo Circulante]],0)</f>
        <v>0</v>
      </c>
      <c r="U2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2" s="19">
        <f>IF(Tabela3[[#This Row],[Lucro Líquido]]&gt;0,Tabela3[[#This Row],[Lucro Líquido]]/Tabela3[[#This Row],[Patrimônio Líquido]],0)/Tabela3[[#This Row],[Ref]]*4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2" s="19">
        <f>IF(Tabela3[[#This Row],[Dívida]]&gt;0,Tabela3[[#This Row],[Dívida]]/Tabela3[[#This Row],[Patrimônio Líquido]],0)</f>
        <v>0</v>
      </c>
      <c r="Y272" s="19">
        <f>SUMPRODUCT(N([Dívida / PL]&gt;0),N(RIGHT([PAPEL],LEN([PAPEL])-(LEN([PAPEL])-1))="3"),[Dívida / PL])/SUMPRODUCT(N([Dívida / PL]&gt;0),N(RIGHT([PAPEL],LEN([PAPEL])-(LEN([PAPEL])-1))="3"))</f>
        <v>2.2435702141443779</v>
      </c>
      <c r="Z272" s="13">
        <f>Tabela3[[#This Row],[Capital Social]]*20%</f>
        <v>116844800</v>
      </c>
      <c r="AA272" s="13">
        <f>IF(([Lucro Líquido]*5%)&gt;[Teto R. Legal],[Teto R. Legal],[Lucro Líquido]*5%)</f>
        <v>-222400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21">
        <f>SUMPRODUCT(N([Nome]=Tabela3[[#This Row],[Nome]]),[Ações])</f>
        <v>58422400</v>
      </c>
      <c r="AE272" s="6">
        <f>[Capital Social]/[Total Ações]</f>
        <v>10</v>
      </c>
      <c r="AF272" s="77">
        <f>Tabela3[[#This Row],[Lucro Líquido]]/Tabela3[[#This Row],[Total Ações]]</f>
        <v>-7.6135181026455612E-2</v>
      </c>
      <c r="AG2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10.001574738456483</v>
      </c>
      <c r="AN272" s="48">
        <f>MAX(Tabela3[[#This Row],[Cotação 1]:[Cotação 5]])</f>
        <v>8.58</v>
      </c>
      <c r="AO272" s="44">
        <f>[Cotação]/[VPA]</f>
        <v>0.85786490871377807</v>
      </c>
      <c r="AP272" s="40">
        <f>IF(Tabela3[[#This Row],[Lucro/Ação]]&gt;0,Tabela3[[#This Row],[Cotação]]/(Tabela3[[#This Row],[Lucro/Ação]]/[Ref]*4),0)</f>
        <v>0</v>
      </c>
      <c r="AQ272" s="77">
        <f>[Lucro Distribuir]/[Total Ações]</f>
        <v>0</v>
      </c>
      <c r="AR27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8.58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customHeight="1">
      <c r="A273" s="4" t="s">
        <v>330</v>
      </c>
      <c r="B273" s="57" t="s">
        <v>329</v>
      </c>
      <c r="C273" s="81" t="str">
        <f>LEFT([PAPEL],LEN([PAPEL])-(LEN([PAPEL])-4))</f>
        <v>ETER</v>
      </c>
      <c r="D273" s="15">
        <v>4</v>
      </c>
      <c r="E273" s="6">
        <v>334251231.39999998</v>
      </c>
      <c r="F273" s="8">
        <v>89500000</v>
      </c>
      <c r="G273" s="80">
        <v>0.25</v>
      </c>
      <c r="H273" s="19"/>
      <c r="I273" s="19"/>
      <c r="J273" s="19"/>
      <c r="K273" s="87"/>
      <c r="L273" s="87"/>
      <c r="M273" s="55">
        <v>694937000</v>
      </c>
      <c r="N273" s="55">
        <v>227911000</v>
      </c>
      <c r="O273" s="55">
        <v>88826000</v>
      </c>
      <c r="P273" s="6">
        <v>506113000</v>
      </c>
      <c r="Q273" s="6">
        <v>102254000</v>
      </c>
      <c r="R273" s="6">
        <f>IF(Tabela3[[#This Row],[Ativo || Passivo]]&gt;0,Tabela3[[#This Row],[Ativo || Passivo]]-Tabela3[[#This Row],[Patrimônio Líquido]],0)</f>
        <v>188824000</v>
      </c>
      <c r="S273" s="6">
        <f>Tabela3[[#This Row],[Cotação]]*Tabela3[[#This Row],[Total Ações]]</f>
        <v>767910000</v>
      </c>
      <c r="T273" s="121">
        <f>IF(Tabela3[[#This Row],[Passivo Circulante]]&gt;0,Tabela3[[#This Row],[Ativo Circulante]]/Tabela3[[#This Row],[Passivo Circulante]],0)</f>
        <v>2.5658140634498907</v>
      </c>
      <c r="U27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3" s="19">
        <f>IF(Tabela3[[#This Row],[Lucro Líquido]]&gt;0,Tabela3[[#This Row],[Lucro Líquido]]/Tabela3[[#This Row],[Patrimônio Líquido]],0)/Tabela3[[#This Row],[Ref]]*4</f>
        <v>0.20203788482018839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3" s="19">
        <f>IF(Tabela3[[#This Row],[Dívida]]&gt;0,Tabela3[[#This Row],[Dívida]]/Tabela3[[#This Row],[Patrimônio Líquido]],0)</f>
        <v>0.37308664270627312</v>
      </c>
      <c r="Y273" s="19">
        <f>SUMPRODUCT(N([Dívida / PL]&gt;0),N(RIGHT([PAPEL],LEN([PAPEL])-(LEN([PAPEL])-1))="3"),[Dívida / PL])/SUMPRODUCT(N([Dívida / PL]&gt;0),N(RIGHT([PAPEL],LEN([PAPEL])-(LEN([PAPEL])-1))="3"))</f>
        <v>2.2435702141443779</v>
      </c>
      <c r="Z273" s="6">
        <f>Tabela3[[#This Row],[Capital Social]]*20%</f>
        <v>66850246.280000001</v>
      </c>
      <c r="AA273" s="6">
        <f>IF(([Lucro Líquido]*5%)&gt;[Teto R. Legal],[Teto R. Legal],[Lucro Líquido]*5%)</f>
        <v>5112700</v>
      </c>
      <c r="AB273" s="6">
        <f>IF([Lucro Líquido]&lt;0,0,[Lucro Líquido]-[Reserva Legal])</f>
        <v>97141300</v>
      </c>
      <c r="AC273" s="6">
        <f>Tabela3[[#This Row],[Lucro Distribuir]]*[%Div]</f>
        <v>24285325</v>
      </c>
      <c r="AD273" s="21">
        <f>SUMPRODUCT(N([Nome]=Tabela3[[#This Row],[Nome]]),[Ações])</f>
        <v>89500000</v>
      </c>
      <c r="AE273" s="6">
        <f>[Capital Social]/[Total Ações]</f>
        <v>3.7346506301675975</v>
      </c>
      <c r="AF273" s="77">
        <f>Tabela3[[#This Row],[Lucro Líquido]]/Tabela3[[#This Row],[Total Ações]]</f>
        <v>1.1425027932960894</v>
      </c>
      <c r="AG2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0.27134441340782123</v>
      </c>
      <c r="AH2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0.27134441340782123</v>
      </c>
      <c r="AK273" s="6">
        <f>[Div Base]*[Ações]</f>
        <v>24285325</v>
      </c>
      <c r="AL273" s="6">
        <f>SUMPRODUCT(N([Nome]=Tabela3[[#This Row],[Nome]]),[Div Base]*[Ações])</f>
        <v>24285325</v>
      </c>
      <c r="AM273" s="6">
        <f>[Patrimônio Líquido]/[Total Ações]</f>
        <v>5.654893854748603</v>
      </c>
      <c r="AN273" s="48">
        <f>MAX(Tabela3[[#This Row],[Cotação 1]:[Cotação 5]])</f>
        <v>8.58</v>
      </c>
      <c r="AO273" s="44">
        <f>[Cotação]/[VPA]</f>
        <v>1.5172698587074429</v>
      </c>
      <c r="AP273" s="40">
        <f>IF(Tabela3[[#This Row],[Lucro/Ação]]&gt;0,Tabela3[[#This Row],[Cotação]]/(Tabela3[[#This Row],[Lucro/Ação]]/[Ref]*4),0)</f>
        <v>7.5098284663680639</v>
      </c>
      <c r="AQ273" s="77">
        <f>[Lucro Distribuir]/[Total Ações]</f>
        <v>1.0853776536312849</v>
      </c>
      <c r="AR273" s="77">
        <f>IF([Unit ON]&gt;0,SUMPRODUCT(N([Nome]=Tabela3[[#This Row],[Nome]]),N(RIGHT([PAPEL],1)="3"),[Div Base])*[Unit ON]+SUMPRODUCT(N([Nome]=Tabela3[[#This Row],[Nome]]),N(RIGHT([PAPEL],1)="4"),[Div Base])*[Unit PN],[Div Base])</f>
        <v>0.27134441340782123</v>
      </c>
      <c r="AS273" s="15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3.1625223007904574E-2</v>
      </c>
      <c r="AU273" s="19">
        <f>((1+Tabela3[[#This Row],[% Yield]])^(1/(3*Tabela3[[#This Row],[Ref]])))^(12)-1</f>
        <v>3.1625223007904157E-2</v>
      </c>
      <c r="AV273" s="14">
        <f>IF([Cotação]&gt;0,($BH$1/Tabela3[[#This Row],[Cotação]]-MOD($BH$1/Tabela3[[#This Row],[Cotação]],100)),)</f>
        <v>0</v>
      </c>
      <c r="AW273" s="17">
        <f>Tabela3[[#This Row],[Ativos]]*[Lucro]</f>
        <v>0</v>
      </c>
      <c r="AX273" s="13">
        <f>SUMPRODUCT(N(Tabela1[Código]=Tabela3[[#This Row],[PAPEL]]),Tabela1[Fechamento])</f>
        <v>0</v>
      </c>
      <c r="AY273" s="55">
        <f>SUMPRODUCT(N(Tabela17[Código]=Tabela3[[#This Row],[PAPEL]]),Tabela17[Fechamento])</f>
        <v>8.58</v>
      </c>
      <c r="AZ273" s="7">
        <f>SUMPRODUCT(N(Tabela176[Código]=Tabela3[[#This Row],[PAPEL]]),Tabela176[Fechamento])</f>
        <v>0</v>
      </c>
      <c r="BA273" s="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customHeight="1">
      <c r="A274" s="4" t="s">
        <v>719</v>
      </c>
      <c r="B274" s="57" t="s">
        <v>725</v>
      </c>
      <c r="C274" s="15" t="str">
        <f>LEFT([PAPEL],LEN([PAPEL])-(LEN([PAPEL])-4))</f>
        <v>ODPV</v>
      </c>
      <c r="D274" s="15">
        <v>4</v>
      </c>
      <c r="E274" s="6">
        <v>506557472.69999999</v>
      </c>
      <c r="F274" s="8">
        <v>531294792</v>
      </c>
      <c r="G274" s="85">
        <v>0.5</v>
      </c>
      <c r="H274" s="15"/>
      <c r="I274" s="19"/>
      <c r="J274" s="19"/>
      <c r="K274" s="87"/>
      <c r="L274" s="87"/>
      <c r="M274" s="55">
        <v>1057787000</v>
      </c>
      <c r="N274" s="55">
        <v>337959000</v>
      </c>
      <c r="O274" s="55">
        <v>208871000</v>
      </c>
      <c r="P274" s="91">
        <v>695695000</v>
      </c>
      <c r="Q274" s="92">
        <v>188091000</v>
      </c>
      <c r="R274" s="92">
        <f>IF(Tabela3[[#This Row],[Ativo || Passivo]]&gt;0,Tabela3[[#This Row],[Ativo || Passivo]]-Tabela3[[#This Row],[Patrimônio Líquido]],0)</f>
        <v>362092000</v>
      </c>
      <c r="S274" s="92">
        <f>Tabela3[[#This Row],[Cotação]]*Tabela3[[#This Row],[Total Ações]]</f>
        <v>4654142377.9200001</v>
      </c>
      <c r="T274" s="40">
        <f>IF(Tabela3[[#This Row],[Passivo Circulante]]&gt;0,Tabela3[[#This Row],[Ativo Circulante]]/Tabela3[[#This Row],[Passivo Circulante]],0)</f>
        <v>1.6180273948992441</v>
      </c>
      <c r="U27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4" s="19">
        <f>IF(Tabela3[[#This Row],[Lucro Líquido]]&gt;0,Tabela3[[#This Row],[Lucro Líquido]]/Tabela3[[#This Row],[Patrimônio Líquido]],0)/Tabela3[[#This Row],[Ref]]*4</f>
        <v>0.27036416820589482</v>
      </c>
      <c r="W27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4" s="19">
        <f>IF(Tabela3[[#This Row],[Dívida]]&gt;0,Tabela3[[#This Row],[Dívida]]/Tabela3[[#This Row],[Patrimônio Líquido]],0)</f>
        <v>0.52047520824499238</v>
      </c>
      <c r="Y274" s="19">
        <f>SUMPRODUCT(N([Dívida / PL]&gt;0),N(RIGHT([PAPEL],LEN([PAPEL])-(LEN([PAPEL])-1))="3"),[Dívida / PL])/SUMPRODUCT(N([Dívida / PL]&gt;0),N(RIGHT([PAPEL],LEN([PAPEL])-(LEN([PAPEL])-1))="3"))</f>
        <v>2.2435702141443779</v>
      </c>
      <c r="Z274" s="13">
        <f>Tabela3[[#This Row],[Capital Social]]*20%</f>
        <v>101311494.54000001</v>
      </c>
      <c r="AA274" s="13">
        <f>IF(([Lucro Líquido]*5%)&gt;[Teto R. Legal],[Teto R. Legal],[Lucro Líquido]*5%)</f>
        <v>9404550</v>
      </c>
      <c r="AB274" s="13">
        <f>IF([Lucro Líquido]&lt;0,0,[Lucro Líquido]-[Reserva Legal])</f>
        <v>178686450</v>
      </c>
      <c r="AC274" s="13">
        <f>Tabela3[[#This Row],[Lucro Distribuir]]*[%Div]</f>
        <v>89343225</v>
      </c>
      <c r="AD274" s="56">
        <f>SUMPRODUCT(N([Nome]=Tabela3[[#This Row],[Nome]]),[Ações])</f>
        <v>531294792</v>
      </c>
      <c r="AE274" s="6">
        <f>[Capital Social]/[Total Ações]</f>
        <v>0.95343955997219709</v>
      </c>
      <c r="AF274" s="77">
        <f>Tabela3[[#This Row],[Lucro Líquido]]/Tabela3[[#This Row],[Total Ações]]</f>
        <v>0.35402379777138865</v>
      </c>
      <c r="AG2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2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274" s="13">
        <f>[Div Base]*[Ações]</f>
        <v>89343225</v>
      </c>
      <c r="AL274" s="13">
        <f>SUMPRODUCT(N([Nome]=Tabela3[[#This Row],[Nome]]),[Div Base]*[Ações])</f>
        <v>89343225</v>
      </c>
      <c r="AM274" s="6">
        <f>[Patrimônio Líquido]/[Total Ações]</f>
        <v>1.3094331254050764</v>
      </c>
      <c r="AN274" s="48">
        <f>MAX(Tabela3[[#This Row],[Cotação 1]:[Cotação 5]])</f>
        <v>8.76</v>
      </c>
      <c r="AO274" s="44">
        <f>[Cotação]/[VPA]</f>
        <v>6.6899178201941947</v>
      </c>
      <c r="AP274" s="40">
        <f>IF(Tabela3[[#This Row],[Lucro/Ação]]&gt;0,Tabela3[[#This Row],[Cotação]]/(Tabela3[[#This Row],[Lucro/Ação]]/[Ref]*4),0)</f>
        <v>24.744099281305324</v>
      </c>
      <c r="AQ274" s="77">
        <f>[Lucro Distribuir]/[Total Ações]</f>
        <v>0.3363226078828192</v>
      </c>
      <c r="AR274" s="77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274" s="14" t="str">
        <f>IF(AND([% A.A.]&gt;=5%,SUMPRODUCT(N([Nome]=Tabela3[[#This Row],[Nome]]),[PL])&gt;0,[Rentabilidade s/ PL]&gt;=[Rentabilidade s/ PL Média]),"Sim","Não")</f>
        <v>Não</v>
      </c>
      <c r="AT274" s="42">
        <f>IF([Cotação]&gt;0,Tabela3[[#This Row],[Lucro]]/Tabela3[[#This Row],[Cotação]],0)</f>
        <v>1.9196495883722558E-2</v>
      </c>
      <c r="AU274" s="42">
        <f>((1+Tabela3[[#This Row],[% Yield]])^(1/(3*Tabela3[[#This Row],[Ref]])))^(12)-1</f>
        <v>1.9196495883721854E-2</v>
      </c>
      <c r="AV274" s="14">
        <f>IF([Cotação]&gt;0,($BH$1/Tabela3[[#This Row],[Cotação]]-MOD($BH$1/Tabela3[[#This Row],[Cotação]],100)),)</f>
        <v>0</v>
      </c>
      <c r="AW274" s="17">
        <f>Tabela3[[#This Row],[Ativos]]*[Lucro]</f>
        <v>0</v>
      </c>
      <c r="AX274" s="17">
        <f>SUMPRODUCT(N(Tabela1[Código]=Tabela3[[#This Row],[PAPEL]]),Tabela1[Fechamento])</f>
        <v>0</v>
      </c>
      <c r="AY274" s="17">
        <f>SUMPRODUCT(N(Tabela17[Código]=Tabela3[[#This Row],[PAPEL]]),Tabela17[Fechamento])</f>
        <v>0</v>
      </c>
      <c r="AZ274" s="17">
        <f>SUMPRODUCT(N(Tabela176[Código]=Tabela3[[#This Row],[PAPEL]]),Tabela176[Fechamento])</f>
        <v>8.76</v>
      </c>
      <c r="BA274" s="17">
        <f>SUMPRODUCT(N(Tabela1768[Código]=Tabela3[[#This Row],[PAPEL]]),Tabela1768[Fechamento])</f>
        <v>0</v>
      </c>
      <c r="BB274" s="7">
        <f>SUMPRODUCT(N(Tabela17683[Código]=Tabela3[[#This Row],[PAPEL]]),Tabela17683[Fechamento])</f>
        <v>0</v>
      </c>
    </row>
    <row r="275" spans="1:54" ht="11.25" customHeight="1">
      <c r="A275" s="4" t="s">
        <v>14</v>
      </c>
      <c r="B275" s="57" t="s">
        <v>223</v>
      </c>
      <c r="C275" s="15" t="str">
        <f>LEFT([PAPEL],LEN([PAPEL])-(LEN([PAPEL])-4))</f>
        <v>ITSA</v>
      </c>
      <c r="D275" s="16">
        <v>4</v>
      </c>
      <c r="E275" s="5">
        <v>22525000010</v>
      </c>
      <c r="F275" s="56">
        <f>2052918509+53308194+32340304</f>
        <v>2138567007</v>
      </c>
      <c r="G275" s="80">
        <v>0.25</v>
      </c>
      <c r="H275" s="16"/>
      <c r="J275" s="18"/>
      <c r="K275" s="86"/>
      <c r="L275" s="86"/>
      <c r="M275" s="54">
        <v>34432000000</v>
      </c>
      <c r="N275" s="54">
        <v>1091000000</v>
      </c>
      <c r="O275" s="54">
        <v>1012000000</v>
      </c>
      <c r="P275" s="6">
        <v>33131000000</v>
      </c>
      <c r="Q275" s="5">
        <v>5698000000</v>
      </c>
      <c r="R275" s="5">
        <f>IF(Tabela3[[#This Row],[Ativo || Passivo]]&gt;0,Tabela3[[#This Row],[Ativo || Passivo]]-Tabela3[[#This Row],[Patrimônio Líquido]],0)</f>
        <v>1301000000</v>
      </c>
      <c r="S275" s="5">
        <f>Tabela3[[#This Row],[Cotação]]*Tabela3[[#This Row],[Total Ações]]</f>
        <v>49047711914.629997</v>
      </c>
      <c r="T275" s="119">
        <f>IF(Tabela3[[#This Row],[Passivo Circulante]]&gt;0,Tabela3[[#This Row],[Ativo Circulante]]/Tabela3[[#This Row],[Passivo Circulante]],0)</f>
        <v>1.0780632411067195</v>
      </c>
      <c r="U27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5" s="18">
        <f>IF(Tabela3[[#This Row],[Lucro Líquido]]&gt;0,Tabela3[[#This Row],[Lucro Líquido]]/Tabela3[[#This Row],[Patrimônio Líquido]],0)/Tabela3[[#This Row],[Ref]]*4</f>
        <v>0.17198394253116417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5" s="18">
        <f>IF(Tabela3[[#This Row],[Dívida]]&gt;0,Tabela3[[#This Row],[Dívida]]/Tabela3[[#This Row],[Patrimônio Líquido]],0)</f>
        <v>3.9268358938758262E-2</v>
      </c>
      <c r="Y275" s="18">
        <f>SUMPRODUCT(N([Dívida / PL]&gt;0),N(RIGHT([PAPEL],LEN([PAPEL])-(LEN([PAPEL])-1))="3"),[Dívida / PL])/SUMPRODUCT(N([Dívida / PL]&gt;0),N(RIGHT([PAPEL],LEN([PAPEL])-(LEN([PAPEL])-1))="3"))</f>
        <v>2.2435702141443779</v>
      </c>
      <c r="Z275" s="5">
        <f>Tabela3[[#This Row],[Capital Social]]*20%</f>
        <v>4505000002</v>
      </c>
      <c r="AA275" s="5">
        <f>IF(([Lucro Líquido]*5%)&gt;[Teto R. Legal],[Teto R. Legal],[Lucro Líquido]*5%)</f>
        <v>284900000</v>
      </c>
      <c r="AB275" s="5">
        <f>IF([Lucro Líquido]&lt;0,0,[Lucro Líquido]-[Reserva Legal])</f>
        <v>5413100000</v>
      </c>
      <c r="AC275" s="5">
        <f>Tabela3[[#This Row],[Lucro Distribuir]]*[%Div]</f>
        <v>1353275000</v>
      </c>
      <c r="AD275" s="21">
        <f>SUMPRODUCT(N([Nome]=Tabela3[[#This Row],[Nome]]),[Ações])</f>
        <v>5554667261</v>
      </c>
      <c r="AE275" s="5">
        <f>[Capital Social]/[Total Ações]</f>
        <v>4.0551483917229003</v>
      </c>
      <c r="AF275" s="76">
        <f>Tabela3[[#This Row],[Lucro Líquido]]/Tabela3[[#This Row],[Total Ações]]</f>
        <v>1.0258040189025104</v>
      </c>
      <c r="AG27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7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7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75" s="5">
        <f>[Div Base]*[Ações]</f>
        <v>521015774.73731685</v>
      </c>
      <c r="AL275" s="5">
        <f>SUMPRODUCT(N([Nome]=Tabela3[[#This Row],[Nome]]),[Div Base]*[Ações])</f>
        <v>1353275000</v>
      </c>
      <c r="AM275" s="5">
        <f>[Patrimônio Líquido]/[Total Ações]</f>
        <v>5.9645336873041552</v>
      </c>
      <c r="AN275" s="52">
        <f>MAX(Tabela3[[#This Row],[Cotação 1]:[Cotação 5]])</f>
        <v>8.83</v>
      </c>
      <c r="AO275" s="53">
        <f>[Cotação]/[VPA]</f>
        <v>1.4804174916129909</v>
      </c>
      <c r="AP275" s="37">
        <f>IF(Tabela3[[#This Row],[Lucro/Ação]]&gt;0,Tabela3[[#This Row],[Cotação]]/(Tabela3[[#This Row],[Lucro/Ação]]/[Ref]*4),0)</f>
        <v>8.6078820488996151</v>
      </c>
      <c r="AQ275" s="76">
        <f>[Lucro Distribuir]/[Total Ações]</f>
        <v>0.9745138179573849</v>
      </c>
      <c r="AR275" s="76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2.7590991448397082E-2</v>
      </c>
      <c r="AU275" s="18">
        <f>((1+Tabela3[[#This Row],[% Yield]])^(1/(3*Tabela3[[#This Row],[Ref]])))^(12)-1</f>
        <v>2.759099144839916E-2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5">
        <f>SUMPRODUCT(N(Tabela1[Código]=Tabela3[[#This Row],[PAPEL]]),Tabela1[Fechamento])</f>
        <v>8.83</v>
      </c>
      <c r="AY275" s="5">
        <f>SUMPRODUCT(N(Tabela17[Código]=Tabela3[[#This Row],[PAPEL]]),Tabela17[Fechamento])</f>
        <v>0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t="11.25" customHeight="1">
      <c r="A276" s="3" t="s">
        <v>259</v>
      </c>
      <c r="B276" s="58" t="s">
        <v>826</v>
      </c>
      <c r="C276" s="16" t="str">
        <f>LEFT([PAPEL],LEN([PAPEL])-(LEN([PAPEL])-4))</f>
        <v>BSEV</v>
      </c>
      <c r="D276" s="16">
        <v>4</v>
      </c>
      <c r="E276" s="5">
        <v>2490036011.5700002</v>
      </c>
      <c r="F276" s="56">
        <v>206810613</v>
      </c>
      <c r="G276" s="80">
        <v>0.25</v>
      </c>
      <c r="H276" s="86"/>
      <c r="J276" s="18"/>
      <c r="K276" s="16"/>
      <c r="L276" s="86"/>
      <c r="M276" s="54"/>
      <c r="N276" s="54"/>
      <c r="O276" s="54"/>
      <c r="P276" s="90">
        <v>2497136000</v>
      </c>
      <c r="Q276" s="73">
        <v>-450135000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1830273925.05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6" s="18">
        <f>IF(Tabela3[[#This Row],[Lucro Líquido]]&gt;0,Tabela3[[#This Row],[Lucro Líquido]]/Tabela3[[#This Row],[Patrimônio Líquido]],0)/Tabela3[[#This Row],[Ref]]*4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2.2435702141443779</v>
      </c>
      <c r="Z276" s="7">
        <f>Tabela3[[#This Row],[Capital Social]]*20%</f>
        <v>498007202.31400007</v>
      </c>
      <c r="AA276" s="47">
        <f>IF(([Lucro Líquido]*5%)&gt;[Teto R. Legal],[Teto R. Legal],[Lucro Líquido]*5%)</f>
        <v>-22506750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206810613</v>
      </c>
      <c r="AE276" s="84">
        <f>[Capital Social]/[Total Ações]</f>
        <v>12.040175189510222</v>
      </c>
      <c r="AF276" s="84">
        <f>Tabela3[[#This Row],[Lucro Líquido]]/Tabela3[[#This Row],[Total Ações]]</f>
        <v>-2.1765565773938302</v>
      </c>
      <c r="AG2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12.074506060286181</v>
      </c>
      <c r="AN276" s="52">
        <f>MAX(Tabela3[[#This Row],[Cotação 1]:[Cotação 5]])</f>
        <v>8.85</v>
      </c>
      <c r="AO276" s="53">
        <f>[Cotação]/[VPA]</f>
        <v>0.73294923666552403</v>
      </c>
      <c r="AP276" s="37">
        <f>IF(Tabela3[[#This Row],[Lucro/Ação]]&gt;0,Tabela3[[#This Row],[Cotação]]/(Tabela3[[#This Row],[Lucro/Ação]]/[Ref]*4),0)</f>
        <v>0</v>
      </c>
      <c r="AQ276" s="84">
        <f>[Lucro Distribuir]/[Total Ações]</f>
        <v>0</v>
      </c>
      <c r="AR27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8.85</v>
      </c>
      <c r="BB276" s="7">
        <f>SUMPRODUCT(N(Tabela17683[Código]=Tabela3[[#This Row],[PAPEL]]),Tabela17683[Fechamento])</f>
        <v>0</v>
      </c>
    </row>
    <row r="277" spans="1:54" ht="11.25" customHeight="1">
      <c r="A277" s="4" t="s">
        <v>19</v>
      </c>
      <c r="B277" s="57" t="s">
        <v>18</v>
      </c>
      <c r="C277" s="14" t="str">
        <f>LEFT([PAPEL],LEN([PAPEL])-(LEN([PAPEL])-4))</f>
        <v>SUZB</v>
      </c>
      <c r="D277" s="15">
        <v>3</v>
      </c>
      <c r="E277" s="6">
        <v>6241753032.1599998</v>
      </c>
      <c r="F277" s="8">
        <v>736590145</v>
      </c>
      <c r="G277" s="80">
        <v>0.25</v>
      </c>
      <c r="H277" s="15"/>
      <c r="I277" s="19"/>
      <c r="J277" s="19"/>
      <c r="K277" s="87"/>
      <c r="L277" s="87"/>
      <c r="M277" s="55">
        <v>26860024000</v>
      </c>
      <c r="N277" s="55">
        <v>6506048000</v>
      </c>
      <c r="O277" s="55">
        <v>2167727000</v>
      </c>
      <c r="P277" s="6">
        <v>10687239000</v>
      </c>
      <c r="Q277" s="6">
        <v>-220459000</v>
      </c>
      <c r="R277" s="6">
        <f>IF(Tabela3[[#This Row],[Ativo || Passivo]]&gt;0,Tabela3[[#This Row],[Ativo || Passivo]]-Tabela3[[#This Row],[Patrimônio Líquido]],0)</f>
        <v>16172785000</v>
      </c>
      <c r="S277" s="6">
        <f>Tabela3[[#This Row],[Cotação]]*Tabela3[[#This Row],[Total Ações]]</f>
        <v>9898341104.3199997</v>
      </c>
      <c r="T277" s="121">
        <f>IF(Tabela3[[#This Row],[Passivo Circulante]]&gt;0,Tabela3[[#This Row],[Ativo Circulante]]/Tabela3[[#This Row],[Passivo Circulante]],0)</f>
        <v>3.0013225835172048</v>
      </c>
      <c r="U2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7" s="19">
        <f>IF(Tabela3[[#This Row],[Lucro Líquido]]&gt;0,Tabela3[[#This Row],[Lucro Líquido]]/Tabela3[[#This Row],[Patrimônio Líquido]],0)/Tabela3[[#This Row],[Ref]]*4</f>
        <v>0</v>
      </c>
      <c r="W2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7" s="19">
        <f>IF(Tabela3[[#This Row],[Dívida]]&gt;0,Tabela3[[#This Row],[Dívida]]/Tabela3[[#This Row],[Patrimônio Líquido]],0)</f>
        <v>1.5132799968261212</v>
      </c>
      <c r="Y277" s="19">
        <f>SUMPRODUCT(N([Dívida / PL]&gt;0),N(RIGHT([PAPEL],LEN([PAPEL])-(LEN([PAPEL])-1))="3"),[Dívida / PL])/SUMPRODUCT(N([Dívida / PL]&gt;0),N(RIGHT([PAPEL],LEN([PAPEL])-(LEN([PAPEL])-1))="3"))</f>
        <v>2.2435702141443779</v>
      </c>
      <c r="Z277" s="6">
        <f>Tabela3[[#This Row],[Capital Social]]*20%</f>
        <v>1248350606.4319999</v>
      </c>
      <c r="AA277" s="6">
        <f>IF(([Lucro Líquido]*5%)&gt;[Teto R. Legal],[Teto R. Legal],[Lucro Líquido]*5%)</f>
        <v>-11022950</v>
      </c>
      <c r="AB277" s="6">
        <f>IF([Lucro Líquido]&lt;0,0,[Lucro Líquido]-[Reserva Legal])</f>
        <v>0</v>
      </c>
      <c r="AC277" s="6">
        <f>Tabela3[[#This Row],[Lucro Distribuir]]*[%Div]</f>
        <v>0</v>
      </c>
      <c r="AD277" s="56">
        <f>SUMPRODUCT(N([Nome]=Tabela3[[#This Row],[Nome]]),[Ações])</f>
        <v>1109679496</v>
      </c>
      <c r="AE277" s="6">
        <f>[Capital Social]/[Total Ações]</f>
        <v>5.6248250550355303</v>
      </c>
      <c r="AF277" s="77">
        <f>Tabela3[[#This Row],[Lucro Líquido]]/Tabela3[[#This Row],[Total Ações]]</f>
        <v>-0.19866907588603402</v>
      </c>
      <c r="AG2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6">
        <f>[Div Base]*[Ações]</f>
        <v>0</v>
      </c>
      <c r="AL277" s="6">
        <f>SUMPRODUCT(N([Nome]=Tabela3[[#This Row],[Nome]]),[Div Base]*[Ações])</f>
        <v>0</v>
      </c>
      <c r="AM277" s="6">
        <f>[Patrimônio Líquido]/[Total Ações]</f>
        <v>9.6309240988264602</v>
      </c>
      <c r="AN277" s="48">
        <f>MAX(Tabela3[[#This Row],[Cotação 1]:[Cotação 5]])</f>
        <v>8.92</v>
      </c>
      <c r="AO277" s="44">
        <f>[Cotação]/[VPA]</f>
        <v>0.92618318953286249</v>
      </c>
      <c r="AP277" s="40">
        <f>IF(Tabela3[[#This Row],[Lucro/Ação]]&gt;0,Tabela3[[#This Row],[Cotação]]/(Tabela3[[#This Row],[Lucro/Ação]]/[Ref]*4),0)</f>
        <v>0</v>
      </c>
      <c r="AQ277" s="77">
        <f>[Lucro Distribuir]/[Total Ações]</f>
        <v>0</v>
      </c>
      <c r="AR27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5" t="str">
        <f>IF(AND([% A.A.]&gt;=5%,SUMPRODUCT(N([Nome]=Tabela3[[#This Row],[Nome]]),[PL])&gt;0,[Rentabilidade s/ PL]&gt;=[Rentabilidade s/ PL Média]),"Sim","Não")</f>
        <v>Não</v>
      </c>
      <c r="AT277" s="42">
        <f>IF([Cotação]&gt;0,Tabela3[[#This Row],[Lucro]]/Tabela3[[#This Row],[Cotação]],0)</f>
        <v>0</v>
      </c>
      <c r="AU277" s="19">
        <f>((1+Tabela3[[#This Row],[% Yield]])^(1/(3*Tabela3[[#This Row],[Ref]])))^(12)-1</f>
        <v>0</v>
      </c>
      <c r="AV277" s="14">
        <f>IF([Cotação]&gt;0,($BH$1/Tabela3[[#This Row],[Cotação]]-MOD($BH$1/Tabela3[[#This Row],[Cotação]],100)),)</f>
        <v>0</v>
      </c>
      <c r="AW277" s="17">
        <f>Tabela3[[#This Row],[Ativos]]*[Lucro]</f>
        <v>0</v>
      </c>
      <c r="AX277" s="5">
        <f>SUMPRODUCT(N(Tabela1[Código]=Tabela3[[#This Row],[PAPEL]]),Tabela1[Fechamento])</f>
        <v>8.92</v>
      </c>
      <c r="AY277" s="5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0</v>
      </c>
      <c r="BB277" s="7">
        <f>SUMPRODUCT(N(Tabela17683[Código]=Tabela3[[#This Row],[PAPEL]]),Tabela17683[Fechamento])</f>
        <v>0</v>
      </c>
    </row>
    <row r="278" spans="1:54" ht="11.25" customHeight="1">
      <c r="A278" s="4" t="s">
        <v>12</v>
      </c>
      <c r="B278" s="57" t="s">
        <v>95</v>
      </c>
      <c r="C278" s="14" t="str">
        <f>LEFT([PAPEL],LEN([PAPEL])-(LEN([PAPEL])-4))</f>
        <v>CSRN</v>
      </c>
      <c r="D278" s="15">
        <v>3</v>
      </c>
      <c r="E278" s="6">
        <v>179787268.58000001</v>
      </c>
      <c r="F278" s="8">
        <v>129746219</v>
      </c>
      <c r="G278" s="80">
        <v>0.25</v>
      </c>
      <c r="H278" s="15"/>
      <c r="I278" s="19"/>
      <c r="J278" s="19"/>
      <c r="K278" s="87"/>
      <c r="L278" s="87"/>
      <c r="M278" s="55">
        <v>1674792000</v>
      </c>
      <c r="N278" s="55">
        <v>447172000</v>
      </c>
      <c r="O278" s="55">
        <v>502260000</v>
      </c>
      <c r="P278" s="88">
        <v>884793000</v>
      </c>
      <c r="Q278" s="88">
        <v>154604000</v>
      </c>
      <c r="R278" s="88">
        <f>IF(Tabela3[[#This Row],[Ativo || Passivo]]&gt;0,Tabela3[[#This Row],[Ativo || Passivo]]-Tabela3[[#This Row],[Patrimônio Líquido]],0)</f>
        <v>789999000</v>
      </c>
      <c r="S278" s="88">
        <f>Tabela3[[#This Row],[Cotação]]*Tabela3[[#This Row],[Total Ações]]</f>
        <v>1514346992.28</v>
      </c>
      <c r="T278" s="121">
        <f>IF(Tabela3[[#This Row],[Passivo Circulante]]&gt;0,Tabela3[[#This Row],[Ativo Circulante]]/Tabela3[[#This Row],[Passivo Circulante]],0)</f>
        <v>0.8903197547087166</v>
      </c>
      <c r="U27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8" s="19">
        <f>IF(Tabela3[[#This Row],[Lucro Líquido]]&gt;0,Tabela3[[#This Row],[Lucro Líquido]]/Tabela3[[#This Row],[Patrimônio Líquido]],0)/Tabela3[[#This Row],[Ref]]*4</f>
        <v>0.23297954060064519</v>
      </c>
      <c r="W27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8" s="19">
        <f>IF(Tabela3[[#This Row],[Dívida]]&gt;0,Tabela3[[#This Row],[Dívida]]/Tabela3[[#This Row],[Patrimônio Líquido]],0)</f>
        <v>0.89286307644838958</v>
      </c>
      <c r="Y278" s="19">
        <f>SUMPRODUCT(N([Dívida / PL]&gt;0),N(RIGHT([PAPEL],LEN([PAPEL])-(LEN([PAPEL])-1))="3"),[Dívida / PL])/SUMPRODUCT(N([Dívida / PL]&gt;0),N(RIGHT([PAPEL],LEN([PAPEL])-(LEN([PAPEL])-1))="3"))</f>
        <v>2.2435702141443779</v>
      </c>
      <c r="Z278" s="6">
        <f>Tabela3[[#This Row],[Capital Social]]*20%</f>
        <v>35957453.716000006</v>
      </c>
      <c r="AA278" s="6">
        <f>IF(([Lucro Líquido]*5%)&gt;[Teto R. Legal],[Teto R. Legal],[Lucro Líquido]*5%)</f>
        <v>7730200</v>
      </c>
      <c r="AB278" s="88">
        <f>IF([Lucro Líquido]&lt;0,0,[Lucro Líquido]-[Reserva Legal])</f>
        <v>146873800</v>
      </c>
      <c r="AC278" s="88">
        <f>Tabela3[[#This Row],[Lucro Distribuir]]*[%Div]</f>
        <v>36718450</v>
      </c>
      <c r="AD278" s="56">
        <f>SUMPRODUCT(N([Nome]=Tabela3[[#This Row],[Nome]]),[Ações])</f>
        <v>168074028</v>
      </c>
      <c r="AE278" s="6">
        <f>[Capital Social]/[Total Ações]</f>
        <v>1.0696909612947458</v>
      </c>
      <c r="AF278" s="77">
        <f>Tabela3[[#This Row],[Lucro Líquido]]/Tabela3[[#This Row],[Total Ações]]</f>
        <v>0.91985657653186015</v>
      </c>
      <c r="AG27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27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278" s="6">
        <f>[Div Base]*[Ações]</f>
        <v>27463204.538879864</v>
      </c>
      <c r="AL278" s="6">
        <f>SUMPRODUCT(N([Nome]=Tabela3[[#This Row],[Nome]]),[Div Base]*[Ações])</f>
        <v>36387278.892751299</v>
      </c>
      <c r="AM278" s="6">
        <f>[Patrimônio Líquido]/[Total Ações]</f>
        <v>5.2643053214622784</v>
      </c>
      <c r="AN278" s="48">
        <f>MAX(Tabela3[[#This Row],[Cotação 1]:[Cotação 5]])</f>
        <v>9.01</v>
      </c>
      <c r="AO278" s="44">
        <f>[Cotação]/[VPA]</f>
        <v>1.7115268681827276</v>
      </c>
      <c r="AP278" s="40">
        <f>IF(Tabela3[[#This Row],[Lucro/Ação]]&gt;0,Tabela3[[#This Row],[Cotação]]/(Tabela3[[#This Row],[Lucro/Ação]]/[Ref]*4),0)</f>
        <v>7.3462539404543215</v>
      </c>
      <c r="AQ278" s="77">
        <f>[Lucro Distribuir]/[Total Ações]</f>
        <v>0.87386374770526709</v>
      </c>
      <c r="AR278" s="77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278" s="15" t="str">
        <f>IF(AND([% A.A.]&gt;=5%,SUMPRODUCT(N([Nome]=Tabela3[[#This Row],[Nome]]),[PL])&gt;0,[Rentabilidade s/ PL]&gt;=[Rentabilidade s/ PL Média]),"Sim","Não")</f>
        <v>Não</v>
      </c>
      <c r="AT278" s="42">
        <f>IF([Cotação]&gt;0,Tabela3[[#This Row],[Lucro]]/Tabela3[[#This Row],[Cotação]],0)</f>
        <v>2.3492633839064078E-2</v>
      </c>
      <c r="AU278" s="19">
        <f>((1+Tabela3[[#This Row],[% Yield]])^(1/(3*Tabela3[[#This Row],[Ref]])))^(12)-1</f>
        <v>3.1445522994024033E-2</v>
      </c>
      <c r="AV278" s="14">
        <f>IF([Cotação]&gt;0,($BH$1/Tabela3[[#This Row],[Cotação]]-MOD($BH$1/Tabela3[[#This Row],[Cotação]],100)),)</f>
        <v>0</v>
      </c>
      <c r="AW278" s="17">
        <f>Tabela3[[#This Row],[Ativos]]*[Lucro]</f>
        <v>0</v>
      </c>
      <c r="AX278" s="5">
        <f>SUMPRODUCT(N(Tabela1[Código]=Tabela3[[#This Row],[PAPEL]]),Tabela1[Fechamento])</f>
        <v>9.01</v>
      </c>
      <c r="AY278" s="5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0</v>
      </c>
      <c r="BB278" s="7">
        <f>SUMPRODUCT(N(Tabela17683[Código]=Tabela3[[#This Row],[PAPEL]]),Tabela17683[Fechamento])</f>
        <v>0</v>
      </c>
    </row>
    <row r="279" spans="1:54" ht="11.25" customHeight="1">
      <c r="A279" s="3" t="s">
        <v>964</v>
      </c>
      <c r="B279" s="58" t="s">
        <v>965</v>
      </c>
      <c r="C279" s="16" t="str">
        <f>LEFT([PAPEL],LEN([PAPEL])-(LEN([PAPEL])-4))</f>
        <v>MNDL</v>
      </c>
      <c r="D279" s="16">
        <v>3</v>
      </c>
      <c r="E279" s="5">
        <v>43794105.18</v>
      </c>
      <c r="F279" s="56">
        <v>2480260</v>
      </c>
      <c r="G279" s="80">
        <v>0.25</v>
      </c>
      <c r="H279" s="86"/>
      <c r="J279" s="18"/>
      <c r="K279" s="16"/>
      <c r="L279" s="86"/>
      <c r="M279" s="54"/>
      <c r="N279" s="54"/>
      <c r="O279" s="54"/>
      <c r="P279" s="90">
        <v>34149000</v>
      </c>
      <c r="Q279" s="73">
        <v>2316000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22347142.599999998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79" s="18">
        <f>IF(Tabela3[[#This Row],[Lucro Líquido]]&gt;0,Tabela3[[#This Row],[Lucro Líquido]]/Tabela3[[#This Row],[Patrimônio Líquido]],0)/Tabela3[[#This Row],[Ref]]*4</f>
        <v>9.0427245307329651E-2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2.2435702141443779</v>
      </c>
      <c r="Z279" s="7">
        <f>Tabela3[[#This Row],[Capital Social]]*20%</f>
        <v>8758821.0360000003</v>
      </c>
      <c r="AA279" s="47">
        <f>IF(([Lucro Líquido]*5%)&gt;[Teto R. Legal],[Teto R. Legal],[Lucro Líquido]*5%)</f>
        <v>115800</v>
      </c>
      <c r="AB279" s="47">
        <f>IF([Lucro Líquido]&lt;0,0,[Lucro Líquido]-[Reserva Legal])</f>
        <v>2200200</v>
      </c>
      <c r="AC279" s="47">
        <f>Tabela3[[#This Row],[Lucro Distribuir]]*[%Div]</f>
        <v>550050</v>
      </c>
      <c r="AD279" s="56">
        <f>SUMPRODUCT(N([Nome]=Tabela3[[#This Row],[Nome]]),[Ações])</f>
        <v>2480260</v>
      </c>
      <c r="AE279" s="84">
        <f>[Capital Social]/[Total Ações]</f>
        <v>17.657062235410805</v>
      </c>
      <c r="AF279" s="84">
        <f>Tabela3[[#This Row],[Lucro Líquido]]/Tabela3[[#This Row],[Total Ações]]</f>
        <v>0.93377307217791683</v>
      </c>
      <c r="AG2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2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279" s="7">
        <f>[Div Base]*[Ações]</f>
        <v>550050</v>
      </c>
      <c r="AL279" s="7">
        <f>SUMPRODUCT(N([Nome]=Tabela3[[#This Row],[Nome]]),[Div Base]*[Ações])</f>
        <v>550050</v>
      </c>
      <c r="AM279" s="5">
        <f>[Patrimônio Líquido]/[Total Ações]</f>
        <v>13.768314612177756</v>
      </c>
      <c r="AN279" s="52">
        <f>MAX(Tabela3[[#This Row],[Cotação 1]:[Cotação 5]])</f>
        <v>9.01</v>
      </c>
      <c r="AO279" s="53">
        <f>[Cotação]/[VPA]</f>
        <v>0.65440108348707138</v>
      </c>
      <c r="AP279" s="37">
        <f>IF(Tabela3[[#This Row],[Lucro/Ação]]&gt;0,Tabela3[[#This Row],[Cotação]]/(Tabela3[[#This Row],[Lucro/Ação]]/[Ref]*4),0)</f>
        <v>7.2367689766839378</v>
      </c>
      <c r="AQ279" s="84">
        <f>[Lucro Distribuir]/[Total Ações]</f>
        <v>0.88708441856902098</v>
      </c>
      <c r="AR279" s="84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2.4613885087930661E-2</v>
      </c>
      <c r="AU279" s="22">
        <f>((1+Tabela3[[#This Row],[% Yield]])^(1/(3*Tabela3[[#This Row],[Ref]])))^(12)-1</f>
        <v>3.2952416355546355E-2</v>
      </c>
      <c r="AV279" s="10">
        <f>IF([Cotação]&gt;0,($BH$1/Tabela3[[#This Row],[Cotação]]-MOD($BH$1/Tabela3[[#This Row],[Cotação]],100)),)</f>
        <v>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9.01</v>
      </c>
      <c r="BB279" s="7">
        <f>SUMPRODUCT(N(Tabela17683[Código]=Tabela3[[#This Row],[PAPEL]]),Tabela17683[Fechamento])</f>
        <v>0</v>
      </c>
    </row>
    <row r="280" spans="1:54" ht="11.25" customHeight="1">
      <c r="A280" s="3" t="s">
        <v>40</v>
      </c>
      <c r="B280" s="57" t="s">
        <v>251</v>
      </c>
      <c r="C280" s="14" t="str">
        <f>LEFT([PAPEL],LEN([PAPEL])-(LEN([PAPEL])-4))</f>
        <v>ELEK</v>
      </c>
      <c r="D280" s="16">
        <v>4</v>
      </c>
      <c r="E280" s="5">
        <v>321000000</v>
      </c>
      <c r="F280" s="56">
        <v>14518150</v>
      </c>
      <c r="G280" s="85">
        <v>0.25</v>
      </c>
      <c r="H280" s="16"/>
      <c r="J280" s="18"/>
      <c r="K280" s="86"/>
      <c r="L280" s="86"/>
      <c r="M280" s="54"/>
      <c r="N280" s="54"/>
      <c r="O280" s="54"/>
      <c r="P280" s="5">
        <v>504080000</v>
      </c>
      <c r="Q280" s="5">
        <v>39390000</v>
      </c>
      <c r="R280" s="5">
        <f>IF(Tabela3[[#This Row],[Ativo || Passivo]]&gt;0,Tabela3[[#This Row],[Ativo || Passivo]]-Tabela3[[#This Row],[Patrimônio Líquido]],0)</f>
        <v>0</v>
      </c>
      <c r="S280" s="5">
        <f>Tabela3[[#This Row],[Cotação]]*Tabela3[[#This Row],[Total Ações]]</f>
        <v>286515047</v>
      </c>
      <c r="T280" s="119">
        <f>IF(Tabela3[[#This Row],[Passivo Circulante]]&gt;0,Tabela3[[#This Row],[Ativo Circulante]]/Tabela3[[#This Row],[Passivo Circulante]],0)</f>
        <v>0</v>
      </c>
      <c r="U28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0" s="18">
        <f>IF(Tabela3[[#This Row],[Lucro Líquido]]&gt;0,Tabela3[[#This Row],[Lucro Líquido]]/Tabela3[[#This Row],[Patrimônio Líquido]],0)/Tabela3[[#This Row],[Ref]]*4</f>
        <v>7.8142358355816538E-2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2.2435702141443779</v>
      </c>
      <c r="Z280" s="5">
        <f>Tabela3[[#This Row],[Capital Social]]*20%</f>
        <v>64200000</v>
      </c>
      <c r="AA280" s="5">
        <f>IF(([Lucro Líquido]*5%)&gt;[Teto R. Legal],[Teto R. Legal],[Lucro Líquido]*5%)</f>
        <v>1969500</v>
      </c>
      <c r="AB280" s="5">
        <f>IF([Lucro Líquido]&lt;0,0,[Lucro Líquido]-[Reserva Legal])</f>
        <v>37420500</v>
      </c>
      <c r="AC280" s="5">
        <f>Tabela3[[#This Row],[Lucro Distribuir]]*[%Div]</f>
        <v>9355125</v>
      </c>
      <c r="AD280" s="21">
        <f>SUMPRODUCT(N([Nome]=Tabela3[[#This Row],[Nome]]),[Ações])</f>
        <v>31485170</v>
      </c>
      <c r="AE280" s="5">
        <f>[Capital Social]/[Total Ações]</f>
        <v>10.195276061714134</v>
      </c>
      <c r="AF280" s="76">
        <f>Tabela3[[#This Row],[Lucro Líquido]]/Tabela3[[#This Row],[Total Ações]]</f>
        <v>1.2510651840215568</v>
      </c>
      <c r="AG28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8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80" s="5">
        <f>[Div Base]*[Ações]</f>
        <v>4313748.6003331095</v>
      </c>
      <c r="AL280" s="5">
        <f>SUMPRODUCT(N([Nome]=Tabela3[[#This Row],[Nome]]),[Div Base]*[Ações])</f>
        <v>9355125</v>
      </c>
      <c r="AM280" s="5">
        <f>[Patrimônio Líquido]/[Total Ações]</f>
        <v>16.010077125198944</v>
      </c>
      <c r="AN280" s="52">
        <f>MAX(Tabela3[[#This Row],[Cotação 1]:[Cotação 5]])</f>
        <v>9.1</v>
      </c>
      <c r="AO280" s="53">
        <f>[Cotação]/[VPA]</f>
        <v>0.56839201515632432</v>
      </c>
      <c r="AP280" s="37">
        <f>IF(Tabela3[[#This Row],[Lucro/Ação]]&gt;0,Tabela3[[#This Row],[Cotação]]/(Tabela3[[#This Row],[Lucro/Ação]]/[Ref]*4),0)</f>
        <v>7.2738016501650167</v>
      </c>
      <c r="AQ280" s="76">
        <f>[Lucro Distribuir]/[Total Ações]</f>
        <v>1.188511924820479</v>
      </c>
      <c r="AR280" s="76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80" s="16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3.2651426506057117E-2</v>
      </c>
      <c r="AU280" s="18">
        <f>((1+Tabela3[[#This Row],[% Yield]])^(1/(3*Tabela3[[#This Row],[Ref]])))^(12)-1</f>
        <v>3.265142650605668E-2</v>
      </c>
      <c r="AV280" s="10">
        <f>IF([Cotação]&gt;0,($BH$1/Tabela3[[#This Row],[Cotação]]-MOD($BH$1/Tabela3[[#This Row],[Cotação]],100)),)</f>
        <v>0</v>
      </c>
      <c r="AW280" s="7">
        <f>Tabela3[[#This Row],[Ativos]]*[Lucro]</f>
        <v>0</v>
      </c>
      <c r="AX280" s="47">
        <f>SUMPRODUCT(N(Tabela1[Código]=Tabela3[[#This Row],[PAPEL]]),Tabela1[Fechamento])</f>
        <v>0</v>
      </c>
      <c r="AY280" s="47">
        <f>SUMPRODUCT(N(Tabela17[Código]=Tabela3[[#This Row],[PAPEL]]),Tabela17[Fechamento])</f>
        <v>9.1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</v>
      </c>
    </row>
    <row r="281" spans="1:54" ht="11.25" customHeight="1">
      <c r="A281" s="4" t="s">
        <v>12</v>
      </c>
      <c r="B281" s="57" t="s">
        <v>28</v>
      </c>
      <c r="C281" s="14" t="str">
        <f>LEFT([PAPEL],LEN([PAPEL])-(LEN([PAPEL])-4))</f>
        <v>ENBR</v>
      </c>
      <c r="D281" s="15">
        <v>4</v>
      </c>
      <c r="E281" s="6">
        <v>3182715945.1199999</v>
      </c>
      <c r="F281" s="8">
        <v>476415612</v>
      </c>
      <c r="G281" s="80">
        <v>0.25</v>
      </c>
      <c r="H281" s="19"/>
      <c r="I281" s="19"/>
      <c r="J281" s="19"/>
      <c r="K281" s="87"/>
      <c r="L281" s="87"/>
      <c r="M281" s="55">
        <v>5814601000</v>
      </c>
      <c r="N281" s="55">
        <v>1048372000</v>
      </c>
      <c r="O281" s="55">
        <v>662914000</v>
      </c>
      <c r="P281" s="88">
        <v>4573217000</v>
      </c>
      <c r="Q281" s="88">
        <v>375768000</v>
      </c>
      <c r="R281" s="88">
        <f>IF(Tabela3[[#This Row],[Ativo || Passivo]]&gt;0,Tabela3[[#This Row],[Ativo || Passivo]]-Tabela3[[#This Row],[Patrimônio Líquido]],0)</f>
        <v>1241384000</v>
      </c>
      <c r="S281" s="88">
        <f>Tabela3[[#This Row],[Cotação]]*Tabela3[[#This Row],[Total Ações]]</f>
        <v>4344910381.4399996</v>
      </c>
      <c r="T281" s="121">
        <f>IF(Tabela3[[#This Row],[Passivo Circulante]]&gt;0,Tabela3[[#This Row],[Ativo Circulante]]/Tabela3[[#This Row],[Passivo Circulante]],0)</f>
        <v>1.5814600385570377</v>
      </c>
      <c r="U28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1" s="19">
        <f>IF(Tabela3[[#This Row],[Lucro Líquido]]&gt;0,Tabela3[[#This Row],[Lucro Líquido]]/Tabela3[[#This Row],[Patrimônio Líquido]],0)/Tabela3[[#This Row],[Ref]]*4</f>
        <v>8.2167104688012832E-2</v>
      </c>
      <c r="W28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1" s="19">
        <f>IF(Tabela3[[#This Row],[Dívida]]&gt;0,Tabela3[[#This Row],[Dívida]]/Tabela3[[#This Row],[Patrimônio Líquido]],0)</f>
        <v>0.27144655501805404</v>
      </c>
      <c r="Y281" s="19">
        <f>SUMPRODUCT(N([Dívida / PL]&gt;0),N(RIGHT([PAPEL],LEN([PAPEL])-(LEN([PAPEL])-1))="3"),[Dívida / PL])/SUMPRODUCT(N([Dívida / PL]&gt;0),N(RIGHT([PAPEL],LEN([PAPEL])-(LEN([PAPEL])-1))="3"))</f>
        <v>2.2435702141443779</v>
      </c>
      <c r="Z281" s="6">
        <f>Tabela3[[#This Row],[Capital Social]]*20%</f>
        <v>636543189.02400005</v>
      </c>
      <c r="AA281" s="6">
        <f>IF(([Lucro Líquido]*5%)&gt;[Teto R. Legal],[Teto R. Legal],[Lucro Líquido]*5%)</f>
        <v>18788400</v>
      </c>
      <c r="AB281" s="88">
        <f>IF([Lucro Líquido]&lt;0,0,[Lucro Líquido]-[Reserva Legal])</f>
        <v>356979600</v>
      </c>
      <c r="AC281" s="88">
        <f>Tabela3[[#This Row],[Lucro Distribuir]]*[%Div]</f>
        <v>89244900</v>
      </c>
      <c r="AD281" s="56">
        <f>SUMPRODUCT(N([Nome]=Tabela3[[#This Row],[Nome]]),[Ações])</f>
        <v>476415612</v>
      </c>
      <c r="AE281" s="6">
        <f>[Capital Social]/[Total Ações]</f>
        <v>6.6805450219376938</v>
      </c>
      <c r="AF281" s="77">
        <f>Tabela3[[#This Row],[Lucro Líquido]]/Tabela3[[#This Row],[Total Ações]]</f>
        <v>0.78873989545078127</v>
      </c>
      <c r="AG2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81" s="6">
        <f>[Div Base]*[Ações]</f>
        <v>89244900</v>
      </c>
      <c r="AL281" s="6">
        <f>SUMPRODUCT(N([Nome]=Tabela3[[#This Row],[Nome]]),[Div Base]*[Ações])</f>
        <v>89244900</v>
      </c>
      <c r="AM281" s="6">
        <f>[Patrimônio Líquido]/[Total Ações]</f>
        <v>9.5992173321137937</v>
      </c>
      <c r="AN281" s="48">
        <f>MAX(Tabela3[[#This Row],[Cotação 1]:[Cotação 5]])</f>
        <v>9.1199999999999992</v>
      </c>
      <c r="AO281" s="44">
        <f>[Cotação]/[VPA]</f>
        <v>0.95007745782454656</v>
      </c>
      <c r="AP281" s="40">
        <f>IF(Tabela3[[#This Row],[Lucro/Ação]]&gt;0,Tabela3[[#This Row],[Cotação]]/(Tabela3[[#This Row],[Lucro/Ação]]/[Ref]*4),0)</f>
        <v>11.562747177620233</v>
      </c>
      <c r="AQ281" s="77">
        <f>[Lucro Distribuir]/[Total Ações]</f>
        <v>0.74930290067824223</v>
      </c>
      <c r="AR281" s="77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81" s="15" t="str">
        <f>IF(AND([% A.A.]&gt;=5%,SUMPRODUCT(N([Nome]=Tabela3[[#This Row],[Nome]]),[PL])&gt;0,[Rentabilidade s/ PL]&gt;=[Rentabilidade s/ PL Média]),"Sim","Não")</f>
        <v>Não</v>
      </c>
      <c r="AT281" s="42">
        <f>IF([Cotação]&gt;0,Tabela3[[#This Row],[Lucro]]/Tabela3[[#This Row],[Cotação]],0)</f>
        <v>2.0540101444030765E-2</v>
      </c>
      <c r="AU281" s="19">
        <f>((1+Tabela3[[#This Row],[% Yield]])^(1/(3*Tabela3[[#This Row],[Ref]])))^(12)-1</f>
        <v>2.0540101444030512E-2</v>
      </c>
      <c r="AV281" s="14">
        <f>IF([Cotação]&gt;0,($BH$1/Tabela3[[#This Row],[Cotação]]-MOD($BH$1/Tabela3[[#This Row],[Cotação]],100)),)</f>
        <v>0</v>
      </c>
      <c r="AW281" s="17">
        <f>Tabela3[[#This Row],[Ativos]]*[Lucro]</f>
        <v>0</v>
      </c>
      <c r="AX281" s="5">
        <f>SUMPRODUCT(N(Tabela1[Código]=Tabela3[[#This Row],[PAPEL]]),Tabela1[Fechamento])</f>
        <v>9.1199999999999992</v>
      </c>
      <c r="AY281" s="5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0</v>
      </c>
      <c r="BB281" s="7">
        <f>SUMPRODUCT(N(Tabela17683[Código]=Tabela3[[#This Row],[PAPEL]]),Tabela17683[Fechamento])</f>
        <v>0</v>
      </c>
    </row>
    <row r="282" spans="1:54" ht="11.25" customHeight="1">
      <c r="A282" s="4" t="s">
        <v>12</v>
      </c>
      <c r="B282" s="57" t="s">
        <v>68</v>
      </c>
      <c r="C282" s="14" t="str">
        <f>LEFT([PAPEL],LEN([PAPEL])-(LEN([PAPEL])-4))</f>
        <v>CSRN</v>
      </c>
      <c r="D282" s="15">
        <v>3</v>
      </c>
      <c r="E282" s="6">
        <v>179787268.58000001</v>
      </c>
      <c r="F282" s="8">
        <v>17721681</v>
      </c>
      <c r="G282" s="80">
        <v>0.25</v>
      </c>
      <c r="H282" s="15"/>
      <c r="I282" s="19"/>
      <c r="J282" s="19">
        <v>0.1</v>
      </c>
      <c r="K282" s="87"/>
      <c r="L282" s="87"/>
      <c r="M282" s="55">
        <v>1674792000</v>
      </c>
      <c r="N282" s="55">
        <v>447172000</v>
      </c>
      <c r="O282" s="55">
        <v>502260000</v>
      </c>
      <c r="P282" s="88">
        <v>884793000</v>
      </c>
      <c r="Q282" s="88">
        <v>154604000</v>
      </c>
      <c r="R282" s="88">
        <f>IF(Tabela3[[#This Row],[Ativo || Passivo]]&gt;0,Tabela3[[#This Row],[Ativo || Passivo]]-Tabela3[[#This Row],[Patrimônio Líquido]],0)</f>
        <v>789999000</v>
      </c>
      <c r="S282" s="88">
        <f>Tabela3[[#This Row],[Cotação]]*Tabela3[[#This Row],[Total Ações]]</f>
        <v>1534515875.6400001</v>
      </c>
      <c r="T282" s="121">
        <f>IF(Tabela3[[#This Row],[Passivo Circulante]]&gt;0,Tabela3[[#This Row],[Ativo Circulante]]/Tabela3[[#This Row],[Passivo Circulante]],0)</f>
        <v>0.8903197547087166</v>
      </c>
      <c r="U28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2" s="19">
        <f>IF(Tabela3[[#This Row],[Lucro Líquido]]&gt;0,Tabela3[[#This Row],[Lucro Líquido]]/Tabela3[[#This Row],[Patrimônio Líquido]],0)/Tabela3[[#This Row],[Ref]]*4</f>
        <v>0.23297954060064519</v>
      </c>
      <c r="W2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2" s="19">
        <f>IF(Tabela3[[#This Row],[Dívida]]&gt;0,Tabela3[[#This Row],[Dívida]]/Tabela3[[#This Row],[Patrimônio Líquido]],0)</f>
        <v>0.89286307644838958</v>
      </c>
      <c r="Y282" s="19">
        <f>SUMPRODUCT(N([Dívida / PL]&gt;0),N(RIGHT([PAPEL],LEN([PAPEL])-(LEN([PAPEL])-1))="3"),[Dívida / PL])/SUMPRODUCT(N([Dívida / PL]&gt;0),N(RIGHT([PAPEL],LEN([PAPEL])-(LEN([PAPEL])-1))="3"))</f>
        <v>2.2435702141443779</v>
      </c>
      <c r="Z282" s="6">
        <f>Tabela3[[#This Row],[Capital Social]]*20%</f>
        <v>35957453.716000006</v>
      </c>
      <c r="AA282" s="6">
        <f>IF(([Lucro Líquido]*5%)&gt;[Teto R. Legal],[Teto R. Legal],[Lucro Líquido]*5%)</f>
        <v>7730200</v>
      </c>
      <c r="AB282" s="88">
        <f>IF([Lucro Líquido]&lt;0,0,[Lucro Líquido]-[Reserva Legal])</f>
        <v>146873800</v>
      </c>
      <c r="AC282" s="88">
        <f>Tabela3[[#This Row],[Lucro Distribuir]]*[%Div]</f>
        <v>36718450</v>
      </c>
      <c r="AD282" s="56">
        <f>SUMPRODUCT(N([Nome]=Tabela3[[#This Row],[Nome]]),[Ações])</f>
        <v>168074028</v>
      </c>
      <c r="AE282" s="6">
        <f>[Capital Social]/[Total Ações]</f>
        <v>1.0696909612947458</v>
      </c>
      <c r="AF282" s="77">
        <f>Tabela3[[#This Row],[Lucro Líquido]]/Tabela3[[#This Row],[Total Ações]]</f>
        <v>0.91985657653186015</v>
      </c>
      <c r="AG2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2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282" s="6">
        <f>[Div Base]*[Ações]</f>
        <v>4126236.3554251334</v>
      </c>
      <c r="AL282" s="6">
        <f>SUMPRODUCT(N([Nome]=Tabela3[[#This Row],[Nome]]),[Div Base]*[Ações])</f>
        <v>36387278.892751299</v>
      </c>
      <c r="AM282" s="6">
        <f>[Patrimônio Líquido]/[Total Ações]</f>
        <v>5.2643053214622784</v>
      </c>
      <c r="AN282" s="48">
        <f>MAX(Tabela3[[#This Row],[Cotação 1]:[Cotação 5]])</f>
        <v>9.1300000000000008</v>
      </c>
      <c r="AO282" s="44">
        <f>[Cotação]/[VPA]</f>
        <v>1.7343218986135742</v>
      </c>
      <c r="AP282" s="40">
        <f>IF(Tabela3[[#This Row],[Lucro/Ação]]&gt;0,Tabela3[[#This Row],[Cotação]]/(Tabela3[[#This Row],[Lucro/Ação]]/[Ref]*4),0)</f>
        <v>7.4440952803937801</v>
      </c>
      <c r="AQ282" s="77">
        <f>[Lucro Distribuir]/[Total Ações]</f>
        <v>0.87386374770526709</v>
      </c>
      <c r="AR282" s="77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282" s="14" t="str">
        <f>IF(AND([% A.A.]&gt;=5%,SUMPRODUCT(N([Nome]=Tabela3[[#This Row],[Nome]]),[PL])&gt;0,[Rentabilidade s/ PL]&gt;=[Rentabilidade s/ PL Média]),"Sim","Não")</f>
        <v>Não</v>
      </c>
      <c r="AT282" s="42">
        <f>IF([Cotação]&gt;0,Tabela3[[#This Row],[Lucro]]/Tabela3[[#This Row],[Cotação]],0)</f>
        <v>2.5502244720473636E-2</v>
      </c>
      <c r="AU282" s="19">
        <f>((1+Tabela3[[#This Row],[% Yield]])^(1/(3*Tabela3[[#This Row],[Ref]])))^(12)-1</f>
        <v>3.4146707938929932E-2</v>
      </c>
      <c r="AV282" s="14">
        <f>IF([Cotação]&gt;0,($BH$1/Tabela3[[#This Row],[Cotação]]-MOD($BH$1/Tabela3[[#This Row],[Cotação]],100)),)</f>
        <v>0</v>
      </c>
      <c r="AW282" s="17">
        <f>Tabela3[[#This Row],[Ativos]]*[Lucro]</f>
        <v>0</v>
      </c>
      <c r="AX282" s="5">
        <f>SUMPRODUCT(N(Tabela1[Código]=Tabela3[[#This Row],[PAPEL]]),Tabela1[Fechamento])</f>
        <v>9.1300000000000008</v>
      </c>
      <c r="AY282" s="5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</v>
      </c>
    </row>
    <row r="283" spans="1:54" ht="11.25" customHeight="1">
      <c r="A283" s="3" t="s">
        <v>269</v>
      </c>
      <c r="B283" s="58" t="s">
        <v>806</v>
      </c>
      <c r="C283" s="16" t="str">
        <f>LEFT([PAPEL],LEN([PAPEL])-(LEN([PAPEL])-4))</f>
        <v>BAUH</v>
      </c>
      <c r="D283" s="16">
        <v>3</v>
      </c>
      <c r="E283" s="5">
        <v>14000000</v>
      </c>
      <c r="F283" s="56">
        <v>2375293</v>
      </c>
      <c r="G283" s="80">
        <v>0.25</v>
      </c>
      <c r="H283" s="86"/>
      <c r="J283" s="18">
        <v>0.1</v>
      </c>
      <c r="K283" s="16"/>
      <c r="L283" s="86"/>
      <c r="M283" s="54">
        <v>44793000</v>
      </c>
      <c r="N283" s="54">
        <v>26562000</v>
      </c>
      <c r="O283" s="54">
        <v>24428000</v>
      </c>
      <c r="P283" s="90">
        <v>14950000</v>
      </c>
      <c r="Q283" s="73">
        <v>6719000</v>
      </c>
      <c r="R283" s="73">
        <f>IF(Tabela3[[#This Row],[Ativo || Passivo]]&gt;0,Tabela3[[#This Row],[Ativo || Passivo]]-Tabela3[[#This Row],[Patrimônio Líquido]],0)</f>
        <v>29843000</v>
      </c>
      <c r="S283" s="73">
        <f>Tabela3[[#This Row],[Cotação]]*Tabela3[[#This Row],[Total Ações]]</f>
        <v>48044442.399999999</v>
      </c>
      <c r="T283" s="37">
        <f>IF(Tabela3[[#This Row],[Passivo Circulante]]&gt;0,Tabela3[[#This Row],[Ativo Circulante]]/Tabela3[[#This Row],[Passivo Circulante]],0)</f>
        <v>1.0873587686261668</v>
      </c>
      <c r="U28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3" s="18">
        <f>IF(Tabela3[[#This Row],[Lucro Líquido]]&gt;0,Tabela3[[#This Row],[Lucro Líquido]]/Tabela3[[#This Row],[Patrimônio Líquido]],0)/Tabela3[[#This Row],[Ref]]*4</f>
        <v>0.5992419175027871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3" s="18">
        <f>IF(Tabela3[[#This Row],[Dívida]]&gt;0,Tabela3[[#This Row],[Dívida]]/Tabela3[[#This Row],[Patrimônio Líquido]],0)</f>
        <v>1.9961872909698997</v>
      </c>
      <c r="Y283" s="18">
        <f>SUMPRODUCT(N([Dívida / PL]&gt;0),N(RIGHT([PAPEL],LEN([PAPEL])-(LEN([PAPEL])-1))="3"),[Dívida / PL])/SUMPRODUCT(N([Dívida / PL]&gt;0),N(RIGHT([PAPEL],LEN([PAPEL])-(LEN([PAPEL])-1))="3"))</f>
        <v>2.2435702141443779</v>
      </c>
      <c r="Z283" s="7">
        <f>Tabela3[[#This Row],[Capital Social]]*20%</f>
        <v>2800000</v>
      </c>
      <c r="AA283" s="47">
        <f>IF(([Lucro Líquido]*5%)&gt;[Teto R. Legal],[Teto R. Legal],[Lucro Líquido]*5%)</f>
        <v>335950</v>
      </c>
      <c r="AB283" s="47">
        <f>IF([Lucro Líquido]&lt;0,0,[Lucro Líquido]-[Reserva Legal])</f>
        <v>6383050</v>
      </c>
      <c r="AC283" s="47">
        <f>Tabela3[[#This Row],[Lucro Distribuir]]*[%Div]</f>
        <v>1595762.5</v>
      </c>
      <c r="AD283" s="56">
        <f>SUMPRODUCT(N([Nome]=Tabela3[[#This Row],[Nome]]),[Ações])</f>
        <v>5222222</v>
      </c>
      <c r="AE283" s="84">
        <f>[Capital Social]/[Total Ações]</f>
        <v>2.6808511779085609</v>
      </c>
      <c r="AF283" s="84">
        <f>Tabela3[[#This Row],[Lucro Líquido]]/Tabela3[[#This Row],[Total Ações]]</f>
        <v>1.2866170760262585</v>
      </c>
      <c r="AG28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28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283" s="7">
        <f>[Div Base]*[Ações]</f>
        <v>773562.78577910899</v>
      </c>
      <c r="AL283" s="7">
        <f>SUMPRODUCT(N([Nome]=Tabela3[[#This Row],[Nome]]),[Div Base]*[Ações])</f>
        <v>1616436.1511581638</v>
      </c>
      <c r="AM283" s="5">
        <f>[Patrimônio Líquido]/[Total Ações]</f>
        <v>2.8627660792666418</v>
      </c>
      <c r="AN283" s="52">
        <f>MAX(Tabela3[[#This Row],[Cotação 1]:[Cotação 5]])</f>
        <v>9.1999999999999993</v>
      </c>
      <c r="AO283" s="53">
        <f>[Cotação]/[VPA]</f>
        <v>3.2136750769230766</v>
      </c>
      <c r="AP283" s="37">
        <f>IF(Tabela3[[#This Row],[Lucro/Ação]]&gt;0,Tabela3[[#This Row],[Cotação]]/(Tabela3[[#This Row],[Lucro/Ação]]/[Ref]*4),0)</f>
        <v>5.3629009971721979</v>
      </c>
      <c r="AQ283" s="84">
        <f>[Lucro Distribuir]/[Total Ações]</f>
        <v>1.2222862222249455</v>
      </c>
      <c r="AR283" s="84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3.5398964042637794E-2</v>
      </c>
      <c r="AU283" s="22">
        <f>((1+Tabela3[[#This Row],[% Yield]])^(1/(3*Tabela3[[#This Row],[Ref]])))^(12)-1</f>
        <v>4.7474923619774012E-2</v>
      </c>
      <c r="AV283" s="10">
        <f>IF([Cotação]&gt;0,($BH$1/Tabela3[[#This Row],[Cotação]]-MOD($BH$1/Tabela3[[#This Row],[Cotação]],100)),)</f>
        <v>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9.1999999999999993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</v>
      </c>
    </row>
    <row r="284" spans="1:54" ht="11.25" customHeight="1">
      <c r="A284" s="4" t="s">
        <v>40</v>
      </c>
      <c r="B284" s="57" t="s">
        <v>252</v>
      </c>
      <c r="C284" s="14" t="str">
        <f>LEFT([PAPEL],LEN([PAPEL])-(LEN([PAPEL])-4))</f>
        <v>ELEK</v>
      </c>
      <c r="D284" s="15">
        <v>4</v>
      </c>
      <c r="E284" s="5">
        <v>321000000</v>
      </c>
      <c r="F284" s="8">
        <v>16967020</v>
      </c>
      <c r="G284" s="80">
        <v>0.25</v>
      </c>
      <c r="H284" s="15"/>
      <c r="I284" s="19"/>
      <c r="J284" s="19"/>
      <c r="K284" s="87"/>
      <c r="L284" s="87"/>
      <c r="M284" s="55"/>
      <c r="N284" s="55"/>
      <c r="O284" s="55"/>
      <c r="P284" s="5">
        <v>504080000</v>
      </c>
      <c r="Q284" s="5">
        <v>39390000</v>
      </c>
      <c r="R284" s="5">
        <f>IF(Tabela3[[#This Row],[Ativo || Passivo]]&gt;0,Tabela3[[#This Row],[Ativo || Passivo]]-Tabela3[[#This Row],[Patrimônio Líquido]],0)</f>
        <v>0</v>
      </c>
      <c r="S284" s="5">
        <f>Tabela3[[#This Row],[Cotação]]*Tabela3[[#This Row],[Total Ações]]</f>
        <v>295645746.30000001</v>
      </c>
      <c r="T284" s="119">
        <f>IF(Tabela3[[#This Row],[Passivo Circulante]]&gt;0,Tabela3[[#This Row],[Ativo Circulante]]/Tabela3[[#This Row],[Passivo Circulante]],0)</f>
        <v>0</v>
      </c>
      <c r="U28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4" s="18">
        <f>IF(Tabela3[[#This Row],[Lucro Líquido]]&gt;0,Tabela3[[#This Row],[Lucro Líquido]]/Tabela3[[#This Row],[Patrimônio Líquido]],0)/Tabela3[[#This Row],[Ref]]*4</f>
        <v>7.8142358355816538E-2</v>
      </c>
      <c r="W28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4" s="18">
        <f>IF(Tabela3[[#This Row],[Dívida]]&gt;0,Tabela3[[#This Row],[Dívida]]/Tabela3[[#This Row],[Patrimônio Líquido]],0)</f>
        <v>0</v>
      </c>
      <c r="Y284" s="18">
        <f>SUMPRODUCT(N([Dívida / PL]&gt;0),N(RIGHT([PAPEL],LEN([PAPEL])-(LEN([PAPEL])-1))="3"),[Dívida / PL])/SUMPRODUCT(N([Dívida / PL]&gt;0),N(RIGHT([PAPEL],LEN([PAPEL])-(LEN([PAPEL])-1))="3"))</f>
        <v>2.2435702141443779</v>
      </c>
      <c r="Z284" s="5">
        <f>Tabela3[[#This Row],[Capital Social]]*20%</f>
        <v>64200000</v>
      </c>
      <c r="AA284" s="5">
        <f>IF(([Lucro Líquido]*5%)&gt;[Teto R. Legal],[Teto R. Legal],[Lucro Líquido]*5%)</f>
        <v>1969500</v>
      </c>
      <c r="AB284" s="5">
        <f>IF([Lucro Líquido]&lt;0,0,[Lucro Líquido]-[Reserva Legal])</f>
        <v>37420500</v>
      </c>
      <c r="AC284" s="5">
        <f>Tabela3[[#This Row],[Lucro Distribuir]]*[%Div]</f>
        <v>9355125</v>
      </c>
      <c r="AD284" s="21">
        <f>SUMPRODUCT(N([Nome]=Tabela3[[#This Row],[Nome]]),[Ações])</f>
        <v>31485170</v>
      </c>
      <c r="AE284" s="5">
        <f>[Capital Social]/[Total Ações]</f>
        <v>10.195276061714134</v>
      </c>
      <c r="AF284" s="77">
        <f>Tabela3[[#This Row],[Lucro Líquido]]/Tabela3[[#This Row],[Total Ações]]</f>
        <v>1.2510651840215568</v>
      </c>
      <c r="AG2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84" s="5">
        <f>[Div Base]*[Ações]</f>
        <v>5041376.3996668905</v>
      </c>
      <c r="AL284" s="5">
        <f>SUMPRODUCT(N([Nome]=Tabela3[[#This Row],[Nome]]),[Div Base]*[Ações])</f>
        <v>9355125</v>
      </c>
      <c r="AM284" s="6">
        <f>[Patrimônio Líquido]/[Total Ações]</f>
        <v>16.010077125198944</v>
      </c>
      <c r="AN284" s="48">
        <f>MAX(Tabela3[[#This Row],[Cotação 1]:[Cotação 5]])</f>
        <v>9.39</v>
      </c>
      <c r="AO284" s="44">
        <f>[Cotação]/[VPA]</f>
        <v>0.58650560684811937</v>
      </c>
      <c r="AP284" s="40">
        <f>IF(Tabela3[[#This Row],[Lucro/Ação]]&gt;0,Tabela3[[#This Row],[Cotação]]/(Tabela3[[#This Row],[Lucro/Ação]]/[Ref]*4),0)</f>
        <v>7.5056041203351116</v>
      </c>
      <c r="AQ284" s="77">
        <f>[Lucro Distribuir]/[Total Ações]</f>
        <v>1.188511924820479</v>
      </c>
      <c r="AR284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84" s="15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3.1643022492558008E-2</v>
      </c>
      <c r="AU284" s="19">
        <f>((1+Tabela3[[#This Row],[% Yield]])^(1/(3*Tabela3[[#This Row],[Ref]])))^(12)-1</f>
        <v>3.1643022492557904E-2</v>
      </c>
      <c r="AV284" s="14">
        <f>IF([Cotação]&gt;0,($BH$1/Tabela3[[#This Row],[Cotação]]-MOD($BH$1/Tabela3[[#This Row],[Cotação]],100)),)</f>
        <v>0</v>
      </c>
      <c r="AW284" s="17">
        <f>Tabela3[[#This Row],[Ativos]]*[Lucro]</f>
        <v>0</v>
      </c>
      <c r="AX284" s="13">
        <f>SUMPRODUCT(N(Tabela1[Código]=Tabela3[[#This Row],[PAPEL]]),Tabela1[Fechamento])</f>
        <v>0</v>
      </c>
      <c r="AY284" s="13">
        <f>SUMPRODUCT(N(Tabela17[Código]=Tabela3[[#This Row],[PAPEL]]),Tabela17[Fechamento])</f>
        <v>9.39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t="11.25" customHeight="1">
      <c r="A285" s="4" t="s">
        <v>231</v>
      </c>
      <c r="B285" s="57" t="s">
        <v>586</v>
      </c>
      <c r="C285" s="15" t="str">
        <f>LEFT([PAPEL],LEN([PAPEL])-(LEN([PAPEL])-4))</f>
        <v>USIM</v>
      </c>
      <c r="D285" s="15">
        <v>4</v>
      </c>
      <c r="E285" s="6">
        <v>12150000000</v>
      </c>
      <c r="F285" s="8">
        <v>508438474</v>
      </c>
      <c r="G285" s="85">
        <v>0.25</v>
      </c>
      <c r="H285" s="15"/>
      <c r="I285" s="19"/>
      <c r="J285" s="19">
        <v>0.1</v>
      </c>
      <c r="K285" s="87"/>
      <c r="L285" s="87"/>
      <c r="M285" s="55"/>
      <c r="N285" s="55"/>
      <c r="O285" s="55"/>
      <c r="P285" s="91">
        <v>16711908000</v>
      </c>
      <c r="Q285" s="92">
        <v>-141678000</v>
      </c>
      <c r="R285" s="92">
        <f>IF(Tabela3[[#This Row],[Ativo || Passivo]]&gt;0,Tabela3[[#This Row],[Ativo || Passivo]]-Tabela3[[#This Row],[Patrimônio Líquido]],0)</f>
        <v>0</v>
      </c>
      <c r="S285" s="92">
        <f>Tabela3[[#This Row],[Cotação]]*Tabela3[[#This Row],[Total Ações]]</f>
        <v>9656252048.7999992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2.2435702141443779</v>
      </c>
      <c r="Z285" s="13">
        <f>Tabela3[[#This Row],[Capital Social]]*20%</f>
        <v>2430000000</v>
      </c>
      <c r="AA285" s="13">
        <f>IF(([Lucro Líquido]*5%)&gt;[Teto R. Legal],[Teto R. Legal],[Lucro Líquido]*5%)</f>
        <v>-7083900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1014312190</v>
      </c>
      <c r="AE285" s="6">
        <f>[Capital Social]/[Total Ações]</f>
        <v>11.978560565263443</v>
      </c>
      <c r="AF285" s="77">
        <f>Tabela3[[#This Row],[Lucro Líquido]]/Tabela3[[#This Row],[Total Ações]]</f>
        <v>-0.13967888919879787</v>
      </c>
      <c r="AG2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16.476098941490587</v>
      </c>
      <c r="AN285" s="48">
        <f>MAX(Tabela3[[#This Row],[Cotação 1]:[Cotação 5]])</f>
        <v>9.52</v>
      </c>
      <c r="AO285" s="44">
        <f>[Cotação]/[VPA]</f>
        <v>0.57780667825600762</v>
      </c>
      <c r="AP285" s="40">
        <f>IF(Tabela3[[#This Row],[Lucro/Ação]]&gt;0,Tabela3[[#This Row],[Cotação]]/(Tabela3[[#This Row],[Lucro/Ação]]/[Ref]*4),0)</f>
        <v>0</v>
      </c>
      <c r="AQ285" s="77">
        <f>[Lucro Distribuir]/[Total Ações]</f>
        <v>0</v>
      </c>
      <c r="AR28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9.52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customHeight="1">
      <c r="A286" s="3" t="s">
        <v>1019</v>
      </c>
      <c r="B286" s="57" t="s">
        <v>1030</v>
      </c>
      <c r="C286" s="16" t="str">
        <f>LEFT([PAPEL],LEN([PAPEL])-(LEN([PAPEL])-4))</f>
        <v>DIRR</v>
      </c>
      <c r="D286" s="16">
        <v>3</v>
      </c>
      <c r="E286" s="5">
        <v>702982399</v>
      </c>
      <c r="F286" s="56">
        <v>155298749</v>
      </c>
      <c r="G286" s="80">
        <v>0.25</v>
      </c>
      <c r="H286" s="86"/>
      <c r="J286" s="18"/>
      <c r="K286" s="16"/>
      <c r="L286" s="86"/>
      <c r="M286" s="54"/>
      <c r="N286" s="54"/>
      <c r="O286" s="54"/>
      <c r="P286" s="90">
        <v>1478036000</v>
      </c>
      <c r="Q286" s="73">
        <v>177713000</v>
      </c>
      <c r="R286" s="73">
        <f>IF(Tabela3[[#This Row],[Ativo || Passivo]]&gt;0,Tabela3[[#This Row],[Ativo || Passivo]]-Tabela3[[#This Row],[Patrimônio Líquido]],0)</f>
        <v>0</v>
      </c>
      <c r="S286" s="73">
        <f>Tabela3[[#This Row],[Cotação]]*Tabela3[[#This Row],[Total Ações]]</f>
        <v>1483103052.95</v>
      </c>
      <c r="T286" s="37">
        <f>IF(Tabela3[[#This Row],[Passivo Circulante]]&gt;0,Tabela3[[#This Row],[Ativo Circulante]]/Tabela3[[#This Row],[Passivo Circulante]],0)</f>
        <v>0</v>
      </c>
      <c r="U28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6" s="18">
        <f>IF(Tabela3[[#This Row],[Lucro Líquido]]&gt;0,Tabela3[[#This Row],[Lucro Líquido]]/Tabela3[[#This Row],[Patrimônio Líquido]],0)/Tabela3[[#This Row],[Ref]]*4</f>
        <v>0.16031454353389679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6" s="18">
        <f>IF(Tabela3[[#This Row],[Dívida]]&gt;0,Tabela3[[#This Row],[Dívida]]/Tabela3[[#This Row],[Patrimônio Líquido]],0)</f>
        <v>0</v>
      </c>
      <c r="Y286" s="18">
        <f>SUMPRODUCT(N([Dívida / PL]&gt;0),N(RIGHT([PAPEL],LEN([PAPEL])-(LEN([PAPEL])-1))="3"),[Dívida / PL])/SUMPRODUCT(N([Dívida / PL]&gt;0),N(RIGHT([PAPEL],LEN([PAPEL])-(LEN([PAPEL])-1))="3"))</f>
        <v>2.2435702141443779</v>
      </c>
      <c r="Z286" s="7">
        <f>Tabela3[[#This Row],[Capital Social]]*20%</f>
        <v>140596479.80000001</v>
      </c>
      <c r="AA286" s="47">
        <f>IF(([Lucro Líquido]*5%)&gt;[Teto R. Legal],[Teto R. Legal],[Lucro Líquido]*5%)</f>
        <v>8885650</v>
      </c>
      <c r="AB286" s="47">
        <f>IF([Lucro Líquido]&lt;0,0,[Lucro Líquido]-[Reserva Legal])</f>
        <v>168827350</v>
      </c>
      <c r="AC286" s="47">
        <f>Tabela3[[#This Row],[Lucro Distribuir]]*[%Div]</f>
        <v>42206837.5</v>
      </c>
      <c r="AD286" s="56">
        <f>SUMPRODUCT(N([Nome]=Tabela3[[#This Row],[Nome]]),[Ações])</f>
        <v>155298749</v>
      </c>
      <c r="AE286" s="84">
        <f>[Capital Social]/[Total Ações]</f>
        <v>4.5266456009893554</v>
      </c>
      <c r="AF286" s="84">
        <f>Tabela3[[#This Row],[Lucro Líquido]]/Tabela3[[#This Row],[Total Ações]]</f>
        <v>1.1443298876799066</v>
      </c>
      <c r="AG28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28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286" s="7">
        <f>[Div Base]*[Ações]</f>
        <v>42206837.5</v>
      </c>
      <c r="AL286" s="113">
        <f>SUMPRODUCT(N([Nome]=Tabela3[[#This Row],[Nome]]),[Div Base]*[Ações])</f>
        <v>42206837.5</v>
      </c>
      <c r="AM286" s="5">
        <f>[Patrimônio Líquido]/[Total Ações]</f>
        <v>9.5173722230048359</v>
      </c>
      <c r="AN286" s="52">
        <f>MAX(Tabela3[[#This Row],[Cotação 1]:[Cotação 5]])</f>
        <v>9.5500000000000007</v>
      </c>
      <c r="AO286" s="53">
        <f>[Cotação]/[VPA]</f>
        <v>1.0034282337845628</v>
      </c>
      <c r="AP286" s="37">
        <f>IF(Tabela3[[#This Row],[Lucro/Ação]]&gt;0,Tabela3[[#This Row],[Cotação]]/(Tabela3[[#This Row],[Lucro/Ação]]/[Ref]*4),0)</f>
        <v>6.259121672092081</v>
      </c>
      <c r="AQ286" s="84">
        <f>[Lucro Distribuir]/[Total Ações]</f>
        <v>1.0871133932959112</v>
      </c>
      <c r="AR286" s="84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286" s="10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2.8458465793086678E-2</v>
      </c>
      <c r="AU286" s="22">
        <f>((1+Tabela3[[#This Row],[% Yield]])^(1/(3*Tabela3[[#This Row],[Ref]])))^(12)-1</f>
        <v>3.8123470459646924E-2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7">
        <f>SUMPRODUCT(N(Tabela1[Código]=Tabela3[[#This Row],[PAPEL]]),Tabela1[Fechamento])</f>
        <v>0</v>
      </c>
      <c r="AY286" s="7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9.5500000000000007</v>
      </c>
      <c r="BB286" s="7">
        <f>SUMPRODUCT(N(Tabela17683[Código]=Tabela3[[#This Row],[PAPEL]]),Tabela17683[Fechamento])</f>
        <v>0</v>
      </c>
    </row>
    <row r="287" spans="1:54" ht="11.25" customHeight="1">
      <c r="A287" s="4" t="s">
        <v>12</v>
      </c>
      <c r="B287" s="57" t="s">
        <v>27</v>
      </c>
      <c r="C287" s="15" t="str">
        <f>LEFT([PAPEL],LEN([PAPEL])-(LEN([PAPEL])-4))</f>
        <v>ELET</v>
      </c>
      <c r="D287" s="15">
        <v>3</v>
      </c>
      <c r="E287" s="6">
        <v>31305331463.740002</v>
      </c>
      <c r="F287" s="8">
        <v>265436883</v>
      </c>
      <c r="G287" s="80">
        <v>0.25</v>
      </c>
      <c r="H287" s="15"/>
      <c r="I287" s="19">
        <v>0.06</v>
      </c>
      <c r="J287" s="19"/>
      <c r="K287" s="87"/>
      <c r="L287" s="87"/>
      <c r="M287" s="55"/>
      <c r="N287" s="55"/>
      <c r="O287" s="55"/>
      <c r="P287" s="88">
        <v>65493746000</v>
      </c>
      <c r="Q287" s="88">
        <v>-787071000</v>
      </c>
      <c r="R287" s="88">
        <f>IF(Tabela3[[#This Row],[Ativo || Passivo]]&gt;0,Tabela3[[#This Row],[Ativo || Passivo]]-Tabela3[[#This Row],[Patrimônio Líquido]],0)</f>
        <v>0</v>
      </c>
      <c r="S287" s="88">
        <f>Tabela3[[#This Row],[Cotação]]*Tabela3[[#This Row],[Total Ações]]</f>
        <v>13079971747</v>
      </c>
      <c r="T287" s="121">
        <f>IF(Tabela3[[#This Row],[Passivo Circulante]]&gt;0,Tabela3[[#This Row],[Ativo Circulante]]/Tabela3[[#This Row],[Passivo Circulante]],0)</f>
        <v>0</v>
      </c>
      <c r="U28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7" s="19">
        <f>IF(Tabela3[[#This Row],[Lucro Líquido]]&gt;0,Tabela3[[#This Row],[Lucro Líquido]]/Tabela3[[#This Row],[Patrimônio Líquido]],0)/Tabela3[[#This Row],[Ref]]*4</f>
        <v>0</v>
      </c>
      <c r="W28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7" s="19">
        <f>IF(Tabela3[[#This Row],[Dívida]]&gt;0,Tabela3[[#This Row],[Dívida]]/Tabela3[[#This Row],[Patrimônio Líquido]],0)</f>
        <v>0</v>
      </c>
      <c r="Y287" s="19">
        <f>SUMPRODUCT(N([Dívida / PL]&gt;0),N(RIGHT([PAPEL],LEN([PAPEL])-(LEN([PAPEL])-1))="3"),[Dívida / PL])/SUMPRODUCT(N([Dívida / PL]&gt;0),N(RIGHT([PAPEL],LEN([PAPEL])-(LEN([PAPEL])-1))="3"))</f>
        <v>2.2435702141443779</v>
      </c>
      <c r="Z287" s="6">
        <f>Tabela3[[#This Row],[Capital Social]]*20%</f>
        <v>6261066292.7480011</v>
      </c>
      <c r="AA287" s="6">
        <f>IF(([Lucro Líquido]*5%)&gt;[Teto R. Legal],[Teto R. Legal],[Lucro Líquido]*5%)</f>
        <v>-39353550</v>
      </c>
      <c r="AB287" s="88">
        <f>IF([Lucro Líquido]&lt;0,0,[Lucro Líquido]-[Reserva Legal])</f>
        <v>0</v>
      </c>
      <c r="AC287" s="88">
        <f>Tabela3[[#This Row],[Lucro Distribuir]]*[%Div]</f>
        <v>0</v>
      </c>
      <c r="AD287" s="56">
        <f>SUMPRODUCT(N([Nome]=Tabela3[[#This Row],[Nome]]),[Ações])</f>
        <v>1352634100</v>
      </c>
      <c r="AE287" s="6">
        <f>[Capital Social]/[Total Ações]</f>
        <v>23.143976234031069</v>
      </c>
      <c r="AF287" s="77">
        <f>Tabela3[[#This Row],[Lucro Líquido]]/Tabela3[[#This Row],[Total Ações]]</f>
        <v>-0.58188019953067871</v>
      </c>
      <c r="AG28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7" s="6">
        <f>[Div Base]*[Ações]</f>
        <v>0</v>
      </c>
      <c r="AL287" s="6">
        <f>SUMPRODUCT(N([Nome]=Tabela3[[#This Row],[Nome]]),[Div Base]*[Ações])</f>
        <v>0</v>
      </c>
      <c r="AM287" s="28">
        <f>[Patrimônio Líquido]/[Total Ações]</f>
        <v>48.419410689113931</v>
      </c>
      <c r="AN287" s="29">
        <f>MAX(Tabela3[[#This Row],[Cotação 1]:[Cotação 5]])</f>
        <v>9.67</v>
      </c>
      <c r="AO287" s="30">
        <f>[Cotação]/[VPA]</f>
        <v>0.1997132939532883</v>
      </c>
      <c r="AP287" s="35">
        <f>IF(Tabela3[[#This Row],[Lucro/Ação]]&gt;0,Tabela3[[#This Row],[Cotação]]/(Tabela3[[#This Row],[Lucro/Ação]]/[Ref]*4),0)</f>
        <v>0</v>
      </c>
      <c r="AQ287" s="77">
        <f>[Lucro Distribuir]/[Total Ações]</f>
        <v>0</v>
      </c>
      <c r="AR28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7" s="25" t="str">
        <f>IF(AND([% A.A.]&gt;=5%,SUMPRODUCT(N([Nome]=Tabela3[[#This Row],[Nome]]),[PL])&gt;0,[Rentabilidade s/ PL]&gt;=[Rentabilidade s/ PL Média]),"Sim","Não")</f>
        <v>Não</v>
      </c>
      <c r="AT287" s="27">
        <f>IF([Cotação]&gt;0,Tabela3[[#This Row],[Lucro]]/Tabela3[[#This Row],[Cotação]],0)</f>
        <v>0</v>
      </c>
      <c r="AU287" s="49">
        <f>((1+Tabela3[[#This Row],[% Yield]])^(1/(3*Tabela3[[#This Row],[Ref]])))^(12)-1</f>
        <v>0</v>
      </c>
      <c r="AV287" s="10">
        <f>IF([Cotação]&gt;0,($BH$1/Tabela3[[#This Row],[Cotação]]-MOD($BH$1/Tabela3[[#This Row],[Cotação]],100)),)</f>
        <v>0</v>
      </c>
      <c r="AW287" s="5">
        <f>Tabela3[[#This Row],[Ativos]]*[Lucro]</f>
        <v>0</v>
      </c>
      <c r="AX287" s="5">
        <f>SUMPRODUCT(N(Tabela1[Código]=Tabela3[[#This Row],[PAPEL]]),Tabela1[Fechamento])</f>
        <v>9.67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customHeight="1">
      <c r="A288" s="4" t="s">
        <v>231</v>
      </c>
      <c r="B288" s="57" t="s">
        <v>584</v>
      </c>
      <c r="C288" s="15" t="str">
        <f>LEFT([PAPEL],LEN([PAPEL])-(LEN([PAPEL])-4))</f>
        <v>CSNA</v>
      </c>
      <c r="D288" s="15">
        <v>4</v>
      </c>
      <c r="E288" s="6">
        <v>4540000000</v>
      </c>
      <c r="F288" s="8">
        <v>1457970108</v>
      </c>
      <c r="G288" s="85">
        <v>0.25</v>
      </c>
      <c r="H288" s="15"/>
      <c r="I288" s="19"/>
      <c r="J288" s="19"/>
      <c r="K288" s="87"/>
      <c r="L288" s="87"/>
      <c r="M288" s="55">
        <v>48689176000</v>
      </c>
      <c r="N288" s="55">
        <v>5054174000</v>
      </c>
      <c r="O288" s="55">
        <v>6503789000</v>
      </c>
      <c r="P288" s="91">
        <v>8096570000</v>
      </c>
      <c r="Q288" s="92">
        <v>509025000</v>
      </c>
      <c r="R288" s="92">
        <f>IF(Tabela3[[#This Row],[Ativo || Passivo]]&gt;0,Tabela3[[#This Row],[Ativo || Passivo]]-Tabela3[[#This Row],[Patrimônio Líquido]],0)</f>
        <v>40592606000</v>
      </c>
      <c r="S288" s="92">
        <f>Tabela3[[#This Row],[Cotação]]*Tabela3[[#This Row],[Total Ações]]</f>
        <v>14186049150.84</v>
      </c>
      <c r="T288" s="40">
        <f>IF(Tabela3[[#This Row],[Passivo Circulante]]&gt;0,Tabela3[[#This Row],[Ativo Circulante]]/Tabela3[[#This Row],[Passivo Circulante]],0)</f>
        <v>0.77711223411460617</v>
      </c>
      <c r="U28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8" s="19">
        <f>IF(Tabela3[[#This Row],[Lucro Líquido]]&gt;0,Tabela3[[#This Row],[Lucro Líquido]]/Tabela3[[#This Row],[Patrimônio Líquido]],0)/Tabela3[[#This Row],[Ref]]*4</f>
        <v>6.2869214988569233E-2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8" s="19">
        <f>IF(Tabela3[[#This Row],[Dívida]]&gt;0,Tabela3[[#This Row],[Dívida]]/Tabela3[[#This Row],[Patrimônio Líquido]],0)</f>
        <v>5.0135558637793531</v>
      </c>
      <c r="Y288" s="19">
        <f>SUMPRODUCT(N([Dívida / PL]&gt;0),N(RIGHT([PAPEL],LEN([PAPEL])-(LEN([PAPEL])-1))="3"),[Dívida / PL])/SUMPRODUCT(N([Dívida / PL]&gt;0),N(RIGHT([PAPEL],LEN([PAPEL])-(LEN([PAPEL])-1))="3"))</f>
        <v>2.2435702141443779</v>
      </c>
      <c r="Z288" s="13">
        <f>Tabela3[[#This Row],[Capital Social]]*20%</f>
        <v>908000000</v>
      </c>
      <c r="AA288" s="13">
        <f>IF(([Lucro Líquido]*5%)&gt;[Teto R. Legal],[Teto R. Legal],[Lucro Líquido]*5%)</f>
        <v>25451250</v>
      </c>
      <c r="AB288" s="13">
        <f>IF([Lucro Líquido]&lt;0,0,[Lucro Líquido]-[Reserva Legal])</f>
        <v>483573750</v>
      </c>
      <c r="AC288" s="13">
        <f>Tabela3[[#This Row],[Lucro Distribuir]]*[%Div]</f>
        <v>120893437.5</v>
      </c>
      <c r="AD288" s="56">
        <f>SUMPRODUCT(N([Nome]=Tabela3[[#This Row],[Nome]]),[Ações])</f>
        <v>1457970108</v>
      </c>
      <c r="AE288" s="6">
        <f>[Capital Social]/[Total Ações]</f>
        <v>3.1139184370712765</v>
      </c>
      <c r="AF288" s="77">
        <f>Tabela3[[#This Row],[Lucro Líquido]]/Tabela3[[#This Row],[Total Ações]]</f>
        <v>0.34913267234145517</v>
      </c>
      <c r="AG2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2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288" s="13">
        <f>[Div Base]*[Ações]</f>
        <v>120893437.5</v>
      </c>
      <c r="AL288" s="13">
        <f>SUMPRODUCT(N([Nome]=Tabela3[[#This Row],[Nome]]),[Div Base]*[Ações])</f>
        <v>120893437.5</v>
      </c>
      <c r="AM288" s="6">
        <f>[Patrimônio Líquido]/[Total Ações]</f>
        <v>5.553316872255107</v>
      </c>
      <c r="AN288" s="48">
        <f>MAX(Tabela3[[#This Row],[Cotação 1]:[Cotação 5]])</f>
        <v>9.73</v>
      </c>
      <c r="AO288" s="44">
        <f>[Cotação]/[VPA]</f>
        <v>1.7521060338933647</v>
      </c>
      <c r="AP288" s="40">
        <f>IF(Tabela3[[#This Row],[Lucro/Ação]]&gt;0,Tabela3[[#This Row],[Cotação]]/(Tabela3[[#This Row],[Lucro/Ação]]/[Ref]*4),0)</f>
        <v>27.869061737321349</v>
      </c>
      <c r="AQ288" s="77">
        <f>[Lucro Distribuir]/[Total Ações]</f>
        <v>0.33167603872438239</v>
      </c>
      <c r="AR288" s="77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288" s="14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8.5219948284784783E-3</v>
      </c>
      <c r="AU288" s="42">
        <f>((1+Tabela3[[#This Row],[% Yield]])^(1/(3*Tabela3[[#This Row],[Ref]])))^(12)-1</f>
        <v>8.5219948284793734E-3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17">
        <f>SUMPRODUCT(N(Tabela1[Código]=Tabela3[[#This Row],[PAPEL]]),Tabela1[Fechamento])</f>
        <v>0</v>
      </c>
      <c r="AY288" s="17">
        <f>SUMPRODUCT(N(Tabela17[Código]=Tabela3[[#This Row],[PAPEL]]),Tabela17[Fechamento])</f>
        <v>0</v>
      </c>
      <c r="AZ288" s="17">
        <f>SUMPRODUCT(N(Tabela176[Código]=Tabela3[[#This Row],[PAPEL]]),Tabela176[Fechamento])</f>
        <v>9.73</v>
      </c>
      <c r="BA288" s="1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customHeight="1">
      <c r="A289" s="4" t="s">
        <v>733</v>
      </c>
      <c r="B289" s="57" t="s">
        <v>729</v>
      </c>
      <c r="C289" s="15" t="str">
        <f>LEFT([PAPEL],LEN([PAPEL])-(LEN([PAPEL])-4))</f>
        <v>BIOM</v>
      </c>
      <c r="D289" s="15">
        <v>3</v>
      </c>
      <c r="E289" s="6">
        <v>13062247.32</v>
      </c>
      <c r="F289" s="8">
        <v>17338833</v>
      </c>
      <c r="G289" s="85">
        <v>0.25</v>
      </c>
      <c r="H289" s="15"/>
      <c r="I289" s="19"/>
      <c r="J289" s="19"/>
      <c r="K289" s="87"/>
      <c r="L289" s="87"/>
      <c r="M289" s="55"/>
      <c r="N289" s="55"/>
      <c r="O289" s="55"/>
      <c r="P289" s="91">
        <v>-30201000</v>
      </c>
      <c r="Q289" s="92">
        <v>-8750000</v>
      </c>
      <c r="R289" s="92">
        <f>IF(Tabela3[[#This Row],[Ativo || Passivo]]&gt;0,Tabela3[[#This Row],[Ativo || Passivo]]-Tabela3[[#This Row],[Patrimônio Líquido]],0)</f>
        <v>0</v>
      </c>
      <c r="S289" s="92">
        <f>Tabela3[[#This Row],[Cotação]]*Tabela3[[#This Row],[Total Ações]]</f>
        <v>169053621.75</v>
      </c>
      <c r="T289" s="40">
        <f>IF(Tabela3[[#This Row],[Passivo Circulante]]&gt;0,Tabela3[[#This Row],[Ativo Circulante]]/Tabela3[[#This Row],[Passivo Circulante]],0)</f>
        <v>0</v>
      </c>
      <c r="U28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89" s="19">
        <f>IF(Tabela3[[#This Row],[Lucro Líquido]]&gt;0,Tabela3[[#This Row],[Lucro Líquido]]/Tabela3[[#This Row],[Patrimônio Líquido]],0)/Tabela3[[#This Row],[Ref]]*4</f>
        <v>0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89" s="19">
        <f>IF(Tabela3[[#This Row],[Dívida]]&gt;0,Tabela3[[#This Row],[Dívida]]/Tabela3[[#This Row],[Patrimônio Líquido]],0)</f>
        <v>0</v>
      </c>
      <c r="Y289" s="19">
        <f>SUMPRODUCT(N([Dívida / PL]&gt;0),N(RIGHT([PAPEL],LEN([PAPEL])-(LEN([PAPEL])-1))="3"),[Dívida / PL])/SUMPRODUCT(N([Dívida / PL]&gt;0),N(RIGHT([PAPEL],LEN([PAPEL])-(LEN([PAPEL])-1))="3"))</f>
        <v>2.2435702141443779</v>
      </c>
      <c r="Z289" s="13">
        <f>Tabela3[[#This Row],[Capital Social]]*20%</f>
        <v>2612449.4640000002</v>
      </c>
      <c r="AA289" s="13">
        <f>IF(([Lucro Líquido]*5%)&gt;[Teto R. Legal],[Teto R. Legal],[Lucro Líquido]*5%)</f>
        <v>-437500</v>
      </c>
      <c r="AB289" s="13">
        <f>IF([Lucro Líquido]&lt;0,0,[Lucro Líquido]-[Reserva Legal])</f>
        <v>0</v>
      </c>
      <c r="AC289" s="13">
        <f>Tabela3[[#This Row],[Lucro Distribuir]]*[%Div]</f>
        <v>0</v>
      </c>
      <c r="AD289" s="56">
        <f>SUMPRODUCT(N([Nome]=Tabela3[[#This Row],[Nome]]),[Ações])</f>
        <v>17338833</v>
      </c>
      <c r="AE289" s="6">
        <f>[Capital Social]/[Total Ações]</f>
        <v>0.75335216159011398</v>
      </c>
      <c r="AF289" s="77">
        <f>Tabela3[[#This Row],[Lucro Líquido]]/Tabela3[[#This Row],[Total Ações]]</f>
        <v>-0.50464757345549149</v>
      </c>
      <c r="AG2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9" s="13">
        <f>[Div Base]*[Ações]</f>
        <v>0</v>
      </c>
      <c r="AL289" s="13">
        <f>SUMPRODUCT(N([Nome]=Tabela3[[#This Row],[Nome]]),[Div Base]*[Ações])</f>
        <v>0</v>
      </c>
      <c r="AM289" s="6">
        <f>[Patrimônio Líquido]/[Total Ações]</f>
        <v>-1.741812727534777</v>
      </c>
      <c r="AN289" s="48">
        <f>MAX(Tabela3[[#This Row],[Cotação 1]:[Cotação 5]])</f>
        <v>9.75</v>
      </c>
      <c r="AO289" s="44">
        <f>[Cotação]/[VPA]</f>
        <v>-5.5976166931558557</v>
      </c>
      <c r="AP289" s="40">
        <f>IF(Tabela3[[#This Row],[Lucro/Ação]]&gt;0,Tabela3[[#This Row],[Cotação]]/(Tabela3[[#This Row],[Lucro/Ação]]/[Ref]*4),0)</f>
        <v>0</v>
      </c>
      <c r="AQ289" s="77">
        <f>[Lucro Distribuir]/[Total Ações]</f>
        <v>0</v>
      </c>
      <c r="AR28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9" s="14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0</v>
      </c>
      <c r="AU289" s="42">
        <f>((1+Tabela3[[#This Row],[% Yield]])^(1/(3*Tabela3[[#This Row],[Ref]])))^(12)-1</f>
        <v>0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17">
        <f>SUMPRODUCT(N(Tabela1[Código]=Tabela3[[#This Row],[PAPEL]]),Tabela1[Fechamento])</f>
        <v>0</v>
      </c>
      <c r="AY289" s="17">
        <f>SUMPRODUCT(N(Tabela17[Código]=Tabela3[[#This Row],[PAPEL]]),Tabela17[Fechamento])</f>
        <v>0</v>
      </c>
      <c r="AZ289" s="17">
        <f>SUMPRODUCT(N(Tabela176[Código]=Tabela3[[#This Row],[PAPEL]]),Tabela176[Fechamento])</f>
        <v>9.75</v>
      </c>
      <c r="BA289" s="1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customHeight="1">
      <c r="A290" s="3" t="s">
        <v>269</v>
      </c>
      <c r="B290" s="58" t="s">
        <v>810</v>
      </c>
      <c r="C290" s="16" t="str">
        <f>LEFT([PAPEL],LEN([PAPEL])-(LEN([PAPEL])-4))</f>
        <v>BEEF</v>
      </c>
      <c r="D290" s="16">
        <v>4</v>
      </c>
      <c r="E290" s="5">
        <v>744141845.75</v>
      </c>
      <c r="F290" s="56">
        <v>149000090</v>
      </c>
      <c r="G290" s="80">
        <v>0.25</v>
      </c>
      <c r="H290" s="86"/>
      <c r="J290" s="18"/>
      <c r="K290" s="16"/>
      <c r="L290" s="86"/>
      <c r="M290" s="54">
        <v>4666699000</v>
      </c>
      <c r="N290" s="54">
        <v>2130822000</v>
      </c>
      <c r="O290" s="54">
        <v>1074027000</v>
      </c>
      <c r="P290" s="90">
        <v>442889000</v>
      </c>
      <c r="Q290" s="73">
        <v>-313969000</v>
      </c>
      <c r="R290" s="73">
        <f>IF(Tabela3[[#This Row],[Ativo || Passivo]]&gt;0,Tabela3[[#This Row],[Ativo || Passivo]]-Tabela3[[#This Row],[Patrimônio Líquido]],0)</f>
        <v>4223810000</v>
      </c>
      <c r="S290" s="73">
        <f>Tabela3[[#This Row],[Cotação]]*Tabela3[[#This Row],[Total Ações]]</f>
        <v>1460200882</v>
      </c>
      <c r="T290" s="37">
        <f>IF(Tabela3[[#This Row],[Passivo Circulante]]&gt;0,Tabela3[[#This Row],[Ativo Circulante]]/Tabela3[[#This Row],[Passivo Circulante]],0)</f>
        <v>1.9839557106106271</v>
      </c>
      <c r="U29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0" s="18">
        <f>IF(Tabela3[[#This Row],[Lucro Líquido]]&gt;0,Tabela3[[#This Row],[Lucro Líquido]]/Tabela3[[#This Row],[Patrimônio Líquido]],0)/Tabela3[[#This Row],[Ref]]*4</f>
        <v>0</v>
      </c>
      <c r="W2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0" s="18">
        <f>IF(Tabela3[[#This Row],[Dívida]]&gt;0,Tabela3[[#This Row],[Dívida]]/Tabela3[[#This Row],[Patrimônio Líquido]],0)</f>
        <v>9.5369494387984357</v>
      </c>
      <c r="Y290" s="18">
        <f>SUMPRODUCT(N([Dívida / PL]&gt;0),N(RIGHT([PAPEL],LEN([PAPEL])-(LEN([PAPEL])-1))="3"),[Dívida / PL])/SUMPRODUCT(N([Dívida / PL]&gt;0),N(RIGHT([PAPEL],LEN([PAPEL])-(LEN([PAPEL])-1))="3"))</f>
        <v>2.2435702141443779</v>
      </c>
      <c r="Z290" s="7">
        <f>Tabela3[[#This Row],[Capital Social]]*20%</f>
        <v>148828369.15000001</v>
      </c>
      <c r="AA290" s="47">
        <f>IF(([Lucro Líquido]*5%)&gt;[Teto R. Legal],[Teto R. Legal],[Lucro Líquido]*5%)</f>
        <v>-15698450</v>
      </c>
      <c r="AB290" s="47">
        <f>IF([Lucro Líquido]&lt;0,0,[Lucro Líquido]-[Reserva Legal])</f>
        <v>0</v>
      </c>
      <c r="AC290" s="47">
        <f>Tabela3[[#This Row],[Lucro Distribuir]]*[%Div]</f>
        <v>0</v>
      </c>
      <c r="AD290" s="56">
        <f>SUMPRODUCT(N([Nome]=Tabela3[[#This Row],[Nome]]),[Ações])</f>
        <v>149000090</v>
      </c>
      <c r="AE290" s="84">
        <f>[Capital Social]/[Total Ações]</f>
        <v>4.9942375588497967</v>
      </c>
      <c r="AF290" s="84">
        <f>Tabela3[[#This Row],[Lucro Líquido]]/Tabela3[[#This Row],[Total Ações]]</f>
        <v>-2.1071732238550998</v>
      </c>
      <c r="AG29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0" s="7">
        <f>[Div Base]*[Ações]</f>
        <v>0</v>
      </c>
      <c r="AL290" s="7">
        <f>SUMPRODUCT(N([Nome]=Tabela3[[#This Row],[Nome]]),[Div Base]*[Ações])</f>
        <v>0</v>
      </c>
      <c r="AM290" s="5">
        <f>[Patrimônio Líquido]/[Total Ações]</f>
        <v>2.9724076005591673</v>
      </c>
      <c r="AN290" s="52">
        <f>MAX(Tabela3[[#This Row],[Cotação 1]:[Cotação 5]])</f>
        <v>9.8000000000000007</v>
      </c>
      <c r="AO290" s="53">
        <f>[Cotação]/[VPA]</f>
        <v>3.2969906274484129</v>
      </c>
      <c r="AP290" s="37">
        <f>IF(Tabela3[[#This Row],[Lucro/Ação]]&gt;0,Tabela3[[#This Row],[Cotação]]/(Tabela3[[#This Row],[Lucro/Ação]]/[Ref]*4),0)</f>
        <v>0</v>
      </c>
      <c r="AQ290" s="84">
        <f>[Lucro Distribuir]/[Total Ações]</f>
        <v>0</v>
      </c>
      <c r="AR290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90" s="10" t="str">
        <f>IF(AND([% A.A.]&gt;=5%,SUMPRODUCT(N([Nome]=Tabela3[[#This Row],[Nome]]),[PL])&gt;0,[Rentabilidade s/ PL]&gt;=[Rentabilidade s/ PL Média]),"Sim","Não")</f>
        <v>Não</v>
      </c>
      <c r="AT290" s="22">
        <f>IF([Cotação]&gt;0,Tabela3[[#This Row],[Lucro]]/Tabela3[[#This Row],[Cotação]],0)</f>
        <v>0</v>
      </c>
      <c r="AU290" s="22">
        <f>((1+Tabela3[[#This Row],[% Yield]])^(1/(3*Tabela3[[#This Row],[Ref]])))^(12)-1</f>
        <v>0</v>
      </c>
      <c r="AV290" s="10">
        <f>IF([Cotação]&gt;0,($BH$1/Tabela3[[#This Row],[Cotação]]-MOD($BH$1/Tabela3[[#This Row],[Cotação]],100)),)</f>
        <v>0</v>
      </c>
      <c r="AW290" s="7">
        <f>Tabela3[[#This Row],[Ativos]]*[Lucro]</f>
        <v>0</v>
      </c>
      <c r="AX290" s="7">
        <f>SUMPRODUCT(N(Tabela1[Código]=Tabela3[[#This Row],[PAPEL]]),Tabela1[Fechamento])</f>
        <v>0</v>
      </c>
      <c r="AY290" s="7">
        <f>SUMPRODUCT(N(Tabela17[Código]=Tabela3[[#This Row],[PAPEL]]),Tabela17[Fechamento])</f>
        <v>0</v>
      </c>
      <c r="AZ290" s="7">
        <f>SUMPRODUCT(N(Tabela176[Código]=Tabela3[[#This Row],[PAPEL]]),Tabela176[Fechamento])</f>
        <v>9.8000000000000007</v>
      </c>
      <c r="BA290" s="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customHeight="1">
      <c r="A291" s="3" t="s">
        <v>1019</v>
      </c>
      <c r="B291" s="57" t="s">
        <v>1047</v>
      </c>
      <c r="C291" s="16" t="str">
        <f>LEFT([PAPEL],LEN([PAPEL])-(LEN([PAPEL])-4))</f>
        <v>RDNI</v>
      </c>
      <c r="D291" s="16">
        <v>3</v>
      </c>
      <c r="E291" s="5">
        <v>512438000</v>
      </c>
      <c r="F291" s="56">
        <v>48575200</v>
      </c>
      <c r="G291" s="80">
        <v>0.25</v>
      </c>
      <c r="H291" s="86"/>
      <c r="J291" s="18"/>
      <c r="K291" s="16"/>
      <c r="L291" s="86"/>
      <c r="M291" s="54"/>
      <c r="N291" s="54"/>
      <c r="O291" s="54"/>
      <c r="P291" s="90">
        <v>815073000</v>
      </c>
      <c r="Q291" s="73">
        <v>50641000</v>
      </c>
      <c r="R291" s="73">
        <f>IF(Tabela3[[#This Row],[Ativo || Passivo]]&gt;0,Tabela3[[#This Row],[Ativo || Passivo]]-Tabela3[[#This Row],[Patrimônio Líquido]],0)</f>
        <v>0</v>
      </c>
      <c r="S291" s="73">
        <f>Tabela3[[#This Row],[Cotação]]*Tabela3[[#This Row],[Total Ações]]</f>
        <v>483808992.00000006</v>
      </c>
      <c r="T291" s="37">
        <f>IF(Tabela3[[#This Row],[Passivo Circulante]]&gt;0,Tabela3[[#This Row],[Ativo Circulante]]/Tabela3[[#This Row],[Passivo Circulante]],0)</f>
        <v>0</v>
      </c>
      <c r="U29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1" s="18">
        <f>IF(Tabela3[[#This Row],[Lucro Líquido]]&gt;0,Tabela3[[#This Row],[Lucro Líquido]]/Tabela3[[#This Row],[Patrimônio Líquido]],0)/Tabela3[[#This Row],[Ref]]*4</f>
        <v>8.2840841658763487E-2</v>
      </c>
      <c r="W2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1" s="18">
        <f>IF(Tabela3[[#This Row],[Dívida]]&gt;0,Tabela3[[#This Row],[Dívida]]/Tabela3[[#This Row],[Patrimônio Líquido]],0)</f>
        <v>0</v>
      </c>
      <c r="Y291" s="18">
        <f>SUMPRODUCT(N([Dívida / PL]&gt;0),N(RIGHT([PAPEL],LEN([PAPEL])-(LEN([PAPEL])-1))="3"),[Dívida / PL])/SUMPRODUCT(N([Dívida / PL]&gt;0),N(RIGHT([PAPEL],LEN([PAPEL])-(LEN([PAPEL])-1))="3"))</f>
        <v>2.2435702141443779</v>
      </c>
      <c r="Z291" s="7">
        <f>Tabela3[[#This Row],[Capital Social]]*20%</f>
        <v>102487600</v>
      </c>
      <c r="AA291" s="47">
        <f>IF(([Lucro Líquido]*5%)&gt;[Teto R. Legal],[Teto R. Legal],[Lucro Líquido]*5%)</f>
        <v>2532050</v>
      </c>
      <c r="AB291" s="47">
        <f>IF([Lucro Líquido]&lt;0,0,[Lucro Líquido]-[Reserva Legal])</f>
        <v>48108950</v>
      </c>
      <c r="AC291" s="47">
        <f>Tabela3[[#This Row],[Lucro Distribuir]]*[%Div]</f>
        <v>12027237.5</v>
      </c>
      <c r="AD291" s="56">
        <f>SUMPRODUCT(N([Nome]=Tabela3[[#This Row],[Nome]]),[Ações])</f>
        <v>48575200</v>
      </c>
      <c r="AE291" s="84">
        <f>[Capital Social]/[Total Ações]</f>
        <v>10.549374989706681</v>
      </c>
      <c r="AF291" s="84">
        <f>Tabela3[[#This Row],[Lucro Líquido]]/Tabela3[[#This Row],[Total Ações]]</f>
        <v>1.0425278743062303</v>
      </c>
      <c r="AG29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29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291" s="7">
        <f>[Div Base]*[Ações]</f>
        <v>12027237.5</v>
      </c>
      <c r="AL291" s="113">
        <f>SUMPRODUCT(N([Nome]=Tabela3[[#This Row],[Nome]]),[Div Base]*[Ações])</f>
        <v>12027237.5</v>
      </c>
      <c r="AM291" s="5">
        <f>[Patrimônio Líquido]/[Total Ações]</f>
        <v>16.779611818376456</v>
      </c>
      <c r="AN291" s="52">
        <f>MAX(Tabela3[[#This Row],[Cotação 1]:[Cotação 5]])</f>
        <v>9.9600000000000009</v>
      </c>
      <c r="AO291" s="53">
        <f>[Cotação]/[VPA]</f>
        <v>0.59357749796643988</v>
      </c>
      <c r="AP291" s="37">
        <f>IF(Tabela3[[#This Row],[Lucro/Ação]]&gt;0,Tabela3[[#This Row],[Cotação]]/(Tabela3[[#This Row],[Lucro/Ação]]/[Ref]*4),0)</f>
        <v>7.1652760411524268</v>
      </c>
      <c r="AQ291" s="84">
        <f>[Lucro Distribuir]/[Total Ações]</f>
        <v>0.99040148059091881</v>
      </c>
      <c r="AR291" s="84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291" s="10" t="str">
        <f>IF(AND([% A.A.]&gt;=5%,SUMPRODUCT(N([Nome]=Tabela3[[#This Row],[Nome]]),[PL])&gt;0,[Rentabilidade s/ PL]&gt;=[Rentabilidade s/ PL Média]),"Sim","Não")</f>
        <v>Não</v>
      </c>
      <c r="AT291" s="22">
        <f>IF([Cotação]&gt;0,Tabela3[[#This Row],[Lucro]]/Tabela3[[#This Row],[Cotação]],0)</f>
        <v>2.485947491443069E-2</v>
      </c>
      <c r="AU291" s="22">
        <f>((1+Tabela3[[#This Row],[% Yield]])^(1/(3*Tabela3[[#This Row],[Ref]])))^(12)-1</f>
        <v>3.3282547529276618E-2</v>
      </c>
      <c r="AV291" s="10">
        <f>IF([Cotação]&gt;0,($BH$1/Tabela3[[#This Row],[Cotação]]-MOD($BH$1/Tabela3[[#This Row],[Cotação]],100)),)</f>
        <v>0</v>
      </c>
      <c r="AW291" s="7">
        <f>Tabela3[[#This Row],[Ativos]]*[Lucro]</f>
        <v>0</v>
      </c>
      <c r="AX291" s="7">
        <f>SUMPRODUCT(N(Tabela1[Código]=Tabela3[[#This Row],[PAPEL]]),Tabela1[Fechamento])</f>
        <v>0</v>
      </c>
      <c r="AY291" s="7">
        <f>SUMPRODUCT(N(Tabela17[Código]=Tabela3[[#This Row],[PAPEL]]),Tabela17[Fechamento])</f>
        <v>0</v>
      </c>
      <c r="AZ291" s="7">
        <f>SUMPRODUCT(N(Tabela176[Código]=Tabela3[[#This Row],[PAPEL]]),Tabela176[Fechamento])</f>
        <v>0</v>
      </c>
      <c r="BA291" s="7">
        <f>SUMPRODUCT(N(Tabela1768[Código]=Tabela3[[#This Row],[PAPEL]]),Tabela1768[Fechamento])</f>
        <v>9.9600000000000009</v>
      </c>
      <c r="BB291" s="7">
        <f>SUMPRODUCT(N(Tabela17683[Código]=Tabela3[[#This Row],[PAPEL]]),Tabela17683[Fechamento])</f>
        <v>0</v>
      </c>
    </row>
    <row r="292" spans="1:54" ht="11.25" customHeight="1">
      <c r="A292" s="3" t="s">
        <v>876</v>
      </c>
      <c r="B292" s="58" t="s">
        <v>877</v>
      </c>
      <c r="C292" s="16" t="str">
        <f>LEFT([PAPEL],LEN([PAPEL])-(LEN([PAPEL])-4))</f>
        <v>CEDO</v>
      </c>
      <c r="D292" s="16">
        <v>3</v>
      </c>
      <c r="E292" s="5">
        <v>150000000</v>
      </c>
      <c r="F292" s="56">
        <v>5707104</v>
      </c>
      <c r="G292" s="80">
        <v>0.25</v>
      </c>
      <c r="H292" s="86"/>
      <c r="J292" s="18"/>
      <c r="K292" s="16"/>
      <c r="L292" s="86"/>
      <c r="M292" s="54"/>
      <c r="N292" s="54"/>
      <c r="O292" s="54"/>
      <c r="P292" s="90">
        <v>305163000</v>
      </c>
      <c r="Q292" s="73">
        <v>10263000</v>
      </c>
      <c r="R292" s="73">
        <f>IF(Tabela3[[#This Row],[Ativo || Passivo]]&gt;0,Tabela3[[#This Row],[Ativo || Passivo]]-Tabela3[[#This Row],[Patrimônio Líquido]],0)</f>
        <v>0</v>
      </c>
      <c r="S292" s="73">
        <f>Tabela3[[#This Row],[Cotação]]*Tabela3[[#This Row],[Total Ações]]</f>
        <v>100000000</v>
      </c>
      <c r="T292" s="37">
        <f>IF(Tabela3[[#This Row],[Passivo Circulante]]&gt;0,Tabela3[[#This Row],[Ativo Circulante]]/Tabela3[[#This Row],[Passivo Circulante]],0)</f>
        <v>0</v>
      </c>
      <c r="U29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2" s="18">
        <f>IF(Tabela3[[#This Row],[Lucro Líquido]]&gt;0,Tabela3[[#This Row],[Lucro Líquido]]/Tabela3[[#This Row],[Patrimônio Líquido]],0)/Tabela3[[#This Row],[Ref]]*4</f>
        <v>4.4841609238341483E-2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2.2435702141443779</v>
      </c>
      <c r="Z292" s="7">
        <f>Tabela3[[#This Row],[Capital Social]]*20%</f>
        <v>30000000</v>
      </c>
      <c r="AA292" s="47">
        <f>IF(([Lucro Líquido]*5%)&gt;[Teto R. Legal],[Teto R. Legal],[Lucro Líquido]*5%)</f>
        <v>513150</v>
      </c>
      <c r="AB292" s="47">
        <f>IF([Lucro Líquido]&lt;0,0,[Lucro Líquido]-[Reserva Legal])</f>
        <v>9749850</v>
      </c>
      <c r="AC292" s="47">
        <f>Tabela3[[#This Row],[Lucro Distribuir]]*[%Div]</f>
        <v>2437462.5</v>
      </c>
      <c r="AD292" s="56">
        <f>SUMPRODUCT(N([Nome]=Tabela3[[#This Row],[Nome]]),[Ações])</f>
        <v>10000000</v>
      </c>
      <c r="AE292" s="84">
        <f>[Capital Social]/[Total Ações]</f>
        <v>15</v>
      </c>
      <c r="AF292" s="84">
        <f>Tabela3[[#This Row],[Lucro Líquido]]/Tabela3[[#This Row],[Total Ações]]</f>
        <v>1.0263</v>
      </c>
      <c r="AG29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29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292" s="7">
        <f>[Div Base]*[Ações]</f>
        <v>1391085.19836</v>
      </c>
      <c r="AL292" s="7">
        <f>SUMPRODUCT(N([Nome]=Tabela3[[#This Row],[Nome]]),[Div Base]*[Ações])</f>
        <v>2437462.5</v>
      </c>
      <c r="AM292" s="5">
        <f>[Patrimônio Líquido]/[Total Ações]</f>
        <v>30.516300000000001</v>
      </c>
      <c r="AN292" s="52">
        <f>MAX(Tabela3[[#This Row],[Cotação 1]:[Cotação 5]])</f>
        <v>10</v>
      </c>
      <c r="AO292" s="53">
        <f>[Cotação]/[VPA]</f>
        <v>0.32769372433748523</v>
      </c>
      <c r="AP292" s="37">
        <f>IF(Tabela3[[#This Row],[Lucro/Ação]]&gt;0,Tabela3[[#This Row],[Cotação]]/(Tabela3[[#This Row],[Lucro/Ação]]/[Ref]*4),0)</f>
        <v>7.3078047354574682</v>
      </c>
      <c r="AQ292" s="84">
        <f>[Lucro Distribuir]/[Total Ações]</f>
        <v>0.97498499999999999</v>
      </c>
      <c r="AR292" s="84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292" s="10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2.4374625E-2</v>
      </c>
      <c r="AU292" s="22">
        <f>((1+Tabela3[[#This Row],[% Yield]])^(1/(3*Tabela3[[#This Row],[Ref]])))^(12)-1</f>
        <v>3.2630819221224572E-2</v>
      </c>
      <c r="AV292" s="10">
        <f>IF([Cotação]&gt;0,($BH$1/Tabela3[[#This Row],[Cotação]]-MOD($BH$1/Tabela3[[#This Row],[Cotação]],100)),)</f>
        <v>0</v>
      </c>
      <c r="AW292" s="7">
        <f>Tabela3[[#This Row],[Ativos]]*[Lucro]</f>
        <v>0</v>
      </c>
      <c r="AX292" s="7">
        <f>SUMPRODUCT(N(Tabela1[Código]=Tabela3[[#This Row],[PAPEL]]),Tabela1[Fechamento])</f>
        <v>0</v>
      </c>
      <c r="AY292" s="7">
        <f>SUMPRODUCT(N(Tabela17[Código]=Tabela3[[#This Row],[PAPEL]]),Tabela17[Fechamento])</f>
        <v>0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10</v>
      </c>
      <c r="BB292" s="7">
        <f>SUMPRODUCT(N(Tabela17683[Código]=Tabela3[[#This Row],[PAPEL]]),Tabela17683[Fechamento])</f>
        <v>0</v>
      </c>
    </row>
    <row r="293" spans="1:54" ht="11.25" customHeight="1">
      <c r="A293" s="3" t="s">
        <v>1226</v>
      </c>
      <c r="B293" s="57" t="s">
        <v>1228</v>
      </c>
      <c r="C293" s="16" t="str">
        <f>LEFT([PAPEL],LEN([PAPEL])-(LEN([PAPEL])-4))</f>
        <v>SHUL</v>
      </c>
      <c r="D293" s="16">
        <v>4</v>
      </c>
      <c r="E293" s="5">
        <v>201852798.03999999</v>
      </c>
      <c r="F293" s="56">
        <v>36550925</v>
      </c>
      <c r="G293" s="80">
        <v>0.25</v>
      </c>
      <c r="H293" s="86"/>
      <c r="J293" s="18">
        <v>0.1</v>
      </c>
      <c r="K293" s="16"/>
      <c r="L293" s="86"/>
      <c r="M293" s="54">
        <v>958475000</v>
      </c>
      <c r="N293" s="54">
        <v>538847000</v>
      </c>
      <c r="O293" s="54">
        <v>197823000</v>
      </c>
      <c r="P293" s="90">
        <v>358721000</v>
      </c>
      <c r="Q293" s="73">
        <v>61497000</v>
      </c>
      <c r="R293" s="73">
        <f>IF(Tabela3[[#This Row],[Ativo || Passivo]]&gt;0,Tabela3[[#This Row],[Ativo || Passivo]]-Tabela3[[#This Row],[Patrimônio Líquido]],0)</f>
        <v>599754000</v>
      </c>
      <c r="S293" s="73">
        <f>Tabela3[[#This Row],[Cotação]]*Tabela3[[#This Row],[Total Ações]]</f>
        <v>641365774.5</v>
      </c>
      <c r="T293" s="37">
        <f>IF(Tabela3[[#This Row],[Passivo Circulante]]&gt;0,Tabela3[[#This Row],[Ativo Circulante]]/Tabela3[[#This Row],[Passivo Circulante]],0)</f>
        <v>2.7238844825930251</v>
      </c>
      <c r="U29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3" s="18">
        <f>IF(Tabela3[[#This Row],[Lucro Líquido]]&gt;0,Tabela3[[#This Row],[Lucro Líquido]]/Tabela3[[#This Row],[Patrimônio Líquido]],0)/Tabela3[[#This Row],[Ref]]*4</f>
        <v>0.17143406714410364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3" s="18">
        <f>IF(Tabela3[[#This Row],[Dívida]]&gt;0,Tabela3[[#This Row],[Dívida]]/Tabela3[[#This Row],[Patrimônio Líquido]],0)</f>
        <v>1.6719233052985467</v>
      </c>
      <c r="Y293" s="18">
        <f>SUMPRODUCT(N([Dívida / PL]&gt;0),N(RIGHT([PAPEL],LEN([PAPEL])-(LEN([PAPEL])-1))="3"),[Dívida / PL])/SUMPRODUCT(N([Dívida / PL]&gt;0),N(RIGHT([PAPEL],LEN([PAPEL])-(LEN([PAPEL])-1))="3"))</f>
        <v>2.2435702141443779</v>
      </c>
      <c r="Z293" s="7">
        <f>Tabela3[[#This Row],[Capital Social]]*20%</f>
        <v>40370559.608000003</v>
      </c>
      <c r="AA293" s="47">
        <f>IF(([Lucro Líquido]*5%)&gt;[Teto R. Legal],[Teto R. Legal],[Lucro Líquido]*5%)</f>
        <v>3074850</v>
      </c>
      <c r="AB293" s="47">
        <f>IF([Lucro Líquido]&lt;0,0,[Lucro Líquido]-[Reserva Legal])</f>
        <v>58422150</v>
      </c>
      <c r="AC293" s="47">
        <f>Tabela3[[#This Row],[Lucro Distribuir]]*[%Div]</f>
        <v>14605537.5</v>
      </c>
      <c r="AD293" s="56">
        <f>SUMPRODUCT(N([Nome]=Tabela3[[#This Row],[Nome]]),[Ações])</f>
        <v>63817490</v>
      </c>
      <c r="AE293" s="84">
        <f>[Capital Social]/[Total Ações]</f>
        <v>3.1629698698585607</v>
      </c>
      <c r="AF293" s="84">
        <f>Tabela3[[#This Row],[Lucro Líquido]]/Tabela3[[#This Row],[Total Ações]]</f>
        <v>0.96363865141045191</v>
      </c>
      <c r="AG29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29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293" s="7">
        <f>[Div Base]*[Ações]</f>
        <v>8915416.8137615789</v>
      </c>
      <c r="AL293" s="113">
        <f>SUMPRODUCT(N([Nome]=Tabela3[[#This Row],[Nome]]),[Div Base]*[Ações])</f>
        <v>14961596.138075691</v>
      </c>
      <c r="AM293" s="5">
        <f>[Patrimônio Líquido]/[Total Ações]</f>
        <v>5.6210452651773046</v>
      </c>
      <c r="AN293" s="52">
        <f>MAX(Tabela3[[#This Row],[Cotação 1]:[Cotação 5]])</f>
        <v>10.050000000000001</v>
      </c>
      <c r="AO293" s="53">
        <f>[Cotação]/[VPA]</f>
        <v>1.7879236913924752</v>
      </c>
      <c r="AP293" s="37">
        <f>IF(Tabela3[[#This Row],[Lucro/Ação]]&gt;0,Tabela3[[#This Row],[Cotação]]/(Tabela3[[#This Row],[Lucro/Ação]]/[Ref]*4),0)</f>
        <v>10.42922052295234</v>
      </c>
      <c r="AQ293" s="84">
        <f>[Lucro Distribuir]/[Total Ações]</f>
        <v>0.9154567188399293</v>
      </c>
      <c r="AR293" s="84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2.4270415882034248E-2</v>
      </c>
      <c r="AU293" s="22">
        <f>((1+Tabela3[[#This Row],[% Yield]])^(1/(3*Tabela3[[#This Row],[Ref]])))^(12)-1</f>
        <v>2.4270415882033269E-2</v>
      </c>
      <c r="AV293" s="10">
        <f>IF([Cotação]&gt;0,($BH$1/Tabela3[[#This Row],[Cotação]]-MOD($BH$1/Tabela3[[#This Row],[Cotação]],100)),)</f>
        <v>0</v>
      </c>
      <c r="AW293" s="7">
        <f>Tabela3[[#This Row],[Ativos]]*[Lucro]</f>
        <v>0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0</v>
      </c>
      <c r="BB293" s="7">
        <f>SUMPRODUCT(N(Tabela17683[Código]=Tabela3[[#This Row],[PAPEL]]),Tabela17683[Fechamento])</f>
        <v>10.050000000000001</v>
      </c>
    </row>
    <row r="294" spans="1:54" ht="11.25" customHeight="1">
      <c r="A294" s="4" t="s">
        <v>12</v>
      </c>
      <c r="B294" s="57" t="s">
        <v>96</v>
      </c>
      <c r="C294" s="14" t="str">
        <f>LEFT([PAPEL],LEN([PAPEL])-(LEN([PAPEL])-4))</f>
        <v>CSRN</v>
      </c>
      <c r="D294" s="15">
        <v>3</v>
      </c>
      <c r="E294" s="6">
        <v>179787268.58000001</v>
      </c>
      <c r="F294" s="8">
        <v>20606128</v>
      </c>
      <c r="G294" s="85">
        <v>0.25</v>
      </c>
      <c r="H294" s="15"/>
      <c r="I294" s="19"/>
      <c r="J294" s="19">
        <v>0.1</v>
      </c>
      <c r="K294" s="87"/>
      <c r="L294" s="87"/>
      <c r="M294" s="55">
        <v>1674792000</v>
      </c>
      <c r="N294" s="55">
        <v>447172000</v>
      </c>
      <c r="O294" s="55">
        <v>502260000</v>
      </c>
      <c r="P294" s="88">
        <v>884793000</v>
      </c>
      <c r="Q294" s="88">
        <v>154604000</v>
      </c>
      <c r="R294" s="88">
        <f>IF(Tabela3[[#This Row],[Ativo || Passivo]]&gt;0,Tabela3[[#This Row],[Ativo || Passivo]]-Tabela3[[#This Row],[Patrimônio Líquido]],0)</f>
        <v>789999000</v>
      </c>
      <c r="S294" s="88">
        <f>Tabela3[[#This Row],[Cotação]]*Tabela3[[#This Row],[Total Ações]]</f>
        <v>1700909163.3599999</v>
      </c>
      <c r="T294" s="121">
        <f>IF(Tabela3[[#This Row],[Passivo Circulante]]&gt;0,Tabela3[[#This Row],[Ativo Circulante]]/Tabela3[[#This Row],[Passivo Circulante]],0)</f>
        <v>0.8903197547087166</v>
      </c>
      <c r="U29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4" s="19">
        <f>IF(Tabela3[[#This Row],[Lucro Líquido]]&gt;0,Tabela3[[#This Row],[Lucro Líquido]]/Tabela3[[#This Row],[Patrimônio Líquido]],0)/Tabela3[[#This Row],[Ref]]*4</f>
        <v>0.23297954060064519</v>
      </c>
      <c r="W2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4" s="19">
        <f>IF(Tabela3[[#This Row],[Dívida]]&gt;0,Tabela3[[#This Row],[Dívida]]/Tabela3[[#This Row],[Patrimônio Líquido]],0)</f>
        <v>0.89286307644838958</v>
      </c>
      <c r="Y294" s="19">
        <f>SUMPRODUCT(N([Dívida / PL]&gt;0),N(RIGHT([PAPEL],LEN([PAPEL])-(LEN([PAPEL])-1))="3"),[Dívida / PL])/SUMPRODUCT(N([Dívida / PL]&gt;0),N(RIGHT([PAPEL],LEN([PAPEL])-(LEN([PAPEL])-1))="3"))</f>
        <v>2.2435702141443779</v>
      </c>
      <c r="Z294" s="6">
        <f>Tabela3[[#This Row],[Capital Social]]*20%</f>
        <v>35957453.716000006</v>
      </c>
      <c r="AA294" s="6">
        <f>IF(([Lucro Líquido]*5%)&gt;[Teto R. Legal],[Teto R. Legal],[Lucro Líquido]*5%)</f>
        <v>7730200</v>
      </c>
      <c r="AB294" s="88">
        <f>IF([Lucro Líquido]&lt;0,0,[Lucro Líquido]-[Reserva Legal])</f>
        <v>146873800</v>
      </c>
      <c r="AC294" s="88">
        <f>Tabela3[[#This Row],[Lucro Distribuir]]*[%Div]</f>
        <v>36718450</v>
      </c>
      <c r="AD294" s="56">
        <f>SUMPRODUCT(N([Nome]=Tabela3[[#This Row],[Nome]]),[Ações])</f>
        <v>168074028</v>
      </c>
      <c r="AE294" s="6">
        <f>[Capital Social]/[Total Ações]</f>
        <v>1.0696909612947458</v>
      </c>
      <c r="AF294" s="77">
        <f>Tabela3[[#This Row],[Lucro Líquido]]/Tabela3[[#This Row],[Total Ações]]</f>
        <v>0.91985657653186015</v>
      </c>
      <c r="AG2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2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294" s="6">
        <f>[Div Base]*[Ações]</f>
        <v>4797837.9984462978</v>
      </c>
      <c r="AL294" s="6">
        <f>SUMPRODUCT(N([Nome]=Tabela3[[#This Row],[Nome]]),[Div Base]*[Ações])</f>
        <v>36387278.892751299</v>
      </c>
      <c r="AM294" s="6">
        <f>[Patrimônio Líquido]/[Total Ações]</f>
        <v>5.2643053214622784</v>
      </c>
      <c r="AN294" s="48">
        <f>MAX(Tabela3[[#This Row],[Cotação 1]:[Cotação 5]])</f>
        <v>10.119999999999999</v>
      </c>
      <c r="AO294" s="44">
        <f>[Cotação]/[VPA]</f>
        <v>1.9223808996680578</v>
      </c>
      <c r="AP294" s="40">
        <f>IF(Tabela3[[#This Row],[Lucro/Ação]]&gt;0,Tabela3[[#This Row],[Cotação]]/(Tabela3[[#This Row],[Lucro/Ação]]/[Ref]*4),0)</f>
        <v>8.25128633489431</v>
      </c>
      <c r="AQ294" s="77">
        <f>[Lucro Distribuir]/[Total Ações]</f>
        <v>0.87386374770526709</v>
      </c>
      <c r="AR294" s="77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294" s="15" t="str">
        <f>IF(AND([% A.A.]&gt;=5%,SUMPRODUCT(N([Nome]=Tabela3[[#This Row],[Nome]]),[PL])&gt;0,[Rentabilidade s/ PL]&gt;=[Rentabilidade s/ PL Média]),"Sim","Não")</f>
        <v>Não</v>
      </c>
      <c r="AT294" s="42">
        <f>IF([Cotação]&gt;0,Tabela3[[#This Row],[Lucro]]/Tabela3[[#This Row],[Cotação]],0)</f>
        <v>2.3007459910862088E-2</v>
      </c>
      <c r="AU294" s="19">
        <f>((1+Tabela3[[#This Row],[% Yield]])^(1/(3*Tabela3[[#This Row],[Ref]])))^(12)-1</f>
        <v>3.0793649310691951E-2</v>
      </c>
      <c r="AV294" s="14">
        <f>IF([Cotação]&gt;0,($BH$1/Tabela3[[#This Row],[Cotação]]-MOD($BH$1/Tabela3[[#This Row],[Cotação]],100)),)</f>
        <v>0</v>
      </c>
      <c r="AW294" s="17">
        <f>Tabela3[[#This Row],[Ativos]]*[Lucro]</f>
        <v>0</v>
      </c>
      <c r="AX294" s="5">
        <f>SUMPRODUCT(N(Tabela1[Código]=Tabela3[[#This Row],[PAPEL]]),Tabela1[Fechamento])</f>
        <v>10.119999999999999</v>
      </c>
      <c r="AY294" s="5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0</v>
      </c>
      <c r="BB294" s="7">
        <f>SUMPRODUCT(N(Tabela17683[Código]=Tabela3[[#This Row],[PAPEL]]),Tabela17683[Fechamento])</f>
        <v>0</v>
      </c>
    </row>
    <row r="295" spans="1:54" ht="11.25" customHeight="1">
      <c r="A295" s="4" t="s">
        <v>40</v>
      </c>
      <c r="B295" s="57" t="s">
        <v>255</v>
      </c>
      <c r="C295" s="15" t="str">
        <f>LEFT([PAPEL],LEN([PAPEL])-(LEN([PAPEL])-4))</f>
        <v>BRKM</v>
      </c>
      <c r="D295" s="15">
        <v>4</v>
      </c>
      <c r="E295" s="5">
        <v>8043222080.5</v>
      </c>
      <c r="F295" s="8">
        <v>593818</v>
      </c>
      <c r="G295" s="85">
        <v>0.25</v>
      </c>
      <c r="H295" s="15"/>
      <c r="I295" s="19">
        <v>0.06</v>
      </c>
      <c r="J295" s="19"/>
      <c r="K295" s="87"/>
      <c r="L295" s="87"/>
      <c r="M295" s="55"/>
      <c r="N295" s="55"/>
      <c r="O295" s="55"/>
      <c r="P295" s="5">
        <v>7593110000</v>
      </c>
      <c r="Q295" s="6">
        <v>509697000</v>
      </c>
      <c r="R295" s="6">
        <f>IF(Tabela3[[#This Row],[Ativo || Passivo]]&gt;0,Tabela3[[#This Row],[Ativo || Passivo]]-Tabela3[[#This Row],[Patrimônio Líquido]],0)</f>
        <v>0</v>
      </c>
      <c r="S295" s="6">
        <f>Tabela3[[#This Row],[Cotação]]*Tabela3[[#This Row],[Total Ações]]</f>
        <v>8092243282.1999998</v>
      </c>
      <c r="T295" s="121">
        <f>IF(Tabela3[[#This Row],[Passivo Circulante]]&gt;0,Tabela3[[#This Row],[Ativo Circulante]]/Tabela3[[#This Row],[Passivo Circulante]],0)</f>
        <v>0</v>
      </c>
      <c r="U29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5" s="19">
        <f>IF(Tabela3[[#This Row],[Lucro Líquido]]&gt;0,Tabela3[[#This Row],[Lucro Líquido]]/Tabela3[[#This Row],[Patrimônio Líquido]],0)/Tabela3[[#This Row],[Ref]]*4</f>
        <v>6.7126249981891484E-2</v>
      </c>
      <c r="W29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5" s="19">
        <f>IF(Tabela3[[#This Row],[Dívida]]&gt;0,Tabela3[[#This Row],[Dívida]]/Tabela3[[#This Row],[Patrimônio Líquido]],0)</f>
        <v>0</v>
      </c>
      <c r="Y295" s="19">
        <f>SUMPRODUCT(N([Dívida / PL]&gt;0),N(RIGHT([PAPEL],LEN([PAPEL])-(LEN([PAPEL])-1))="3"),[Dívida / PL])/SUMPRODUCT(N([Dívida / PL]&gt;0),N(RIGHT([PAPEL],LEN([PAPEL])-(LEN([PAPEL])-1))="3"))</f>
        <v>2.2435702141443779</v>
      </c>
      <c r="Z295" s="5">
        <f>Tabela3[[#This Row],[Capital Social]]*20%</f>
        <v>1608644416.1000001</v>
      </c>
      <c r="AA295" s="5">
        <f>IF(([Lucro Líquido]*5%)&gt;[Teto R. Legal],[Teto R. Legal],[Lucro Líquido]*5%)</f>
        <v>25484850</v>
      </c>
      <c r="AB295" s="5">
        <f>IF([Lucro Líquido]&lt;0,0,[Lucro Líquido]-[Reserva Legal])</f>
        <v>484212150</v>
      </c>
      <c r="AC295" s="5">
        <f>Tabela3[[#This Row],[Lucro Distribuir]]*[%Div]</f>
        <v>121053037.5</v>
      </c>
      <c r="AD295" s="21">
        <f>SUMPRODUCT(N([Nome]=Tabela3[[#This Row],[Nome]]),[Ações])</f>
        <v>797265348</v>
      </c>
      <c r="AE295" s="5">
        <f>[Capital Social]/[Total Ações]</f>
        <v>10.088513317024283</v>
      </c>
      <c r="AF295" s="77">
        <f>Tabela3[[#This Row],[Lucro Líquido]]/Tabela3[[#This Row],[Total Ações]]</f>
        <v>0.63930660134497652</v>
      </c>
      <c r="AG2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29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29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295" s="5">
        <f>[Div Base]*[Ações]</f>
        <v>359444.44805332355</v>
      </c>
      <c r="AL295" s="5">
        <f>SUMPRODUCT(N([Nome]=Tabela3[[#This Row],[Nome]]),[Div Base]*[Ações])</f>
        <v>209193412.19493559</v>
      </c>
      <c r="AM295" s="6">
        <f>[Patrimônio Líquido]/[Total Ações]</f>
        <v>9.5239433383727103</v>
      </c>
      <c r="AN295" s="48">
        <f>MAX(Tabela3[[#This Row],[Cotação 1]:[Cotação 5]])</f>
        <v>10.15</v>
      </c>
      <c r="AO295" s="44">
        <f>[Cotação]/[VPA]</f>
        <v>1.0657350258589695</v>
      </c>
      <c r="AP295" s="40">
        <f>IF(Tabela3[[#This Row],[Lucro/Ação]]&gt;0,Tabela3[[#This Row],[Cotação]]/(Tabela3[[#This Row],[Lucro/Ação]]/[Ref]*4),0)</f>
        <v>15.876576244710094</v>
      </c>
      <c r="AQ295" s="77">
        <f>[Lucro Distribuir]/[Total Ações]</f>
        <v>0.60734127127772775</v>
      </c>
      <c r="AR295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295" s="15" t="str">
        <f>IF(AND([% A.A.]&gt;=5%,SUMPRODUCT(N([Nome]=Tabela3[[#This Row],[Nome]]),[PL])&gt;0,[Rentabilidade s/ PL]&gt;=[Rentabilidade s/ PL Média]),"Sim","Não")</f>
        <v>Não</v>
      </c>
      <c r="AT295" s="42">
        <f>IF([Cotação]&gt;0,Tabela3[[#This Row],[Lucro]]/Tabela3[[#This Row],[Cotação]],0)</f>
        <v>5.9636531923296258E-2</v>
      </c>
      <c r="AU295" s="19">
        <f>((1+Tabela3[[#This Row],[% Yield]])^(1/(3*Tabela3[[#This Row],[Ref]])))^(12)-1</f>
        <v>5.9636531923295433E-2</v>
      </c>
      <c r="AV295" s="14">
        <f>IF([Cotação]&gt;0,($BH$1/Tabela3[[#This Row],[Cotação]]-MOD($BH$1/Tabela3[[#This Row],[Cotação]],100)),)</f>
        <v>0</v>
      </c>
      <c r="AW295" s="17">
        <f>Tabela3[[#This Row],[Ativos]]*[Lucro]</f>
        <v>0</v>
      </c>
      <c r="AX295" s="13">
        <f>SUMPRODUCT(N(Tabela1[Código]=Tabela3[[#This Row],[PAPEL]]),Tabela1[Fechamento])</f>
        <v>0</v>
      </c>
      <c r="AY295" s="13">
        <f>SUMPRODUCT(N(Tabela17[Código]=Tabela3[[#This Row],[PAPEL]]),Tabela17[Fechamento])</f>
        <v>10.15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0</v>
      </c>
      <c r="BB295" s="7">
        <f>SUMPRODUCT(N(Tabela17683[Código]=Tabela3[[#This Row],[PAPEL]]),Tabela17683[Fechamento])</f>
        <v>0</v>
      </c>
    </row>
    <row r="296" spans="1:54" ht="11.25" customHeight="1">
      <c r="A296" s="4" t="s">
        <v>14</v>
      </c>
      <c r="B296" s="57" t="s">
        <v>82</v>
      </c>
      <c r="C296" s="15" t="str">
        <f>LEFT([PAPEL],LEN([PAPEL])-(LEN([PAPEL])-4))</f>
        <v>PRBC</v>
      </c>
      <c r="D296" s="15">
        <v>4</v>
      </c>
      <c r="E296" s="6">
        <v>763866648</v>
      </c>
      <c r="F296" s="8">
        <v>30564956</v>
      </c>
      <c r="G296" s="85">
        <v>0.25</v>
      </c>
      <c r="H296" s="15"/>
      <c r="I296" s="19"/>
      <c r="J296" s="19"/>
      <c r="K296" s="87"/>
      <c r="L296" s="87"/>
      <c r="M296" s="55"/>
      <c r="N296" s="55"/>
      <c r="O296" s="55"/>
      <c r="P296" s="6">
        <v>1279731000</v>
      </c>
      <c r="Q296" s="6">
        <v>103137000</v>
      </c>
      <c r="R296" s="6">
        <f>IF(Tabela3[[#This Row],[Ativo || Passivo]]&gt;0,Tabela3[[#This Row],[Ativo || Passivo]]-Tabela3[[#This Row],[Patrimônio Líquido]],0)</f>
        <v>0</v>
      </c>
      <c r="S296" s="6">
        <f>Tabela3[[#This Row],[Cotação]]*Tabela3[[#This Row],[Total Ações]]</f>
        <v>896467601.63999999</v>
      </c>
      <c r="T296" s="121">
        <f>IF(Tabela3[[#This Row],[Passivo Circulante]]&gt;0,Tabela3[[#This Row],[Ativo Circulante]]/Tabela3[[#This Row],[Passivo Circulante]],0)</f>
        <v>0</v>
      </c>
      <c r="U29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6" s="19">
        <f>IF(Tabela3[[#This Row],[Lucro Líquido]]&gt;0,Tabela3[[#This Row],[Lucro Líquido]]/Tabela3[[#This Row],[Patrimônio Líquido]],0)/Tabela3[[#This Row],[Ref]]*4</f>
        <v>8.0592718313458059E-2</v>
      </c>
      <c r="W29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6" s="19">
        <f>IF(Tabela3[[#This Row],[Dívida]]&gt;0,Tabela3[[#This Row],[Dívida]]/Tabela3[[#This Row],[Patrimônio Líquido]],0)</f>
        <v>0</v>
      </c>
      <c r="Y296" s="19">
        <f>SUMPRODUCT(N([Dívida / PL]&gt;0),N(RIGHT([PAPEL],LEN([PAPEL])-(LEN([PAPEL])-1))="3"),[Dívida / PL])/SUMPRODUCT(N([Dívida / PL]&gt;0),N(RIGHT([PAPEL],LEN([PAPEL])-(LEN([PAPEL])-1))="3"))</f>
        <v>2.2435702141443779</v>
      </c>
      <c r="Z296" s="6">
        <f>Tabela3[[#This Row],[Capital Social]]*20%</f>
        <v>152773329.59999999</v>
      </c>
      <c r="AA296" s="6">
        <f>IF(([Lucro Líquido]*5%)&gt;[Teto R. Legal],[Teto R. Legal],[Lucro Líquido]*5%)</f>
        <v>5156850</v>
      </c>
      <c r="AB296" s="6">
        <f>IF([Lucro Líquido]&lt;0,0,[Lucro Líquido]-[Reserva Legal])</f>
        <v>97980150</v>
      </c>
      <c r="AC296" s="6">
        <f>Tabela3[[#This Row],[Lucro Distribuir]]*[%Div]</f>
        <v>24495037.5</v>
      </c>
      <c r="AD296" s="21">
        <f>SUMPRODUCT(N([Nome]=Tabela3[[#This Row],[Nome]]),[Ações])</f>
        <v>87289932</v>
      </c>
      <c r="AE296" s="6">
        <f>[Capital Social]/[Total Ações]</f>
        <v>8.7509135417816566</v>
      </c>
      <c r="AF296" s="77">
        <f>Tabela3[[#This Row],[Lucro Líquido]]/Tabela3[[#This Row],[Total Ações]]</f>
        <v>1.181545198133503</v>
      </c>
      <c r="AG2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2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296" s="6">
        <f>[Div Base]*[Ações]</f>
        <v>8577045.7858284283</v>
      </c>
      <c r="AL296" s="6">
        <f>SUMPRODUCT(N([Nome]=Tabela3[[#This Row],[Nome]]),[Div Base]*[Ações])</f>
        <v>29033973.268173128</v>
      </c>
      <c r="AM296" s="6">
        <f>[Patrimônio Líquido]/[Total Ações]</f>
        <v>14.660694202396675</v>
      </c>
      <c r="AN296" s="48">
        <f>MAX(Tabela3[[#This Row],[Cotação 1]:[Cotação 5]])</f>
        <v>10.27</v>
      </c>
      <c r="AO296" s="44">
        <f>[Cotação]/[VPA]</f>
        <v>0.70051253086781518</v>
      </c>
      <c r="AP296" s="40">
        <f>IF(Tabela3[[#This Row],[Lucro/Ação]]&gt;0,Tabela3[[#This Row],[Cotação]]/(Tabela3[[#This Row],[Lucro/Ação]]/[Ref]*4),0)</f>
        <v>8.6920077337909767</v>
      </c>
      <c r="AQ296" s="77">
        <f>[Lucro Distribuir]/[Total Ações]</f>
        <v>1.1224679382268279</v>
      </c>
      <c r="AR296" s="77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296" s="15" t="str">
        <f>IF(AND([% A.A.]&gt;=5%,SUMPRODUCT(N([Nome]=Tabela3[[#This Row],[Nome]]),[PL])&gt;0,[Rentabilidade s/ PL]&gt;=[Rentabilidade s/ PL Média]),"Sim","Não")</f>
        <v>Não</v>
      </c>
      <c r="AT296" s="42">
        <f>IF([Cotação]&gt;0,Tabela3[[#This Row],[Lucro]]/Tabela3[[#This Row],[Cotação]],0)</f>
        <v>2.7323951758199318E-2</v>
      </c>
      <c r="AU296" s="19">
        <f>((1+Tabela3[[#This Row],[% Yield]])^(1/(3*Tabela3[[#This Row],[Ref]])))^(12)-1</f>
        <v>2.7323951758199128E-2</v>
      </c>
      <c r="AV296" s="14">
        <f>IF([Cotação]&gt;0,($BH$1/Tabela3[[#This Row],[Cotação]]-MOD($BH$1/Tabela3[[#This Row],[Cotação]],100)),)</f>
        <v>0</v>
      </c>
      <c r="AW296" s="17">
        <f>Tabela3[[#This Row],[Ativos]]*[Lucro]</f>
        <v>0</v>
      </c>
      <c r="AX296" s="5">
        <f>SUMPRODUCT(N(Tabela1[Código]=Tabela3[[#This Row],[PAPEL]]),Tabela1[Fechamento])</f>
        <v>10.27</v>
      </c>
      <c r="AY296" s="5">
        <f>SUMPRODUCT(N(Tabela17[Código]=Tabela3[[#This Row],[PAPEL]]),Tabela17[Fechamento])</f>
        <v>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0</v>
      </c>
      <c r="BB296" s="7">
        <f>SUMPRODUCT(N(Tabela17683[Código]=Tabela3[[#This Row],[PAPEL]]),Tabela17683[Fechamento])</f>
        <v>0</v>
      </c>
    </row>
    <row r="297" spans="1:54" ht="11.25" customHeight="1">
      <c r="A297" s="3" t="s">
        <v>1085</v>
      </c>
      <c r="B297" s="57" t="s">
        <v>1071</v>
      </c>
      <c r="C297" s="16" t="str">
        <f>LEFT([PAPEL],LEN([PAPEL])-(LEN([PAPEL])-4))</f>
        <v>MEND</v>
      </c>
      <c r="D297" s="16">
        <v>3</v>
      </c>
      <c r="E297" s="5">
        <v>1521400000</v>
      </c>
      <c r="F297" s="56">
        <v>1534888</v>
      </c>
      <c r="G297" s="80">
        <v>0.25</v>
      </c>
      <c r="H297" s="86"/>
      <c r="I297" s="18">
        <v>0.06</v>
      </c>
      <c r="J297" s="18"/>
      <c r="K297" s="16"/>
      <c r="L297" s="86"/>
      <c r="M297" s="54"/>
      <c r="N297" s="54"/>
      <c r="O297" s="54"/>
      <c r="P297" s="90">
        <v>3544023000</v>
      </c>
      <c r="Q297" s="73">
        <v>-229886000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106186696.40000001</v>
      </c>
      <c r="T297" s="37">
        <f>IF(Tabela3[[#This Row],[Passivo Circulante]]&gt;0,Tabela3[[#This Row],[Ativo Circulante]]/Tabela3[[#This Row],[Passivo Circulante]],0)</f>
        <v>0</v>
      </c>
      <c r="U29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7" s="18">
        <f>IF(Tabela3[[#This Row],[Lucro Líquido]]&gt;0,Tabela3[[#This Row],[Lucro Líquido]]/Tabela3[[#This Row],[Patrimônio Líquido]],0)/Tabela3[[#This Row],[Ref]]*4</f>
        <v>0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7" s="18">
        <f>IF(Tabela3[[#This Row],[Dívida]]&gt;0,Tabela3[[#This Row],[Dívida]]/Tabela3[[#This Row],[Patrimônio Líquido]],0)</f>
        <v>0</v>
      </c>
      <c r="Y297" s="18">
        <f>SUMPRODUCT(N([Dívida / PL]&gt;0),N(RIGHT([PAPEL],LEN([PAPEL])-(LEN([PAPEL])-1))="3"),[Dívida / PL])/SUMPRODUCT(N([Dívida / PL]&gt;0),N(RIGHT([PAPEL],LEN([PAPEL])-(LEN([PAPEL])-1))="3"))</f>
        <v>2.2435702141443779</v>
      </c>
      <c r="Z297" s="7">
        <f>Tabela3[[#This Row],[Capital Social]]*20%</f>
        <v>304280000</v>
      </c>
      <c r="AA297" s="47">
        <f>IF(([Lucro Líquido]*5%)&gt;[Teto R. Legal],[Teto R. Legal],[Lucro Líquido]*5%)</f>
        <v>-11494300</v>
      </c>
      <c r="AB297" s="47">
        <f>IF([Lucro Líquido]&lt;0,0,[Lucro Líquido]-[Reserva Legal])</f>
        <v>0</v>
      </c>
      <c r="AC297" s="47">
        <f>Tabela3[[#This Row],[Lucro Distribuir]]*[%Div]</f>
        <v>0</v>
      </c>
      <c r="AD297" s="56">
        <f>SUMPRODUCT(N([Nome]=Tabela3[[#This Row],[Nome]]),[Ações])</f>
        <v>10309388</v>
      </c>
      <c r="AE297" s="84">
        <f>[Capital Social]/[Total Ações]</f>
        <v>147.57423040048545</v>
      </c>
      <c r="AF297" s="84">
        <f>Tabela3[[#This Row],[Lucro Líquido]]/Tabela3[[#This Row],[Total Ações]]</f>
        <v>-22.298704830975417</v>
      </c>
      <c r="AG29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7" s="7">
        <f>[Div Base]*[Ações]</f>
        <v>0</v>
      </c>
      <c r="AL297" s="113">
        <f>SUMPRODUCT(N([Nome]=Tabela3[[#This Row],[Nome]]),[Div Base]*[Ações])</f>
        <v>0</v>
      </c>
      <c r="AM297" s="5">
        <f>[Patrimônio Líquido]/[Total Ações]</f>
        <v>343.76657469871151</v>
      </c>
      <c r="AN297" s="52">
        <f>MAX(Tabela3[[#This Row],[Cotação 1]:[Cotação 5]])</f>
        <v>10.3</v>
      </c>
      <c r="AO297" s="53">
        <f>[Cotação]/[VPA]</f>
        <v>2.9962191667492002E-2</v>
      </c>
      <c r="AP297" s="37">
        <f>IF(Tabela3[[#This Row],[Lucro/Ação]]&gt;0,Tabela3[[#This Row],[Cotação]]/(Tabela3[[#This Row],[Lucro/Ação]]/[Ref]*4),0)</f>
        <v>0</v>
      </c>
      <c r="AQ297" s="84">
        <f>[Lucro Distribuir]/[Total Ações]</f>
        <v>0</v>
      </c>
      <c r="AR29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0</v>
      </c>
      <c r="AU297" s="22">
        <f>((1+Tabela3[[#This Row],[% Yield]])^(1/(3*Tabela3[[#This Row],[Ref]])))^(12)-1</f>
        <v>0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10.3</v>
      </c>
    </row>
    <row r="298" spans="1:54" ht="11.25" customHeight="1">
      <c r="A298" s="4" t="s">
        <v>365</v>
      </c>
      <c r="B298" s="57" t="s">
        <v>364</v>
      </c>
      <c r="C298" s="81" t="str">
        <f>LEFT([PAPEL],LEN([PAPEL])-(LEN([PAPEL])-4))</f>
        <v>BVMF</v>
      </c>
      <c r="D298" s="15">
        <v>4</v>
      </c>
      <c r="E298" s="6">
        <v>2540239563.8800001</v>
      </c>
      <c r="F298" s="38">
        <v>1980000000</v>
      </c>
      <c r="G298" s="85">
        <v>0.25</v>
      </c>
      <c r="H298" s="15"/>
      <c r="I298" s="19"/>
      <c r="J298" s="19"/>
      <c r="K298" s="87"/>
      <c r="L298" s="87"/>
      <c r="M298" s="55"/>
      <c r="N298" s="55"/>
      <c r="O298" s="55"/>
      <c r="P298" s="6">
        <v>19284229000</v>
      </c>
      <c r="Q298" s="6">
        <v>1081516000</v>
      </c>
      <c r="R298" s="6">
        <f>IF(Tabela3[[#This Row],[Ativo || Passivo]]&gt;0,Tabela3[[#This Row],[Ativo || Passivo]]-Tabela3[[#This Row],[Patrimônio Líquido]],0)</f>
        <v>0</v>
      </c>
      <c r="S298" s="6">
        <f>Tabela3[[#This Row],[Cotação]]*Tabela3[[#This Row],[Total Ações]]</f>
        <v>20473200000</v>
      </c>
      <c r="T298" s="121">
        <f>IF(Tabela3[[#This Row],[Passivo Circulante]]&gt;0,Tabela3[[#This Row],[Ativo Circulante]]/Tabela3[[#This Row],[Passivo Circulante]],0)</f>
        <v>0</v>
      </c>
      <c r="U29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8" s="19">
        <f>IF(Tabela3[[#This Row],[Lucro Líquido]]&gt;0,Tabela3[[#This Row],[Lucro Líquido]]/Tabela3[[#This Row],[Patrimônio Líquido]],0)/Tabela3[[#This Row],[Ref]]*4</f>
        <v>5.6082926623615595E-2</v>
      </c>
      <c r="W29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8" s="19">
        <f>IF(Tabela3[[#This Row],[Dívida]]&gt;0,Tabela3[[#This Row],[Dívida]]/Tabela3[[#This Row],[Patrimônio Líquido]],0)</f>
        <v>0</v>
      </c>
      <c r="Y298" s="19">
        <f>SUMPRODUCT(N([Dívida / PL]&gt;0),N(RIGHT([PAPEL],LEN([PAPEL])-(LEN([PAPEL])-1))="3"),[Dívida / PL])/SUMPRODUCT(N([Dívida / PL]&gt;0),N(RIGHT([PAPEL],LEN([PAPEL])-(LEN([PAPEL])-1))="3"))</f>
        <v>2.2435702141443779</v>
      </c>
      <c r="Z298" s="6">
        <f>Tabela3[[#This Row],[Capital Social]]*20%</f>
        <v>508047912.77600002</v>
      </c>
      <c r="AA298" s="6">
        <f>IF(([Lucro Líquido]*5%)&gt;[Teto R. Legal],[Teto R. Legal],[Lucro Líquido]*5%)</f>
        <v>54075800</v>
      </c>
      <c r="AB298" s="6">
        <f>IF([Lucro Líquido]&lt;0,0,[Lucro Líquido]-[Reserva Legal])</f>
        <v>1027440200</v>
      </c>
      <c r="AC298" s="6">
        <f>Tabela3[[#This Row],[Lucro Distribuir]]*[%Div]</f>
        <v>256860050</v>
      </c>
      <c r="AD298" s="56">
        <f>SUMPRODUCT(N([Nome]=Tabela3[[#This Row],[Nome]]),[Ações])</f>
        <v>1980000000</v>
      </c>
      <c r="AE298" s="6">
        <f>[Capital Social]/[Total Ações]</f>
        <v>1.2829492746868687</v>
      </c>
      <c r="AF298" s="77">
        <f>Tabela3[[#This Row],[Lucro Líquido]]/Tabela3[[#This Row],[Total Ações]]</f>
        <v>0.54622020202020205</v>
      </c>
      <c r="AG2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2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298" s="6">
        <f>[Div Base]*[Ações]</f>
        <v>256860050</v>
      </c>
      <c r="AL298" s="6">
        <f>SUMPRODUCT(N([Nome]=Tabela3[[#This Row],[Nome]]),[Div Base]*[Ações])</f>
        <v>256860050</v>
      </c>
      <c r="AM298" s="6">
        <f>[Patrimônio Líquido]/[Total Ações]</f>
        <v>9.7395095959595963</v>
      </c>
      <c r="AN298" s="48">
        <f>MAX(Tabela3[[#This Row],[Cotação 1]:[Cotação 5]])</f>
        <v>10.34</v>
      </c>
      <c r="AO298" s="44">
        <f>[Cotação]/[VPA]</f>
        <v>1.0616550965039877</v>
      </c>
      <c r="AP298" s="40">
        <f>IF(Tabela3[[#This Row],[Lucro/Ação]]&gt;0,Tabela3[[#This Row],[Cotação]]/(Tabela3[[#This Row],[Lucro/Ação]]/[Ref]*4),0)</f>
        <v>18.930094423013621</v>
      </c>
      <c r="AQ298" s="77">
        <f>[Lucro Distribuir]/[Total Ações]</f>
        <v>0.51890919191919194</v>
      </c>
      <c r="AR298" s="77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298" s="15" t="str">
        <f>IF(AND([% A.A.]&gt;=5%,SUMPRODUCT(N([Nome]=Tabela3[[#This Row],[Nome]]),[PL])&gt;0,[Rentabilidade s/ PL]&gt;=[Rentabilidade s/ PL Média]),"Sim","Não")</f>
        <v>Não</v>
      </c>
      <c r="AT298" s="42">
        <f>IF([Cotação]&gt;0,Tabela3[[#This Row],[Lucro]]/Tabela3[[#This Row],[Cotação]],0)</f>
        <v>1.2546160346208703E-2</v>
      </c>
      <c r="AU298" s="19">
        <f>((1+Tabela3[[#This Row],[% Yield]])^(1/(3*Tabela3[[#This Row],[Ref]])))^(12)-1</f>
        <v>1.2546160346209589E-2</v>
      </c>
      <c r="AV298" s="14">
        <f>IF([Cotação]&gt;0,($BH$1/Tabela3[[#This Row],[Cotação]]-MOD($BH$1/Tabela3[[#This Row],[Cotação]],100)),)</f>
        <v>0</v>
      </c>
      <c r="AW298" s="17">
        <f>Tabela3[[#This Row],[Ativos]]*[Lucro]</f>
        <v>0</v>
      </c>
      <c r="AX298" s="13">
        <f>SUMPRODUCT(N(Tabela1[Código]=Tabela3[[#This Row],[PAPEL]]),Tabela1[Fechamento])</f>
        <v>0</v>
      </c>
      <c r="AY298" s="55">
        <f>SUMPRODUCT(N(Tabela17[Código]=Tabela3[[#This Row],[PAPEL]]),Tabela17[Fechamento])</f>
        <v>10.34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0</v>
      </c>
    </row>
    <row r="299" spans="1:54" ht="11.25" customHeight="1">
      <c r="A299" s="3" t="s">
        <v>1154</v>
      </c>
      <c r="B299" s="58" t="s">
        <v>1156</v>
      </c>
      <c r="C299" s="16" t="str">
        <f>LEFT([PAPEL],LEN([PAPEL])-(LEN([PAPEL])-4))</f>
        <v>GOLL</v>
      </c>
      <c r="D299" s="16">
        <v>3</v>
      </c>
      <c r="E299" s="5">
        <v>2316461740.23</v>
      </c>
      <c r="F299" s="56">
        <v>135003122</v>
      </c>
      <c r="G299" s="80">
        <v>0.25</v>
      </c>
      <c r="H299" s="86"/>
      <c r="J299" s="18"/>
      <c r="K299" s="16"/>
      <c r="L299" s="86"/>
      <c r="M299" s="54"/>
      <c r="N299" s="54"/>
      <c r="O299" s="54"/>
      <c r="P299" s="90">
        <v>634371000</v>
      </c>
      <c r="Q299" s="73">
        <v>-705285000</v>
      </c>
      <c r="R299" s="73">
        <f>IF(Tabela3[[#This Row],[Ativo || Passivo]]&gt;0,Tabela3[[#This Row],[Ativo || Passivo]]-Tabela3[[#This Row],[Patrimônio Líquido]],0)</f>
        <v>0</v>
      </c>
      <c r="S299" s="73">
        <f>Tabela3[[#This Row],[Cotação]]*Tabela3[[#This Row],[Total Ações]]</f>
        <v>2900157790.4000001</v>
      </c>
      <c r="T299" s="37">
        <f>IF(Tabela3[[#This Row],[Passivo Circulante]]&gt;0,Tabela3[[#This Row],[Ativo Circulante]]/Tabela3[[#This Row],[Passivo Circulante]],0)</f>
        <v>0</v>
      </c>
      <c r="U2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299" s="18">
        <f>IF(Tabela3[[#This Row],[Lucro Líquido]]&gt;0,Tabela3[[#This Row],[Lucro Líquido]]/Tabela3[[#This Row],[Patrimônio Líquido]],0)/Tabela3[[#This Row],[Ref]]*4</f>
        <v>0</v>
      </c>
      <c r="W2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299" s="18">
        <f>IF(Tabela3[[#This Row],[Dívida]]&gt;0,Tabela3[[#This Row],[Dívida]]/Tabela3[[#This Row],[Patrimônio Líquido]],0)</f>
        <v>0</v>
      </c>
      <c r="Y299" s="18">
        <f>SUMPRODUCT(N([Dívida / PL]&gt;0),N(RIGHT([PAPEL],LEN([PAPEL])-(LEN([PAPEL])-1))="3"),[Dívida / PL])/SUMPRODUCT(N([Dívida / PL]&gt;0),N(RIGHT([PAPEL],LEN([PAPEL])-(LEN([PAPEL])-1))="3"))</f>
        <v>2.2435702141443779</v>
      </c>
      <c r="Z299" s="7">
        <f>Tabela3[[#This Row],[Capital Social]]*20%</f>
        <v>463292348.046</v>
      </c>
      <c r="AA299" s="47">
        <f>IF(([Lucro Líquido]*5%)&gt;[Teto R. Legal],[Teto R. Legal],[Lucro Líquido]*5%)</f>
        <v>-35264250</v>
      </c>
      <c r="AB299" s="47">
        <f>IF([Lucro Líquido]&lt;0,0,[Lucro Líquido]-[Reserva Legal])</f>
        <v>0</v>
      </c>
      <c r="AC299" s="47">
        <f>Tabela3[[#This Row],[Lucro Distribuir]]*[%Div]</f>
        <v>0</v>
      </c>
      <c r="AD299" s="56">
        <f>SUMPRODUCT(N([Nome]=Tabela3[[#This Row],[Nome]]),[Ações])</f>
        <v>278861326</v>
      </c>
      <c r="AE299" s="84">
        <f>[Capital Social]/[Total Ações]</f>
        <v>8.3068590881978377</v>
      </c>
      <c r="AF299" s="84">
        <f>Tabela3[[#This Row],[Lucro Líquido]]/Tabela3[[#This Row],[Total Ações]]</f>
        <v>-2.5291603182005957</v>
      </c>
      <c r="AG2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7">
        <f>[Div Base]*[Ações]</f>
        <v>0</v>
      </c>
      <c r="AL299" s="113">
        <f>SUMPRODUCT(N([Nome]=Tabela3[[#This Row],[Nome]]),[Div Base]*[Ações])</f>
        <v>0</v>
      </c>
      <c r="AM299" s="5">
        <f>[Patrimônio Líquido]/[Total Ações]</f>
        <v>2.2748618788393768</v>
      </c>
      <c r="AN299" s="52">
        <f>MAX(Tabela3[[#This Row],[Cotação 1]:[Cotação 5]])</f>
        <v>10.4</v>
      </c>
      <c r="AO299" s="53">
        <f>[Cotação]/[VPA]</f>
        <v>4.5717061315854606</v>
      </c>
      <c r="AP299" s="37">
        <f>IF(Tabela3[[#This Row],[Lucro/Ação]]&gt;0,Tabela3[[#This Row],[Cotação]]/(Tabela3[[#This Row],[Lucro/Ação]]/[Ref]*4),0)</f>
        <v>0</v>
      </c>
      <c r="AQ299" s="84">
        <f>[Lucro Distribuir]/[Total Ações]</f>
        <v>0</v>
      </c>
      <c r="AR29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99" s="10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0</v>
      </c>
      <c r="AU299" s="22">
        <f>((1+Tabela3[[#This Row],[% Yield]])^(1/(3*Tabela3[[#This Row],[Ref]])))^(12)-1</f>
        <v>0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7">
        <f>SUMPRODUCT(N(Tabela1[Código]=Tabela3[[#This Row],[PAPEL]]),Tabela1[Fechamento])</f>
        <v>0</v>
      </c>
      <c r="AY299" s="7">
        <f>SUMPRODUCT(N(Tabela17[Código]=Tabela3[[#This Row],[PAPEL]]),Tabela17[Fechamento])</f>
        <v>0</v>
      </c>
      <c r="AZ299" s="7">
        <f>SUMPRODUCT(N(Tabela176[Código]=Tabela3[[#This Row],[PAPEL]]),Tabela176[Fechamento])</f>
        <v>0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10.4</v>
      </c>
    </row>
    <row r="300" spans="1:54" ht="11.25" customHeight="1">
      <c r="A300" s="4" t="s">
        <v>559</v>
      </c>
      <c r="B300" s="57" t="s">
        <v>566</v>
      </c>
      <c r="C300" s="15" t="str">
        <f>LEFT([PAPEL],LEN([PAPEL])-(LEN([PAPEL])-4))</f>
        <v>SNSL</v>
      </c>
      <c r="D300" s="15">
        <v>3</v>
      </c>
      <c r="E300" s="6">
        <v>50150513.700000003</v>
      </c>
      <c r="F300" s="8">
        <v>11655683</v>
      </c>
      <c r="G300" s="85">
        <v>0.25</v>
      </c>
      <c r="H300" s="15"/>
      <c r="I300" s="19"/>
      <c r="J300" s="19"/>
      <c r="K300" s="87"/>
      <c r="L300" s="87"/>
      <c r="M300" s="55"/>
      <c r="N300" s="55"/>
      <c r="O300" s="55"/>
      <c r="P300" s="91">
        <v>55043448</v>
      </c>
      <c r="Q300" s="92">
        <v>4261171</v>
      </c>
      <c r="R300" s="92">
        <f>IF(Tabela3[[#This Row],[Ativo || Passivo]]&gt;0,Tabela3[[#This Row],[Ativo || Passivo]]-Tabela3[[#This Row],[Patrimônio Líquido]],0)</f>
        <v>0</v>
      </c>
      <c r="S300" s="92">
        <f>Tabela3[[#This Row],[Cotação]]*Tabela3[[#This Row],[Total Ações]]</f>
        <v>121219103.2</v>
      </c>
      <c r="T300" s="40">
        <f>IF(Tabela3[[#This Row],[Passivo Circulante]]&gt;0,Tabela3[[#This Row],[Ativo Circulante]]/Tabela3[[#This Row],[Passivo Circulante]],0)</f>
        <v>0</v>
      </c>
      <c r="U30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0" s="19">
        <f>IF(Tabela3[[#This Row],[Lucro Líquido]]&gt;0,Tabela3[[#This Row],[Lucro Líquido]]/Tabela3[[#This Row],[Patrimônio Líquido]],0)/Tabela3[[#This Row],[Ref]]*4</f>
        <v>0.10321957544035637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0" s="19">
        <f>IF(Tabela3[[#This Row],[Dívida]]&gt;0,Tabela3[[#This Row],[Dívida]]/Tabela3[[#This Row],[Patrimônio Líquido]],0)</f>
        <v>0</v>
      </c>
      <c r="Y300" s="19">
        <f>SUMPRODUCT(N([Dívida / PL]&gt;0),N(RIGHT([PAPEL],LEN([PAPEL])-(LEN([PAPEL])-1))="3"),[Dívida / PL])/SUMPRODUCT(N([Dívida / PL]&gt;0),N(RIGHT([PAPEL],LEN([PAPEL])-(LEN([PAPEL])-1))="3"))</f>
        <v>2.2435702141443779</v>
      </c>
      <c r="Z300" s="13">
        <f>Tabela3[[#This Row],[Capital Social]]*20%</f>
        <v>10030102.74</v>
      </c>
      <c r="AA300" s="13">
        <f>IF(([Lucro Líquido]*5%)&gt;[Teto R. Legal],[Teto R. Legal],[Lucro Líquido]*5%)</f>
        <v>213058.55000000002</v>
      </c>
      <c r="AB300" s="13">
        <f>IF([Lucro Líquido]&lt;0,0,[Lucro Líquido]-[Reserva Legal])</f>
        <v>4048112.45</v>
      </c>
      <c r="AC300" s="13">
        <f>Tabela3[[#This Row],[Lucro Distribuir]]*[%Div]</f>
        <v>1012028.1125</v>
      </c>
      <c r="AD300" s="56">
        <f>SUMPRODUCT(N([Nome]=Tabela3[[#This Row],[Nome]]),[Ações])</f>
        <v>11655683</v>
      </c>
      <c r="AE300" s="6">
        <f>[Capital Social]/[Total Ações]</f>
        <v>4.3026662358610821</v>
      </c>
      <c r="AF300" s="77">
        <f>Tabela3[[#This Row],[Lucro Líquido]]/Tabela3[[#This Row],[Total Ações]]</f>
        <v>0.3655874134531627</v>
      </c>
      <c r="AG30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30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300" s="13">
        <f>[Div Base]*[Ações]</f>
        <v>1012028.1125</v>
      </c>
      <c r="AL300" s="13">
        <f>SUMPRODUCT(N([Nome]=Tabela3[[#This Row],[Nome]]),[Div Base]*[Ações])</f>
        <v>1012028.1125</v>
      </c>
      <c r="AM300" s="6">
        <f>[Patrimônio Líquido]/[Total Ações]</f>
        <v>4.722455818333426</v>
      </c>
      <c r="AN300" s="48">
        <f>MAX(Tabela3[[#This Row],[Cotação 1]:[Cotação 5]])</f>
        <v>10.4</v>
      </c>
      <c r="AO300" s="44">
        <f>[Cotação]/[VPA]</f>
        <v>2.2022440018655809</v>
      </c>
      <c r="AP300" s="40">
        <f>IF(Tabela3[[#This Row],[Lucro/Ação]]&gt;0,Tabela3[[#This Row],[Cotação]]/(Tabela3[[#This Row],[Lucro/Ação]]/[Ref]*4),0)</f>
        <v>21.335526642793731</v>
      </c>
      <c r="AQ300" s="77">
        <f>[Lucro Distribuir]/[Total Ações]</f>
        <v>0.34730804278050459</v>
      </c>
      <c r="AR300" s="77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300" s="14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8.3487510283775136E-3</v>
      </c>
      <c r="AU300" s="42">
        <f>((1+Tabela3[[#This Row],[% Yield]])^(1/(3*Tabela3[[#This Row],[Ref]])))^(12)-1</f>
        <v>1.1147128654650951E-2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17">
        <f>SUMPRODUCT(N(Tabela1[Código]=Tabela3[[#This Row],[PAPEL]]),Tabela1[Fechamento])</f>
        <v>0</v>
      </c>
      <c r="AY300" s="17">
        <f>SUMPRODUCT(N(Tabela17[Código]=Tabela3[[#This Row],[PAPEL]]),Tabela17[Fechamento])</f>
        <v>0</v>
      </c>
      <c r="AZ300" s="17">
        <f>SUMPRODUCT(N(Tabela176[Código]=Tabela3[[#This Row],[PAPEL]]),Tabela176[Fechamento])</f>
        <v>10.4</v>
      </c>
      <c r="BA300" s="1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customHeight="1">
      <c r="A301" s="3" t="s">
        <v>876</v>
      </c>
      <c r="B301" s="58" t="s">
        <v>878</v>
      </c>
      <c r="C301" s="16" t="str">
        <f>LEFT([PAPEL],LEN([PAPEL])-(LEN([PAPEL])-4))</f>
        <v>CEDO</v>
      </c>
      <c r="D301" s="16">
        <v>3</v>
      </c>
      <c r="E301" s="5">
        <v>150000000</v>
      </c>
      <c r="F301" s="56">
        <v>4292896</v>
      </c>
      <c r="G301" s="80">
        <v>0.25</v>
      </c>
      <c r="H301" s="86"/>
      <c r="J301" s="18"/>
      <c r="K301" s="16"/>
      <c r="L301" s="86"/>
      <c r="M301" s="54"/>
      <c r="N301" s="54"/>
      <c r="O301" s="54"/>
      <c r="P301" s="90">
        <v>305163000</v>
      </c>
      <c r="Q301" s="73">
        <v>10263000</v>
      </c>
      <c r="R301" s="73">
        <f>IF(Tabela3[[#This Row],[Ativo || Passivo]]&gt;0,Tabela3[[#This Row],[Ativo || Passivo]]-Tabela3[[#This Row],[Patrimônio Líquido]],0)</f>
        <v>0</v>
      </c>
      <c r="S301" s="73">
        <f>Tabela3[[#This Row],[Cotação]]*Tabela3[[#This Row],[Total Ações]]</f>
        <v>105000000</v>
      </c>
      <c r="T301" s="37">
        <f>IF(Tabela3[[#This Row],[Passivo Circulante]]&gt;0,Tabela3[[#This Row],[Ativo Circulante]]/Tabela3[[#This Row],[Passivo Circulante]],0)</f>
        <v>0</v>
      </c>
      <c r="U30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1" s="18">
        <f>IF(Tabela3[[#This Row],[Lucro Líquido]]&gt;0,Tabela3[[#This Row],[Lucro Líquido]]/Tabela3[[#This Row],[Patrimônio Líquido]],0)/Tabela3[[#This Row],[Ref]]*4</f>
        <v>4.4841609238341483E-2</v>
      </c>
      <c r="W30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1" s="18">
        <f>IF(Tabela3[[#This Row],[Dívida]]&gt;0,Tabela3[[#This Row],[Dívida]]/Tabela3[[#This Row],[Patrimônio Líquido]],0)</f>
        <v>0</v>
      </c>
      <c r="Y301" s="18">
        <f>SUMPRODUCT(N([Dívida / PL]&gt;0),N(RIGHT([PAPEL],LEN([PAPEL])-(LEN([PAPEL])-1))="3"),[Dívida / PL])/SUMPRODUCT(N([Dívida / PL]&gt;0),N(RIGHT([PAPEL],LEN([PAPEL])-(LEN([PAPEL])-1))="3"))</f>
        <v>2.2435702141443779</v>
      </c>
      <c r="Z301" s="7">
        <f>Tabela3[[#This Row],[Capital Social]]*20%</f>
        <v>30000000</v>
      </c>
      <c r="AA301" s="47">
        <f>IF(([Lucro Líquido]*5%)&gt;[Teto R. Legal],[Teto R. Legal],[Lucro Líquido]*5%)</f>
        <v>513150</v>
      </c>
      <c r="AB301" s="47">
        <f>IF([Lucro Líquido]&lt;0,0,[Lucro Líquido]-[Reserva Legal])</f>
        <v>9749850</v>
      </c>
      <c r="AC301" s="47">
        <f>Tabela3[[#This Row],[Lucro Distribuir]]*[%Div]</f>
        <v>2437462.5</v>
      </c>
      <c r="AD301" s="56">
        <f>SUMPRODUCT(N([Nome]=Tabela3[[#This Row],[Nome]]),[Ações])</f>
        <v>10000000</v>
      </c>
      <c r="AE301" s="84">
        <f>[Capital Social]/[Total Ações]</f>
        <v>15</v>
      </c>
      <c r="AF301" s="84">
        <f>Tabela3[[#This Row],[Lucro Líquido]]/Tabela3[[#This Row],[Total Ações]]</f>
        <v>1.0263</v>
      </c>
      <c r="AG30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30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301" s="7">
        <f>[Div Base]*[Ações]</f>
        <v>1046377.30164</v>
      </c>
      <c r="AL301" s="7">
        <f>SUMPRODUCT(N([Nome]=Tabela3[[#This Row],[Nome]]),[Div Base]*[Ações])</f>
        <v>2437462.5</v>
      </c>
      <c r="AM301" s="5">
        <f>[Patrimônio Líquido]/[Total Ações]</f>
        <v>30.516300000000001</v>
      </c>
      <c r="AN301" s="52">
        <f>MAX(Tabela3[[#This Row],[Cotação 1]:[Cotação 5]])</f>
        <v>10.5</v>
      </c>
      <c r="AO301" s="53">
        <f>[Cotação]/[VPA]</f>
        <v>0.34407841055435945</v>
      </c>
      <c r="AP301" s="37">
        <f>IF(Tabela3[[#This Row],[Lucro/Ação]]&gt;0,Tabela3[[#This Row],[Cotação]]/(Tabela3[[#This Row],[Lucro/Ação]]/[Ref]*4),0)</f>
        <v>7.6731949722303421</v>
      </c>
      <c r="AQ301" s="84">
        <f>[Lucro Distribuir]/[Total Ações]</f>
        <v>0.97498499999999999</v>
      </c>
      <c r="AR301" s="84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301" s="10" t="str">
        <f>IF(AND([% A.A.]&gt;=5%,SUMPRODUCT(N([Nome]=Tabela3[[#This Row],[Nome]]),[PL])&gt;0,[Rentabilidade s/ PL]&gt;=[Rentabilidade s/ PL Média]),"Sim","Não")</f>
        <v>Não</v>
      </c>
      <c r="AT301" s="22">
        <f>IF([Cotação]&gt;0,Tabela3[[#This Row],[Lucro]]/Tabela3[[#This Row],[Cotação]],0)</f>
        <v>2.3213928571428573E-2</v>
      </c>
      <c r="AU301" s="22">
        <f>((1+Tabela3[[#This Row],[% Yield]])^(1/(3*Tabela3[[#This Row],[Ref]])))^(12)-1</f>
        <v>3.1071045453697099E-2</v>
      </c>
      <c r="AV301" s="10">
        <f>IF([Cotação]&gt;0,($BH$1/Tabela3[[#This Row],[Cotação]]-MOD($BH$1/Tabela3[[#This Row],[Cotação]],100)),)</f>
        <v>0</v>
      </c>
      <c r="AW301" s="7">
        <f>Tabela3[[#This Row],[Ativos]]*[Lucro]</f>
        <v>0</v>
      </c>
      <c r="AX301" s="7">
        <f>SUMPRODUCT(N(Tabela1[Código]=Tabela3[[#This Row],[PAPEL]]),Tabela1[Fechamento])</f>
        <v>0</v>
      </c>
      <c r="AY301" s="7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10.5</v>
      </c>
      <c r="BB301" s="7">
        <f>SUMPRODUCT(N(Tabela17683[Código]=Tabela3[[#This Row],[PAPEL]]),Tabela17683[Fechamento])</f>
        <v>0</v>
      </c>
    </row>
    <row r="302" spans="1:54" ht="11.25" customHeight="1">
      <c r="A302" s="4" t="s">
        <v>12</v>
      </c>
      <c r="B302" s="57" t="s">
        <v>85</v>
      </c>
      <c r="C302" s="14" t="str">
        <f>LEFT([PAPEL],LEN([PAPEL])-(LEN([PAPEL])-4))</f>
        <v>ENGI</v>
      </c>
      <c r="D302" s="15">
        <v>3</v>
      </c>
      <c r="E302" s="6"/>
      <c r="F302" s="8"/>
      <c r="G302" s="85">
        <v>0.25</v>
      </c>
      <c r="H302" s="15"/>
      <c r="I302" s="19"/>
      <c r="J302" s="19"/>
      <c r="K302" s="87">
        <v>1</v>
      </c>
      <c r="L302" s="87">
        <v>4</v>
      </c>
      <c r="M302" s="55"/>
      <c r="N302" s="55"/>
      <c r="O302" s="55"/>
      <c r="P302" s="88">
        <v>1825587000</v>
      </c>
      <c r="Q302" s="88">
        <v>190026000</v>
      </c>
      <c r="R302" s="88">
        <f>IF(Tabela3[[#This Row],[Ativo || Passivo]]&gt;0,Tabela3[[#This Row],[Ativo || Passivo]]-Tabela3[[#This Row],[Patrimônio Líquido]],0)</f>
        <v>0</v>
      </c>
      <c r="S302" s="88">
        <f>Tabela3[[#This Row],[Cotação]]*Tabela3[[#This Row],[Total Ações]]</f>
        <v>13341349421.190001</v>
      </c>
      <c r="T302" s="121">
        <f>IF(Tabela3[[#This Row],[Passivo Circulante]]&gt;0,Tabela3[[#This Row],[Ativo Circulante]]/Tabela3[[#This Row],[Passivo Circulante]],0)</f>
        <v>0</v>
      </c>
      <c r="U30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2" s="19">
        <f>IF(Tabela3[[#This Row],[Lucro Líquido]]&gt;0,Tabela3[[#This Row],[Lucro Líquido]]/Tabela3[[#This Row],[Patrimônio Líquido]],0)/Tabela3[[#This Row],[Ref]]*4</f>
        <v>0.1387871407936187</v>
      </c>
      <c r="W3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2" s="19">
        <f>IF(Tabela3[[#This Row],[Dívida]]&gt;0,Tabela3[[#This Row],[Dívida]]/Tabela3[[#This Row],[Patrimônio Líquido]],0)</f>
        <v>0</v>
      </c>
      <c r="Y302" s="19">
        <f>SUMPRODUCT(N([Dívida / PL]&gt;0),N(RIGHT([PAPEL],LEN([PAPEL])-(LEN([PAPEL])-1))="3"),[Dívida / PL])/SUMPRODUCT(N([Dívida / PL]&gt;0),N(RIGHT([PAPEL],LEN([PAPEL])-(LEN([PAPEL])-1))="3"))</f>
        <v>2.2435702141443779</v>
      </c>
      <c r="Z302" s="6"/>
      <c r="AA302" s="6"/>
      <c r="AB302" s="88">
        <f>IF([Lucro Líquido]&lt;0,0,[Lucro Líquido]-[Reserva Legal])</f>
        <v>190026000</v>
      </c>
      <c r="AC302" s="88">
        <f>Tabela3[[#This Row],[Lucro Distribuir]]*[%Div]</f>
        <v>47506500</v>
      </c>
      <c r="AD302" s="56">
        <f>SUMPRODUCT(N([Nome]=Tabela3[[#This Row],[Nome]]),[Ações])</f>
        <v>1245690889</v>
      </c>
      <c r="AE302" s="6">
        <f>[Capital Social]/[Total Ações]</f>
        <v>0</v>
      </c>
      <c r="AF302" s="77">
        <f>Tabela3[[#This Row],[Lucro Líquido]]/Tabela3[[#This Row],[Total Ações]]</f>
        <v>0.15254667243536371</v>
      </c>
      <c r="AG3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2" s="6">
        <f>[Div Base]*[Ações]</f>
        <v>0</v>
      </c>
      <c r="AL302" s="6">
        <f>SUMPRODUCT(N([Nome]=Tabela3[[#This Row],[Nome]]),[Div Base]*[Ações])</f>
        <v>45131175</v>
      </c>
      <c r="AM302" s="6">
        <f>[Patrimônio Líquido]/[Total Ações]</f>
        <v>1.4655216764614227</v>
      </c>
      <c r="AN302" s="48">
        <f>MAX(Tabela3[[#This Row],[Cotação 1]:[Cotação 5]])</f>
        <v>10.71</v>
      </c>
      <c r="AO302" s="44">
        <f>[Cotação]/[VPA]</f>
        <v>7.3079778839299365</v>
      </c>
      <c r="AP302" s="40">
        <f>IF(Tabela3[[#This Row],[Lucro/Ação]]&gt;0,Tabela3[[#This Row],[Cotação]]/(Tabela3[[#This Row],[Lucro/Ação]]/[Ref]*4),0)</f>
        <v>52.656015839371982</v>
      </c>
      <c r="AQ302" s="77">
        <f>[Lucro Distribuir]/[Total Ações]</f>
        <v>0.15254667243536371</v>
      </c>
      <c r="AR302" s="77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302" s="14" t="str">
        <f>IF(AND([% A.A.]&gt;=5%,SUMPRODUCT(N([Nome]=Tabela3[[#This Row],[Nome]]),[PL])&gt;0,[Rentabilidade s/ PL]&gt;=[Rentabilidade s/ PL Média]),"Sim","Não")</f>
        <v>Não</v>
      </c>
      <c r="AT302" s="42">
        <f>IF([Cotação]&gt;0,Tabela3[[#This Row],[Lucro]]/Tabela3[[#This Row],[Cotação]],0)</f>
        <v>1.6914021803640933E-2</v>
      </c>
      <c r="AU302" s="19">
        <f>((1+Tabela3[[#This Row],[% Yield]])^(1/(3*Tabela3[[#This Row],[Ref]])))^(12)-1</f>
        <v>2.2615366037695539E-2</v>
      </c>
      <c r="AV302" s="14">
        <f>IF([Cotação]&gt;0,($BH$1/Tabela3[[#This Row],[Cotação]]-MOD($BH$1/Tabela3[[#This Row],[Cotação]],100)),)</f>
        <v>0</v>
      </c>
      <c r="AW302" s="17">
        <f>Tabela3[[#This Row],[Ativos]]*[Lucro]</f>
        <v>0</v>
      </c>
      <c r="AX302" s="5">
        <f>SUMPRODUCT(N(Tabela1[Código]=Tabela3[[#This Row],[PAPEL]]),Tabela1[Fechamento])</f>
        <v>10.71</v>
      </c>
      <c r="AY302" s="5">
        <f>SUMPRODUCT(N(Tabela17[Código]=Tabela3[[#This Row],[PAPEL]]),Tabela17[Fechamento])</f>
        <v>0</v>
      </c>
      <c r="AZ302" s="7">
        <f>SUMPRODUCT(N(Tabela176[Código]=Tabela3[[#This Row],[PAPEL]]),Tabela176[Fechamento])</f>
        <v>0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customHeight="1">
      <c r="A303" s="4" t="s">
        <v>310</v>
      </c>
      <c r="B303" s="57" t="s">
        <v>309</v>
      </c>
      <c r="C303" s="81" t="str">
        <f>LEFT([PAPEL],LEN([PAPEL])-(LEN([PAPEL])-4))</f>
        <v>DTEX</v>
      </c>
      <c r="D303" s="15">
        <v>4</v>
      </c>
      <c r="E303" s="6">
        <v>1705271709.4400001</v>
      </c>
      <c r="F303" s="38">
        <v>605059489</v>
      </c>
      <c r="G303" s="85">
        <v>0.3</v>
      </c>
      <c r="H303" s="15"/>
      <c r="I303" s="19"/>
      <c r="J303" s="19"/>
      <c r="K303" s="87"/>
      <c r="L303" s="87"/>
      <c r="M303" s="55"/>
      <c r="N303" s="55"/>
      <c r="O303" s="55"/>
      <c r="P303" s="6">
        <v>4365005000</v>
      </c>
      <c r="Q303" s="6">
        <v>519920000</v>
      </c>
      <c r="R303" s="6">
        <f>IF(Tabela3[[#This Row],[Ativo || Passivo]]&gt;0,Tabela3[[#This Row],[Ativo || Passivo]]-Tabela3[[#This Row],[Patrimônio Líquido]],0)</f>
        <v>0</v>
      </c>
      <c r="S303" s="6">
        <f>Tabela3[[#This Row],[Cotação]]*Tabela3[[#This Row],[Total Ações]]</f>
        <v>6504389506.75</v>
      </c>
      <c r="T303" s="121">
        <f>IF(Tabela3[[#This Row],[Passivo Circulante]]&gt;0,Tabela3[[#This Row],[Ativo Circulante]]/Tabela3[[#This Row],[Passivo Circulante]],0)</f>
        <v>0</v>
      </c>
      <c r="U30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3" s="19">
        <f>IF(Tabela3[[#This Row],[Lucro Líquido]]&gt;0,Tabela3[[#This Row],[Lucro Líquido]]/Tabela3[[#This Row],[Patrimônio Líquido]],0)/Tabela3[[#This Row],[Ref]]*4</f>
        <v>0.11911097467242306</v>
      </c>
      <c r="W30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3" s="19">
        <f>IF(Tabela3[[#This Row],[Dívida]]&gt;0,Tabela3[[#This Row],[Dívida]]/Tabela3[[#This Row],[Patrimônio Líquido]],0)</f>
        <v>0</v>
      </c>
      <c r="Y303" s="19">
        <f>SUMPRODUCT(N([Dívida / PL]&gt;0),N(RIGHT([PAPEL],LEN([PAPEL])-(LEN([PAPEL])-1))="3"),[Dívida / PL])/SUMPRODUCT(N([Dívida / PL]&gt;0),N(RIGHT([PAPEL],LEN([PAPEL])-(LEN([PAPEL])-1))="3"))</f>
        <v>2.2435702141443779</v>
      </c>
      <c r="Z303" s="6">
        <f>Tabela3[[#This Row],[Capital Social]]*20%</f>
        <v>341054341.88800001</v>
      </c>
      <c r="AA303" s="6">
        <f>IF(([Lucro Líquido]*5%)&gt;[Teto R. Legal],[Teto R. Legal],[Lucro Líquido]*5%)</f>
        <v>25996000</v>
      </c>
      <c r="AB303" s="6">
        <f>IF([Lucro Líquido]&lt;0,0,[Lucro Líquido]-[Reserva Legal])</f>
        <v>493924000</v>
      </c>
      <c r="AC303" s="6">
        <f>Tabela3[[#This Row],[Lucro Distribuir]]*[%Div]</f>
        <v>148177200</v>
      </c>
      <c r="AD303" s="38">
        <f>SUMPRODUCT(N([Nome]=Tabela3[[#This Row],[Nome]]),[Ações])</f>
        <v>605059489</v>
      </c>
      <c r="AE303" s="6">
        <f>[Capital Social]/[Total Ações]</f>
        <v>2.8183537989931433</v>
      </c>
      <c r="AF303" s="77">
        <f>Tabela3[[#This Row],[Lucro Líquido]]/Tabela3[[#This Row],[Total Ações]]</f>
        <v>0.85928740801881709</v>
      </c>
      <c r="AG3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3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303" s="6">
        <f>[Div Base]*[Ações]</f>
        <v>148177200</v>
      </c>
      <c r="AL303" s="6">
        <f>SUMPRODUCT(N([Nome]=Tabela3[[#This Row],[Nome]]),[Div Base]*[Ações])</f>
        <v>148177200</v>
      </c>
      <c r="AM303" s="6">
        <f>[Patrimônio Líquido]/[Total Ações]</f>
        <v>7.2141749354500249</v>
      </c>
      <c r="AN303" s="48">
        <f>MAX(Tabela3[[#This Row],[Cotação 1]:[Cotação 5]])</f>
        <v>10.75</v>
      </c>
      <c r="AO303" s="44">
        <f>[Cotação]/[VPA]</f>
        <v>1.4901218914411323</v>
      </c>
      <c r="AP303" s="40">
        <f>IF(Tabela3[[#This Row],[Lucro/Ação]]&gt;0,Tabela3[[#This Row],[Cotação]]/(Tabela3[[#This Row],[Lucro/Ação]]/[Ref]*4),0)</f>
        <v>12.510366030831667</v>
      </c>
      <c r="AQ303" s="77">
        <f>[Lucro Distribuir]/[Total Ações]</f>
        <v>0.81632303761787628</v>
      </c>
      <c r="AR303" s="77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303" s="15" t="str">
        <f>IF(AND([% A.A.]&gt;=5%,SUMPRODUCT(N([Nome]=Tabela3[[#This Row],[Nome]]),[PL])&gt;0,[Rentabilidade s/ PL]&gt;=[Rentabilidade s/ PL Média]),"Sim","Não")</f>
        <v>Não</v>
      </c>
      <c r="AT303" s="42">
        <f>IF([Cotação]&gt;0,Tabela3[[#This Row],[Lucro]]/Tabela3[[#This Row],[Cotação]],0)</f>
        <v>2.2781108026545385E-2</v>
      </c>
      <c r="AU303" s="19">
        <f>((1+Tabela3[[#This Row],[% Yield]])^(1/(3*Tabela3[[#This Row],[Ref]])))^(12)-1</f>
        <v>2.2781108026545649E-2</v>
      </c>
      <c r="AV303" s="14">
        <f>IF([Cotação]&gt;0,($BH$1/Tabela3[[#This Row],[Cotação]]-MOD($BH$1/Tabela3[[#This Row],[Cotação]],100)),)</f>
        <v>0</v>
      </c>
      <c r="AW303" s="17">
        <f>Tabela3[[#This Row],[Ativos]]*[Lucro]</f>
        <v>0</v>
      </c>
      <c r="AX303" s="13">
        <f>SUMPRODUCT(N(Tabela1[Código]=Tabela3[[#This Row],[PAPEL]]),Tabela1[Fechamento])</f>
        <v>0</v>
      </c>
      <c r="AY303" s="55">
        <f>SUMPRODUCT(N(Tabela17[Código]=Tabela3[[#This Row],[PAPEL]]),Tabela17[Fechamento])</f>
        <v>10.75</v>
      </c>
      <c r="AZ303" s="7">
        <f>SUMPRODUCT(N(Tabela176[Código]=Tabela3[[#This Row],[PAPEL]]),Tabela176[Fechamento])</f>
        <v>0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customHeight="1">
      <c r="A304" s="4" t="s">
        <v>288</v>
      </c>
      <c r="B304" s="57" t="s">
        <v>694</v>
      </c>
      <c r="C304" s="15" t="str">
        <f>LEFT([PAPEL],LEN([PAPEL])-(LEN([PAPEL])-4))</f>
        <v>DOCA</v>
      </c>
      <c r="D304" s="15">
        <v>3</v>
      </c>
      <c r="E304" s="6">
        <v>231161118.28999999</v>
      </c>
      <c r="F304" s="8">
        <v>1100656</v>
      </c>
      <c r="G304" s="85">
        <v>0.25</v>
      </c>
      <c r="H304" s="15"/>
      <c r="I304" s="19"/>
      <c r="J304" s="19"/>
      <c r="K304" s="87"/>
      <c r="L304" s="87"/>
      <c r="M304" s="55"/>
      <c r="N304" s="55"/>
      <c r="O304" s="55"/>
      <c r="P304" s="91">
        <v>-367598000</v>
      </c>
      <c r="Q304" s="92">
        <v>-10261000</v>
      </c>
      <c r="R304" s="92">
        <f>IF(Tabela3[[#This Row],[Ativo || Passivo]]&gt;0,Tabela3[[#This Row],[Ativo || Passivo]]-Tabela3[[#This Row],[Patrimônio Líquido]],0)</f>
        <v>0</v>
      </c>
      <c r="S304" s="92">
        <f>Tabela3[[#This Row],[Cotação]]*Tabela3[[#This Row],[Total Ações]]</f>
        <v>12749484</v>
      </c>
      <c r="T304" s="40">
        <f>IF(Tabela3[[#This Row],[Passivo Circulante]]&gt;0,Tabela3[[#This Row],[Ativo Circulante]]/Tabela3[[#This Row],[Passivo Circulante]],0)</f>
        <v>0</v>
      </c>
      <c r="U30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4" s="19">
        <f>IF(Tabela3[[#This Row],[Lucro Líquido]]&gt;0,Tabela3[[#This Row],[Lucro Líquido]]/Tabela3[[#This Row],[Patrimônio Líquido]],0)/Tabela3[[#This Row],[Ref]]*4</f>
        <v>0</v>
      </c>
      <c r="W30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4" s="19">
        <f>IF(Tabela3[[#This Row],[Dívida]]&gt;0,Tabela3[[#This Row],[Dívida]]/Tabela3[[#This Row],[Patrimônio Líquido]],0)</f>
        <v>0</v>
      </c>
      <c r="Y304" s="19">
        <f>SUMPRODUCT(N([Dívida / PL]&gt;0),N(RIGHT([PAPEL],LEN([PAPEL])-(LEN([PAPEL])-1))="3"),[Dívida / PL])/SUMPRODUCT(N([Dívida / PL]&gt;0),N(RIGHT([PAPEL],LEN([PAPEL])-(LEN([PAPEL])-1))="3"))</f>
        <v>2.2435702141443779</v>
      </c>
      <c r="Z304" s="13">
        <f>Tabela3[[#This Row],[Capital Social]]*20%</f>
        <v>46232223.658</v>
      </c>
      <c r="AA304" s="13">
        <f>IF(([Lucro Líquido]*5%)&gt;[Teto R. Legal],[Teto R. Legal],[Lucro Líquido]*5%)</f>
        <v>-513050</v>
      </c>
      <c r="AB304" s="13">
        <f>IF([Lucro Líquido]&lt;0,0,[Lucro Líquido]-[Reserva Legal])</f>
        <v>0</v>
      </c>
      <c r="AC304" s="13">
        <f>Tabela3[[#This Row],[Lucro Distribuir]]*[%Div]</f>
        <v>0</v>
      </c>
      <c r="AD304" s="21">
        <f>SUMPRODUCT(N([Nome]=Tabela3[[#This Row],[Nome]]),[Ações])</f>
        <v>1159044</v>
      </c>
      <c r="AE304" s="6">
        <f>[Capital Social]/[Total Ações]</f>
        <v>199.4411931643665</v>
      </c>
      <c r="AF304" s="77">
        <f>Tabela3[[#This Row],[Lucro Líquido]]/Tabela3[[#This Row],[Total Ações]]</f>
        <v>-8.8529857365207878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4" s="13">
        <f>[Div Base]*[Ações]</f>
        <v>0</v>
      </c>
      <c r="AL304" s="13">
        <f>SUMPRODUCT(N([Nome]=Tabela3[[#This Row],[Nome]]),[Div Base]*[Ações])</f>
        <v>0</v>
      </c>
      <c r="AM304" s="6">
        <f>[Patrimônio Líquido]/[Total Ações]</f>
        <v>-317.15620804732174</v>
      </c>
      <c r="AN304" s="48">
        <f>MAX(Tabela3[[#This Row],[Cotação 1]:[Cotação 5]])</f>
        <v>11</v>
      </c>
      <c r="AO304" s="44">
        <f>[Cotação]/[VPA]</f>
        <v>-3.4683224609491893E-2</v>
      </c>
      <c r="AP304" s="40">
        <f>IF(Tabela3[[#This Row],[Lucro/Ação]]&gt;0,Tabela3[[#This Row],[Cotação]]/(Tabela3[[#This Row],[Lucro/Ação]]/[Ref]*4),0)</f>
        <v>0</v>
      </c>
      <c r="AQ304" s="77">
        <f>[Lucro Distribuir]/[Total Ações]</f>
        <v>0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4" s="14" t="str">
        <f>IF(AND([% A.A.]&gt;=5%,SUMPRODUCT(N([Nome]=Tabela3[[#This Row],[Nome]]),[PL])&gt;0,[Rentabilidade s/ PL]&gt;=[Rentabilidade s/ PL Média]),"Sim","Não")</f>
        <v>Não</v>
      </c>
      <c r="AT304" s="42">
        <f>IF([Cotação]&gt;0,Tabela3[[#This Row],[Lucro]]/Tabela3[[#This Row],[Cotação]],0)</f>
        <v>0</v>
      </c>
      <c r="AU304" s="42">
        <f>((1+Tabela3[[#This Row],[% Yield]])^(1/(3*Tabela3[[#This Row],[Ref]])))^(12)-1</f>
        <v>0</v>
      </c>
      <c r="AV304" s="14">
        <f>IF([Cotação]&gt;0,($BH$1/Tabela3[[#This Row],[Cotação]]-MOD($BH$1/Tabela3[[#This Row],[Cotação]],100)),)</f>
        <v>0</v>
      </c>
      <c r="AW304" s="17">
        <f>Tabela3[[#This Row],[Ativos]]*[Lucro]</f>
        <v>0</v>
      </c>
      <c r="AX304" s="17">
        <f>SUMPRODUCT(N(Tabela1[Código]=Tabela3[[#This Row],[PAPEL]]),Tabela1[Fechamento])</f>
        <v>0</v>
      </c>
      <c r="AY304" s="17">
        <f>SUMPRODUCT(N(Tabela17[Código]=Tabela3[[#This Row],[PAPEL]]),Tabela17[Fechamento])</f>
        <v>0</v>
      </c>
      <c r="AZ304" s="17">
        <f>SUMPRODUCT(N(Tabela176[Código]=Tabela3[[#This Row],[PAPEL]]),Tabela176[Fechamento])</f>
        <v>11</v>
      </c>
      <c r="BA304" s="1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customHeight="1">
      <c r="A305" s="3" t="s">
        <v>231</v>
      </c>
      <c r="B305" s="57" t="s">
        <v>79</v>
      </c>
      <c r="C305" s="15" t="str">
        <f>LEFT([PAPEL],LEN([PAPEL])-(LEN([PAPEL])-4))</f>
        <v>FESA</v>
      </c>
      <c r="D305" s="16">
        <v>3</v>
      </c>
      <c r="E305" s="5">
        <v>897734673.07000005</v>
      </c>
      <c r="F305" s="56">
        <v>58880000</v>
      </c>
      <c r="G305" s="85">
        <v>0.25</v>
      </c>
      <c r="H305" s="16"/>
      <c r="J305" s="18">
        <v>0.1</v>
      </c>
      <c r="K305" s="86"/>
      <c r="L305" s="86"/>
      <c r="M305" s="54"/>
      <c r="N305" s="54"/>
      <c r="O305" s="54"/>
      <c r="P305" s="5">
        <v>1206918000</v>
      </c>
      <c r="Q305" s="5">
        <v>49929000</v>
      </c>
      <c r="R305" s="5">
        <f>IF(Tabela3[[#This Row],[Ativo || Passivo]]&gt;0,Tabela3[[#This Row],[Ativo || Passivo]]-Tabela3[[#This Row],[Patrimônio Líquido]],0)</f>
        <v>0</v>
      </c>
      <c r="S305" s="5">
        <f>Tabela3[[#This Row],[Cotação]]*Tabela3[[#This Row],[Total Ações]]</f>
        <v>979468800</v>
      </c>
      <c r="T305" s="119">
        <f>IF(Tabela3[[#This Row],[Passivo Circulante]]&gt;0,Tabela3[[#This Row],[Ativo Circulante]]/Tabela3[[#This Row],[Passivo Circulante]],0)</f>
        <v>0</v>
      </c>
      <c r="U30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5" s="18">
        <f>IF(Tabela3[[#This Row],[Lucro Líquido]]&gt;0,Tabela3[[#This Row],[Lucro Líquido]]/Tabela3[[#This Row],[Patrimônio Líquido]],0)/Tabela3[[#This Row],[Ref]]*4</f>
        <v>5.5158676894370623E-2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2.2435702141443779</v>
      </c>
      <c r="Z305" s="5">
        <f>Tabela3[[#This Row],[Capital Social]]*20%</f>
        <v>179546934.61400002</v>
      </c>
      <c r="AA305" s="5">
        <f>IF(([Lucro Líquido]*5%)&gt;[Teto R. Legal],[Teto R. Legal],[Lucro Líquido]*5%)</f>
        <v>2496450</v>
      </c>
      <c r="AB305" s="5">
        <f>IF([Lucro Líquido]&lt;0,0,[Lucro Líquido]-[Reserva Legal])</f>
        <v>47432550</v>
      </c>
      <c r="AC305" s="5">
        <f>Tabela3[[#This Row],[Lucro Distribuir]]*[%Div]</f>
        <v>11858137.5</v>
      </c>
      <c r="AD305" s="56">
        <f>SUMPRODUCT(N([Nome]=Tabela3[[#This Row],[Nome]]),[Ações])</f>
        <v>88320000</v>
      </c>
      <c r="AE305" s="5">
        <f>[Capital Social]/[Total Ações]</f>
        <v>10.164568309216486</v>
      </c>
      <c r="AF305" s="76">
        <f>Tabela3[[#This Row],[Lucro Líquido]]/Tabela3[[#This Row],[Total Ações]]</f>
        <v>0.56531929347826082</v>
      </c>
      <c r="AG30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30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305" s="5">
        <f>[Div Base]*[Ações]</f>
        <v>8425402.8953309041</v>
      </c>
      <c r="AL305" s="5">
        <f>SUMPRODUCT(N([Nome]=Tabela3[[#This Row],[Nome]]),[Div Base]*[Ações])</f>
        <v>12255131.478871353</v>
      </c>
      <c r="AM305" s="5">
        <f>[Patrimônio Líquido]/[Total Ações]</f>
        <v>13.665285326086957</v>
      </c>
      <c r="AN305" s="52">
        <f>MAX(Tabela3[[#This Row],[Cotação 1]:[Cotação 5]])</f>
        <v>11.09</v>
      </c>
      <c r="AO305" s="53">
        <f>[Cotação]/[VPA]</f>
        <v>0.81154544053531386</v>
      </c>
      <c r="AP305" s="37">
        <f>IF(Tabela3[[#This Row],[Lucro/Ação]]&gt;0,Tabela3[[#This Row],[Cotação]]/(Tabela3[[#This Row],[Lucro/Ação]]/[Ref]*4),0)</f>
        <v>14.712924352580666</v>
      </c>
      <c r="AQ305" s="76">
        <f>[Lucro Distribuir]/[Total Ações]</f>
        <v>0.53705332880434786</v>
      </c>
      <c r="AR305" s="76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305" s="16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1.290301880263706E-2</v>
      </c>
      <c r="AU305" s="18">
        <f>((1+Tabela3[[#This Row],[% Yield]])^(1/(3*Tabela3[[#This Row],[Ref]])))^(12)-1</f>
        <v>1.7240916862674371E-2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5">
        <f>SUMPRODUCT(N(Tabela1[Código]=Tabela3[[#This Row],[PAPEL]]),Tabela1[Fechamento])</f>
        <v>11.09</v>
      </c>
      <c r="AY305" s="5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0</v>
      </c>
    </row>
    <row r="306" spans="1:54" ht="11.25" customHeight="1">
      <c r="A306" s="4" t="s">
        <v>231</v>
      </c>
      <c r="B306" s="57" t="s">
        <v>587</v>
      </c>
      <c r="C306" s="15" t="str">
        <f>LEFT([PAPEL],LEN([PAPEL])-(LEN([PAPEL])-4))</f>
        <v>USIM</v>
      </c>
      <c r="D306" s="15">
        <v>4</v>
      </c>
      <c r="E306" s="6">
        <v>12150000000</v>
      </c>
      <c r="F306" s="8">
        <v>87032</v>
      </c>
      <c r="G306" s="85">
        <v>0.25</v>
      </c>
      <c r="H306" s="15"/>
      <c r="I306" s="19"/>
      <c r="J306" s="19">
        <v>0.1</v>
      </c>
      <c r="K306" s="87"/>
      <c r="L306" s="87"/>
      <c r="M306" s="55"/>
      <c r="N306" s="55"/>
      <c r="O306" s="55"/>
      <c r="P306" s="91">
        <v>16711908000</v>
      </c>
      <c r="Q306" s="92">
        <v>-141678000</v>
      </c>
      <c r="R306" s="92">
        <f>IF(Tabela3[[#This Row],[Ativo || Passivo]]&gt;0,Tabela3[[#This Row],[Ativo || Passivo]]-Tabela3[[#This Row],[Patrimônio Líquido]],0)</f>
        <v>0</v>
      </c>
      <c r="S306" s="92">
        <f>Tabela3[[#This Row],[Cotação]]*Tabela3[[#This Row],[Total Ações]]</f>
        <v>11289294674.700001</v>
      </c>
      <c r="T306" s="40">
        <f>IF(Tabela3[[#This Row],[Passivo Circulante]]&gt;0,Tabela3[[#This Row],[Ativo Circulante]]/Tabela3[[#This Row],[Passivo Circulante]],0)</f>
        <v>0</v>
      </c>
      <c r="U3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6" s="19">
        <f>IF(Tabela3[[#This Row],[Lucro Líquido]]&gt;0,Tabela3[[#This Row],[Lucro Líquido]]/Tabela3[[#This Row],[Patrimônio Líquido]],0)/Tabela3[[#This Row],[Ref]]*4</f>
        <v>0</v>
      </c>
      <c r="W3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6" s="19">
        <f>IF(Tabela3[[#This Row],[Dívida]]&gt;0,Tabela3[[#This Row],[Dívida]]/Tabela3[[#This Row],[Patrimônio Líquido]],0)</f>
        <v>0</v>
      </c>
      <c r="Y306" s="19">
        <f>SUMPRODUCT(N([Dívida / PL]&gt;0),N(RIGHT([PAPEL],LEN([PAPEL])-(LEN([PAPEL])-1))="3"),[Dívida / PL])/SUMPRODUCT(N([Dívida / PL]&gt;0),N(RIGHT([PAPEL],LEN([PAPEL])-(LEN([PAPEL])-1))="3"))</f>
        <v>2.2435702141443779</v>
      </c>
      <c r="Z306" s="13">
        <f>Tabela3[[#This Row],[Capital Social]]*20%</f>
        <v>2430000000</v>
      </c>
      <c r="AA306" s="13">
        <f>IF(([Lucro Líquido]*5%)&gt;[Teto R. Legal],[Teto R. Legal],[Lucro Líquido]*5%)</f>
        <v>-7083900</v>
      </c>
      <c r="AB306" s="13">
        <f>IF([Lucro Líquido]&lt;0,0,[Lucro Líquido]-[Reserva Legal])</f>
        <v>0</v>
      </c>
      <c r="AC306" s="13">
        <f>Tabela3[[#This Row],[Lucro Distribuir]]*[%Div]</f>
        <v>0</v>
      </c>
      <c r="AD306" s="56">
        <f>SUMPRODUCT(N([Nome]=Tabela3[[#This Row],[Nome]]),[Ações])</f>
        <v>1014312190</v>
      </c>
      <c r="AE306" s="6">
        <f>[Capital Social]/[Total Ações]</f>
        <v>11.978560565263443</v>
      </c>
      <c r="AF306" s="77">
        <f>Tabela3[[#This Row],[Lucro Líquido]]/Tabela3[[#This Row],[Total Ações]]</f>
        <v>-0.13967888919879787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13">
        <f>[Div Base]*[Ações]</f>
        <v>0</v>
      </c>
      <c r="AL306" s="13">
        <f>SUMPRODUCT(N([Nome]=Tabela3[[#This Row],[Nome]]),[Div Base]*[Ações])</f>
        <v>0</v>
      </c>
      <c r="AM306" s="6">
        <f>[Patrimônio Líquido]/[Total Ações]</f>
        <v>16.476098941490587</v>
      </c>
      <c r="AN306" s="48">
        <f>MAX(Tabela3[[#This Row],[Cotação 1]:[Cotação 5]])</f>
        <v>11.13</v>
      </c>
      <c r="AO306" s="44">
        <f>[Cotação]/[VPA]</f>
        <v>0.67552398413753845</v>
      </c>
      <c r="AP306" s="40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4" t="str">
        <f>IF(AND([% A.A.]&gt;=5%,SUMPRODUCT(N([Nome]=Tabela3[[#This Row],[Nome]]),[PL])&gt;0,[Rentabilidade s/ PL]&gt;=[Rentabilidade s/ PL Média]),"Sim","Não")</f>
        <v>Não</v>
      </c>
      <c r="AT306" s="42">
        <f>IF([Cotação]&gt;0,Tabela3[[#This Row],[Lucro]]/Tabela3[[#This Row],[Cotação]],0)</f>
        <v>0</v>
      </c>
      <c r="AU306" s="42">
        <f>((1+Tabela3[[#This Row],[% Yield]])^(1/(3*Tabela3[[#This Row],[Ref]])))^(12)-1</f>
        <v>0</v>
      </c>
      <c r="AV306" s="14">
        <f>IF([Cotação]&gt;0,($BH$1/Tabela3[[#This Row],[Cotação]]-MOD($BH$1/Tabela3[[#This Row],[Cotação]],100)),)</f>
        <v>0</v>
      </c>
      <c r="AW306" s="17">
        <f>Tabela3[[#This Row],[Ativos]]*[Lucro]</f>
        <v>0</v>
      </c>
      <c r="AX306" s="17">
        <f>SUMPRODUCT(N(Tabela1[Código]=Tabela3[[#This Row],[PAPEL]]),Tabela1[Fechamento])</f>
        <v>0</v>
      </c>
      <c r="AY306" s="17">
        <f>SUMPRODUCT(N(Tabela17[Código]=Tabela3[[#This Row],[PAPEL]]),Tabela17[Fechamento])</f>
        <v>0</v>
      </c>
      <c r="AZ306" s="17">
        <f>SUMPRODUCT(N(Tabela176[Código]=Tabela3[[#This Row],[PAPEL]]),Tabela176[Fechamento])</f>
        <v>11.13</v>
      </c>
      <c r="BA306" s="1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t="11.25" customHeight="1">
      <c r="A307" s="3" t="s">
        <v>957</v>
      </c>
      <c r="B307" s="58" t="s">
        <v>953</v>
      </c>
      <c r="C307" s="16" t="str">
        <f>LEFT([PAPEL],LEN([PAPEL])-(LEN([PAPEL])-4))</f>
        <v>ALPA</v>
      </c>
      <c r="D307" s="16">
        <v>4</v>
      </c>
      <c r="E307" s="5">
        <v>624610414.55999994</v>
      </c>
      <c r="F307" s="56">
        <v>219644137</v>
      </c>
      <c r="G307" s="80">
        <v>0.25</v>
      </c>
      <c r="H307" s="86"/>
      <c r="J307" s="18"/>
      <c r="K307" s="16"/>
      <c r="L307" s="86"/>
      <c r="M307" s="54">
        <v>2946099000</v>
      </c>
      <c r="N307" s="54">
        <v>1777924000</v>
      </c>
      <c r="O307" s="54">
        <v>674850000</v>
      </c>
      <c r="P307" s="90">
        <v>1834451000</v>
      </c>
      <c r="Q307" s="73">
        <v>310011000</v>
      </c>
      <c r="R307" s="73">
        <f>IF(Tabela3[[#This Row],[Ativo || Passivo]]&gt;0,Tabela3[[#This Row],[Ativo || Passivo]]-Tabela3[[#This Row],[Patrimônio Líquido]],0)</f>
        <v>1111648000</v>
      </c>
      <c r="S307" s="73">
        <f>Tabela3[[#This Row],[Cotação]]*Tabela3[[#This Row],[Total Ações]]</f>
        <v>4768650007.25</v>
      </c>
      <c r="T307" s="37">
        <f>IF(Tabela3[[#This Row],[Passivo Circulante]]&gt;0,Tabela3[[#This Row],[Ativo Circulante]]/Tabela3[[#This Row],[Passivo Circulante]],0)</f>
        <v>2.6345469363562275</v>
      </c>
      <c r="U3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7" s="18">
        <f>IF(Tabela3[[#This Row],[Lucro Líquido]]&gt;0,Tabela3[[#This Row],[Lucro Líquido]]/Tabela3[[#This Row],[Patrimônio Líquido]],0)/Tabela3[[#This Row],[Ref]]*4</f>
        <v>0.16899388427382361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7" s="18">
        <f>IF(Tabela3[[#This Row],[Dívida]]&gt;0,Tabela3[[#This Row],[Dívida]]/Tabela3[[#This Row],[Patrimônio Líquido]],0)</f>
        <v>0.6059840246482463</v>
      </c>
      <c r="Y307" s="18">
        <f>SUMPRODUCT(N([Dívida / PL]&gt;0),N(RIGHT([PAPEL],LEN([PAPEL])-(LEN([PAPEL])-1))="3"),[Dívida / PL])/SUMPRODUCT(N([Dívida / PL]&gt;0),N(RIGHT([PAPEL],LEN([PAPEL])-(LEN([PAPEL])-1))="3"))</f>
        <v>2.2435702141443779</v>
      </c>
      <c r="Z307" s="7">
        <f>Tabela3[[#This Row],[Capital Social]]*20%</f>
        <v>124922082.912</v>
      </c>
      <c r="AA307" s="47">
        <f>IF(([Lucro Líquido]*5%)&gt;[Teto R. Legal],[Teto R. Legal],[Lucro Líquido]*5%)</f>
        <v>15500550</v>
      </c>
      <c r="AB307" s="47">
        <f>IF([Lucro Líquido]&lt;0,0,[Lucro Líquido]-[Reserva Legal])</f>
        <v>294510450</v>
      </c>
      <c r="AC307" s="47">
        <f>Tabela3[[#This Row],[Lucro Distribuir]]*[%Div]</f>
        <v>73627612.5</v>
      </c>
      <c r="AD307" s="56">
        <f>SUMPRODUCT(N([Nome]=Tabela3[[#This Row],[Nome]]),[Ações])</f>
        <v>427681615</v>
      </c>
      <c r="AE307" s="84">
        <f>[Capital Social]/[Total Ações]</f>
        <v>1.4604565467701949</v>
      </c>
      <c r="AF307" s="84">
        <f>Tabela3[[#This Row],[Lucro Líquido]]/Tabela3[[#This Row],[Total Ações]]</f>
        <v>0.72486398556084763</v>
      </c>
      <c r="AG3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0.1667987937680363</v>
      </c>
      <c r="AH3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0.1667987937680363</v>
      </c>
      <c r="AK307" s="7">
        <f>[Div Base]*[Ações]</f>
        <v>36636377.109821312</v>
      </c>
      <c r="AL307" s="7">
        <f>SUMPRODUCT(N([Nome]=Tabela3[[#This Row],[Nome]]),[Div Base]*[Ações])</f>
        <v>74806817.589949653</v>
      </c>
      <c r="AM307" s="5">
        <f>[Patrimônio Líquido]/[Total Ações]</f>
        <v>4.289291228943755</v>
      </c>
      <c r="AN307" s="52">
        <f>MAX(Tabela3[[#This Row],[Cotação 1]:[Cotação 5]])</f>
        <v>11.15</v>
      </c>
      <c r="AO307" s="53">
        <f>[Cotação]/[VPA]</f>
        <v>2.5994970741927697</v>
      </c>
      <c r="AP307" s="37">
        <f>IF(Tabela3[[#This Row],[Lucro/Ação]]&gt;0,Tabela3[[#This Row],[Cotação]]/(Tabela3[[#This Row],[Lucro/Ação]]/[Ref]*4),0)</f>
        <v>15.382196139007972</v>
      </c>
      <c r="AQ307" s="84">
        <f>[Lucro Distribuir]/[Total Ações]</f>
        <v>0.68862078628280521</v>
      </c>
      <c r="AR307" s="84">
        <f>IF([Unit ON]&gt;0,SUMPRODUCT(N([Nome]=Tabela3[[#This Row],[Nome]]),N(RIGHT([PAPEL],1)="3"),[Div Base])*[Unit ON]+SUMPRODUCT(N([Nome]=Tabela3[[#This Row],[Nome]]),N(RIGHT([PAPEL],1)="4"),[Div Base])*[Unit PN],[Div Base])</f>
        <v>0.1667987937680363</v>
      </c>
      <c r="AS307" s="10" t="str">
        <f>IF(AND([% A.A.]&gt;=5%,SUMPRODUCT(N([Nome]=Tabela3[[#This Row],[Nome]]),[PL])&gt;0,[Rentabilidade s/ PL]&gt;=[Rentabilidade s/ PL Média]),"Sim","Não")</f>
        <v>Não</v>
      </c>
      <c r="AT307" s="22">
        <f>IF([Cotação]&gt;0,Tabela3[[#This Row],[Lucro]]/Tabela3[[#This Row],[Cotação]],0)</f>
        <v>1.4959533073366484E-2</v>
      </c>
      <c r="AU307" s="22">
        <f>((1+Tabela3[[#This Row],[% Yield]])^(1/(3*Tabela3[[#This Row],[Ref]])))^(12)-1</f>
        <v>1.4959533073365838E-2</v>
      </c>
      <c r="AV307" s="10">
        <f>IF([Cotação]&gt;0,($BH$1/Tabela3[[#This Row],[Cotação]]-MOD($BH$1/Tabela3[[#This Row],[Cotação]],100)),)</f>
        <v>0</v>
      </c>
      <c r="AW307" s="7">
        <f>Tabela3[[#This Row],[Ativos]]*[Lucro]</f>
        <v>0</v>
      </c>
      <c r="AX307" s="7">
        <f>SUMPRODUCT(N(Tabela1[Código]=Tabela3[[#This Row],[PAPEL]]),Tabela1[Fechamento])</f>
        <v>0</v>
      </c>
      <c r="AY307" s="7">
        <f>SUMPRODUCT(N(Tabela17[Código]=Tabela3[[#This Row],[PAPEL]]),Tabela17[Fechamento])</f>
        <v>0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11.15</v>
      </c>
      <c r="BB307" s="7">
        <f>SUMPRODUCT(N(Tabela17683[Código]=Tabela3[[#This Row],[PAPEL]]),Tabela17683[Fechamento])</f>
        <v>0</v>
      </c>
    </row>
    <row r="308" spans="1:54" ht="11.25" customHeight="1">
      <c r="A308" s="4" t="s">
        <v>14</v>
      </c>
      <c r="B308" s="57" t="s">
        <v>22</v>
      </c>
      <c r="C308" s="14" t="str">
        <f>LEFT([PAPEL],LEN([PAPEL])-(LEN([PAPEL])-4))</f>
        <v>ABCB</v>
      </c>
      <c r="D308" s="15">
        <v>4</v>
      </c>
      <c r="E308" s="5">
        <v>1113919943.79</v>
      </c>
      <c r="F308" s="8">
        <v>73535003</v>
      </c>
      <c r="G308" s="85">
        <v>0.25</v>
      </c>
      <c r="H308" s="15"/>
      <c r="I308" s="19"/>
      <c r="J308" s="19"/>
      <c r="K308" s="87"/>
      <c r="L308" s="87"/>
      <c r="M308" s="55"/>
      <c r="N308" s="55"/>
      <c r="O308" s="55"/>
      <c r="P308" s="6">
        <v>1917522000</v>
      </c>
      <c r="Q308" s="6">
        <v>268263000</v>
      </c>
      <c r="R308" s="6">
        <f>IF(Tabela3[[#This Row],[Ativo || Passivo]]&gt;0,Tabela3[[#This Row],[Ativo || Passivo]]-Tabela3[[#This Row],[Patrimônio Líquido]],0)</f>
        <v>0</v>
      </c>
      <c r="S308" s="6">
        <f>Tabela3[[#This Row],[Cotação]]*Tabela3[[#This Row],[Total Ações]]</f>
        <v>1647533342.3099999</v>
      </c>
      <c r="T308" s="121">
        <f>IF(Tabela3[[#This Row],[Passivo Circulante]]&gt;0,Tabela3[[#This Row],[Ativo Circulante]]/Tabela3[[#This Row],[Passivo Circulante]],0)</f>
        <v>0</v>
      </c>
      <c r="U30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8" s="19">
        <f>IF(Tabela3[[#This Row],[Lucro Líquido]]&gt;0,Tabela3[[#This Row],[Lucro Líquido]]/Tabela3[[#This Row],[Patrimônio Líquido]],0)/Tabela3[[#This Row],[Ref]]*4</f>
        <v>0.1399008720630063</v>
      </c>
      <c r="W3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8" s="19">
        <f>IF(Tabela3[[#This Row],[Dívida]]&gt;0,Tabela3[[#This Row],[Dívida]]/Tabela3[[#This Row],[Patrimônio Líquido]],0)</f>
        <v>0</v>
      </c>
      <c r="Y308" s="19">
        <f>SUMPRODUCT(N([Dívida / PL]&gt;0),N(RIGHT([PAPEL],LEN([PAPEL])-(LEN([PAPEL])-1))="3"),[Dívida / PL])/SUMPRODUCT(N([Dívida / PL]&gt;0),N(RIGHT([PAPEL],LEN([PAPEL])-(LEN([PAPEL])-1))="3"))</f>
        <v>2.2435702141443779</v>
      </c>
      <c r="Z308" s="6">
        <f>Tabela3[[#This Row],[Capital Social]]*20%</f>
        <v>222783988.75800002</v>
      </c>
      <c r="AA308" s="6">
        <f>IF(([Lucro Líquido]*5%)&gt;[Teto R. Legal],[Teto R. Legal],[Lucro Líquido]*5%)</f>
        <v>13413150</v>
      </c>
      <c r="AB308" s="6">
        <f>IF([Lucro Líquido]&lt;0,0,[Lucro Líquido]-[Reserva Legal])</f>
        <v>254849850</v>
      </c>
      <c r="AC308" s="6">
        <f>Tabela3[[#This Row],[Lucro Distribuir]]*[%Div]</f>
        <v>63712462.5</v>
      </c>
      <c r="AD308" s="21">
        <f>SUMPRODUCT(N([Nome]=Tabela3[[#This Row],[Nome]]),[Ações])</f>
        <v>147232649</v>
      </c>
      <c r="AE308" s="6">
        <f>[Capital Social]/[Total Ações]</f>
        <v>7.5657128453214204</v>
      </c>
      <c r="AF308" s="77">
        <f>Tabela3[[#This Row],[Lucro Líquido]]/Tabela3[[#This Row],[Total Ações]]</f>
        <v>1.8220347308972211</v>
      </c>
      <c r="AG3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08" s="6">
        <f>[Div Base]*[Ações]</f>
        <v>31821040.733124942</v>
      </c>
      <c r="AL308" s="6">
        <f>SUMPRODUCT(N([Nome]=Tabela3[[#This Row],[Nome]]),[Div Base]*[Ações])</f>
        <v>63712462.5</v>
      </c>
      <c r="AM308" s="6">
        <f>[Patrimônio Líquido]/[Total Ações]</f>
        <v>13.023755349263601</v>
      </c>
      <c r="AN308" s="48">
        <f>MAX(Tabela3[[#This Row],[Cotação 1]:[Cotação 5]])</f>
        <v>11.19</v>
      </c>
      <c r="AO308" s="44">
        <f>[Cotação]/[VPA]</f>
        <v>0.85919918640307635</v>
      </c>
      <c r="AP308" s="40">
        <f>IF(Tabela3[[#This Row],[Lucro/Ação]]&gt;0,Tabela3[[#This Row],[Cotação]]/(Tabela3[[#This Row],[Lucro/Ação]]/[Ref]*4),0)</f>
        <v>6.1414855656948584</v>
      </c>
      <c r="AQ308" s="77">
        <f>[Lucro Distribuir]/[Total Ações]</f>
        <v>1.7309329943523599</v>
      </c>
      <c r="AR308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08" s="15" t="str">
        <f>IF(AND([% A.A.]&gt;=5%,SUMPRODUCT(N([Nome]=Tabela3[[#This Row],[Nome]]),[PL])&gt;0,[Rentabilidade s/ PL]&gt;=[Rentabilidade s/ PL Média]),"Sim","Não")</f>
        <v>Não</v>
      </c>
      <c r="AT308" s="42">
        <f>IF([Cotação]&gt;0,Tabela3[[#This Row],[Lucro]]/Tabela3[[#This Row],[Cotação]],0)</f>
        <v>3.8671425253627344E-2</v>
      </c>
      <c r="AU308" s="19">
        <f>((1+Tabela3[[#This Row],[% Yield]])^(1/(3*Tabela3[[#This Row],[Ref]])))^(12)-1</f>
        <v>3.8671425253627323E-2</v>
      </c>
      <c r="AV308" s="14">
        <f>IF([Cotação]&gt;0,($BH$1/Tabela3[[#This Row],[Cotação]]-MOD($BH$1/Tabela3[[#This Row],[Cotação]],100)),)</f>
        <v>0</v>
      </c>
      <c r="AW308" s="17">
        <f>Tabela3[[#This Row],[Ativos]]*[Lucro]</f>
        <v>0</v>
      </c>
      <c r="AX308" s="5">
        <f>SUMPRODUCT(N(Tabela1[Código]=Tabela3[[#This Row],[PAPEL]]),Tabela1[Fechamento])</f>
        <v>11.19</v>
      </c>
      <c r="AY308" s="5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customHeight="1">
      <c r="A309" s="4" t="s">
        <v>19</v>
      </c>
      <c r="B309" s="58" t="s">
        <v>54</v>
      </c>
      <c r="C309" s="14" t="str">
        <f>LEFT([PAPEL],LEN([PAPEL])-(LEN([PAPEL])-4))</f>
        <v>KLBN</v>
      </c>
      <c r="D309" s="15">
        <v>4</v>
      </c>
      <c r="E309" s="6">
        <v>2271500000</v>
      </c>
      <c r="F309" s="8">
        <v>600855733</v>
      </c>
      <c r="G309" s="80">
        <v>0.25</v>
      </c>
      <c r="H309" s="15"/>
      <c r="I309" s="19"/>
      <c r="J309" s="19"/>
      <c r="K309" s="87"/>
      <c r="L309" s="87"/>
      <c r="M309" s="54">
        <v>14642043000</v>
      </c>
      <c r="N309" s="54">
        <v>4614938000</v>
      </c>
      <c r="O309" s="54">
        <v>1799847000</v>
      </c>
      <c r="P309" s="6">
        <v>5392667000</v>
      </c>
      <c r="Q309" s="6">
        <v>290097000</v>
      </c>
      <c r="R309" s="6">
        <f>IF(Tabela3[[#This Row],[Ativo || Passivo]]&gt;0,Tabela3[[#This Row],[Ativo || Passivo]]-Tabela3[[#This Row],[Patrimônio Líquido]],0)</f>
        <v>9249376000</v>
      </c>
      <c r="S309" s="6">
        <f>Tabela3[[#This Row],[Cotação]]*Tabela3[[#This Row],[Total Ações]]</f>
        <v>10632566874.68</v>
      </c>
      <c r="T309" s="121">
        <f>IF(Tabela3[[#This Row],[Passivo Circulante]]&gt;0,Tabela3[[#This Row],[Ativo Circulante]]/Tabela3[[#This Row],[Passivo Circulante]],0)</f>
        <v>2.5640723905976452</v>
      </c>
      <c r="U30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09" s="19">
        <f>IF(Tabela3[[#This Row],[Lucro Líquido]]&gt;0,Tabela3[[#This Row],[Lucro Líquido]]/Tabela3[[#This Row],[Patrimônio Líquido]],0)/Tabela3[[#This Row],[Ref]]*4</f>
        <v>5.3794717901179512E-2</v>
      </c>
      <c r="W30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09" s="19">
        <f>IF(Tabela3[[#This Row],[Dívida]]&gt;0,Tabela3[[#This Row],[Dívida]]/Tabela3[[#This Row],[Patrimônio Líquido]],0)</f>
        <v>1.7151765536421959</v>
      </c>
      <c r="Y309" s="19">
        <f>SUMPRODUCT(N([Dívida / PL]&gt;0),N(RIGHT([PAPEL],LEN([PAPEL])-(LEN([PAPEL])-1))="3"),[Dívida / PL])/SUMPRODUCT(N([Dívida / PL]&gt;0),N(RIGHT([PAPEL],LEN([PAPEL])-(LEN([PAPEL])-1))="3"))</f>
        <v>2.2435702141443779</v>
      </c>
      <c r="Z309" s="6">
        <f>Tabela3[[#This Row],[Capital Social]]*20%</f>
        <v>454300000</v>
      </c>
      <c r="AA309" s="6">
        <f>IF(([Lucro Líquido]*5%)&gt;[Teto R. Legal],[Teto R. Legal],[Lucro Líquido]*5%)</f>
        <v>14504850</v>
      </c>
      <c r="AB309" s="6">
        <f>IF([Lucro Líquido]&lt;0,0,[Lucro Líquido]-[Reserva Legal])</f>
        <v>275592150</v>
      </c>
      <c r="AC309" s="6">
        <f>Tabela3[[#This Row],[Lucro Distribuir]]*[%Div]</f>
        <v>68898037.5</v>
      </c>
      <c r="AD309" s="56">
        <f>SUMPRODUCT(N([Nome]=Tabela3[[#This Row],[Nome]]),[Ações])</f>
        <v>945957907</v>
      </c>
      <c r="AE309" s="6">
        <f>[Capital Social]/[Total Ações]</f>
        <v>2.4012696370431628</v>
      </c>
      <c r="AF309" s="77">
        <f>Tabela3[[#This Row],[Lucro Líquido]]/Tabela3[[#This Row],[Total Ações]]</f>
        <v>0.30667009372542831</v>
      </c>
      <c r="AG30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9" s="6">
        <f>[Div Base]*[Ações]</f>
        <v>43762814.939210594</v>
      </c>
      <c r="AL309" s="6">
        <f>SUMPRODUCT(N([Nome]=Tabela3[[#This Row],[Nome]]),[Div Base]*[Ações])</f>
        <v>68898037.5</v>
      </c>
      <c r="AM309" s="6">
        <f>[Patrimônio Líquido]/[Total Ações]</f>
        <v>5.700747316656237</v>
      </c>
      <c r="AN309" s="48">
        <f>MAX(Tabela3[[#This Row],[Cotação 1]:[Cotação 5]])</f>
        <v>11.24</v>
      </c>
      <c r="AO309" s="44">
        <f>[Cotação]/[VPA]</f>
        <v>1.9716713223123177</v>
      </c>
      <c r="AP309" s="40">
        <f>IF(Tabela3[[#This Row],[Lucro/Ação]]&gt;0,Tabela3[[#This Row],[Cotação]]/(Tabela3[[#This Row],[Lucro/Ação]]/[Ref]*4),0)</f>
        <v>36.651764322554179</v>
      </c>
      <c r="AQ309" s="77">
        <f>[Lucro Distribuir]/[Total Ações]</f>
        <v>0.29133658903915688</v>
      </c>
      <c r="AR309" s="77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9" s="15" t="str">
        <f>IF(AND([% A.A.]&gt;=5%,SUMPRODUCT(N([Nome]=Tabela3[[#This Row],[Nome]]),[PL])&gt;0,[Rentabilidade s/ PL]&gt;=[Rentabilidade s/ PL Média]),"Sim","Não")</f>
        <v>Não</v>
      </c>
      <c r="AT309" s="42">
        <f>IF([Cotação]&gt;0,Tabela3[[#This Row],[Lucro]]/Tabela3[[#This Row],[Cotação]],0)</f>
        <v>6.479906339838898E-3</v>
      </c>
      <c r="AU309" s="19">
        <f>((1+Tabela3[[#This Row],[% Yield]])^(1/(3*Tabela3[[#This Row],[Ref]])))^(12)-1</f>
        <v>6.4799063398404133E-3</v>
      </c>
      <c r="AV309" s="14">
        <f>IF([Cotação]&gt;0,($BH$1/Tabela3[[#This Row],[Cotação]]-MOD($BH$1/Tabela3[[#This Row],[Cotação]],100)),)</f>
        <v>0</v>
      </c>
      <c r="AW309" s="17">
        <f>Tabela3[[#This Row],[Ativos]]*[Lucro]</f>
        <v>0</v>
      </c>
      <c r="AX309" s="5">
        <f>SUMPRODUCT(N(Tabela1[Código]=Tabela3[[#This Row],[PAPEL]]),Tabela1[Fechamento])</f>
        <v>11.24</v>
      </c>
      <c r="AY309" s="5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0</v>
      </c>
      <c r="BB309" s="7">
        <f>SUMPRODUCT(N(Tabela17683[Código]=Tabela3[[#This Row],[PAPEL]]),Tabela17683[Fechamento])</f>
        <v>0</v>
      </c>
    </row>
    <row r="310" spans="1:54" ht="11.25" customHeight="1">
      <c r="A310" s="4" t="s">
        <v>19</v>
      </c>
      <c r="B310" s="58" t="s">
        <v>181</v>
      </c>
      <c r="C310" s="14" t="str">
        <f>LEFT([PAPEL],LEN([PAPEL])-(LEN([PAPEL])-4))</f>
        <v>KLBN</v>
      </c>
      <c r="D310" s="15">
        <v>4</v>
      </c>
      <c r="E310" s="6">
        <v>2271500000</v>
      </c>
      <c r="F310" s="8">
        <v>345102174</v>
      </c>
      <c r="G310" s="85">
        <v>0.25</v>
      </c>
      <c r="H310" s="15"/>
      <c r="I310" s="19"/>
      <c r="J310" s="19"/>
      <c r="K310" s="87"/>
      <c r="L310" s="87"/>
      <c r="M310" s="54">
        <v>14642043000</v>
      </c>
      <c r="N310" s="54">
        <v>4614938000</v>
      </c>
      <c r="O310" s="54">
        <v>1799847000</v>
      </c>
      <c r="P310" s="6">
        <v>5392667000</v>
      </c>
      <c r="Q310" s="6">
        <v>290097000</v>
      </c>
      <c r="R310" s="6">
        <f>IF(Tabela3[[#This Row],[Ativo || Passivo]]&gt;0,Tabela3[[#This Row],[Ativo || Passivo]]-Tabela3[[#This Row],[Patrimônio Líquido]],0)</f>
        <v>9249376000</v>
      </c>
      <c r="S310" s="6">
        <f>Tabela3[[#This Row],[Cotação]]*Tabela3[[#This Row],[Total Ações]]</f>
        <v>10698783928.17</v>
      </c>
      <c r="T310" s="121">
        <f>IF(Tabela3[[#This Row],[Passivo Circulante]]&gt;0,Tabela3[[#This Row],[Ativo Circulante]]/Tabela3[[#This Row],[Passivo Circulante]],0)</f>
        <v>2.5640723905976452</v>
      </c>
      <c r="U3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0" s="19">
        <f>IF(Tabela3[[#This Row],[Lucro Líquido]]&gt;0,Tabela3[[#This Row],[Lucro Líquido]]/Tabela3[[#This Row],[Patrimônio Líquido]],0)/Tabela3[[#This Row],[Ref]]*4</f>
        <v>5.3794717901179512E-2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0" s="19">
        <f>IF(Tabela3[[#This Row],[Dívida]]&gt;0,Tabela3[[#This Row],[Dívida]]/Tabela3[[#This Row],[Patrimônio Líquido]],0)</f>
        <v>1.7151765536421959</v>
      </c>
      <c r="Y310" s="19">
        <f>SUMPRODUCT(N([Dívida / PL]&gt;0),N(RIGHT([PAPEL],LEN([PAPEL])-(LEN([PAPEL])-1))="3"),[Dívida / PL])/SUMPRODUCT(N([Dívida / PL]&gt;0),N(RIGHT([PAPEL],LEN([PAPEL])-(LEN([PAPEL])-1))="3"))</f>
        <v>2.2435702141443779</v>
      </c>
      <c r="Z310" s="6">
        <f>Tabela3[[#This Row],[Capital Social]]*20%</f>
        <v>454300000</v>
      </c>
      <c r="AA310" s="6">
        <f>IF(([Lucro Líquido]*5%)&gt;[Teto R. Legal],[Teto R. Legal],[Lucro Líquido]*5%)</f>
        <v>14504850</v>
      </c>
      <c r="AB310" s="6">
        <f>IF([Lucro Líquido]&lt;0,0,[Lucro Líquido]-[Reserva Legal])</f>
        <v>275592150</v>
      </c>
      <c r="AC310" s="6">
        <f>Tabela3[[#This Row],[Lucro Distribuir]]*[%Div]</f>
        <v>68898037.5</v>
      </c>
      <c r="AD310" s="56">
        <f>SUMPRODUCT(N([Nome]=Tabela3[[#This Row],[Nome]]),[Ações])</f>
        <v>945957907</v>
      </c>
      <c r="AE310" s="6">
        <f>[Capital Social]/[Total Ações]</f>
        <v>2.4012696370431628</v>
      </c>
      <c r="AF310" s="77">
        <f>Tabela3[[#This Row],[Lucro Líquido]]/Tabela3[[#This Row],[Total Ações]]</f>
        <v>0.30667009372542831</v>
      </c>
      <c r="AG3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10" s="6">
        <f>[Div Base]*[Ações]</f>
        <v>25135222.560789403</v>
      </c>
      <c r="AL310" s="6">
        <f>SUMPRODUCT(N([Nome]=Tabela3[[#This Row],[Nome]]),[Div Base]*[Ações])</f>
        <v>68898037.5</v>
      </c>
      <c r="AM310" s="6">
        <f>[Patrimônio Líquido]/[Total Ações]</f>
        <v>5.700747316656237</v>
      </c>
      <c r="AN310" s="48">
        <f>MAX(Tabela3[[#This Row],[Cotação 1]:[Cotação 5]])</f>
        <v>11.31</v>
      </c>
      <c r="AO310" s="44">
        <f>[Cotação]/[VPA]</f>
        <v>1.9839504141772522</v>
      </c>
      <c r="AP310" s="40">
        <f>IF(Tabela3[[#This Row],[Lucro/Ação]]&gt;0,Tabela3[[#This Row],[Cotação]]/(Tabela3[[#This Row],[Lucro/Ação]]/[Ref]*4),0)</f>
        <v>36.880022641288953</v>
      </c>
      <c r="AQ310" s="77">
        <f>[Lucro Distribuir]/[Total Ações]</f>
        <v>0.29133658903915688</v>
      </c>
      <c r="AR310" s="77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10" s="15" t="str">
        <f>IF(AND([% A.A.]&gt;=5%,SUMPRODUCT(N([Nome]=Tabela3[[#This Row],[Nome]]),[PL])&gt;0,[Rentabilidade s/ PL]&gt;=[Rentabilidade s/ PL Média]),"Sim","Não")</f>
        <v>Não</v>
      </c>
      <c r="AT310" s="42">
        <f>IF([Cotação]&gt;0,Tabela3[[#This Row],[Lucro]]/Tabela3[[#This Row],[Cotação]],0)</f>
        <v>6.439800818725837E-3</v>
      </c>
      <c r="AU310" s="19">
        <f>((1+Tabela3[[#This Row],[% Yield]])^(1/(3*Tabela3[[#This Row],[Ref]])))^(12)-1</f>
        <v>6.4398008187240841E-3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11.31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t="11.25" customHeight="1">
      <c r="A311" s="4" t="s">
        <v>231</v>
      </c>
      <c r="B311" s="57" t="s">
        <v>592</v>
      </c>
      <c r="C311" s="15" t="str">
        <f>LEFT([PAPEL],LEN([PAPEL])-(LEN([PAPEL])-4))</f>
        <v>GGBR</v>
      </c>
      <c r="D311" s="15">
        <v>4</v>
      </c>
      <c r="E311" s="6">
        <v>19323246666</v>
      </c>
      <c r="F311" s="8">
        <v>573627483</v>
      </c>
      <c r="G311" s="85">
        <v>0</v>
      </c>
      <c r="H311" s="15"/>
      <c r="I311" s="19"/>
      <c r="J311" s="19"/>
      <c r="K311" s="87"/>
      <c r="L311" s="87"/>
      <c r="M311" s="55">
        <v>36290747000</v>
      </c>
      <c r="N311" s="55">
        <v>700974000</v>
      </c>
      <c r="O311" s="55">
        <v>581077000</v>
      </c>
      <c r="P311" s="91">
        <v>30339079000</v>
      </c>
      <c r="Q311" s="92">
        <v>1583731000</v>
      </c>
      <c r="R311" s="92">
        <f>IF(Tabela3[[#This Row],[Ativo || Passivo]]&gt;0,Tabela3[[#This Row],[Ativo || Passivo]]-Tabela3[[#This Row],[Patrimônio Líquido]],0)</f>
        <v>5951668000</v>
      </c>
      <c r="S311" s="92">
        <f>Tabela3[[#This Row],[Cotação]]*Tabela3[[#This Row],[Total Ações]]</f>
        <v>19569716324.640003</v>
      </c>
      <c r="T311" s="40">
        <f>IF(Tabela3[[#This Row],[Passivo Circulante]]&gt;0,Tabela3[[#This Row],[Ativo Circulante]]/Tabela3[[#This Row],[Passivo Circulante]],0)</f>
        <v>1.2063358212422794</v>
      </c>
      <c r="U31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1" s="19">
        <f>IF(Tabela3[[#This Row],[Lucro Líquido]]&gt;0,Tabela3[[#This Row],[Lucro Líquido]]/Tabela3[[#This Row],[Patrimônio Líquido]],0)/Tabela3[[#This Row],[Ref]]*4</f>
        <v>5.22010242960902E-2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1" s="19">
        <f>IF(Tabela3[[#This Row],[Dívida]]&gt;0,Tabela3[[#This Row],[Dívida]]/Tabela3[[#This Row],[Patrimônio Líquido]],0)</f>
        <v>0.19617167680007688</v>
      </c>
      <c r="Y311" s="19">
        <f>SUMPRODUCT(N([Dívida / PL]&gt;0),N(RIGHT([PAPEL],LEN([PAPEL])-(LEN([PAPEL])-1))="3"),[Dívida / PL])/SUMPRODUCT(N([Dívida / PL]&gt;0),N(RIGHT([PAPEL],LEN([PAPEL])-(LEN([PAPEL])-1))="3"))</f>
        <v>2.2435702141443779</v>
      </c>
      <c r="Z311" s="13">
        <f>Tabela3[[#This Row],[Capital Social]]*20%</f>
        <v>3864649333.2000003</v>
      </c>
      <c r="AA311" s="13">
        <f>IF(([Lucro Líquido]*5%)&gt;[Teto R. Legal],[Teto R. Legal],[Lucro Líquido]*5%)</f>
        <v>79186550</v>
      </c>
      <c r="AB311" s="13">
        <f>IF([Lucro Líquido]&lt;0,0,[Lucro Líquido]-[Reserva Legal])</f>
        <v>1504544450</v>
      </c>
      <c r="AC311" s="13">
        <f>Tabela3[[#This Row],[Lucro Distribuir]]*[%Div]</f>
        <v>0</v>
      </c>
      <c r="AD311" s="56">
        <f>SUMPRODUCT(N([Nome]=Tabela3[[#This Row],[Nome]]),[Ações])</f>
        <v>1719658728</v>
      </c>
      <c r="AE311" s="6">
        <f>[Capital Social]/[Total Ações]</f>
        <v>11.236675249206773</v>
      </c>
      <c r="AF311" s="77">
        <f>Tabela3[[#This Row],[Lucro Líquido]]/Tabela3[[#This Row],[Total Ações]]</f>
        <v>0.92095656784291913</v>
      </c>
      <c r="AG3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1" s="13">
        <f>[Div Base]*[Ações]</f>
        <v>0</v>
      </c>
      <c r="AL311" s="13">
        <f>SUMPRODUCT(N([Nome]=Tabela3[[#This Row],[Nome]]),[Div Base]*[Ações])</f>
        <v>451363335</v>
      </c>
      <c r="AM311" s="6">
        <f>[Patrimônio Líquido]/[Total Ações]</f>
        <v>17.642499936766523</v>
      </c>
      <c r="AN311" s="48">
        <f>MAX(Tabela3[[#This Row],[Cotação 1]:[Cotação 5]])</f>
        <v>11.38</v>
      </c>
      <c r="AO311" s="44">
        <f>[Cotação]/[VPA]</f>
        <v>0.64503330258113645</v>
      </c>
      <c r="AP311" s="40">
        <f>IF(Tabela3[[#This Row],[Lucro/Ação]]&gt;0,Tabela3[[#This Row],[Cotação]]/(Tabela3[[#This Row],[Lucro/Ação]]/[Ref]*4),0)</f>
        <v>12.356717349499378</v>
      </c>
      <c r="AQ311" s="77">
        <f>[Lucro Distribuir]/[Total Ações]</f>
        <v>0.87490873945077319</v>
      </c>
      <c r="AR31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0</v>
      </c>
      <c r="AU311" s="42">
        <f>((1+Tabela3[[#This Row],[% Yield]])^(1/(3*Tabela3[[#This Row],[Ref]])))^(12)-1</f>
        <v>0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11.38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customHeight="1">
      <c r="A312" s="3" t="s">
        <v>277</v>
      </c>
      <c r="B312" s="58" t="s">
        <v>276</v>
      </c>
      <c r="C312" s="82" t="str">
        <f>LEFT([PAPEL],LEN([PAPEL])-(LEN([PAPEL])-4))</f>
        <v>TIMP</v>
      </c>
      <c r="D312" s="16">
        <v>4</v>
      </c>
      <c r="E312" s="5">
        <v>9886886593.4599991</v>
      </c>
      <c r="F312" s="56">
        <v>2417632647</v>
      </c>
      <c r="G312" s="85">
        <v>0.25</v>
      </c>
      <c r="H312" s="18"/>
      <c r="J312" s="18"/>
      <c r="K312" s="86"/>
      <c r="L312" s="86"/>
      <c r="M312" s="54"/>
      <c r="N312" s="54"/>
      <c r="O312" s="54"/>
      <c r="P312" s="5">
        <v>14594640000</v>
      </c>
      <c r="Q312" s="5">
        <v>1505614000</v>
      </c>
      <c r="R312" s="5">
        <f>IF(Tabela3[[#This Row],[Ativo || Passivo]]&gt;0,Tabela3[[#This Row],[Ativo || Passivo]]-Tabela3[[#This Row],[Patrimônio Líquido]],0)</f>
        <v>0</v>
      </c>
      <c r="S312" s="5">
        <f>Tabela3[[#This Row],[Cotação]]*Tabela3[[#This Row],[Total Ações]]</f>
        <v>27561012175.799999</v>
      </c>
      <c r="T312" s="119">
        <f>IF(Tabela3[[#This Row],[Passivo Circulante]]&gt;0,Tabela3[[#This Row],[Ativo Circulante]]/Tabela3[[#This Row],[Passivo Circulante]],0)</f>
        <v>0</v>
      </c>
      <c r="U31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2" s="18">
        <f>IF(Tabela3[[#This Row],[Lucro Líquido]]&gt;0,Tabela3[[#This Row],[Lucro Líquido]]/Tabela3[[#This Row],[Patrimônio Líquido]],0)/Tabela3[[#This Row],[Ref]]*4</f>
        <v>0.10316211979192361</v>
      </c>
      <c r="W3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2" s="18">
        <f>IF(Tabela3[[#This Row],[Dívida]]&gt;0,Tabela3[[#This Row],[Dívida]]/Tabela3[[#This Row],[Patrimônio Líquido]],0)</f>
        <v>0</v>
      </c>
      <c r="Y312" s="18">
        <f>SUMPRODUCT(N([Dívida / PL]&gt;0),N(RIGHT([PAPEL],LEN([PAPEL])-(LEN([PAPEL])-1))="3"),[Dívida / PL])/SUMPRODUCT(N([Dívida / PL]&gt;0),N(RIGHT([PAPEL],LEN([PAPEL])-(LEN([PAPEL])-1))="3"))</f>
        <v>2.2435702141443779</v>
      </c>
      <c r="Z312" s="5">
        <f>Tabela3[[#This Row],[Capital Social]]*20%</f>
        <v>1977377318.6919999</v>
      </c>
      <c r="AA312" s="5">
        <f>IF(([Lucro Líquido]*5%)&gt;[Teto R. Legal],[Teto R. Legal],[Lucro Líquido]*5%)</f>
        <v>75280700</v>
      </c>
      <c r="AB312" s="5">
        <f>IF([Lucro Líquido]&lt;0,0,[Lucro Líquido]-[Reserva Legal])</f>
        <v>1430333300</v>
      </c>
      <c r="AC312" s="5">
        <f>Tabela3[[#This Row],[Lucro Distribuir]]*[%Div]</f>
        <v>357583325</v>
      </c>
      <c r="AD312" s="56">
        <f>SUMPRODUCT(N([Nome]=Tabela3[[#This Row],[Nome]]),[Ações])</f>
        <v>2417632647</v>
      </c>
      <c r="AE312" s="5">
        <f>[Capital Social]/[Total Ações]</f>
        <v>4.089490852023558</v>
      </c>
      <c r="AF312" s="76">
        <f>Tabela3[[#This Row],[Lucro Líquido]]/Tabela3[[#This Row],[Total Ações]]</f>
        <v>0.62276376101567432</v>
      </c>
      <c r="AG31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31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312" s="5">
        <f>[Div Base]*[Ações]</f>
        <v>357583325</v>
      </c>
      <c r="AL312" s="5">
        <f>SUMPRODUCT(N([Nome]=Tabela3[[#This Row],[Nome]]),[Div Base]*[Ações])</f>
        <v>357583325</v>
      </c>
      <c r="AM312" s="5">
        <f>[Patrimônio Líquido]/[Total Ações]</f>
        <v>6.0367483943891331</v>
      </c>
      <c r="AN312" s="52">
        <f>MAX(Tabela3[[#This Row],[Cotação 1]:[Cotação 5]])</f>
        <v>11.4</v>
      </c>
      <c r="AO312" s="53">
        <f>[Cotação]/[VPA]</f>
        <v>1.8884338480291396</v>
      </c>
      <c r="AP312" s="37">
        <f>IF(Tabela3[[#This Row],[Lucro/Ação]]&gt;0,Tabela3[[#This Row],[Cotação]]/(Tabela3[[#This Row],[Lucro/Ação]]/[Ref]*4),0)</f>
        <v>18.305496744716773</v>
      </c>
      <c r="AQ312" s="76">
        <f>[Lucro Distribuir]/[Total Ações]</f>
        <v>0.5916255729648906</v>
      </c>
      <c r="AR312" s="76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312" s="16" t="str">
        <f>IF(AND([% A.A.]&gt;=5%,SUMPRODUCT(N([Nome]=Tabela3[[#This Row],[Nome]]),[PL])&gt;0,[Rentabilidade s/ PL]&gt;=[Rentabilidade s/ PL Média]),"Sim","Não")</f>
        <v>Não</v>
      </c>
      <c r="AT312" s="22">
        <f>IF([Cotação]&gt;0,Tabela3[[#This Row],[Lucro]]/Tabela3[[#This Row],[Cotação]],0)</f>
        <v>1.2974245021159882E-2</v>
      </c>
      <c r="AU312" s="18">
        <f>((1+Tabela3[[#This Row],[% Yield]])^(1/(3*Tabela3[[#This Row],[Ref]])))^(12)-1</f>
        <v>1.2974245021160513E-2</v>
      </c>
      <c r="AV312" s="10">
        <f>IF([Cotação]&gt;0,($BH$1/Tabela3[[#This Row],[Cotação]]-MOD($BH$1/Tabela3[[#This Row],[Cotação]],100)),)</f>
        <v>0</v>
      </c>
      <c r="AW312" s="7">
        <f>Tabela3[[#This Row],[Ativos]]*[Lucro]</f>
        <v>0</v>
      </c>
      <c r="AX312" s="47">
        <f>SUMPRODUCT(N(Tabela1[Código]=Tabela3[[#This Row],[PAPEL]]),Tabela1[Fechamento])</f>
        <v>0</v>
      </c>
      <c r="AY312" s="54">
        <f>SUMPRODUCT(N(Tabela17[Código]=Tabela3[[#This Row],[PAPEL]]),Tabela17[Fechamento])</f>
        <v>11.4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customHeight="1">
      <c r="A313" s="4" t="s">
        <v>14</v>
      </c>
      <c r="B313" s="57" t="s">
        <v>23</v>
      </c>
      <c r="C313" s="14" t="str">
        <f>LEFT([PAPEL],LEN([PAPEL])-(LEN([PAPEL])-4))</f>
        <v>BRSR</v>
      </c>
      <c r="D313" s="15">
        <v>4</v>
      </c>
      <c r="E313" s="6">
        <v>3750000000</v>
      </c>
      <c r="F313" s="8">
        <v>200388726</v>
      </c>
      <c r="G313" s="80">
        <v>0.25</v>
      </c>
      <c r="H313" s="15"/>
      <c r="I313" s="19"/>
      <c r="J313" s="19">
        <v>0.1</v>
      </c>
      <c r="K313" s="87"/>
      <c r="L313" s="87"/>
      <c r="M313" s="55">
        <v>53121798000</v>
      </c>
      <c r="N313" s="55">
        <v>23199775000</v>
      </c>
      <c r="O313" s="55">
        <v>26460393000</v>
      </c>
      <c r="P313" s="6">
        <v>5147862000</v>
      </c>
      <c r="Q313" s="6">
        <v>791614000</v>
      </c>
      <c r="R313" s="6">
        <f>IF(Tabela3[[#This Row],[Ativo || Passivo]]&gt;0,Tabela3[[#This Row],[Ativo || Passivo]]-Tabela3[[#This Row],[Patrimônio Líquido]],0)</f>
        <v>47973936000</v>
      </c>
      <c r="S313" s="6">
        <f>Tabela3[[#This Row],[Cotação]]*Tabela3[[#This Row],[Total Ações]]</f>
        <v>4674578272.1099997</v>
      </c>
      <c r="T313" s="121">
        <f>IF(Tabela3[[#This Row],[Passivo Circulante]]&gt;0,Tabela3[[#This Row],[Ativo Circulante]]/Tabela3[[#This Row],[Passivo Circulante]],0)</f>
        <v>0.87677363673321107</v>
      </c>
      <c r="U31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3" s="19">
        <f>IF(Tabela3[[#This Row],[Lucro Líquido]]&gt;0,Tabela3[[#This Row],[Lucro Líquido]]/Tabela3[[#This Row],[Patrimônio Líquido]],0)/Tabela3[[#This Row],[Ref]]*4</f>
        <v>0.15377529545275301</v>
      </c>
      <c r="W3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3" s="19">
        <f>IF(Tabela3[[#This Row],[Dívida]]&gt;0,Tabela3[[#This Row],[Dívida]]/Tabela3[[#This Row],[Patrimônio Líquido]],0)</f>
        <v>9.3191962022291968</v>
      </c>
      <c r="Y313" s="19">
        <f>SUMPRODUCT(N([Dívida / PL]&gt;0),N(RIGHT([PAPEL],LEN([PAPEL])-(LEN([PAPEL])-1))="3"),[Dívida / PL])/SUMPRODUCT(N([Dívida / PL]&gt;0),N(RIGHT([PAPEL],LEN([PAPEL])-(LEN([PAPEL])-1))="3"))</f>
        <v>2.2435702141443779</v>
      </c>
      <c r="Z313" s="6">
        <f>Tabela3[[#This Row],[Capital Social]]*20%</f>
        <v>750000000</v>
      </c>
      <c r="AA313" s="6">
        <f>IF(([Lucro Líquido]*5%)&gt;[Teto R. Legal],[Teto R. Legal],[Lucro Líquido]*5%)</f>
        <v>39580700</v>
      </c>
      <c r="AB313" s="6">
        <f>IF([Lucro Líquido]&lt;0,0,[Lucro Líquido]-[Reserva Legal])</f>
        <v>752033300</v>
      </c>
      <c r="AC313" s="6">
        <f>Tabela3[[#This Row],[Lucro Distribuir]]*[%Div]</f>
        <v>188008325</v>
      </c>
      <c r="AD313" s="21">
        <f>SUMPRODUCT(N([Nome]=Tabela3[[#This Row],[Nome]]),[Ações])</f>
        <v>408974477</v>
      </c>
      <c r="AE313" s="6">
        <f>[Capital Social]/[Total Ações]</f>
        <v>9.1692763507097776</v>
      </c>
      <c r="AF313" s="77">
        <f>Tabela3[[#This Row],[Lucro Líquido]]/Tabela3[[#This Row],[Total Ações]]</f>
        <v>1.9356073410908721</v>
      </c>
      <c r="AG3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3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3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313" s="6">
        <f>[Div Base]*[Ações]</f>
        <v>91961684.205542535</v>
      </c>
      <c r="AL313" s="6">
        <f>SUMPRODUCT(N([Nome]=Tabela3[[#This Row],[Nome]]),[Div Base]*[Ações])</f>
        <v>188008325</v>
      </c>
      <c r="AM313" s="6">
        <f>[Patrimônio Líquido]/[Total Ações]</f>
        <v>12.587245144884678</v>
      </c>
      <c r="AN313" s="48">
        <f>MAX(Tabela3[[#This Row],[Cotação 1]:[Cotação 5]])</f>
        <v>11.43</v>
      </c>
      <c r="AO313" s="44">
        <f>[Cotação]/[VPA]</f>
        <v>0.90806207938557781</v>
      </c>
      <c r="AP313" s="40">
        <f>IF(Tabela3[[#This Row],[Lucro/Ação]]&gt;0,Tabela3[[#This Row],[Cotação]]/(Tabela3[[#This Row],[Lucro/Ação]]/[Ref]*4),0)</f>
        <v>5.9051232950781563</v>
      </c>
      <c r="AQ313" s="77">
        <f>[Lucro Distribuir]/[Total Ações]</f>
        <v>1.8388269740363283</v>
      </c>
      <c r="AR313" s="77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313" s="15" t="str">
        <f>IF(AND([% A.A.]&gt;=5%,SUMPRODUCT(N([Nome]=Tabela3[[#This Row],[Nome]]),[PL])&gt;0,[Rentabilidade s/ PL]&gt;=[Rentabilidade s/ PL Média]),"Sim","Não")</f>
        <v>Não</v>
      </c>
      <c r="AT313" s="42">
        <f>IF([Cotação]&gt;0,Tabela3[[#This Row],[Lucro]]/Tabela3[[#This Row],[Cotação]],0)</f>
        <v>4.0150171236565099E-2</v>
      </c>
      <c r="AU313" s="19">
        <f>((1+Tabela3[[#This Row],[% Yield]])^(1/(3*Tabela3[[#This Row],[Ref]])))^(12)-1</f>
        <v>4.015017123656639E-2</v>
      </c>
      <c r="AV313" s="14">
        <f>IF([Cotação]&gt;0,($BH$1/Tabela3[[#This Row],[Cotação]]-MOD($BH$1/Tabela3[[#This Row],[Cotação]],100)),)</f>
        <v>0</v>
      </c>
      <c r="AW313" s="17">
        <f>Tabela3[[#This Row],[Ativos]]*[Lucro]</f>
        <v>0</v>
      </c>
      <c r="AX313" s="5">
        <f>SUMPRODUCT(N(Tabela1[Código]=Tabela3[[#This Row],[PAPEL]]),Tabela1[Fechamento])</f>
        <v>11.43</v>
      </c>
      <c r="AY313" s="5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0</v>
      </c>
    </row>
    <row r="314" spans="1:54" ht="11.25" customHeight="1">
      <c r="A314" s="4" t="s">
        <v>14</v>
      </c>
      <c r="B314" s="57" t="s">
        <v>536</v>
      </c>
      <c r="C314" s="15" t="str">
        <f>LEFT([PAPEL],LEN([PAPEL])-(LEN([PAPEL])-4))</f>
        <v>BMEB</v>
      </c>
      <c r="D314" s="15">
        <v>4</v>
      </c>
      <c r="E314" s="6">
        <v>433340000</v>
      </c>
      <c r="F314" s="8">
        <v>26262082</v>
      </c>
      <c r="G314" s="85">
        <v>0.25</v>
      </c>
      <c r="H314" s="15"/>
      <c r="I314" s="19"/>
      <c r="J314" s="19"/>
      <c r="K314" s="87"/>
      <c r="L314" s="87"/>
      <c r="M314" s="55">
        <v>13463359000</v>
      </c>
      <c r="N314" s="55">
        <v>8915470000</v>
      </c>
      <c r="O314" s="55">
        <v>4526213000</v>
      </c>
      <c r="P314" s="91">
        <v>847554000</v>
      </c>
      <c r="Q314" s="92">
        <v>827000</v>
      </c>
      <c r="R314" s="92">
        <f>IF(Tabela3[[#This Row],[Ativo || Passivo]]&gt;0,Tabela3[[#This Row],[Ativo || Passivo]]-Tabela3[[#This Row],[Patrimônio Líquido]],0)</f>
        <v>12615805000</v>
      </c>
      <c r="S314" s="92">
        <f>Tabela3[[#This Row],[Cotação]]*Tabela3[[#This Row],[Total Ações]]</f>
        <v>530150000</v>
      </c>
      <c r="T314" s="40">
        <f>IF(Tabela3[[#This Row],[Passivo Circulante]]&gt;0,Tabela3[[#This Row],[Ativo Circulante]]/Tabela3[[#This Row],[Passivo Circulante]],0)</f>
        <v>1.9697415919224306</v>
      </c>
      <c r="U31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4" s="19">
        <f>IF(Tabela3[[#This Row],[Lucro Líquido]]&gt;0,Tabela3[[#This Row],[Lucro Líquido]]/Tabela3[[#This Row],[Patrimônio Líquido]],0)/Tabela3[[#This Row],[Ref]]*4</f>
        <v>9.7574903781941918E-4</v>
      </c>
      <c r="W31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4" s="19">
        <f>IF(Tabela3[[#This Row],[Dívida]]&gt;0,Tabela3[[#This Row],[Dívida]]/Tabela3[[#This Row],[Patrimônio Líquido]],0)</f>
        <v>14.884957182669186</v>
      </c>
      <c r="Y314" s="19">
        <f>SUMPRODUCT(N([Dívida / PL]&gt;0),N(RIGHT([PAPEL],LEN([PAPEL])-(LEN([PAPEL])-1))="3"),[Dívida / PL])/SUMPRODUCT(N([Dívida / PL]&gt;0),N(RIGHT([PAPEL],LEN([PAPEL])-(LEN([PAPEL])-1))="3"))</f>
        <v>2.2435702141443779</v>
      </c>
      <c r="Z314" s="13">
        <f>Tabela3[[#This Row],[Capital Social]]*20%</f>
        <v>86668000</v>
      </c>
      <c r="AA314" s="13">
        <f>IF(([Lucro Líquido]*5%)&gt;[Teto R. Legal],[Teto R. Legal],[Lucro Líquido]*5%)</f>
        <v>41350</v>
      </c>
      <c r="AB314" s="13">
        <f>IF([Lucro Líquido]&lt;0,0,[Lucro Líquido]-[Reserva Legal])</f>
        <v>785650</v>
      </c>
      <c r="AC314" s="13">
        <f>Tabela3[[#This Row],[Lucro Distribuir]]*[%Div]</f>
        <v>196412.5</v>
      </c>
      <c r="AD314" s="56">
        <f>SUMPRODUCT(N([Nome]=Tabela3[[#This Row],[Nome]]),[Ações])</f>
        <v>46100000</v>
      </c>
      <c r="AE314" s="6">
        <f>[Capital Social]/[Total Ações]</f>
        <v>9.4</v>
      </c>
      <c r="AF314" s="77">
        <f>Tabela3[[#This Row],[Lucro Líquido]]/Tabela3[[#This Row],[Total Ações]]</f>
        <v>1.7939262472885034E-2</v>
      </c>
      <c r="AG3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3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13">
        <f>[Div Base]*[Ações]</f>
        <v>0</v>
      </c>
      <c r="AL314" s="13">
        <f>SUMPRODUCT(N([Nome]=Tabela3[[#This Row],[Nome]]),[Div Base]*[Ações])</f>
        <v>785650</v>
      </c>
      <c r="AM314" s="6">
        <f>[Patrimônio Líquido]/[Total Ações]</f>
        <v>18.385119305856833</v>
      </c>
      <c r="AN314" s="48">
        <f>MAX(Tabela3[[#This Row],[Cotação 1]:[Cotação 5]])</f>
        <v>11.5</v>
      </c>
      <c r="AO314" s="44">
        <f>[Cotação]/[VPA]</f>
        <v>0.62550586747275105</v>
      </c>
      <c r="AP314" s="40">
        <f>IF(Tabela3[[#This Row],[Lucro/Ação]]&gt;0,Tabela3[[#This Row],[Cotação]]/(Tabela3[[#This Row],[Lucro/Ação]]/[Ref]*4),0)</f>
        <v>641.05199516324058</v>
      </c>
      <c r="AQ314" s="77">
        <f>[Lucro Distribuir]/[Total Ações]</f>
        <v>1.7042299349240782E-2</v>
      </c>
      <c r="AR31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4" t="str">
        <f>IF(AND([% A.A.]&gt;=5%,SUMPRODUCT(N([Nome]=Tabela3[[#This Row],[Nome]]),[PL])&gt;0,[Rentabilidade s/ PL]&gt;=[Rentabilidade s/ PL Média]),"Sim","Não")</f>
        <v>Não</v>
      </c>
      <c r="AT314" s="42">
        <f>IF([Cotação]&gt;0,Tabela3[[#This Row],[Lucro]]/Tabela3[[#This Row],[Cotação]],0)</f>
        <v>0</v>
      </c>
      <c r="AU314" s="42">
        <f>((1+Tabela3[[#This Row],[% Yield]])^(1/(3*Tabela3[[#This Row],[Ref]])))^(12)-1</f>
        <v>0</v>
      </c>
      <c r="AV314" s="14">
        <f>IF([Cotação]&gt;0,($BH$1/Tabela3[[#This Row],[Cotação]]-MOD($BH$1/Tabela3[[#This Row],[Cotação]],100)),)</f>
        <v>0</v>
      </c>
      <c r="AW314" s="17">
        <f>Tabela3[[#This Row],[Ativos]]*[Lucro]</f>
        <v>0</v>
      </c>
      <c r="AX314" s="17">
        <f>SUMPRODUCT(N(Tabela1[Código]=Tabela3[[#This Row],[PAPEL]]),Tabela1[Fechamento])</f>
        <v>0</v>
      </c>
      <c r="AY314" s="17">
        <f>SUMPRODUCT(N(Tabela17[Código]=Tabela3[[#This Row],[PAPEL]]),Tabela17[Fechamento])</f>
        <v>0</v>
      </c>
      <c r="AZ314" s="17">
        <f>SUMPRODUCT(N(Tabela176[Código]=Tabela3[[#This Row],[PAPEL]]),Tabela176[Fechamento])</f>
        <v>11.5</v>
      </c>
      <c r="BA314" s="17">
        <f>SUMPRODUCT(N(Tabela1768[Código]=Tabela3[[#This Row],[PAPEL]]),Tabela1768[Fechamento])</f>
        <v>0</v>
      </c>
      <c r="BB314" s="7">
        <f>SUMPRODUCT(N(Tabela17683[Código]=Tabela3[[#This Row],[PAPEL]]),Tabela17683[Fechamento])</f>
        <v>0</v>
      </c>
    </row>
    <row r="315" spans="1:54" ht="11.25" customHeight="1">
      <c r="A315" s="4" t="s">
        <v>14</v>
      </c>
      <c r="B315" s="57" t="s">
        <v>199</v>
      </c>
      <c r="C315" s="14" t="str">
        <f>LEFT([PAPEL],LEN([PAPEL])-(LEN([PAPEL])-4))</f>
        <v>BRSR</v>
      </c>
      <c r="D315" s="15">
        <v>4</v>
      </c>
      <c r="E315" s="6">
        <v>3750000000</v>
      </c>
      <c r="F315" s="8">
        <v>3542377</v>
      </c>
      <c r="G315" s="85">
        <v>0.25</v>
      </c>
      <c r="H315" s="15"/>
      <c r="I315" s="19">
        <v>0.06</v>
      </c>
      <c r="J315" s="19"/>
      <c r="K315" s="87"/>
      <c r="L315" s="87"/>
      <c r="M315" s="55">
        <v>53121798000</v>
      </c>
      <c r="N315" s="55">
        <v>23199775000</v>
      </c>
      <c r="O315" s="55">
        <v>26460393000</v>
      </c>
      <c r="P315" s="6">
        <v>5147862000</v>
      </c>
      <c r="Q315" s="6">
        <v>791614000</v>
      </c>
      <c r="R315" s="6">
        <f>IF(Tabela3[[#This Row],[Ativo || Passivo]]&gt;0,Tabela3[[#This Row],[Ativo || Passivo]]-Tabela3[[#This Row],[Patrimônio Líquido]],0)</f>
        <v>47973936000</v>
      </c>
      <c r="S315" s="6">
        <f>Tabela3[[#This Row],[Cotação]]*Tabela3[[#This Row],[Total Ações]]</f>
        <v>4744103933.1999998</v>
      </c>
      <c r="T315" s="121">
        <f>IF(Tabela3[[#This Row],[Passivo Circulante]]&gt;0,Tabela3[[#This Row],[Ativo Circulante]]/Tabela3[[#This Row],[Passivo Circulante]],0)</f>
        <v>0.87677363673321107</v>
      </c>
      <c r="U31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5" s="19">
        <f>IF(Tabela3[[#This Row],[Lucro Líquido]]&gt;0,Tabela3[[#This Row],[Lucro Líquido]]/Tabela3[[#This Row],[Patrimônio Líquido]],0)/Tabela3[[#This Row],[Ref]]*4</f>
        <v>0.15377529545275301</v>
      </c>
      <c r="W31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5" s="19">
        <f>IF(Tabela3[[#This Row],[Dívida]]&gt;0,Tabela3[[#This Row],[Dívida]]/Tabela3[[#This Row],[Patrimônio Líquido]],0)</f>
        <v>9.3191962022291968</v>
      </c>
      <c r="Y315" s="19">
        <f>SUMPRODUCT(N([Dívida / PL]&gt;0),N(RIGHT([PAPEL],LEN([PAPEL])-(LEN([PAPEL])-1))="3"),[Dívida / PL])/SUMPRODUCT(N([Dívida / PL]&gt;0),N(RIGHT([PAPEL],LEN([PAPEL])-(LEN([PAPEL])-1))="3"))</f>
        <v>2.2435702141443779</v>
      </c>
      <c r="Z315" s="6">
        <f>Tabela3[[#This Row],[Capital Social]]*20%</f>
        <v>750000000</v>
      </c>
      <c r="AA315" s="6">
        <f>IF(([Lucro Líquido]*5%)&gt;[Teto R. Legal],[Teto R. Legal],[Lucro Líquido]*5%)</f>
        <v>39580700</v>
      </c>
      <c r="AB315" s="6">
        <f>IF([Lucro Líquido]&lt;0,0,[Lucro Líquido]-[Reserva Legal])</f>
        <v>752033300</v>
      </c>
      <c r="AC315" s="6">
        <f>Tabela3[[#This Row],[Lucro Distribuir]]*[%Div]</f>
        <v>188008325</v>
      </c>
      <c r="AD315" s="21">
        <f>SUMPRODUCT(N([Nome]=Tabela3[[#This Row],[Nome]]),[Ações])</f>
        <v>408974477</v>
      </c>
      <c r="AE315" s="6">
        <f>[Capital Social]/[Total Ações]</f>
        <v>9.1692763507097776</v>
      </c>
      <c r="AF315" s="77">
        <f>Tabela3[[#This Row],[Lucro Líquido]]/Tabela3[[#This Row],[Total Ações]]</f>
        <v>1.9356073410908721</v>
      </c>
      <c r="AG3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3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3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315" s="6">
        <f>[Div Base]*[Ações]</f>
        <v>1948862.019083895</v>
      </c>
      <c r="AL315" s="6">
        <f>SUMPRODUCT(N([Nome]=Tabela3[[#This Row],[Nome]]),[Div Base]*[Ações])</f>
        <v>188008325</v>
      </c>
      <c r="AM315" s="6">
        <f>[Patrimônio Líquido]/[Total Ações]</f>
        <v>12.587245144884678</v>
      </c>
      <c r="AN315" s="48">
        <f>MAX(Tabela3[[#This Row],[Cotação 1]:[Cotação 5]])</f>
        <v>11.6</v>
      </c>
      <c r="AO315" s="44">
        <f>[Cotação]/[VPA]</f>
        <v>0.92156781459953663</v>
      </c>
      <c r="AP315" s="40">
        <f>IF(Tabela3[[#This Row],[Lucro/Ação]]&gt;0,Tabela3[[#This Row],[Cotação]]/(Tabela3[[#This Row],[Lucro/Ação]]/[Ref]*4),0)</f>
        <v>5.9929510256261258</v>
      </c>
      <c r="AQ315" s="77">
        <f>[Lucro Distribuir]/[Total Ações]</f>
        <v>1.8388269740363283</v>
      </c>
      <c r="AR315" s="77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315" s="15" t="str">
        <f>IF(AND([% A.A.]&gt;=5%,SUMPRODUCT(N([Nome]=Tabela3[[#This Row],[Nome]]),[PL])&gt;0,[Rentabilidade s/ PL]&gt;=[Rentabilidade s/ PL Média]),"Sim","Não")</f>
        <v>Não</v>
      </c>
      <c r="AT315" s="42">
        <f>IF([Cotação]&gt;0,Tabela3[[#This Row],[Lucro]]/Tabela3[[#This Row],[Cotação]],0)</f>
        <v>4.7427291469188511E-2</v>
      </c>
      <c r="AU315" s="19">
        <f>((1+Tabela3[[#This Row],[% Yield]])^(1/(3*Tabela3[[#This Row],[Ref]])))^(12)-1</f>
        <v>4.7427291469188448E-2</v>
      </c>
      <c r="AV315" s="14">
        <f>IF([Cotação]&gt;0,($BH$1/Tabela3[[#This Row],[Cotação]]-MOD($BH$1/Tabela3[[#This Row],[Cotação]],100)),)</f>
        <v>0</v>
      </c>
      <c r="AW315" s="17">
        <f>Tabela3[[#This Row],[Ativos]]*[Lucro]</f>
        <v>0</v>
      </c>
      <c r="AX315" s="5">
        <f>SUMPRODUCT(N(Tabela1[Código]=Tabela3[[#This Row],[PAPEL]]),Tabela1[Fechamento])</f>
        <v>11.6</v>
      </c>
      <c r="AY315" s="5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0</v>
      </c>
      <c r="BB315" s="7">
        <f>SUMPRODUCT(N(Tabela17683[Código]=Tabela3[[#This Row],[PAPEL]]),Tabela17683[Fechamento])</f>
        <v>0</v>
      </c>
    </row>
    <row r="316" spans="1:54" ht="11.25" customHeight="1">
      <c r="A316" s="3" t="s">
        <v>1085</v>
      </c>
      <c r="B316" s="57" t="s">
        <v>1072</v>
      </c>
      <c r="C316" s="16" t="str">
        <f>LEFT([PAPEL],LEN([PAPEL])-(LEN([PAPEL])-4))</f>
        <v>MEND</v>
      </c>
      <c r="D316" s="16">
        <v>3</v>
      </c>
      <c r="E316" s="5">
        <v>1521400000</v>
      </c>
      <c r="F316" s="56">
        <v>1797735</v>
      </c>
      <c r="G316" s="80">
        <v>0.25</v>
      </c>
      <c r="H316" s="86"/>
      <c r="I316" s="18">
        <v>0.05</v>
      </c>
      <c r="J316" s="18"/>
      <c r="K316" s="16"/>
      <c r="L316" s="86"/>
      <c r="M316" s="54"/>
      <c r="N316" s="54"/>
      <c r="O316" s="54"/>
      <c r="P316" s="90">
        <v>3544023000</v>
      </c>
      <c r="Q316" s="73">
        <v>-229886000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119588900.8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2.2435702141443779</v>
      </c>
      <c r="Z316" s="7">
        <f>Tabela3[[#This Row],[Capital Social]]*20%</f>
        <v>304280000</v>
      </c>
      <c r="AA316" s="47">
        <f>IF(([Lucro Líquido]*5%)&gt;[Teto R. Legal],[Teto R. Legal],[Lucro Líquido]*5%)</f>
        <v>-11494300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10309388</v>
      </c>
      <c r="AE316" s="84">
        <f>[Capital Social]/[Total Ações]</f>
        <v>147.57423040048545</v>
      </c>
      <c r="AF316" s="84">
        <f>Tabela3[[#This Row],[Lucro Líquido]]/Tabela3[[#This Row],[Total Ações]]</f>
        <v>-22.298704830975417</v>
      </c>
      <c r="AG3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13">
        <f>SUMPRODUCT(N([Nome]=Tabela3[[#This Row],[Nome]]),[Div Base]*[Ações])</f>
        <v>0</v>
      </c>
      <c r="AM316" s="5">
        <f>[Patrimônio Líquido]/[Total Ações]</f>
        <v>343.76657469871151</v>
      </c>
      <c r="AN316" s="52">
        <f>MAX(Tabela3[[#This Row],[Cotação 1]:[Cotação 5]])</f>
        <v>11.6</v>
      </c>
      <c r="AO316" s="53">
        <f>[Cotação]/[VPA]</f>
        <v>3.3743827509020115E-2</v>
      </c>
      <c r="AP316" s="37">
        <f>IF(Tabela3[[#This Row],[Lucro/Ação]]&gt;0,Tabela3[[#This Row],[Cotação]]/(Tabela3[[#This Row],[Lucro/Ação]]/[Ref]*4),0)</f>
        <v>0</v>
      </c>
      <c r="AQ316" s="84">
        <f>[Lucro Distribuir]/[Total Ações]</f>
        <v>0</v>
      </c>
      <c r="AR31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11.6</v>
      </c>
    </row>
    <row r="317" spans="1:54" ht="11.25" customHeight="1">
      <c r="A317" s="4" t="s">
        <v>14</v>
      </c>
      <c r="B317" s="57" t="s">
        <v>547</v>
      </c>
      <c r="C317" s="15" t="str">
        <f>LEFT([PAPEL],LEN([PAPEL])-(LEN([PAPEL])-4))</f>
        <v>SANB</v>
      </c>
      <c r="D317" s="15">
        <v>4</v>
      </c>
      <c r="E317" s="6"/>
      <c r="F317" s="8"/>
      <c r="G317" s="85">
        <v>0.25</v>
      </c>
      <c r="H317" s="15"/>
      <c r="I317" s="19"/>
      <c r="J317" s="19"/>
      <c r="K317" s="87">
        <v>55</v>
      </c>
      <c r="L317" s="87">
        <v>50</v>
      </c>
      <c r="M317" s="55"/>
      <c r="N317" s="55"/>
      <c r="O317" s="55"/>
      <c r="P317" s="91"/>
      <c r="Q317" s="92"/>
      <c r="R317" s="92">
        <f>IF(Tabela3[[#This Row],[Ativo || Passivo]]&gt;0,Tabela3[[#This Row],[Ativo || Passivo]]-Tabela3[[#This Row],[Patrimônio Líquido]],0)</f>
        <v>0</v>
      </c>
      <c r="S317" s="92">
        <f>Tabela3[[#This Row],[Cotação]]*Tabela3[[#This Row],[Total Ações]]</f>
        <v>4692758814802.7998</v>
      </c>
      <c r="T317" s="40">
        <f>IF(Tabela3[[#This Row],[Passivo Circulante]]&gt;0,Tabela3[[#This Row],[Ativo Circulante]]/Tabela3[[#This Row],[Passivo Circulante]],0)</f>
        <v>0</v>
      </c>
      <c r="U317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7" s="19">
        <f>IF(Tabela3[[#This Row],[Lucro Líquido]]&gt;0,Tabela3[[#This Row],[Lucro Líquido]]/Tabela3[[#This Row],[Patrimônio Líquido]],0)/Tabela3[[#This Row],[Ref]]*4</f>
        <v>0</v>
      </c>
      <c r="W31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7" s="19">
        <f>IF(Tabela3[[#This Row],[Dívida]]&gt;0,Tabela3[[#This Row],[Dívida]]/Tabela3[[#This Row],[Patrimônio Líquido]],0)</f>
        <v>0</v>
      </c>
      <c r="Y317" s="19">
        <f>SUMPRODUCT(N([Dívida / PL]&gt;0),N(RIGHT([PAPEL],LEN([PAPEL])-(LEN([PAPEL])-1))="3"),[Dívida / PL])/SUMPRODUCT(N([Dívida / PL]&gt;0),N(RIGHT([PAPEL],LEN([PAPEL])-(LEN([PAPEL])-1))="3"))</f>
        <v>2.2435702141443779</v>
      </c>
      <c r="Z317" s="13">
        <f>Tabela3[[#This Row],[Capital Social]]*20%</f>
        <v>0</v>
      </c>
      <c r="AA317" s="13">
        <f>IF(([Lucro Líquido]*5%)&gt;[Teto R. Legal],[Teto R. Legal],[Lucro Líquido]*5%)</f>
        <v>0</v>
      </c>
      <c r="AB317" s="13">
        <f>IF([Lucro Líquido]&lt;0,0,[Lucro Líquido]-[Reserva Legal])</f>
        <v>0</v>
      </c>
      <c r="AC317" s="13">
        <f>Tabela3[[#This Row],[Lucro Distribuir]]*[%Div]</f>
        <v>0</v>
      </c>
      <c r="AD317" s="56">
        <f>SUMPRODUCT(N([Nome]=Tabela3[[#This Row],[Nome]]),[Ações])</f>
        <v>399044116905</v>
      </c>
      <c r="AE317" s="6">
        <f>[Capital Social]/[Total Ações]</f>
        <v>0</v>
      </c>
      <c r="AF317" s="77">
        <f>Tabela3[[#This Row],[Lucro Líquido]]/Tabela3[[#This Row],[Total Ações]]</f>
        <v>0</v>
      </c>
      <c r="AG3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7" s="13">
        <f>[Div Base]*[Ações]</f>
        <v>0</v>
      </c>
      <c r="AL317" s="13">
        <f>SUMPRODUCT(N([Nome]=Tabela3[[#This Row],[Nome]]),[Div Base]*[Ações])</f>
        <v>391512248.61271071</v>
      </c>
      <c r="AM317" s="6">
        <f>[Patrimônio Líquido]/[Total Ações]</f>
        <v>0</v>
      </c>
      <c r="AN317" s="48">
        <f>MAX(Tabela3[[#This Row],[Cotação 1]:[Cotação 5]])</f>
        <v>11.76</v>
      </c>
      <c r="AO317" s="44" t="e">
        <f>[Cotação]/[VPA]</f>
        <v>#DIV/0!</v>
      </c>
      <c r="AP317" s="40">
        <f>IF(Tabela3[[#This Row],[Lucro/Ação]]&gt;0,Tabela3[[#This Row],[Cotação]]/(Tabela3[[#This Row],[Lucro/Ação]]/[Ref]*4),0)</f>
        <v>0</v>
      </c>
      <c r="AQ317" s="77">
        <f>[Lucro Distribuir]/[Total Ações]</f>
        <v>0</v>
      </c>
      <c r="AR317" s="77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317" s="14" t="str">
        <f>IF(AND([% A.A.]&gt;=5%,SUMPRODUCT(N([Nome]=Tabela3[[#This Row],[Nome]]),[PL])&gt;0,[Rentabilidade s/ PL]&gt;=[Rentabilidade s/ PL Média]),"Sim","Não")</f>
        <v>Não</v>
      </c>
      <c r="AT317" s="42">
        <f>IF([Cotação]&gt;0,Tabela3[[#This Row],[Lucro]]/Tabela3[[#This Row],[Cotação]],0)</f>
        <v>8.7680557816336869E-3</v>
      </c>
      <c r="AU317" s="42">
        <f>((1+Tabela3[[#This Row],[% Yield]])^(1/(3*Tabela3[[#This Row],[Ref]])))^(12)-1</f>
        <v>8.7680557816327553E-3</v>
      </c>
      <c r="AV317" s="14">
        <f>IF([Cotação]&gt;0,($BH$1/Tabela3[[#This Row],[Cotação]]-MOD($BH$1/Tabela3[[#This Row],[Cotação]],100)),)</f>
        <v>0</v>
      </c>
      <c r="AW317" s="17">
        <f>Tabela3[[#This Row],[Ativos]]*[Lucro]</f>
        <v>0</v>
      </c>
      <c r="AX317" s="17">
        <f>SUMPRODUCT(N(Tabela1[Código]=Tabela3[[#This Row],[PAPEL]]),Tabela1[Fechamento])</f>
        <v>0</v>
      </c>
      <c r="AY317" s="17">
        <f>SUMPRODUCT(N(Tabela17[Código]=Tabela3[[#This Row],[PAPEL]]),Tabela17[Fechamento])</f>
        <v>0</v>
      </c>
      <c r="AZ317" s="17">
        <f>SUMPRODUCT(N(Tabela176[Código]=Tabela3[[#This Row],[PAPEL]]),Tabela176[Fechamento])</f>
        <v>11.76</v>
      </c>
      <c r="BA317" s="17">
        <f>SUMPRODUCT(N(Tabela1768[Código]=Tabela3[[#This Row],[PAPEL]]),Tabela1768[Fechamento])</f>
        <v>0</v>
      </c>
      <c r="BB317" s="7">
        <f>SUMPRODUCT(N(Tabela17683[Código]=Tabela3[[#This Row],[PAPEL]]),Tabela17683[Fechamento])</f>
        <v>0</v>
      </c>
    </row>
    <row r="318" spans="1:54" ht="11.25" customHeight="1">
      <c r="A318" s="4" t="s">
        <v>12</v>
      </c>
      <c r="B318" s="57" t="s">
        <v>464</v>
      </c>
      <c r="C318" s="15" t="str">
        <f>LEFT([PAPEL],LEN([PAPEL])-(LEN([PAPEL])-4))</f>
        <v>GPAR</v>
      </c>
      <c r="D318" s="15">
        <v>3</v>
      </c>
      <c r="E318" s="6">
        <v>973764337.52999997</v>
      </c>
      <c r="F318" s="8">
        <v>32774246</v>
      </c>
      <c r="G318" s="80">
        <v>0.25</v>
      </c>
      <c r="H318" s="15"/>
      <c r="I318" s="19"/>
      <c r="J318" s="19"/>
      <c r="K318" s="87"/>
      <c r="L318" s="87"/>
      <c r="M318" s="55"/>
      <c r="N318" s="55"/>
      <c r="O318" s="55"/>
      <c r="P318" s="91">
        <v>-2079468000</v>
      </c>
      <c r="Q318" s="92">
        <v>39671000</v>
      </c>
      <c r="R318" s="92">
        <f>IF(Tabela3[[#This Row],[Ativo || Passivo]]&gt;0,Tabela3[[#This Row],[Ativo || Passivo]]-Tabela3[[#This Row],[Patrimônio Líquido]],0)</f>
        <v>0</v>
      </c>
      <c r="S318" s="92">
        <f>Tabela3[[#This Row],[Cotação]]*Tabela3[[#This Row],[Total Ações]]</f>
        <v>393290952</v>
      </c>
      <c r="T318" s="40">
        <f>IF(Tabela3[[#This Row],[Passivo Circulante]]&gt;0,Tabela3[[#This Row],[Ativo Circulante]]/Tabela3[[#This Row],[Passivo Circulante]],0)</f>
        <v>0</v>
      </c>
      <c r="U31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8" s="19">
        <f>IF(Tabela3[[#This Row],[Lucro Líquido]]&gt;0,Tabela3[[#This Row],[Lucro Líquido]]/Tabela3[[#This Row],[Patrimônio Líquido]],0)/Tabela3[[#This Row],[Ref]]*4</f>
        <v>-2.5436634113468765E-2</v>
      </c>
      <c r="W3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8" s="19">
        <f>IF(Tabela3[[#This Row],[Dívida]]&gt;0,Tabela3[[#This Row],[Dívida]]/Tabela3[[#This Row],[Patrimônio Líquido]],0)</f>
        <v>0</v>
      </c>
      <c r="Y318" s="19">
        <f>SUMPRODUCT(N([Dívida / PL]&gt;0),N(RIGHT([PAPEL],LEN([PAPEL])-(LEN([PAPEL])-1))="3"),[Dívida / PL])/SUMPRODUCT(N([Dívida / PL]&gt;0),N(RIGHT([PAPEL],LEN([PAPEL])-(LEN([PAPEL])-1))="3"))</f>
        <v>2.2435702141443779</v>
      </c>
      <c r="Z318" s="13">
        <f>Tabela3[[#This Row],[Capital Social]]*20%</f>
        <v>194752867.50600001</v>
      </c>
      <c r="AA318" s="13">
        <f>IF(([Lucro Líquido]*5%)&gt;[Teto R. Legal],[Teto R. Legal],[Lucro Líquido]*5%)</f>
        <v>1983550</v>
      </c>
      <c r="AB318" s="13">
        <f>IF([Lucro Líquido]&lt;0,0,[Lucro Líquido]-[Reserva Legal])</f>
        <v>37687450</v>
      </c>
      <c r="AC318" s="13">
        <f>Tabela3[[#This Row],[Lucro Distribuir]]*[%Div]</f>
        <v>9421862.5</v>
      </c>
      <c r="AD318" s="56">
        <f>SUMPRODUCT(N([Nome]=Tabela3[[#This Row],[Nome]]),[Ações])</f>
        <v>32774246</v>
      </c>
      <c r="AE318" s="6">
        <f>[Capital Social]/[Total Ações]</f>
        <v>29.711265898535085</v>
      </c>
      <c r="AF318" s="77">
        <f>Tabela3[[#This Row],[Lucro Líquido]]/Tabela3[[#This Row],[Total Ações]]</f>
        <v>1.2104321179501734</v>
      </c>
      <c r="AG3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3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318" s="13">
        <f>[Div Base]*[Ações]</f>
        <v>9421862.5</v>
      </c>
      <c r="AL318" s="13">
        <f>SUMPRODUCT(N([Nome]=Tabela3[[#This Row],[Nome]]),[Div Base]*[Ações])</f>
        <v>9421862.5</v>
      </c>
      <c r="AM318" s="6">
        <f>[Patrimônio Líquido]/[Total Ações]</f>
        <v>-63.448233103516706</v>
      </c>
      <c r="AN318" s="48">
        <f>MAX(Tabela3[[#This Row],[Cotação 1]:[Cotação 5]])</f>
        <v>12</v>
      </c>
      <c r="AO318" s="44">
        <f>[Cotação]/[VPA]</f>
        <v>-0.18913056223995753</v>
      </c>
      <c r="AP318" s="40">
        <f>IF(Tabela3[[#This Row],[Lucro/Ação]]&gt;0,Tabela3[[#This Row],[Cotação]]/(Tabela3[[#This Row],[Lucro/Ação]]/[Ref]*4),0)</f>
        <v>7.4353611958357497</v>
      </c>
      <c r="AQ318" s="77">
        <f>[Lucro Distribuir]/[Total Ações]</f>
        <v>1.1499105120526647</v>
      </c>
      <c r="AR318" s="77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318" s="14" t="str">
        <f>IF(AND([% A.A.]&gt;=5%,SUMPRODUCT(N([Nome]=Tabela3[[#This Row],[Nome]]),[PL])&gt;0,[Rentabilidade s/ PL]&gt;=[Rentabilidade s/ PL Média]),"Sim","Não")</f>
        <v>Não</v>
      </c>
      <c r="AT318" s="42">
        <f>IF([Cotação]&gt;0,Tabela3[[#This Row],[Lucro]]/Tabela3[[#This Row],[Cotação]],0)</f>
        <v>2.3956469001097182E-2</v>
      </c>
      <c r="AU318" s="42">
        <f>((1+Tabela3[[#This Row],[% Yield]])^(1/(3*Tabela3[[#This Row],[Ref]])))^(12)-1</f>
        <v>3.2068822491746252E-2</v>
      </c>
      <c r="AV318" s="14">
        <f>IF([Cotação]&gt;0,($BH$1/Tabela3[[#This Row],[Cotação]]-MOD($BH$1/Tabela3[[#This Row],[Cotação]],100)),)</f>
        <v>0</v>
      </c>
      <c r="AW318" s="17">
        <f>Tabela3[[#This Row],[Ativos]]*[Lucro]</f>
        <v>0</v>
      </c>
      <c r="AX318" s="17">
        <f>SUMPRODUCT(N(Tabela1[Código]=Tabela3[[#This Row],[PAPEL]]),Tabela1[Fechamento])</f>
        <v>0</v>
      </c>
      <c r="AY318" s="17">
        <f>SUMPRODUCT(N(Tabela17[Código]=Tabela3[[#This Row],[PAPEL]]),Tabela17[Fechamento])</f>
        <v>12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0</v>
      </c>
    </row>
    <row r="319" spans="1:54" ht="11.25" customHeight="1">
      <c r="A319" s="4" t="s">
        <v>14</v>
      </c>
      <c r="B319" s="57" t="s">
        <v>198</v>
      </c>
      <c r="C319" s="14" t="str">
        <f>LEFT([PAPEL],LEN([PAPEL])-(LEN([PAPEL])-4))</f>
        <v>BRSR</v>
      </c>
      <c r="D319" s="15">
        <v>4</v>
      </c>
      <c r="E319" s="6">
        <v>3750000000</v>
      </c>
      <c r="F319" s="8">
        <v>205043374</v>
      </c>
      <c r="G319" s="80">
        <v>0.25</v>
      </c>
      <c r="H319" s="15"/>
      <c r="I319" s="19"/>
      <c r="J319" s="19"/>
      <c r="K319" s="87"/>
      <c r="L319" s="87"/>
      <c r="M319" s="55">
        <v>53121798000</v>
      </c>
      <c r="N319" s="55">
        <v>23199775000</v>
      </c>
      <c r="O319" s="55">
        <v>26460393000</v>
      </c>
      <c r="P319" s="6">
        <v>5147862000</v>
      </c>
      <c r="Q319" s="6">
        <v>791614000</v>
      </c>
      <c r="R319" s="6">
        <f>IF(Tabela3[[#This Row],[Ativo || Passivo]]&gt;0,Tabela3[[#This Row],[Ativo || Passivo]]-Tabela3[[#This Row],[Patrimônio Líquido]],0)</f>
        <v>47973936000</v>
      </c>
      <c r="S319" s="6">
        <f>Tabela3[[#This Row],[Cotação]]*Tabela3[[#This Row],[Total Ações]]</f>
        <v>4989488619.3999996</v>
      </c>
      <c r="T319" s="121">
        <f>IF(Tabela3[[#This Row],[Passivo Circulante]]&gt;0,Tabela3[[#This Row],[Ativo Circulante]]/Tabela3[[#This Row],[Passivo Circulante]],0)</f>
        <v>0.87677363673321107</v>
      </c>
      <c r="U31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19" s="19">
        <f>IF(Tabela3[[#This Row],[Lucro Líquido]]&gt;0,Tabela3[[#This Row],[Lucro Líquido]]/Tabela3[[#This Row],[Patrimônio Líquido]],0)/Tabela3[[#This Row],[Ref]]*4</f>
        <v>0.15377529545275301</v>
      </c>
      <c r="W31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19" s="19">
        <f>IF(Tabela3[[#This Row],[Dívida]]&gt;0,Tabela3[[#This Row],[Dívida]]/Tabela3[[#This Row],[Patrimônio Líquido]],0)</f>
        <v>9.3191962022291968</v>
      </c>
      <c r="Y319" s="19">
        <f>SUMPRODUCT(N([Dívida / PL]&gt;0),N(RIGHT([PAPEL],LEN([PAPEL])-(LEN([PAPEL])-1))="3"),[Dívida / PL])/SUMPRODUCT(N([Dívida / PL]&gt;0),N(RIGHT([PAPEL],LEN([PAPEL])-(LEN([PAPEL])-1))="3"))</f>
        <v>2.2435702141443779</v>
      </c>
      <c r="Z319" s="6">
        <f>Tabela3[[#This Row],[Capital Social]]*20%</f>
        <v>750000000</v>
      </c>
      <c r="AA319" s="6">
        <f>IF(([Lucro Líquido]*5%)&gt;[Teto R. Legal],[Teto R. Legal],[Lucro Líquido]*5%)</f>
        <v>39580700</v>
      </c>
      <c r="AB319" s="6">
        <f>IF([Lucro Líquido]&lt;0,0,[Lucro Líquido]-[Reserva Legal])</f>
        <v>752033300</v>
      </c>
      <c r="AC319" s="6">
        <f>Tabela3[[#This Row],[Lucro Distribuir]]*[%Div]</f>
        <v>188008325</v>
      </c>
      <c r="AD319" s="21">
        <f>SUMPRODUCT(N([Nome]=Tabela3[[#This Row],[Nome]]),[Ações])</f>
        <v>408974477</v>
      </c>
      <c r="AE319" s="6">
        <f>[Capital Social]/[Total Ações]</f>
        <v>9.1692763507097776</v>
      </c>
      <c r="AF319" s="77">
        <f>Tabela3[[#This Row],[Lucro Líquido]]/Tabela3[[#This Row],[Total Ações]]</f>
        <v>1.9356073410908721</v>
      </c>
      <c r="AG31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31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31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319" s="6">
        <f>[Div Base]*[Ações]</f>
        <v>94097778.775373578</v>
      </c>
      <c r="AL319" s="6">
        <f>SUMPRODUCT(N([Nome]=Tabela3[[#This Row],[Nome]]),[Div Base]*[Ações])</f>
        <v>188008325</v>
      </c>
      <c r="AM319" s="6">
        <f>[Patrimônio Líquido]/[Total Ações]</f>
        <v>12.587245144884678</v>
      </c>
      <c r="AN319" s="48">
        <f>MAX(Tabela3[[#This Row],[Cotação 1]:[Cotação 5]])</f>
        <v>12.2</v>
      </c>
      <c r="AO319" s="44">
        <f>[Cotação]/[VPA]</f>
        <v>0.96923511535468498</v>
      </c>
      <c r="AP319" s="40">
        <f>IF(Tabela3[[#This Row],[Lucro/Ação]]&gt;0,Tabela3[[#This Row],[Cotação]]/(Tabela3[[#This Row],[Lucro/Ação]]/[Ref]*4),0)</f>
        <v>6.3029312510895457</v>
      </c>
      <c r="AQ319" s="77">
        <f>[Lucro Distribuir]/[Total Ações]</f>
        <v>1.8388269740363283</v>
      </c>
      <c r="AR319" s="77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319" s="15" t="str">
        <f>IF(AND([% A.A.]&gt;=5%,SUMPRODUCT(N([Nome]=Tabela3[[#This Row],[Nome]]),[PL])&gt;0,[Rentabilidade s/ PL]&gt;=[Rentabilidade s/ PL Média]),"Sim","Não")</f>
        <v>Não</v>
      </c>
      <c r="AT319" s="42">
        <f>IF([Cotação]&gt;0,Tabela3[[#This Row],[Lucro]]/Tabela3[[#This Row],[Cotação]],0)</f>
        <v>3.7616103051962224E-2</v>
      </c>
      <c r="AU319" s="19">
        <f>((1+Tabela3[[#This Row],[% Yield]])^(1/(3*Tabela3[[#This Row],[Ref]])))^(12)-1</f>
        <v>3.7616103051960614E-2</v>
      </c>
      <c r="AV319" s="14">
        <f>IF([Cotação]&gt;0,($BH$1/Tabela3[[#This Row],[Cotação]]-MOD($BH$1/Tabela3[[#This Row],[Cotação]],100)),)</f>
        <v>0</v>
      </c>
      <c r="AW319" s="17">
        <f>Tabela3[[#This Row],[Ativos]]*[Lucro]</f>
        <v>0</v>
      </c>
      <c r="AX319" s="5">
        <f>SUMPRODUCT(N(Tabela1[Código]=Tabela3[[#This Row],[PAPEL]]),Tabela1[Fechamento])</f>
        <v>12.2</v>
      </c>
      <c r="AY319" s="5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0</v>
      </c>
      <c r="BB319" s="7">
        <f>SUMPRODUCT(N(Tabela17683[Código]=Tabela3[[#This Row],[PAPEL]]),Tabela17683[Fechamento])</f>
        <v>0</v>
      </c>
    </row>
    <row r="320" spans="1:54" ht="11.25" customHeight="1">
      <c r="A320" s="3" t="s">
        <v>957</v>
      </c>
      <c r="B320" s="58" t="s">
        <v>954</v>
      </c>
      <c r="C320" s="16" t="str">
        <f>LEFT([PAPEL],LEN([PAPEL])-(LEN([PAPEL])-4))</f>
        <v>ALPA</v>
      </c>
      <c r="D320" s="16">
        <v>4</v>
      </c>
      <c r="E320" s="5">
        <v>624610414.55999994</v>
      </c>
      <c r="F320" s="56">
        <v>208037478</v>
      </c>
      <c r="G320" s="80">
        <v>0.25</v>
      </c>
      <c r="H320" s="86"/>
      <c r="J320" s="18">
        <v>0.1</v>
      </c>
      <c r="K320" s="16"/>
      <c r="L320" s="86"/>
      <c r="M320" s="54">
        <v>2946099000</v>
      </c>
      <c r="N320" s="54">
        <v>1777924000</v>
      </c>
      <c r="O320" s="54">
        <v>674850000</v>
      </c>
      <c r="P320" s="90">
        <v>1834451000</v>
      </c>
      <c r="Q320" s="73">
        <v>310011000</v>
      </c>
      <c r="R320" s="73">
        <f>IF(Tabela3[[#This Row],[Ativo || Passivo]]&gt;0,Tabela3[[#This Row],[Ativo || Passivo]]-Tabela3[[#This Row],[Patrimônio Líquido]],0)</f>
        <v>1111648000</v>
      </c>
      <c r="S320" s="73">
        <f>Tabela3[[#This Row],[Cotação]]*Tabela3[[#This Row],[Total Ações]]</f>
        <v>5234822967.6000004</v>
      </c>
      <c r="T320" s="37">
        <f>IF(Tabela3[[#This Row],[Passivo Circulante]]&gt;0,Tabela3[[#This Row],[Ativo Circulante]]/Tabela3[[#This Row],[Passivo Circulante]],0)</f>
        <v>2.6345469363562275</v>
      </c>
      <c r="U32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0" s="18">
        <f>IF(Tabela3[[#This Row],[Lucro Líquido]]&gt;0,Tabela3[[#This Row],[Lucro Líquido]]/Tabela3[[#This Row],[Patrimônio Líquido]],0)/Tabela3[[#This Row],[Ref]]*4</f>
        <v>0.16899388427382361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0" s="18">
        <f>IF(Tabela3[[#This Row],[Dívida]]&gt;0,Tabela3[[#This Row],[Dívida]]/Tabela3[[#This Row],[Patrimônio Líquido]],0)</f>
        <v>0.6059840246482463</v>
      </c>
      <c r="Y320" s="18">
        <f>SUMPRODUCT(N([Dívida / PL]&gt;0),N(RIGHT([PAPEL],LEN([PAPEL])-(LEN([PAPEL])-1))="3"),[Dívida / PL])/SUMPRODUCT(N([Dívida / PL]&gt;0),N(RIGHT([PAPEL],LEN([PAPEL])-(LEN([PAPEL])-1))="3"))</f>
        <v>2.2435702141443779</v>
      </c>
      <c r="Z320" s="7">
        <f>Tabela3[[#This Row],[Capital Social]]*20%</f>
        <v>124922082.912</v>
      </c>
      <c r="AA320" s="47">
        <f>IF(([Lucro Líquido]*5%)&gt;[Teto R. Legal],[Teto R. Legal],[Lucro Líquido]*5%)</f>
        <v>15500550</v>
      </c>
      <c r="AB320" s="47">
        <f>IF([Lucro Líquido]&lt;0,0,[Lucro Líquido]-[Reserva Legal])</f>
        <v>294510450</v>
      </c>
      <c r="AC320" s="47">
        <f>Tabela3[[#This Row],[Lucro Distribuir]]*[%Div]</f>
        <v>73627612.5</v>
      </c>
      <c r="AD320" s="56">
        <f>SUMPRODUCT(N([Nome]=Tabela3[[#This Row],[Nome]]),[Ações])</f>
        <v>427681615</v>
      </c>
      <c r="AE320" s="84">
        <f>[Capital Social]/[Total Ações]</f>
        <v>1.4604565467701949</v>
      </c>
      <c r="AF320" s="84">
        <f>Tabela3[[#This Row],[Lucro Líquido]]/Tabela3[[#This Row],[Total Ações]]</f>
        <v>0.72486398556084763</v>
      </c>
      <c r="AG3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0.18347867339618654</v>
      </c>
      <c r="AH3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0.18347867339618654</v>
      </c>
      <c r="AK320" s="7">
        <f>[Div Base]*[Ações]</f>
        <v>38170440.48012834</v>
      </c>
      <c r="AL320" s="7">
        <f>SUMPRODUCT(N([Nome]=Tabela3[[#This Row],[Nome]]),[Div Base]*[Ações])</f>
        <v>74806817.589949653</v>
      </c>
      <c r="AM320" s="5">
        <f>[Patrimônio Líquido]/[Total Ações]</f>
        <v>4.289291228943755</v>
      </c>
      <c r="AN320" s="52">
        <f>MAX(Tabela3[[#This Row],[Cotação 1]:[Cotação 5]])</f>
        <v>12.24</v>
      </c>
      <c r="AO320" s="53">
        <f>[Cotação]/[VPA]</f>
        <v>2.8536183128358297</v>
      </c>
      <c r="AP320" s="37">
        <f>IF(Tabela3[[#This Row],[Lucro/Ação]]&gt;0,Tabela3[[#This Row],[Cotação]]/(Tabela3[[#This Row],[Lucro/Ação]]/[Ref]*4),0)</f>
        <v>16.885926523897538</v>
      </c>
      <c r="AQ320" s="84">
        <f>[Lucro Distribuir]/[Total Ações]</f>
        <v>0.68862078628280521</v>
      </c>
      <c r="AR320" s="84">
        <f>IF([Unit ON]&gt;0,SUMPRODUCT(N([Nome]=Tabela3[[#This Row],[Nome]]),N(RIGHT([PAPEL],1)="3"),[Div Base])*[Unit ON]+SUMPRODUCT(N([Nome]=Tabela3[[#This Row],[Nome]]),N(RIGHT([PAPEL],1)="4"),[Div Base])*[Unit PN],[Div Base])</f>
        <v>0.18347867339618654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1.4990087695766874E-2</v>
      </c>
      <c r="AU320" s="22">
        <f>((1+Tabela3[[#This Row],[% Yield]])^(1/(3*Tabela3[[#This Row],[Ref]])))^(12)-1</f>
        <v>1.4990087695767818E-2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12.24</v>
      </c>
      <c r="BB320" s="7">
        <f>SUMPRODUCT(N(Tabela17683[Código]=Tabela3[[#This Row],[PAPEL]]),Tabela17683[Fechamento])</f>
        <v>0</v>
      </c>
    </row>
    <row r="321" spans="1:54" ht="11.25" customHeight="1">
      <c r="A321" s="3" t="s">
        <v>1416</v>
      </c>
      <c r="B321" s="58" t="s">
        <v>1406</v>
      </c>
      <c r="C321" s="16" t="str">
        <f>LEFT([PAPEL],LEN([PAPEL])-(LEN([PAPEL])-4))</f>
        <v>AEDU</v>
      </c>
      <c r="D321" s="16">
        <v>4</v>
      </c>
      <c r="E321" s="5">
        <v>1802265000</v>
      </c>
      <c r="F321" s="56">
        <v>437070783</v>
      </c>
      <c r="G321" s="80">
        <v>0.01</v>
      </c>
      <c r="H321" s="86"/>
      <c r="J321" s="18"/>
      <c r="K321" s="16"/>
      <c r="L321" s="86"/>
      <c r="M321" s="54">
        <v>3092538000</v>
      </c>
      <c r="N321" s="54">
        <v>94148000</v>
      </c>
      <c r="O321" s="54">
        <v>109112000</v>
      </c>
      <c r="P321" s="90">
        <v>2327296000</v>
      </c>
      <c r="Q321" s="73">
        <v>125420000</v>
      </c>
      <c r="R321" s="73">
        <f>IF(Tabela3[[#This Row],[Ativo || Passivo]]&gt;0,Tabela3[[#This Row],[Ativo || Passivo]]-Tabela3[[#This Row],[Patrimônio Líquido]],0)</f>
        <v>765242000</v>
      </c>
      <c r="S321" s="7">
        <f>Tabela3[[#This Row],[Cotação]]*Tabela3[[#This Row],[Total Ações]]</f>
        <v>5371599923.0699997</v>
      </c>
      <c r="T321" s="37">
        <f>IF(Tabela3[[#This Row],[Passivo Circulante]]&gt;0,Tabela3[[#This Row],[Ativo Circulante]]/Tabela3[[#This Row],[Passivo Circulante]],0)</f>
        <v>0.86285651440721456</v>
      </c>
      <c r="U32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1" s="18">
        <f>IF(Tabela3[[#This Row],[Lucro Líquido]]&gt;0,Tabela3[[#This Row],[Lucro Líquido]]/Tabela3[[#This Row],[Patrimônio Líquido]],0)/Tabela3[[#This Row],[Ref]]*4</f>
        <v>5.3890867341326587E-2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1" s="18">
        <f>IF(Tabela3[[#This Row],[Dívida]]&gt;0,Tabela3[[#This Row],[Dívida]]/Tabela3[[#This Row],[Patrimônio Líquido]],0)</f>
        <v>0.3288116337586624</v>
      </c>
      <c r="Y321" s="18">
        <f>SUMPRODUCT(N([Dívida / PL]&gt;0),N(RIGHT([PAPEL],LEN([PAPEL])-(LEN([PAPEL])-1))="3"),[Dívida / PL])/SUMPRODUCT(N([Dívida / PL]&gt;0),N(RIGHT([PAPEL],LEN([PAPEL])-(LEN([PAPEL])-1))="3"))</f>
        <v>2.2435702141443779</v>
      </c>
      <c r="Z321" s="7">
        <f>Tabela3[[#This Row],[Capital Social]]*20%</f>
        <v>360453000</v>
      </c>
      <c r="AA321" s="47">
        <f>IF(([Lucro Líquido]*5%)&gt;[Teto R. Legal],[Teto R. Legal],[Lucro Líquido]*5%)</f>
        <v>6271000</v>
      </c>
      <c r="AB321" s="47">
        <f>IF([Lucro Líquido]&lt;0,0,[Lucro Líquido]-[Reserva Legal])</f>
        <v>119149000</v>
      </c>
      <c r="AC321" s="47">
        <f>Tabela3[[#This Row],[Lucro Distribuir]]*[%Div]</f>
        <v>1191490</v>
      </c>
      <c r="AD321" s="56">
        <f>SUMPRODUCT(N([Nome]=Tabela3[[#This Row],[Nome]]),[Ações])</f>
        <v>437070783</v>
      </c>
      <c r="AE321" s="84">
        <f>[Capital Social]/[Total Ações]</f>
        <v>4.1235082968243155</v>
      </c>
      <c r="AF321" s="84">
        <f>Tabela3[[#This Row],[Lucro Líquido]]/Tabela3[[#This Row],[Total Ações]]</f>
        <v>0.28695580871165211</v>
      </c>
      <c r="AG32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2.7260801827606947E-3</v>
      </c>
      <c r="AH32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2.7260801827606947E-3</v>
      </c>
      <c r="AK321" s="7">
        <f>[Div Base]*[Ações]</f>
        <v>1191490</v>
      </c>
      <c r="AL321" s="113">
        <f>SUMPRODUCT(N([Nome]=Tabela3[[#This Row],[Nome]]),[Div Base]*[Ações])</f>
        <v>1191490</v>
      </c>
      <c r="AM321" s="5">
        <f>[Patrimônio Líquido]/[Total Ações]</f>
        <v>5.3247576605915565</v>
      </c>
      <c r="AN321" s="52">
        <f>MAX(Tabela3[[#This Row],[Cotação 1]:[Cotação 5]])</f>
        <v>12.29</v>
      </c>
      <c r="AO321" s="53">
        <f>[Cotação]/[VPA]</f>
        <v>2.3080862610815296</v>
      </c>
      <c r="AP321" s="37">
        <f>IF(Tabela3[[#This Row],[Lucro/Ação]]&gt;0,Tabela3[[#This Row],[Cotação]]/(Tabela3[[#This Row],[Lucro/Ação]]/[Ref]*4),0)</f>
        <v>42.828894299712957</v>
      </c>
      <c r="AQ321" s="84">
        <f>[Lucro Distribuir]/[Total Ações]</f>
        <v>0.27260801827606951</v>
      </c>
      <c r="AR321" s="84">
        <f>IF([Unit ON]&gt;0,SUMPRODUCT(N([Nome]=Tabela3[[#This Row],[Nome]]),N(RIGHT([PAPEL],1)="3"),[Div Base])*[Unit ON]+SUMPRODUCT(N([Nome]=Tabela3[[#This Row],[Nome]]),N(RIGHT([PAPEL],1)="4"),[Div Base])*[Unit PN],[Div Base])</f>
        <v>2.7260801827606947E-3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2.2181287085115499E-4</v>
      </c>
      <c r="AU321" s="22">
        <f>((1+Tabela3[[#This Row],[% Yield]])^(1/(3*Tabela3[[#This Row],[Ref]])))^(12)-1</f>
        <v>2.218128708513234E-4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12.29</v>
      </c>
    </row>
    <row r="322" spans="1:54" ht="11.25" customHeight="1">
      <c r="A322" s="3" t="s">
        <v>1019</v>
      </c>
      <c r="B322" s="57" t="s">
        <v>1029</v>
      </c>
      <c r="C322" s="16" t="str">
        <f>LEFT([PAPEL],LEN([PAPEL])-(LEN([PAPEL])-4))</f>
        <v>CYRE</v>
      </c>
      <c r="D322" s="16">
        <v>3</v>
      </c>
      <c r="E322" s="5">
        <v>2583576445.8200002</v>
      </c>
      <c r="F322" s="56">
        <v>416658829</v>
      </c>
      <c r="G322" s="80">
        <v>0.25</v>
      </c>
      <c r="H322" s="86"/>
      <c r="J322" s="18"/>
      <c r="K322" s="16"/>
      <c r="L322" s="86"/>
      <c r="M322" s="54"/>
      <c r="N322" s="54"/>
      <c r="O322" s="54"/>
      <c r="P322" s="90">
        <v>5554561000</v>
      </c>
      <c r="Q322" s="73">
        <v>536310000</v>
      </c>
      <c r="R322" s="73">
        <f>IF(Tabela3[[#This Row],[Ativo || Passivo]]&gt;0,Tabela3[[#This Row],[Ativo || Passivo]]-Tabela3[[#This Row],[Patrimônio Líquido]],0)</f>
        <v>0</v>
      </c>
      <c r="S322" s="73">
        <f>Tabela3[[#This Row],[Cotação]]*Tabela3[[#This Row],[Total Ações]]</f>
        <v>5187402421.0499992</v>
      </c>
      <c r="T322" s="37">
        <f>IF(Tabela3[[#This Row],[Passivo Circulante]]&gt;0,Tabela3[[#This Row],[Ativo Circulante]]/Tabela3[[#This Row],[Passivo Circulante]],0)</f>
        <v>0</v>
      </c>
      <c r="U32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2" s="18">
        <f>IF(Tabela3[[#This Row],[Lucro Líquido]]&gt;0,Tabela3[[#This Row],[Lucro Líquido]]/Tabela3[[#This Row],[Patrimônio Líquido]],0)/Tabela3[[#This Row],[Ref]]*4</f>
        <v>0.12873744657768635</v>
      </c>
      <c r="W32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2" s="18">
        <f>IF(Tabela3[[#This Row],[Dívida]]&gt;0,Tabela3[[#This Row],[Dívida]]/Tabela3[[#This Row],[Patrimônio Líquido]],0)</f>
        <v>0</v>
      </c>
      <c r="Y322" s="18">
        <f>SUMPRODUCT(N([Dívida / PL]&gt;0),N(RIGHT([PAPEL],LEN([PAPEL])-(LEN([PAPEL])-1))="3"),[Dívida / PL])/SUMPRODUCT(N([Dívida / PL]&gt;0),N(RIGHT([PAPEL],LEN([PAPEL])-(LEN([PAPEL])-1))="3"))</f>
        <v>2.2435702141443779</v>
      </c>
      <c r="Z322" s="7">
        <f>Tabela3[[#This Row],[Capital Social]]*20%</f>
        <v>516715289.16400003</v>
      </c>
      <c r="AA322" s="47">
        <f>IF(([Lucro Líquido]*5%)&gt;[Teto R. Legal],[Teto R. Legal],[Lucro Líquido]*5%)</f>
        <v>26815500</v>
      </c>
      <c r="AB322" s="47">
        <f>IF([Lucro Líquido]&lt;0,0,[Lucro Líquido]-[Reserva Legal])</f>
        <v>509494500</v>
      </c>
      <c r="AC322" s="47">
        <f>Tabela3[[#This Row],[Lucro Distribuir]]*[%Div]</f>
        <v>127373625</v>
      </c>
      <c r="AD322" s="56">
        <f>SUMPRODUCT(N([Nome]=Tabela3[[#This Row],[Nome]]),[Ações])</f>
        <v>416658829</v>
      </c>
      <c r="AE322" s="84">
        <f>[Capital Social]/[Total Ações]</f>
        <v>6.2007001076173047</v>
      </c>
      <c r="AF322" s="84">
        <f>Tabela3[[#This Row],[Lucro Líquido]]/Tabela3[[#This Row],[Total Ações]]</f>
        <v>1.2871682121489378</v>
      </c>
      <c r="AG3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3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322" s="7">
        <f>[Div Base]*[Ações]</f>
        <v>127373625.00000001</v>
      </c>
      <c r="AL322" s="113">
        <f>SUMPRODUCT(N([Nome]=Tabela3[[#This Row],[Nome]]),[Div Base]*[Ações])</f>
        <v>127373625.00000001</v>
      </c>
      <c r="AM322" s="5">
        <f>[Patrimônio Líquido]/[Total Ações]</f>
        <v>13.331197165151154</v>
      </c>
      <c r="AN322" s="52">
        <f>MAX(Tabela3[[#This Row],[Cotação 1]:[Cotação 5]])</f>
        <v>12.45</v>
      </c>
      <c r="AO322" s="53">
        <f>[Cotação]/[VPA]</f>
        <v>0.93389962249941982</v>
      </c>
      <c r="AP322" s="37">
        <f>IF(Tabela3[[#This Row],[Lucro/Ação]]&gt;0,Tabela3[[#This Row],[Cotação]]/(Tabela3[[#This Row],[Lucro/Ação]]/[Ref]*4),0)</f>
        <v>7.2542966116378578</v>
      </c>
      <c r="AQ322" s="84">
        <f>[Lucro Distribuir]/[Total Ações]</f>
        <v>1.222809801541491</v>
      </c>
      <c r="AR322" s="84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322" s="10" t="str">
        <f>IF(AND([% A.A.]&gt;=5%,SUMPRODUCT(N([Nome]=Tabela3[[#This Row],[Nome]]),[PL])&gt;0,[Rentabilidade s/ PL]&gt;=[Rentabilidade s/ PL Média]),"Sim","Não")</f>
        <v>Não</v>
      </c>
      <c r="AT322" s="22">
        <f>IF([Cotação]&gt;0,Tabela3[[#This Row],[Lucro]]/Tabela3[[#This Row],[Cotação]],0)</f>
        <v>2.455441368557211E-2</v>
      </c>
      <c r="AU322" s="22">
        <f>((1+Tabela3[[#This Row],[% Yield]])^(1/(3*Tabela3[[#This Row],[Ref]])))^(12)-1</f>
        <v>3.2872476604081324E-2</v>
      </c>
      <c r="AV322" s="10">
        <f>IF([Cotação]&gt;0,($BH$1/Tabela3[[#This Row],[Cotação]]-MOD($BH$1/Tabela3[[#This Row],[Cotação]],100)),)</f>
        <v>0</v>
      </c>
      <c r="AW322" s="7">
        <f>Tabela3[[#This Row],[Ativos]]*[Lucro]</f>
        <v>0</v>
      </c>
      <c r="AX322" s="7">
        <f>SUMPRODUCT(N(Tabela1[Código]=Tabela3[[#This Row],[PAPEL]]),Tabela1[Fechamento])</f>
        <v>0</v>
      </c>
      <c r="AY322" s="7">
        <f>SUMPRODUCT(N(Tabela17[Código]=Tabela3[[#This Row],[PAPEL]]),Tabela17[Fechamento])</f>
        <v>0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12.45</v>
      </c>
      <c r="BB322" s="7">
        <f>SUMPRODUCT(N(Tabela17683[Código]=Tabela3[[#This Row],[PAPEL]]),Tabela17683[Fechamento])</f>
        <v>0</v>
      </c>
    </row>
    <row r="323" spans="1:54" ht="11.25" customHeight="1">
      <c r="A323" s="4" t="s">
        <v>362</v>
      </c>
      <c r="B323" s="57" t="s">
        <v>361</v>
      </c>
      <c r="C323" s="81" t="str">
        <f>LEFT([PAPEL],LEN([PAPEL])-(LEN([PAPEL])-4))</f>
        <v>TRPN</v>
      </c>
      <c r="D323" s="15">
        <v>4</v>
      </c>
      <c r="E323" s="6">
        <v>6610322.96</v>
      </c>
      <c r="F323" s="38">
        <v>46288258</v>
      </c>
      <c r="G323" s="85">
        <v>0.25</v>
      </c>
      <c r="H323" s="15"/>
      <c r="I323" s="19"/>
      <c r="J323" s="19"/>
      <c r="K323" s="87"/>
      <c r="L323" s="87"/>
      <c r="M323" s="55">
        <v>75216000</v>
      </c>
      <c r="N323" s="55">
        <v>14613000</v>
      </c>
      <c r="O323" s="55">
        <v>4084000</v>
      </c>
      <c r="P323" s="6">
        <v>71132000</v>
      </c>
      <c r="Q323" s="6">
        <v>74040000</v>
      </c>
      <c r="R323" s="6">
        <f>IF(Tabela3[[#This Row],[Ativo || Passivo]]&gt;0,Tabela3[[#This Row],[Ativo || Passivo]]-Tabela3[[#This Row],[Patrimônio Líquido]],0)</f>
        <v>4084000</v>
      </c>
      <c r="S323" s="6">
        <f>Tabela3[[#This Row],[Cotação]]*Tabela3[[#This Row],[Total Ações]]</f>
        <v>587397994.01999998</v>
      </c>
      <c r="T323" s="121">
        <f>IF(Tabela3[[#This Row],[Passivo Circulante]]&gt;0,Tabela3[[#This Row],[Ativo Circulante]]/Tabela3[[#This Row],[Passivo Circulante]],0)</f>
        <v>3.5781096963761017</v>
      </c>
      <c r="U32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3" s="19">
        <f>IF(Tabela3[[#This Row],[Lucro Líquido]]&gt;0,Tabela3[[#This Row],[Lucro Líquido]]/Tabela3[[#This Row],[Patrimônio Líquido]],0)/Tabela3[[#This Row],[Ref]]*4</f>
        <v>1.0408817409885847</v>
      </c>
      <c r="W32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3" s="19">
        <f>IF(Tabela3[[#This Row],[Dívida]]&gt;0,Tabela3[[#This Row],[Dívida]]/Tabela3[[#This Row],[Patrimônio Líquido]],0)</f>
        <v>5.7414384524545913E-2</v>
      </c>
      <c r="Y323" s="19">
        <f>SUMPRODUCT(N([Dívida / PL]&gt;0),N(RIGHT([PAPEL],LEN([PAPEL])-(LEN([PAPEL])-1))="3"),[Dívida / PL])/SUMPRODUCT(N([Dívida / PL]&gt;0),N(RIGHT([PAPEL],LEN([PAPEL])-(LEN([PAPEL])-1))="3"))</f>
        <v>2.2435702141443779</v>
      </c>
      <c r="Z323" s="6">
        <f>Tabela3[[#This Row],[Capital Social]]*20%</f>
        <v>1322064.5920000002</v>
      </c>
      <c r="AA323" s="6">
        <f>IF(([Lucro Líquido]*5%)&gt;[Teto R. Legal],[Teto R. Legal],[Lucro Líquido]*5%)</f>
        <v>1322064.5920000002</v>
      </c>
      <c r="AB323" s="6">
        <f>IF([Lucro Líquido]&lt;0,0,[Lucro Líquido]-[Reserva Legal])</f>
        <v>72717935.407999992</v>
      </c>
      <c r="AC323" s="6">
        <f>Tabela3[[#This Row],[Lucro Distribuir]]*[%Div]</f>
        <v>18179483.851999998</v>
      </c>
      <c r="AD323" s="56">
        <f>SUMPRODUCT(N([Nome]=Tabela3[[#This Row],[Nome]]),[Ações])</f>
        <v>46288258</v>
      </c>
      <c r="AE323" s="6">
        <f>[Capital Social]/[Total Ações]</f>
        <v>0.14280777124946029</v>
      </c>
      <c r="AF323" s="77">
        <f>Tabela3[[#This Row],[Lucro Líquido]]/Tabela3[[#This Row],[Total Ações]]</f>
        <v>1.5995417239508127</v>
      </c>
      <c r="AG3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3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323" s="6">
        <f>[Div Base]*[Ações]</f>
        <v>18179483.851999998</v>
      </c>
      <c r="AL323" s="6">
        <f>SUMPRODUCT(N([Nome]=Tabela3[[#This Row],[Nome]]),[Div Base]*[Ações])</f>
        <v>18179483.851999998</v>
      </c>
      <c r="AM323" s="6">
        <f>[Patrimônio Líquido]/[Total Ações]</f>
        <v>1.5367180160463156</v>
      </c>
      <c r="AN323" s="48">
        <f>MAX(Tabela3[[#This Row],[Cotação 1]:[Cotação 5]])</f>
        <v>12.69</v>
      </c>
      <c r="AO323" s="44">
        <f>[Cotação]/[VPA]</f>
        <v>8.257858544958669</v>
      </c>
      <c r="AP323" s="40">
        <f>IF(Tabela3[[#This Row],[Lucro/Ação]]&gt;0,Tabela3[[#This Row],[Cotação]]/(Tabela3[[#This Row],[Lucro/Ação]]/[Ref]*4),0)</f>
        <v>7.9335223395461911</v>
      </c>
      <c r="AQ323" s="77">
        <f>[Lucro Distribuir]/[Total Ações]</f>
        <v>1.5709801697009205</v>
      </c>
      <c r="AR323" s="77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323" s="15" t="str">
        <f>IF(AND([% A.A.]&gt;=5%,SUMPRODUCT(N([Nome]=Tabela3[[#This Row],[Nome]]),[PL])&gt;0,[Rentabilidade s/ PL]&gt;=[Rentabilidade s/ PL Média]),"Sim","Não")</f>
        <v>Não</v>
      </c>
      <c r="AT323" s="42">
        <f>IF([Cotação]&gt;0,Tabela3[[#This Row],[Lucro]]/Tabela3[[#This Row],[Cotação]],0)</f>
        <v>3.0949175920033895E-2</v>
      </c>
      <c r="AU323" s="19">
        <f>((1+Tabela3[[#This Row],[% Yield]])^(1/(3*Tabela3[[#This Row],[Ref]])))^(12)-1</f>
        <v>3.0949175920032657E-2</v>
      </c>
      <c r="AV323" s="14">
        <f>IF([Cotação]&gt;0,($BH$1/Tabela3[[#This Row],[Cotação]]-MOD($BH$1/Tabela3[[#This Row],[Cotação]],100)),)</f>
        <v>0</v>
      </c>
      <c r="AW323" s="17">
        <f>Tabela3[[#This Row],[Ativos]]*[Lucro]</f>
        <v>0</v>
      </c>
      <c r="AX323" s="13">
        <f>SUMPRODUCT(N(Tabela1[Código]=Tabela3[[#This Row],[PAPEL]]),Tabela1[Fechamento])</f>
        <v>0</v>
      </c>
      <c r="AY323" s="55">
        <f>SUMPRODUCT(N(Tabela17[Código]=Tabela3[[#This Row],[PAPEL]]),Tabela17[Fechamento])</f>
        <v>12.69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t="11.25" customHeight="1">
      <c r="A324" s="3" t="s">
        <v>1140</v>
      </c>
      <c r="B324" s="57" t="s">
        <v>1134</v>
      </c>
      <c r="C324" s="16" t="str">
        <f>LEFT([PAPEL],LEN([PAPEL])-(LEN([PAPEL])-4))</f>
        <v>ECOR</v>
      </c>
      <c r="D324" s="16">
        <v>3</v>
      </c>
      <c r="E324" s="5">
        <v>1340699080</v>
      </c>
      <c r="F324" s="56">
        <v>558699080</v>
      </c>
      <c r="G324" s="80">
        <v>0.25</v>
      </c>
      <c r="H324" s="86"/>
      <c r="J324" s="18"/>
      <c r="K324" s="16"/>
      <c r="L324" s="86"/>
      <c r="M324" s="54"/>
      <c r="N324" s="54"/>
      <c r="O324" s="54"/>
      <c r="P324" s="90">
        <v>2152782000</v>
      </c>
      <c r="Q324" s="92">
        <v>309558000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7095478316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4" s="18">
        <f>IF(Tabela3[[#This Row],[Lucro Líquido]]&gt;0,Tabela3[[#This Row],[Lucro Líquido]]/Tabela3[[#This Row],[Patrimônio Líquido]],0)/Tabela3[[#This Row],[Ref]]*4</f>
        <v>0.1917258691311986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2.2435702141443779</v>
      </c>
      <c r="Z324" s="7">
        <f>Tabela3[[#This Row],[Capital Social]]*20%</f>
        <v>268139816</v>
      </c>
      <c r="AA324" s="47">
        <f>IF(([Lucro Líquido]*5%)&gt;[Teto R. Legal],[Teto R. Legal],[Lucro Líquido]*5%)</f>
        <v>15477900</v>
      </c>
      <c r="AB324" s="47">
        <f>IF([Lucro Líquido]&lt;0,0,[Lucro Líquido]-[Reserva Legal])</f>
        <v>294080100</v>
      </c>
      <c r="AC324" s="47">
        <f>Tabela3[[#This Row],[Lucro Distribuir]]*[%Div]</f>
        <v>73520025</v>
      </c>
      <c r="AD324" s="56">
        <f>SUMPRODUCT(N([Nome]=Tabela3[[#This Row],[Nome]]),[Ações])</f>
        <v>558699080</v>
      </c>
      <c r="AE324" s="84">
        <f>[Capital Social]/[Total Ações]</f>
        <v>2.3996801283438662</v>
      </c>
      <c r="AF324" s="84">
        <f>Tabela3[[#This Row],[Lucro Líquido]]/Tabela3[[#This Row],[Total Ações]]</f>
        <v>0.55406928538346623</v>
      </c>
      <c r="AG32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32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324" s="7">
        <f>[Div Base]*[Ações]</f>
        <v>73520025</v>
      </c>
      <c r="AL324" s="113">
        <f>SUMPRODUCT(N([Nome]=Tabela3[[#This Row],[Nome]]),[Div Base]*[Ações])</f>
        <v>73520025</v>
      </c>
      <c r="AM324" s="5">
        <f>[Patrimônio Líquido]/[Total Ações]</f>
        <v>3.853204841504303</v>
      </c>
      <c r="AN324" s="52">
        <f>MAX(Tabela3[[#This Row],[Cotação 1]:[Cotação 5]])</f>
        <v>12.7</v>
      </c>
      <c r="AO324" s="53">
        <f>[Cotação]/[VPA]</f>
        <v>3.2959576566507893</v>
      </c>
      <c r="AP324" s="37">
        <f>IF(Tabela3[[#This Row],[Lucro/Ação]]&gt;0,Tabela3[[#This Row],[Cotação]]/(Tabela3[[#This Row],[Lucro/Ação]]/[Ref]*4),0)</f>
        <v>17.190990822398387</v>
      </c>
      <c r="AQ324" s="84">
        <f>[Lucro Distribuir]/[Total Ações]</f>
        <v>0.52636582111429286</v>
      </c>
      <c r="AR324" s="84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1.0361531911698679E-2</v>
      </c>
      <c r="AU324" s="22">
        <f>((1+Tabela3[[#This Row],[% Yield]])^(1/(3*Tabela3[[#This Row],[Ref]])))^(12)-1</f>
        <v>1.3839179259761858E-2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12.7</v>
      </c>
    </row>
    <row r="325" spans="1:54" ht="11.25" customHeight="1">
      <c r="A325" s="4" t="s">
        <v>40</v>
      </c>
      <c r="B325" s="57" t="s">
        <v>253</v>
      </c>
      <c r="C325" s="81" t="str">
        <f>LEFT([PAPEL],LEN([PAPEL])-(LEN([PAPEL])-4))</f>
        <v>BRKM</v>
      </c>
      <c r="D325" s="16">
        <v>4</v>
      </c>
      <c r="E325" s="5">
        <v>8043222080.5</v>
      </c>
      <c r="F325" s="56">
        <v>451668652</v>
      </c>
      <c r="G325" s="85">
        <v>0.25</v>
      </c>
      <c r="H325" s="16"/>
      <c r="J325" s="18"/>
      <c r="K325" s="86"/>
      <c r="L325" s="86"/>
      <c r="M325" s="54"/>
      <c r="N325" s="54"/>
      <c r="O325" s="54"/>
      <c r="P325" s="5">
        <v>7593110000</v>
      </c>
      <c r="Q325" s="6">
        <v>509697000</v>
      </c>
      <c r="R325" s="6">
        <f>IF(Tabela3[[#This Row],[Ativo || Passivo]]&gt;0,Tabela3[[#This Row],[Ativo || Passivo]]-Tabela3[[#This Row],[Patrimônio Líquido]],0)</f>
        <v>0</v>
      </c>
      <c r="S325" s="6">
        <f>Tabela3[[#This Row],[Cotação]]*Tabela3[[#This Row],[Total Ações]]</f>
        <v>10173105840.48</v>
      </c>
      <c r="T325" s="121">
        <f>IF(Tabela3[[#This Row],[Passivo Circulante]]&gt;0,Tabela3[[#This Row],[Ativo Circulante]]/Tabela3[[#This Row],[Passivo Circulante]],0)</f>
        <v>0</v>
      </c>
      <c r="U32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5" s="19">
        <f>IF(Tabela3[[#This Row],[Lucro Líquido]]&gt;0,Tabela3[[#This Row],[Lucro Líquido]]/Tabela3[[#This Row],[Patrimônio Líquido]],0)/Tabela3[[#This Row],[Ref]]*4</f>
        <v>6.7126249981891484E-2</v>
      </c>
      <c r="W32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5" s="19">
        <f>IF(Tabela3[[#This Row],[Dívida]]&gt;0,Tabela3[[#This Row],[Dívida]]/Tabela3[[#This Row],[Patrimônio Líquido]],0)</f>
        <v>0</v>
      </c>
      <c r="Y325" s="19">
        <f>SUMPRODUCT(N([Dívida / PL]&gt;0),N(RIGHT([PAPEL],LEN([PAPEL])-(LEN([PAPEL])-1))="3"),[Dívida / PL])/SUMPRODUCT(N([Dívida / PL]&gt;0),N(RIGHT([PAPEL],LEN([PAPEL])-(LEN([PAPEL])-1))="3"))</f>
        <v>2.2435702141443779</v>
      </c>
      <c r="Z325" s="5">
        <f>Tabela3[[#This Row],[Capital Social]]*20%</f>
        <v>1608644416.1000001</v>
      </c>
      <c r="AA325" s="5">
        <f>IF(([Lucro Líquido]*5%)&gt;[Teto R. Legal],[Teto R. Legal],[Lucro Líquido]*5%)</f>
        <v>25484850</v>
      </c>
      <c r="AB325" s="5">
        <f>IF([Lucro Líquido]&lt;0,0,[Lucro Líquido]-[Reserva Legal])</f>
        <v>484212150</v>
      </c>
      <c r="AC325" s="5">
        <f>Tabela3[[#This Row],[Lucro Distribuir]]*[%Div]</f>
        <v>121053037.5</v>
      </c>
      <c r="AD325" s="21">
        <f>SUMPRODUCT(N([Nome]=Tabela3[[#This Row],[Nome]]),[Ações])</f>
        <v>797265348</v>
      </c>
      <c r="AE325" s="5">
        <f>[Capital Social]/[Total Ações]</f>
        <v>10.088513317024283</v>
      </c>
      <c r="AF325" s="76">
        <f>Tabela3[[#This Row],[Lucro Líquido]]/Tabela3[[#This Row],[Total Ações]]</f>
        <v>0.63930660134497652</v>
      </c>
      <c r="AG32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32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5">
        <f>[Div Base]*[Ações]</f>
        <v>0</v>
      </c>
      <c r="AL325" s="5">
        <f>SUMPRODUCT(N([Nome]=Tabela3[[#This Row],[Nome]]),[Div Base]*[Ações])</f>
        <v>209193412.19493559</v>
      </c>
      <c r="AM325" s="5">
        <f>[Patrimônio Líquido]/[Total Ações]</f>
        <v>9.5239433383727103</v>
      </c>
      <c r="AN325" s="52">
        <f>MAX(Tabela3[[#This Row],[Cotação 1]:[Cotação 5]])</f>
        <v>12.76</v>
      </c>
      <c r="AO325" s="53">
        <f>[Cotação]/[VPA]</f>
        <v>1.3397811753655615</v>
      </c>
      <c r="AP325" s="37">
        <f>IF(Tabela3[[#This Row],[Lucro/Ação]]&gt;0,Tabela3[[#This Row],[Cotação]]/(Tabela3[[#This Row],[Lucro/Ação]]/[Ref]*4),0)</f>
        <v>19.95912442192126</v>
      </c>
      <c r="AQ325" s="76">
        <f>[Lucro Distribuir]/[Total Ações]</f>
        <v>0.60734127127772775</v>
      </c>
      <c r="AR325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6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18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47">
        <f>SUMPRODUCT(N(Tabela1[Código]=Tabela3[[#This Row],[PAPEL]]),Tabela1[Fechamento])</f>
        <v>0</v>
      </c>
      <c r="AY325" s="47">
        <f>SUMPRODUCT(N(Tabela17[Código]=Tabela3[[#This Row],[PAPEL]]),Tabela17[Fechamento])</f>
        <v>12.76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0</v>
      </c>
    </row>
    <row r="326" spans="1:54" ht="11.25" customHeight="1">
      <c r="A326" s="4" t="s">
        <v>236</v>
      </c>
      <c r="B326" s="57" t="s">
        <v>20</v>
      </c>
      <c r="C326" s="14" t="str">
        <f>LEFT([PAPEL],LEN([PAPEL])-(LEN([PAPEL])-4))</f>
        <v>PETR</v>
      </c>
      <c r="D326" s="15">
        <v>4</v>
      </c>
      <c r="E326" s="6">
        <v>205410905000</v>
      </c>
      <c r="F326" s="8">
        <v>7442454142</v>
      </c>
      <c r="G326" s="85">
        <v>0.25</v>
      </c>
      <c r="H326" s="9"/>
      <c r="I326" s="9"/>
      <c r="J326" s="19"/>
      <c r="K326" s="87"/>
      <c r="L326" s="87"/>
      <c r="M326" s="13">
        <v>633173147000</v>
      </c>
      <c r="N326" s="13">
        <v>87479632000</v>
      </c>
      <c r="O326" s="13">
        <v>102049038000</v>
      </c>
      <c r="P326" s="6">
        <v>348139811000</v>
      </c>
      <c r="Q326" s="6">
        <v>23407566000</v>
      </c>
      <c r="R326" s="6">
        <f>IF(Tabela3[[#This Row],[Ativo || Passivo]]&gt;0,Tabela3[[#This Row],[Ativo || Passivo]]-Tabela3[[#This Row],[Patrimônio Líquido]],0)</f>
        <v>285033336000</v>
      </c>
      <c r="S326" s="6">
        <f>Tabela3[[#This Row],[Cotação]]*Tabela3[[#This Row],[Total Ações]]</f>
        <v>168926235243.5</v>
      </c>
      <c r="T326" s="121">
        <f>IF(Tabela3[[#This Row],[Passivo Circulante]]&gt;0,Tabela3[[#This Row],[Ativo Circulante]]/Tabela3[[#This Row],[Passivo Circulante]],0)</f>
        <v>0.85723132441483674</v>
      </c>
      <c r="U32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6" s="19">
        <f>IF(Tabela3[[#This Row],[Lucro Líquido]]&gt;0,Tabela3[[#This Row],[Lucro Líquido]]/Tabela3[[#This Row],[Patrimônio Líquido]],0)/Tabela3[[#This Row],[Ref]]*4</f>
        <v>6.7236108196772698E-2</v>
      </c>
      <c r="W32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6" s="19">
        <f>IF(Tabela3[[#This Row],[Dívida]]&gt;0,Tabela3[[#This Row],[Dívida]]/Tabela3[[#This Row],[Patrimônio Líquido]],0)</f>
        <v>0.81873237990584191</v>
      </c>
      <c r="Y326" s="19">
        <f>SUMPRODUCT(N([Dívida / PL]&gt;0),N(RIGHT([PAPEL],LEN([PAPEL])-(LEN([PAPEL])-1))="3"),[Dívida / PL])/SUMPRODUCT(N([Dívida / PL]&gt;0),N(RIGHT([PAPEL],LEN([PAPEL])-(LEN([PAPEL])-1))="3"))</f>
        <v>2.2435702141443779</v>
      </c>
      <c r="Z326" s="6">
        <f>Tabela3[[#This Row],[Capital Social]]*20%</f>
        <v>41082181000</v>
      </c>
      <c r="AA326" s="6">
        <f>IF(([Lucro Líquido]*5%)&gt;[Teto R. Legal],[Teto R. Legal],[Lucro Líquido]*5%)</f>
        <v>1170378300</v>
      </c>
      <c r="AB326" s="6">
        <f>IF([Lucro Líquido]&lt;0,0,[Lucro Líquido]-[Reserva Legal])</f>
        <v>22237187700</v>
      </c>
      <c r="AC326" s="6">
        <f>Tabela3[[#This Row],[Lucro Distribuir]]*[%Div]</f>
        <v>5559296925</v>
      </c>
      <c r="AD326" s="56">
        <f>SUMPRODUCT(N([Nome]=Tabela3[[#This Row],[Nome]]),[Ações])</f>
        <v>13044496930</v>
      </c>
      <c r="AE326" s="6">
        <f>[Capital Social]/[Total Ações]</f>
        <v>15.746939579370961</v>
      </c>
      <c r="AF326" s="77">
        <f>Tabela3[[#This Row],[Lucro Líquido]]/Tabela3[[#This Row],[Total Ações]]</f>
        <v>1.7944399178911072</v>
      </c>
      <c r="AG3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26" s="6">
        <f>[Div Base]*[Ações]</f>
        <v>1073970749.769186</v>
      </c>
      <c r="AL326" s="6">
        <f>SUMPRODUCT(N([Nome]=Tabela3[[#This Row],[Nome]]),[Div Base]*[Ações])</f>
        <v>5559296925</v>
      </c>
      <c r="AM326" s="6">
        <f>[Patrimônio Líquido]/[Total Ações]</f>
        <v>26.688634515244583</v>
      </c>
      <c r="AN326" s="48">
        <f>MAX(Tabela3[[#This Row],[Cotação 1]:[Cotação 5]])</f>
        <v>12.95</v>
      </c>
      <c r="AO326" s="44">
        <f>[Cotação]/[VPA]</f>
        <v>0.48522527417440342</v>
      </c>
      <c r="AP326" s="40">
        <f>IF(Tabela3[[#This Row],[Lucro/Ação]]&gt;0,Tabela3[[#This Row],[Cotação]]/(Tabela3[[#This Row],[Lucro/Ação]]/[Ref]*4),0)</f>
        <v>7.2167364707419805</v>
      </c>
      <c r="AQ326" s="77">
        <f>[Lucro Distribuir]/[Total Ações]</f>
        <v>1.7047179219965518</v>
      </c>
      <c r="AR326" s="77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26" s="15" t="str">
        <f>IF(AND([% A.A.]&gt;=5%,SUMPRODUCT(N([Nome]=Tabela3[[#This Row],[Nome]]),[PL])&gt;0,[Rentabilidade s/ PL]&gt;=[Rentabilidade s/ PL Média]),"Sim","Não")</f>
        <v>Não</v>
      </c>
      <c r="AT326" s="42">
        <f>IF([Cotação]&gt;0,Tabela3[[#This Row],[Lucro]]/Tabela3[[#This Row],[Cotação]],0)</f>
        <v>1.114311256031395E-2</v>
      </c>
      <c r="AU326" s="19">
        <f>((1+Tabela3[[#This Row],[% Yield]])^(1/(3*Tabela3[[#This Row],[Ref]])))^(12)-1</f>
        <v>1.1143112560315194E-2</v>
      </c>
      <c r="AV326" s="14">
        <f>IF([Cotação]&gt;0,($BH$1/Tabela3[[#This Row],[Cotação]]-MOD($BH$1/Tabela3[[#This Row],[Cotação]],100)),)</f>
        <v>0</v>
      </c>
      <c r="AW326" s="17">
        <f>Tabela3[[#This Row],[Ativos]]*[Lucro]</f>
        <v>0</v>
      </c>
      <c r="AX326" s="13">
        <f>SUMPRODUCT(N(Tabela1[Código]=Tabela3[[#This Row],[PAPEL]]),Tabela1[Fechamento])</f>
        <v>0</v>
      </c>
      <c r="AY326" s="13">
        <f>SUMPRODUCT(N(Tabela17[Código]=Tabela3[[#This Row],[PAPEL]]),Tabela17[Fechamento])</f>
        <v>12.95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0</v>
      </c>
    </row>
    <row r="327" spans="1:54" ht="11.25" customHeight="1">
      <c r="A327" s="3" t="s">
        <v>1104</v>
      </c>
      <c r="B327" s="57" t="s">
        <v>1101</v>
      </c>
      <c r="C327" s="16" t="str">
        <f>LEFT([PAPEL],LEN([PAPEL])-(LEN([PAPEL])-4))</f>
        <v>LPSB</v>
      </c>
      <c r="D327" s="16">
        <v>3</v>
      </c>
      <c r="E327" s="5">
        <v>264226567.44999999</v>
      </c>
      <c r="F327" s="56">
        <v>114381716</v>
      </c>
      <c r="G327" s="80">
        <v>0.25</v>
      </c>
      <c r="H327" s="86"/>
      <c r="J327" s="18"/>
      <c r="K327" s="16"/>
      <c r="L327" s="86"/>
      <c r="M327" s="54"/>
      <c r="N327" s="54"/>
      <c r="O327" s="54"/>
      <c r="P327" s="90">
        <v>586658000</v>
      </c>
      <c r="Q327" s="73">
        <v>95641000</v>
      </c>
      <c r="R327" s="73">
        <f>IF(Tabela3[[#This Row],[Ativo || Passivo]]&gt;0,Tabela3[[#This Row],[Ativo || Passivo]]-Tabela3[[#This Row],[Patrimônio Líquido]],0)</f>
        <v>0</v>
      </c>
      <c r="S327" s="73">
        <f>Tabela3[[#This Row],[Cotação]]*Tabela3[[#This Row],[Total Ações]]</f>
        <v>1489249942.3199999</v>
      </c>
      <c r="T327" s="37">
        <f>IF(Tabela3[[#This Row],[Passivo Circulante]]&gt;0,Tabela3[[#This Row],[Ativo Circulante]]/Tabela3[[#This Row],[Passivo Circulante]],0)</f>
        <v>0</v>
      </c>
      <c r="U32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7" s="18">
        <f>IF(Tabela3[[#This Row],[Lucro Líquido]]&gt;0,Tabela3[[#This Row],[Lucro Líquido]]/Tabela3[[#This Row],[Patrimônio Líquido]],0)/Tabela3[[#This Row],[Ref]]*4</f>
        <v>0.2173691202256397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7" s="18">
        <f>IF(Tabela3[[#This Row],[Dívida]]&gt;0,Tabela3[[#This Row],[Dívida]]/Tabela3[[#This Row],[Patrimônio Líquido]],0)</f>
        <v>0</v>
      </c>
      <c r="Y327" s="18">
        <f>SUMPRODUCT(N([Dívida / PL]&gt;0),N(RIGHT([PAPEL],LEN([PAPEL])-(LEN([PAPEL])-1))="3"),[Dívida / PL])/SUMPRODUCT(N([Dívida / PL]&gt;0),N(RIGHT([PAPEL],LEN([PAPEL])-(LEN([PAPEL])-1))="3"))</f>
        <v>2.2435702141443779</v>
      </c>
      <c r="Z327" s="7">
        <f>Tabela3[[#This Row],[Capital Social]]*20%</f>
        <v>52845313.490000002</v>
      </c>
      <c r="AA327" s="47">
        <f>IF(([Lucro Líquido]*5%)&gt;[Teto R. Legal],[Teto R. Legal],[Lucro Líquido]*5%)</f>
        <v>4782050</v>
      </c>
      <c r="AB327" s="47">
        <f>IF([Lucro Líquido]&lt;0,0,[Lucro Líquido]-[Reserva Legal])</f>
        <v>90858950</v>
      </c>
      <c r="AC327" s="47">
        <f>Tabela3[[#This Row],[Lucro Distribuir]]*[%Div]</f>
        <v>22714737.5</v>
      </c>
      <c r="AD327" s="56">
        <f>SUMPRODUCT(N([Nome]=Tabela3[[#This Row],[Nome]]),[Ações])</f>
        <v>114381716</v>
      </c>
      <c r="AE327" s="84">
        <f>[Capital Social]/[Total Ações]</f>
        <v>2.3100419952608506</v>
      </c>
      <c r="AF327" s="84">
        <f>Tabela3[[#This Row],[Lucro Líquido]]/Tabela3[[#This Row],[Total Ações]]</f>
        <v>0.83615636611012201</v>
      </c>
      <c r="AG32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2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27" s="7">
        <f>[Div Base]*[Ações]</f>
        <v>22714737.5</v>
      </c>
      <c r="AL327" s="113">
        <f>SUMPRODUCT(N([Nome]=Tabela3[[#This Row],[Nome]]),[Div Base]*[Ações])</f>
        <v>22714737.5</v>
      </c>
      <c r="AM327" s="5">
        <f>[Patrimônio Líquido]/[Total Ações]</f>
        <v>5.1289491058168775</v>
      </c>
      <c r="AN327" s="52">
        <f>MAX(Tabela3[[#This Row],[Cotação 1]:[Cotação 5]])</f>
        <v>13.02</v>
      </c>
      <c r="AO327" s="53">
        <f>[Cotação]/[VPA]</f>
        <v>2.5385317209004223</v>
      </c>
      <c r="AP327" s="37">
        <f>IF(Tabela3[[#This Row],[Lucro/Ação]]&gt;0,Tabela3[[#This Row],[Cotação]]/(Tabela3[[#This Row],[Lucro/Ação]]/[Ref]*4),0)</f>
        <v>11.678437665227255</v>
      </c>
      <c r="AQ327" s="84">
        <f>[Lucro Distribuir]/[Total Ações]</f>
        <v>0.79434854780461595</v>
      </c>
      <c r="AR327" s="84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27" s="10" t="str">
        <f>IF(AND([% A.A.]&gt;=5%,SUMPRODUCT(N([Nome]=Tabela3[[#This Row],[Nome]]),[PL])&gt;0,[Rentabilidade s/ PL]&gt;=[Rentabilidade s/ PL Média]),"Sim","Não")</f>
        <v>Não</v>
      </c>
      <c r="AT327" s="22">
        <f>IF([Cotação]&gt;0,Tabela3[[#This Row],[Lucro]]/Tabela3[[#This Row],[Cotação]],0)</f>
        <v>1.525246827581828E-2</v>
      </c>
      <c r="AU327" s="22">
        <f>((1+Tabela3[[#This Row],[% Yield]])^(1/(3*Tabela3[[#This Row],[Ref]])))^(12)-1</f>
        <v>2.038814753398932E-2</v>
      </c>
      <c r="AV327" s="10">
        <f>IF([Cotação]&gt;0,($BH$1/Tabela3[[#This Row],[Cotação]]-MOD($BH$1/Tabela3[[#This Row],[Cotação]],100)),)</f>
        <v>0</v>
      </c>
      <c r="AW327" s="7">
        <f>Tabela3[[#This Row],[Ativos]]*[Lucro]</f>
        <v>0</v>
      </c>
      <c r="AX327" s="7">
        <f>SUMPRODUCT(N(Tabela1[Código]=Tabela3[[#This Row],[PAPEL]]),Tabela1[Fechamento])</f>
        <v>0</v>
      </c>
      <c r="AY327" s="7">
        <f>SUMPRODUCT(N(Tabela17[Código]=Tabela3[[#This Row],[PAPEL]]),Tabela17[Fechamento])</f>
        <v>0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13.02</v>
      </c>
    </row>
    <row r="328" spans="1:54">
      <c r="A328" s="3" t="s">
        <v>996</v>
      </c>
      <c r="B328" s="58" t="s">
        <v>1011</v>
      </c>
      <c r="C328" s="16" t="str">
        <f>LEFT([PAPEL],LEN([PAPEL])-(LEN([PAPEL])-4))</f>
        <v>AMAR</v>
      </c>
      <c r="D328" s="16">
        <v>4</v>
      </c>
      <c r="E328" s="5">
        <v>661493000</v>
      </c>
      <c r="F328" s="56">
        <v>185532726</v>
      </c>
      <c r="G328" s="80">
        <v>0.25</v>
      </c>
      <c r="H328" s="86"/>
      <c r="J328" s="18"/>
      <c r="K328" s="16"/>
      <c r="L328" s="86"/>
      <c r="M328" s="54">
        <v>2351961000</v>
      </c>
      <c r="N328" s="54">
        <v>1008936000</v>
      </c>
      <c r="O328" s="54">
        <v>541422000</v>
      </c>
      <c r="P328" s="90">
        <v>1107738000</v>
      </c>
      <c r="Q328" s="73">
        <v>85498000</v>
      </c>
      <c r="R328" s="73">
        <f>IF(Tabela3[[#This Row],[Ativo || Passivo]]&gt;0,Tabela3[[#This Row],[Ativo || Passivo]]-Tabela3[[#This Row],[Patrimônio Líquido]],0)</f>
        <v>1244223000</v>
      </c>
      <c r="S328" s="73">
        <f>Tabela3[[#This Row],[Cotação]]*Tabela3[[#This Row],[Total Ações]]</f>
        <v>2445321328.6799998</v>
      </c>
      <c r="T328" s="37">
        <f>IF(Tabela3[[#This Row],[Passivo Circulante]]&gt;0,Tabela3[[#This Row],[Ativo Circulante]]/Tabela3[[#This Row],[Passivo Circulante]],0)</f>
        <v>1.8634928022873101</v>
      </c>
      <c r="U32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8" s="18">
        <f>IF(Tabela3[[#This Row],[Lucro Líquido]]&gt;0,Tabela3[[#This Row],[Lucro Líquido]]/Tabela3[[#This Row],[Patrimônio Líquido]],0)/Tabela3[[#This Row],[Ref]]*4</f>
        <v>7.7182510665879472E-2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8" s="18">
        <f>IF(Tabela3[[#This Row],[Dívida]]&gt;0,Tabela3[[#This Row],[Dívida]]/Tabela3[[#This Row],[Patrimônio Líquido]],0)</f>
        <v>1.1232105425651191</v>
      </c>
      <c r="Y328" s="18">
        <f>SUMPRODUCT(N([Dívida / PL]&gt;0),N(RIGHT([PAPEL],LEN([PAPEL])-(LEN([PAPEL])-1))="3"),[Dívida / PL])/SUMPRODUCT(N([Dívida / PL]&gt;0),N(RIGHT([PAPEL],LEN([PAPEL])-(LEN([PAPEL])-1))="3"))</f>
        <v>2.2435702141443779</v>
      </c>
      <c r="Z328" s="7">
        <f>Tabela3[[#This Row],[Capital Social]]*20%</f>
        <v>132298600</v>
      </c>
      <c r="AA328" s="47">
        <f>IF(([Lucro Líquido]*5%)&gt;[Teto R. Legal],[Teto R. Legal],[Lucro Líquido]*5%)</f>
        <v>4274900</v>
      </c>
      <c r="AB328" s="47">
        <f>IF([Lucro Líquido]&lt;0,0,[Lucro Líquido]-[Reserva Legal])</f>
        <v>81223100</v>
      </c>
      <c r="AC328" s="47">
        <f>Tabela3[[#This Row],[Lucro Distribuir]]*[%Div]</f>
        <v>20305775</v>
      </c>
      <c r="AD328" s="56">
        <f>SUMPRODUCT(N([Nome]=Tabela3[[#This Row],[Nome]]),[Ações])</f>
        <v>185532726</v>
      </c>
      <c r="AE328" s="84">
        <f>[Capital Social]/[Total Ações]</f>
        <v>3.5653709955191411</v>
      </c>
      <c r="AF328" s="84">
        <f>Tabela3[[#This Row],[Lucro Líquido]]/Tabela3[[#This Row],[Total Ações]]</f>
        <v>0.46082436151991857</v>
      </c>
      <c r="AG32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32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328" s="7">
        <f>[Div Base]*[Ações]</f>
        <v>20305775</v>
      </c>
      <c r="AL328" s="113">
        <f>SUMPRODUCT(N([Nome]=Tabela3[[#This Row],[Nome]]),[Div Base]*[Ações])</f>
        <v>20305775</v>
      </c>
      <c r="AM328" s="5">
        <f>[Patrimônio Líquido]/[Total Ações]</f>
        <v>5.9705800905442414</v>
      </c>
      <c r="AN328" s="52">
        <f>MAX(Tabela3[[#This Row],[Cotação 1]:[Cotação 5]])</f>
        <v>13.18</v>
      </c>
      <c r="AO328" s="53">
        <f>[Cotação]/[VPA]</f>
        <v>2.2074906960671208</v>
      </c>
      <c r="AP328" s="37">
        <f>IF(Tabela3[[#This Row],[Lucro/Ação]]&gt;0,Tabela3[[#This Row],[Cotação]]/(Tabela3[[#This Row],[Lucro/Ação]]/[Ref]*4),0)</f>
        <v>28.60091848557861</v>
      </c>
      <c r="AQ328" s="84">
        <f>[Lucro Distribuir]/[Total Ações]</f>
        <v>0.43778314344392266</v>
      </c>
      <c r="AR328" s="84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328" s="10" t="str">
        <f>IF(AND([% A.A.]&gt;=5%,SUMPRODUCT(N([Nome]=Tabela3[[#This Row],[Nome]]),[PL])&gt;0,[Rentabilidade s/ PL]&gt;=[Rentabilidade s/ PL Média]),"Sim","Não")</f>
        <v>Não</v>
      </c>
      <c r="AT328" s="22">
        <f>IF([Cotação]&gt;0,Tabela3[[#This Row],[Lucro]]/Tabela3[[#This Row],[Cotação]],0)</f>
        <v>8.3039291245053624E-3</v>
      </c>
      <c r="AU328" s="22">
        <f>((1+Tabela3[[#This Row],[% Yield]])^(1/(3*Tabela3[[#This Row],[Ref]])))^(12)-1</f>
        <v>8.303929124506837E-3</v>
      </c>
      <c r="AV328" s="10">
        <f>IF([Cotação]&gt;0,($BH$1/Tabela3[[#This Row],[Cotação]]-MOD($BH$1/Tabela3[[#This Row],[Cotação]],100)),)</f>
        <v>0</v>
      </c>
      <c r="AW328" s="7">
        <f>Tabela3[[#This Row],[Ativos]]*[Lucro]</f>
        <v>0</v>
      </c>
      <c r="AX328" s="7">
        <f>SUMPRODUCT(N(Tabela1[Código]=Tabela3[[#This Row],[PAPEL]]),Tabela1[Fechamento])</f>
        <v>0</v>
      </c>
      <c r="AY328" s="7">
        <f>SUMPRODUCT(N(Tabela17[Código]=Tabela3[[#This Row],[PAPEL]]),Tabela17[Fechamento])</f>
        <v>0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13.18</v>
      </c>
      <c r="BB328" s="7">
        <f>SUMPRODUCT(N(Tabela17683[Código]=Tabela3[[#This Row],[PAPEL]]),Tabela17683[Fechamento])</f>
        <v>0</v>
      </c>
    </row>
    <row r="329" spans="1:54" ht="11.25" customHeight="1">
      <c r="A329" s="3" t="s">
        <v>769</v>
      </c>
      <c r="B329" s="58" t="s">
        <v>770</v>
      </c>
      <c r="C329" s="16" t="str">
        <f>LEFT([PAPEL],LEN([PAPEL])-(LEN([PAPEL])-4))</f>
        <v>LAME</v>
      </c>
      <c r="D329" s="16">
        <v>4</v>
      </c>
      <c r="E329" s="5">
        <v>548848132.39999998</v>
      </c>
      <c r="F329" s="56">
        <v>367025080</v>
      </c>
      <c r="G329" s="80">
        <v>0.25</v>
      </c>
      <c r="H329" s="86"/>
      <c r="J329" s="18"/>
      <c r="K329" s="16"/>
      <c r="L329" s="86"/>
      <c r="M329" s="54">
        <v>7939655000</v>
      </c>
      <c r="N329" s="54">
        <v>4173489000</v>
      </c>
      <c r="O329" s="54">
        <v>2921077000</v>
      </c>
      <c r="P329" s="90">
        <v>1175107000</v>
      </c>
      <c r="Q329" s="73">
        <v>452192000</v>
      </c>
      <c r="R329" s="73">
        <f>IF(Tabela3[[#This Row],[Ativo || Passivo]]&gt;0,Tabela3[[#This Row],[Ativo || Passivo]]-Tabela3[[#This Row],[Patrimônio Líquido]],0)</f>
        <v>6764548000</v>
      </c>
      <c r="S329" s="73">
        <f>Tabela3[[#This Row],[Cotação]]*Tabela3[[#This Row],[Total Ações]]</f>
        <v>13186814855.26</v>
      </c>
      <c r="T329" s="37">
        <f>IF(Tabela3[[#This Row],[Passivo Circulante]]&gt;0,Tabela3[[#This Row],[Ativo Circulante]]/Tabela3[[#This Row],[Passivo Circulante]],0)</f>
        <v>1.4287500808777036</v>
      </c>
      <c r="U32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29" s="18">
        <f>IF(Tabela3[[#This Row],[Lucro Líquido]]&gt;0,Tabela3[[#This Row],[Lucro Líquido]]/Tabela3[[#This Row],[Patrimônio Líquido]],0)/Tabela3[[#This Row],[Ref]]*4</f>
        <v>0.38480921311846494</v>
      </c>
      <c r="W3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29" s="18">
        <f>IF(Tabela3[[#This Row],[Dívida]]&gt;0,Tabela3[[#This Row],[Dívida]]/Tabela3[[#This Row],[Patrimônio Líquido]],0)</f>
        <v>5.7565379152706946</v>
      </c>
      <c r="Y329" s="18">
        <f>SUMPRODUCT(N([Dívida / PL]&gt;0),N(RIGHT([PAPEL],LEN([PAPEL])-(LEN([PAPEL])-1))="3"),[Dívida / PL])/SUMPRODUCT(N([Dívida / PL]&gt;0),N(RIGHT([PAPEL],LEN([PAPEL])-(LEN([PAPEL])-1))="3"))</f>
        <v>2.2435702141443779</v>
      </c>
      <c r="Z329" s="7">
        <f>Tabela3[[#This Row],[Capital Social]]*20%</f>
        <v>109769626.48</v>
      </c>
      <c r="AA329" s="47">
        <f>IF(([Lucro Líquido]*5%)&gt;[Teto R. Legal],[Teto R. Legal],[Lucro Líquido]*5%)</f>
        <v>22609600</v>
      </c>
      <c r="AB329" s="47">
        <f>IF([Lucro Líquido]&lt;0,0,[Lucro Líquido]-[Reserva Legal])</f>
        <v>429582400</v>
      </c>
      <c r="AC329" s="47">
        <f>Tabela3[[#This Row],[Lucro Distribuir]]*[%Div]</f>
        <v>107395600</v>
      </c>
      <c r="AD329" s="56">
        <f>SUMPRODUCT(N([Nome]=Tabela3[[#This Row],[Nome]]),[Ações])</f>
        <v>993731338</v>
      </c>
      <c r="AE329" s="84">
        <f>[Capital Social]/[Total Ações]</f>
        <v>0.55231037948810258</v>
      </c>
      <c r="AF329" s="84">
        <f>Tabela3[[#This Row],[Lucro Líquido]]/Tabela3[[#This Row],[Total Ações]]</f>
        <v>0.45504452029266684</v>
      </c>
      <c r="AG32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2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29" s="7">
        <f>[Div Base]*[Ações]</f>
        <v>39665528.472694695</v>
      </c>
      <c r="AL329" s="7">
        <f>SUMPRODUCT(N([Nome]=Tabela3[[#This Row],[Nome]]),[Div Base]*[Ações])</f>
        <v>107395600</v>
      </c>
      <c r="AM329" s="5">
        <f>[Patrimônio Líquido]/[Total Ações]</f>
        <v>1.182519817041334</v>
      </c>
      <c r="AN329" s="52">
        <f>MAX(Tabela3[[#This Row],[Cotação 1]:[Cotação 5]])</f>
        <v>13.27</v>
      </c>
      <c r="AO329" s="53">
        <f>[Cotação]/[VPA]</f>
        <v>11.221799253395647</v>
      </c>
      <c r="AP329" s="37">
        <f>IF(Tabela3[[#This Row],[Lucro/Ação]]&gt;0,Tabela3[[#This Row],[Cotação]]/(Tabela3[[#This Row],[Lucro/Ação]]/[Ref]*4),0)</f>
        <v>29.161981758323897</v>
      </c>
      <c r="AQ329" s="84">
        <f>[Lucro Distribuir]/[Total Ações]</f>
        <v>0.43229229427803351</v>
      </c>
      <c r="AR329" s="84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29" s="10" t="str">
        <f>IF(AND([% A.A.]&gt;=5%,SUMPRODUCT(N([Nome]=Tabela3[[#This Row],[Nome]]),[PL])&gt;0,[Rentabilidade s/ PL]&gt;=[Rentabilidade s/ PL Média]),"Sim","Não")</f>
        <v>Não</v>
      </c>
      <c r="AT329" s="22">
        <f>IF([Cotação]&gt;0,Tabela3[[#This Row],[Lucro]]/Tabela3[[#This Row],[Cotação]],0)</f>
        <v>8.144165302901912E-3</v>
      </c>
      <c r="AU329" s="22">
        <f>((1+Tabela3[[#This Row],[% Yield]])^(1/(3*Tabela3[[#This Row],[Ref]])))^(12)-1</f>
        <v>8.1441653029024064E-3</v>
      </c>
      <c r="AV329" s="10">
        <f>IF([Cotação]&gt;0,($BH$1/Tabela3[[#This Row],[Cotação]]-MOD($BH$1/Tabela3[[#This Row],[Cotação]],100)),)</f>
        <v>0</v>
      </c>
      <c r="AW329" s="7">
        <f>Tabela3[[#This Row],[Ativos]]*[Lucro]</f>
        <v>0</v>
      </c>
      <c r="AX329" s="7">
        <f>SUMPRODUCT(N(Tabela1[Código]=Tabela3[[#This Row],[PAPEL]]),Tabela1[Fechamento])</f>
        <v>0</v>
      </c>
      <c r="AY329" s="7">
        <f>SUMPRODUCT(N(Tabela17[Código]=Tabela3[[#This Row],[PAPEL]]),Tabela17[Fechamento])</f>
        <v>0</v>
      </c>
      <c r="AZ329" s="7">
        <f>SUMPRODUCT(N(Tabela176[Código]=Tabela3[[#This Row],[PAPEL]]),Tabela176[Fechamento])</f>
        <v>13.27</v>
      </c>
      <c r="BA329" s="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customHeight="1">
      <c r="A330" s="24" t="s">
        <v>12</v>
      </c>
      <c r="B330" s="57" t="s">
        <v>30</v>
      </c>
      <c r="C330" s="81" t="str">
        <f>LEFT([PAPEL],LEN([PAPEL])-(LEN([PAPEL])-4))</f>
        <v>CMIG</v>
      </c>
      <c r="D330" s="15">
        <v>3</v>
      </c>
      <c r="E330" s="6">
        <v>6294208270</v>
      </c>
      <c r="F330" s="8">
        <v>838076946</v>
      </c>
      <c r="G330" s="85">
        <v>0.5</v>
      </c>
      <c r="H330" s="19">
        <v>0.03</v>
      </c>
      <c r="I330" s="19">
        <v>0.1</v>
      </c>
      <c r="J330" s="19"/>
      <c r="K330" s="87"/>
      <c r="L330" s="87"/>
      <c r="M330" s="13">
        <v>14835981000</v>
      </c>
      <c r="N330" s="13">
        <v>1941871000</v>
      </c>
      <c r="O330" s="13">
        <v>1243252000</v>
      </c>
      <c r="P330" s="89">
        <v>13197926000</v>
      </c>
      <c r="Q330" s="89">
        <v>2271426000</v>
      </c>
      <c r="R330" s="89">
        <f>IF(Tabela3[[#This Row],[Ativo || Passivo]]&gt;0,Tabela3[[#This Row],[Ativo || Passivo]]-Tabela3[[#This Row],[Patrimônio Líquido]],0)</f>
        <v>1638055000</v>
      </c>
      <c r="S330" s="117">
        <f>Tabela3[[#This Row],[Cotação]]*Tabela3[[#This Row],[Total Ações]]</f>
        <v>16994362329</v>
      </c>
      <c r="T330" s="120">
        <f>IF(Tabela3[[#This Row],[Passivo Circulante]]&gt;0,Tabela3[[#This Row],[Ativo Circulante]]/Tabela3[[#This Row],[Passivo Circulante]],0)</f>
        <v>1.5619287159803483</v>
      </c>
      <c r="U330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0" s="49">
        <f>IF(Tabela3[[#This Row],[Lucro Líquido]]&gt;0,Tabela3[[#This Row],[Lucro Líquido]]/Tabela3[[#This Row],[Patrimônio Líquido]],0)/Tabela3[[#This Row],[Ref]]*4</f>
        <v>0.22947302477677176</v>
      </c>
      <c r="W330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0" s="49">
        <f>IF(Tabela3[[#This Row],[Dívida]]&gt;0,Tabela3[[#This Row],[Dívida]]/Tabela3[[#This Row],[Patrimônio Líquido]],0)</f>
        <v>0.12411457679032296</v>
      </c>
      <c r="Y330" s="49">
        <f>SUMPRODUCT(N([Dívida / PL]&gt;0),N(RIGHT([PAPEL],LEN([PAPEL])-(LEN([PAPEL])-1))="3"),[Dívida / PL])/SUMPRODUCT(N([Dívida / PL]&gt;0),N(RIGHT([PAPEL],LEN([PAPEL])-(LEN([PAPEL])-1))="3"))</f>
        <v>2.2435702141443779</v>
      </c>
      <c r="Z330" s="28">
        <f>Tabela3[[#This Row],[Capital Social]]*20%</f>
        <v>1258841654</v>
      </c>
      <c r="AA330" s="28">
        <f>IF(([Lucro Líquido]*5%)&gt;[Teto R. Legal],[Teto R. Legal],[Lucro Líquido]*5%)</f>
        <v>113571300</v>
      </c>
      <c r="AB330" s="89">
        <f>IF([Lucro Líquido]&lt;0,0,[Lucro Líquido]-[Reserva Legal])</f>
        <v>2157854700</v>
      </c>
      <c r="AC330" s="89">
        <f>Tabela3[[#This Row],[Lucro Distribuir]]*[%Div]</f>
        <v>1078927350</v>
      </c>
      <c r="AD330" s="56">
        <f>SUMPRODUCT(N([Nome]=Tabela3[[#This Row],[Nome]]),[Ações])</f>
        <v>1258841654</v>
      </c>
      <c r="AE330" s="28">
        <f>[Capital Social]/[Total Ações]</f>
        <v>5</v>
      </c>
      <c r="AF330" s="78">
        <f>Tabela3[[#This Row],[Lucro Líquido]]/Tabela3[[#This Row],[Total Ações]]</f>
        <v>1.8043778522759304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330" s="28">
        <f>[Div Base]*[Ações]</f>
        <v>718298552.93608928</v>
      </c>
      <c r="AL330" s="28">
        <f>SUMPRODUCT(N([Nome]=Tabela3[[#This Row],[Nome]]),[Div Base]*[Ações])</f>
        <v>1078927350</v>
      </c>
      <c r="AM330" s="28">
        <f>[Patrimônio Líquido]/[Total Ações]</f>
        <v>10.484182786662062</v>
      </c>
      <c r="AN330" s="29">
        <f>MAX(Tabela3[[#This Row],[Cotação 1]:[Cotação 5]])</f>
        <v>13.5</v>
      </c>
      <c r="AO330" s="30">
        <f>[Cotação]/[VPA]</f>
        <v>1.2876540093496509</v>
      </c>
      <c r="AP330" s="35">
        <f>IF(Tabela3[[#This Row],[Lucro/Ação]]&gt;0,Tabela3[[#This Row],[Cotação]]/(Tabela3[[#This Row],[Lucro/Ação]]/[Ref]*4),0)</f>
        <v>5.6113524045027221</v>
      </c>
      <c r="AQ330" s="77">
        <f>[Lucro Distribuir]/[Total Ações]</f>
        <v>1.7141589596621341</v>
      </c>
      <c r="AR330" s="77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330" s="25" t="str">
        <f>IF(AND([% A.A.]&gt;=5%,SUMPRODUCT(N([Nome]=Tabela3[[#This Row],[Nome]]),[PL])&gt;0,[Rentabilidade s/ PL]&gt;=[Rentabilidade s/ PL Média]),"Sim","Não")</f>
        <v>Sim</v>
      </c>
      <c r="AT330" s="27">
        <f>IF([Cotação]&gt;0,Tabela3[[#This Row],[Lucro]]/Tabela3[[#This Row],[Cotação]],0)</f>
        <v>6.3487368876375336E-2</v>
      </c>
      <c r="AU330" s="49">
        <f>((1+Tabela3[[#This Row],[% Yield]])^(1/(3*Tabela3[[#This Row],[Ref]])))^(12)-1</f>
        <v>8.5533210870215592E-2</v>
      </c>
      <c r="AV330" s="14">
        <f>IF([Cotação]&gt;0,($BH$1/Tabela3[[#This Row],[Cotação]]-MOD($BH$1/Tabela3[[#This Row],[Cotação]],100)),)</f>
        <v>0</v>
      </c>
      <c r="AW330" s="7">
        <f>Tabela3[[#This Row],[Ativos]]*[Lucro]</f>
        <v>0</v>
      </c>
      <c r="AX330" s="5">
        <f>SUMPRODUCT(N(Tabela1[Código]=Tabela3[[#This Row],[PAPEL]]),Tabela1[Fechamento])</f>
        <v>13.5</v>
      </c>
      <c r="AY330" s="5">
        <f>SUMPRODUCT(N(Tabela17[Código]=Tabela3[[#This Row],[PAPEL]]),Tabela17[Fechamento])</f>
        <v>0</v>
      </c>
      <c r="AZ330" s="7">
        <f>SUMPRODUCT(N(Tabela176[Código]=Tabela3[[#This Row],[PAPEL]]),Tabela176[Fechamento])</f>
        <v>0</v>
      </c>
      <c r="BA330" s="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customHeight="1">
      <c r="A331" s="4" t="s">
        <v>236</v>
      </c>
      <c r="B331" s="57" t="s">
        <v>21</v>
      </c>
      <c r="C331" s="14" t="str">
        <f>LEFT([PAPEL],LEN([PAPEL])-(LEN([PAPEL])-4))</f>
        <v>PETR</v>
      </c>
      <c r="D331" s="15">
        <v>4</v>
      </c>
      <c r="E331" s="6">
        <v>205410905000</v>
      </c>
      <c r="F331" s="8">
        <v>5602042788</v>
      </c>
      <c r="G331" s="80">
        <v>0.25</v>
      </c>
      <c r="H331" s="9">
        <v>0.03</v>
      </c>
      <c r="I331" s="9">
        <v>0.05</v>
      </c>
      <c r="J331" s="19"/>
      <c r="K331" s="87"/>
      <c r="L331" s="87"/>
      <c r="M331" s="13">
        <v>633173147000</v>
      </c>
      <c r="N331" s="13">
        <v>87479632000</v>
      </c>
      <c r="O331" s="13">
        <v>102049038000</v>
      </c>
      <c r="P331" s="6">
        <v>348139811000</v>
      </c>
      <c r="Q331" s="6">
        <v>23407566000</v>
      </c>
      <c r="R331" s="6">
        <f>IF(Tabela3[[#This Row],[Ativo || Passivo]]&gt;0,Tabela3[[#This Row],[Ativo || Passivo]]-Tabela3[[#This Row],[Patrimônio Líquido]],0)</f>
        <v>285033336000</v>
      </c>
      <c r="S331" s="13">
        <f>Tabela3[[#This Row],[Cotação]]*Tabela3[[#This Row],[Total Ações]]</f>
        <v>176100708555</v>
      </c>
      <c r="T331" s="121">
        <f>IF(Tabela3[[#This Row],[Passivo Circulante]]&gt;0,Tabela3[[#This Row],[Ativo Circulante]]/Tabela3[[#This Row],[Passivo Circulante]],0)</f>
        <v>0.85723132441483674</v>
      </c>
      <c r="U33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1" s="19">
        <f>IF(Tabela3[[#This Row],[Lucro Líquido]]&gt;0,Tabela3[[#This Row],[Lucro Líquido]]/Tabela3[[#This Row],[Patrimônio Líquido]],0)/Tabela3[[#This Row],[Ref]]*4</f>
        <v>6.7236108196772698E-2</v>
      </c>
      <c r="W33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1" s="19">
        <f>IF(Tabela3[[#This Row],[Dívida]]&gt;0,Tabela3[[#This Row],[Dívida]]/Tabela3[[#This Row],[Patrimônio Líquido]],0)</f>
        <v>0.81873237990584191</v>
      </c>
      <c r="Y331" s="19">
        <f>SUMPRODUCT(N([Dívida / PL]&gt;0),N(RIGHT([PAPEL],LEN([PAPEL])-(LEN([PAPEL])-1))="3"),[Dívida / PL])/SUMPRODUCT(N([Dívida / PL]&gt;0),N(RIGHT([PAPEL],LEN([PAPEL])-(LEN([PAPEL])-1))="3"))</f>
        <v>2.2435702141443779</v>
      </c>
      <c r="Z331" s="6">
        <f>Tabela3[[#This Row],[Capital Social]]*20%</f>
        <v>41082181000</v>
      </c>
      <c r="AA331" s="6">
        <f>IF(([Lucro Líquido]*5%)&gt;[Teto R. Legal],[Teto R. Legal],[Lucro Líquido]*5%)</f>
        <v>1170378300</v>
      </c>
      <c r="AB331" s="6">
        <f>IF([Lucro Líquido]&lt;0,0,[Lucro Líquido]-[Reserva Legal])</f>
        <v>22237187700</v>
      </c>
      <c r="AC331" s="6">
        <f>Tabela3[[#This Row],[Lucro Distribuir]]*[%Div]</f>
        <v>5559296925</v>
      </c>
      <c r="AD331" s="56">
        <f>SUMPRODUCT(N([Nome]=Tabela3[[#This Row],[Nome]]),[Ações])</f>
        <v>13044496930</v>
      </c>
      <c r="AE331" s="6">
        <f>[Capital Social]/[Total Ações]</f>
        <v>15.746939579370961</v>
      </c>
      <c r="AF331" s="77">
        <f>Tabela3[[#This Row],[Lucro Líquido]]/Tabela3[[#This Row],[Total Ações]]</f>
        <v>1.7944399178911072</v>
      </c>
      <c r="AG3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31" s="6">
        <f>[Div Base]*[Ações]</f>
        <v>4485326175.230814</v>
      </c>
      <c r="AL331" s="6">
        <f>SUMPRODUCT(N([Nome]=Tabela3[[#This Row],[Nome]]),[Div Base]*[Ações])</f>
        <v>5559296925</v>
      </c>
      <c r="AM331" s="6">
        <f>[Patrimônio Líquido]/[Total Ações]</f>
        <v>26.688634515244583</v>
      </c>
      <c r="AN331" s="48">
        <f>MAX(Tabela3[[#This Row],[Cotação 1]:[Cotação 5]])</f>
        <v>13.5</v>
      </c>
      <c r="AO331" s="44">
        <f>[Cotação]/[VPA]</f>
        <v>0.50583329740188776</v>
      </c>
      <c r="AP331" s="40">
        <f>IF(Tabela3[[#This Row],[Lucro/Ação]]&gt;0,Tabela3[[#This Row],[Cotação]]/(Tabela3[[#This Row],[Lucro/Ação]]/[Ref]*4),0)</f>
        <v>7.5232387918931849</v>
      </c>
      <c r="AQ331" s="77">
        <f>[Lucro Distribuir]/[Total Ações]</f>
        <v>1.7047179219965518</v>
      </c>
      <c r="AR331" s="77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31" s="15" t="str">
        <f>IF(AND([% A.A.]&gt;=5%,SUMPRODUCT(N([Nome]=Tabela3[[#This Row],[Nome]]),[PL])&gt;0,[Rentabilidade s/ PL]&gt;=[Rentabilidade s/ PL Média]),"Sim","Não")</f>
        <v>Não</v>
      </c>
      <c r="AT331" s="42">
        <f>IF([Cotação]&gt;0,Tabela3[[#This Row],[Lucro]]/Tabela3[[#This Row],[Cotação]],0)</f>
        <v>5.930807670054352E-2</v>
      </c>
      <c r="AU331" s="19">
        <f>((1+Tabela3[[#This Row],[% Yield]])^(1/(3*Tabela3[[#This Row],[Ref]])))^(12)-1</f>
        <v>5.9308076700544277E-2</v>
      </c>
      <c r="AV331" s="14">
        <f>IF([Cotação]&gt;0,($BH$1/Tabela3[[#This Row],[Cotação]]-MOD($BH$1/Tabela3[[#This Row],[Cotação]],100)),)</f>
        <v>0</v>
      </c>
      <c r="AW331" s="17">
        <f>Tabela3[[#This Row],[Ativos]]*[Lucro]</f>
        <v>0</v>
      </c>
      <c r="AX331" s="13">
        <f>SUMPRODUCT(N(Tabela1[Código]=Tabela3[[#This Row],[PAPEL]]),Tabela1[Fechamento])</f>
        <v>0</v>
      </c>
      <c r="AY331" s="13">
        <f>SUMPRODUCT(N(Tabela17[Código]=Tabela3[[#This Row],[PAPEL]]),Tabela17[Fechamento])</f>
        <v>13.5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0</v>
      </c>
      <c r="BB331" s="7">
        <f>SUMPRODUCT(N(Tabela17683[Código]=Tabela3[[#This Row],[PAPEL]]),Tabela17683[Fechamento])</f>
        <v>0</v>
      </c>
    </row>
    <row r="332" spans="1:54" ht="11.25" customHeight="1">
      <c r="A332" s="4" t="s">
        <v>719</v>
      </c>
      <c r="B332" s="57" t="s">
        <v>721</v>
      </c>
      <c r="C332" s="15" t="str">
        <f>LEFT([PAPEL],LEN([PAPEL])-(LEN([PAPEL])-4))</f>
        <v>DASA</v>
      </c>
      <c r="D332" s="15">
        <v>3</v>
      </c>
      <c r="E332" s="6">
        <v>2234134819.75</v>
      </c>
      <c r="F332" s="8">
        <v>311803015</v>
      </c>
      <c r="G332" s="85">
        <v>0.25</v>
      </c>
      <c r="H332" s="15"/>
      <c r="I332" s="19"/>
      <c r="J332" s="19"/>
      <c r="K332" s="87"/>
      <c r="L332" s="87"/>
      <c r="M332" s="55"/>
      <c r="N332" s="55"/>
      <c r="O332" s="55"/>
      <c r="P332" s="91">
        <v>2701798000</v>
      </c>
      <c r="Q332" s="92">
        <v>94591000</v>
      </c>
      <c r="R332" s="92">
        <f>IF(Tabela3[[#This Row],[Ativo || Passivo]]&gt;0,Tabela3[[#This Row],[Ativo || Passivo]]-Tabela3[[#This Row],[Patrimônio Líquido]],0)</f>
        <v>0</v>
      </c>
      <c r="S332" s="92">
        <f>Tabela3[[#This Row],[Cotação]]*Tabela3[[#This Row],[Total Ações]]</f>
        <v>4252993124.6000004</v>
      </c>
      <c r="T332" s="40">
        <f>IF(Tabela3[[#This Row],[Passivo Circulante]]&gt;0,Tabela3[[#This Row],[Ativo Circulante]]/Tabela3[[#This Row],[Passivo Circulante]],0)</f>
        <v>0</v>
      </c>
      <c r="U33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2" s="19">
        <f>IF(Tabela3[[#This Row],[Lucro Líquido]]&gt;0,Tabela3[[#This Row],[Lucro Líquido]]/Tabela3[[#This Row],[Patrimônio Líquido]],0)/Tabela3[[#This Row],[Ref]]*4</f>
        <v>4.6680519170320407E-2</v>
      </c>
      <c r="W3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2" s="19">
        <f>IF(Tabela3[[#This Row],[Dívida]]&gt;0,Tabela3[[#This Row],[Dívida]]/Tabela3[[#This Row],[Patrimônio Líquido]],0)</f>
        <v>0</v>
      </c>
      <c r="Y332" s="19">
        <f>SUMPRODUCT(N([Dívida / PL]&gt;0),N(RIGHT([PAPEL],LEN([PAPEL])-(LEN([PAPEL])-1))="3"),[Dívida / PL])/SUMPRODUCT(N([Dívida / PL]&gt;0),N(RIGHT([PAPEL],LEN([PAPEL])-(LEN([PAPEL])-1))="3"))</f>
        <v>2.2435702141443779</v>
      </c>
      <c r="Z332" s="13">
        <f>Tabela3[[#This Row],[Capital Social]]*20%</f>
        <v>446826963.95000005</v>
      </c>
      <c r="AA332" s="13">
        <f>IF(([Lucro Líquido]*5%)&gt;[Teto R. Legal],[Teto R. Legal],[Lucro Líquido]*5%)</f>
        <v>4729550</v>
      </c>
      <c r="AB332" s="13">
        <f>IF([Lucro Líquido]&lt;0,0,[Lucro Líquido]-[Reserva Legal])</f>
        <v>89861450</v>
      </c>
      <c r="AC332" s="13">
        <f>Tabela3[[#This Row],[Lucro Distribuir]]*[%Div]</f>
        <v>22465362.5</v>
      </c>
      <c r="AD332" s="56">
        <f>SUMPRODUCT(N([Nome]=Tabela3[[#This Row],[Nome]]),[Ações])</f>
        <v>311803015</v>
      </c>
      <c r="AE332" s="6">
        <f>[Capital Social]/[Total Ações]</f>
        <v>7.1652123689374845</v>
      </c>
      <c r="AF332" s="77">
        <f>Tabela3[[#This Row],[Lucro Líquido]]/Tabela3[[#This Row],[Total Ações]]</f>
        <v>0.30336781701742044</v>
      </c>
      <c r="AG3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3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332" s="13">
        <f>[Div Base]*[Ações]</f>
        <v>22465362.5</v>
      </c>
      <c r="AL332" s="13">
        <f>SUMPRODUCT(N([Nome]=Tabela3[[#This Row],[Nome]]),[Div Base]*[Ações])</f>
        <v>22465362.5</v>
      </c>
      <c r="AM332" s="6">
        <f>[Patrimônio Líquido]/[Total Ações]</f>
        <v>8.6650797780130517</v>
      </c>
      <c r="AN332" s="48">
        <f>MAX(Tabela3[[#This Row],[Cotação 1]:[Cotação 5]])</f>
        <v>13.64</v>
      </c>
      <c r="AO332" s="44">
        <f>[Cotação]/[VPA]</f>
        <v>1.5741343818449787</v>
      </c>
      <c r="AP332" s="40">
        <f>IF(Tabela3[[#This Row],[Lucro/Ação]]&gt;0,Tabela3[[#This Row],[Cotação]]/(Tabela3[[#This Row],[Lucro/Ação]]/[Ref]*4),0)</f>
        <v>33.721441188379444</v>
      </c>
      <c r="AQ332" s="77">
        <f>[Lucro Distribuir]/[Total Ações]</f>
        <v>0.28819942616654942</v>
      </c>
      <c r="AR332" s="77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332" s="14" t="str">
        <f>IF(AND([% A.A.]&gt;=5%,SUMPRODUCT(N([Nome]=Tabela3[[#This Row],[Nome]]),[PL])&gt;0,[Rentabilidade s/ PL]&gt;=[Rentabilidade s/ PL Média]),"Sim","Não")</f>
        <v>Não</v>
      </c>
      <c r="AT332" s="42">
        <f>IF([Cotação]&gt;0,Tabela3[[#This Row],[Lucro]]/Tabela3[[#This Row],[Cotação]],0)</f>
        <v>5.2822475470408617E-3</v>
      </c>
      <c r="AU332" s="42">
        <f>((1+Tabela3[[#This Row],[% Yield]])^(1/(3*Tabela3[[#This Row],[Ref]])))^(12)-1</f>
        <v>7.0491899424065529E-3</v>
      </c>
      <c r="AV332" s="14">
        <f>IF([Cotação]&gt;0,($BH$1/Tabela3[[#This Row],[Cotação]]-MOD($BH$1/Tabela3[[#This Row],[Cotação]],100)),)</f>
        <v>0</v>
      </c>
      <c r="AW332" s="17">
        <f>Tabela3[[#This Row],[Ativos]]*[Lucro]</f>
        <v>0</v>
      </c>
      <c r="AX332" s="17">
        <f>SUMPRODUCT(N(Tabela1[Código]=Tabela3[[#This Row],[PAPEL]]),Tabela1[Fechamento])</f>
        <v>0</v>
      </c>
      <c r="AY332" s="17">
        <f>SUMPRODUCT(N(Tabela17[Código]=Tabela3[[#This Row],[PAPEL]]),Tabela17[Fechamento])</f>
        <v>0</v>
      </c>
      <c r="AZ332" s="17">
        <f>SUMPRODUCT(N(Tabela176[Código]=Tabela3[[#This Row],[PAPEL]]),Tabela176[Fechamento])</f>
        <v>13.64</v>
      </c>
      <c r="BA332" s="17">
        <f>SUMPRODUCT(N(Tabela1768[Código]=Tabela3[[#This Row],[PAPEL]]),Tabela1768[Fechamento])</f>
        <v>0</v>
      </c>
      <c r="BB332" s="7">
        <f>SUMPRODUCT(N(Tabela17683[Código]=Tabela3[[#This Row],[PAPEL]]),Tabela17683[Fechamento])</f>
        <v>0</v>
      </c>
    </row>
    <row r="333" spans="1:54" ht="11.25" customHeight="1">
      <c r="A333" s="24" t="s">
        <v>12</v>
      </c>
      <c r="B333" s="57" t="s">
        <v>31</v>
      </c>
      <c r="C333" s="15" t="str">
        <f>LEFT([PAPEL],LEN([PAPEL])-(LEN([PAPEL])-4))</f>
        <v>CMIG</v>
      </c>
      <c r="D333" s="15">
        <v>3</v>
      </c>
      <c r="E333" s="6">
        <v>6294208270</v>
      </c>
      <c r="F333" s="8">
        <v>420764708</v>
      </c>
      <c r="G333" s="80">
        <v>0.5</v>
      </c>
      <c r="H333" s="15"/>
      <c r="I333" s="19">
        <v>0.1</v>
      </c>
      <c r="J333" s="19"/>
      <c r="K333" s="87"/>
      <c r="L333" s="87"/>
      <c r="M333" s="13">
        <v>14835981000</v>
      </c>
      <c r="N333" s="13">
        <v>1941871000</v>
      </c>
      <c r="O333" s="13">
        <v>1243252000</v>
      </c>
      <c r="P333" s="89">
        <v>13197926000</v>
      </c>
      <c r="Q333" s="89">
        <v>2271426000</v>
      </c>
      <c r="R333" s="89">
        <f>IF(Tabela3[[#This Row],[Ativo || Passivo]]&gt;0,Tabela3[[#This Row],[Ativo || Passivo]]-Tabela3[[#This Row],[Patrimônio Líquido]],0)</f>
        <v>1638055000</v>
      </c>
      <c r="S333" s="117">
        <f>Tabela3[[#This Row],[Cotação]]*Tabela3[[#This Row],[Total Ações]]</f>
        <v>17271307492.880001</v>
      </c>
      <c r="T333" s="120">
        <f>IF(Tabela3[[#This Row],[Passivo Circulante]]&gt;0,Tabela3[[#This Row],[Ativo Circulante]]/Tabela3[[#This Row],[Passivo Circulante]],0)</f>
        <v>1.5619287159803483</v>
      </c>
      <c r="U33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3" s="49">
        <f>IF(Tabela3[[#This Row],[Lucro Líquido]]&gt;0,Tabela3[[#This Row],[Lucro Líquido]]/Tabela3[[#This Row],[Patrimônio Líquido]],0)/Tabela3[[#This Row],[Ref]]*4</f>
        <v>0.22947302477677176</v>
      </c>
      <c r="W33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3" s="49">
        <f>IF(Tabela3[[#This Row],[Dívida]]&gt;0,Tabela3[[#This Row],[Dívida]]/Tabela3[[#This Row],[Patrimônio Líquido]],0)</f>
        <v>0.12411457679032296</v>
      </c>
      <c r="Y333" s="49">
        <f>SUMPRODUCT(N([Dívida / PL]&gt;0),N(RIGHT([PAPEL],LEN([PAPEL])-(LEN([PAPEL])-1))="3"),[Dívida / PL])/SUMPRODUCT(N([Dívida / PL]&gt;0),N(RIGHT([PAPEL],LEN([PAPEL])-(LEN([PAPEL])-1))="3"))</f>
        <v>2.2435702141443779</v>
      </c>
      <c r="Z333" s="13">
        <f>Tabela3[[#This Row],[Capital Social]]*20%</f>
        <v>1258841654</v>
      </c>
      <c r="AA333" s="13">
        <f>IF(([Lucro Líquido]*5%)&gt;[Teto R. Legal],[Teto R. Legal],[Lucro Líquido]*5%)</f>
        <v>113571300</v>
      </c>
      <c r="AB333" s="88">
        <f>IF([Lucro Líquido]&lt;0,0,[Lucro Líquido]-[Reserva Legal])</f>
        <v>2157854700</v>
      </c>
      <c r="AC333" s="88">
        <f>Tabela3[[#This Row],[Lucro Distribuir]]*[%Div]</f>
        <v>1078927350</v>
      </c>
      <c r="AD333" s="56">
        <f>SUMPRODUCT(N([Nome]=Tabela3[[#This Row],[Nome]]),[Ações])</f>
        <v>1258841654</v>
      </c>
      <c r="AE333" s="6">
        <f>[Capital Social]/[Total Ações]</f>
        <v>5</v>
      </c>
      <c r="AF333" s="77">
        <f>Tabela3[[#This Row],[Lucro Líquido]]/Tabela3[[#This Row],[Total Ações]]</f>
        <v>1.8043778522759304</v>
      </c>
      <c r="AG3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3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3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3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333" s="13">
        <f>[Div Base]*[Ações]</f>
        <v>360628797.06391078</v>
      </c>
      <c r="AL333" s="13">
        <f>SUMPRODUCT(N([Nome]=Tabela3[[#This Row],[Nome]]),[Div Base]*[Ações])</f>
        <v>1078927350</v>
      </c>
      <c r="AM333" s="6">
        <f>[Patrimônio Líquido]/[Total Ações]</f>
        <v>10.484182786662062</v>
      </c>
      <c r="AN333" s="48">
        <f>MAX(Tabela3[[#This Row],[Cotação 1]:[Cotação 5]])</f>
        <v>13.72</v>
      </c>
      <c r="AO333" s="44">
        <f>[Cotação]/[VPA]</f>
        <v>1.3086380006131266</v>
      </c>
      <c r="AP333" s="40">
        <f>IF(Tabela3[[#This Row],[Lucro/Ação]]&gt;0,Tabela3[[#This Row],[Cotação]]/(Tabela3[[#This Row],[Lucro/Ação]]/[Ref]*4),0)</f>
        <v>5.7027966659094336</v>
      </c>
      <c r="AQ333" s="77">
        <f>[Lucro Distribuir]/[Total Ações]</f>
        <v>1.7141589596621341</v>
      </c>
      <c r="AR333" s="77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333" s="14" t="str">
        <f>IF(AND([% A.A.]&gt;=5%,SUMPRODUCT(N([Nome]=Tabela3[[#This Row],[Nome]]),[PL])&gt;0,[Rentabilidade s/ PL]&gt;=[Rentabilidade s/ PL Média]),"Sim","Não")</f>
        <v>Sim</v>
      </c>
      <c r="AT333" s="42">
        <f>IF([Cotação]&gt;0,Tabela3[[#This Row],[Lucro]]/Tabela3[[#This Row],[Cotação]],0)</f>
        <v>6.2469349841914504E-2</v>
      </c>
      <c r="AU333" s="19">
        <f>((1+Tabela3[[#This Row],[% Yield]])^(1/(3*Tabela3[[#This Row],[Ref]])))^(12)-1</f>
        <v>8.4147935522582706E-2</v>
      </c>
      <c r="AV333" s="14">
        <f>IF([Cotação]&gt;0,($BH$1/Tabela3[[#This Row],[Cotação]]-MOD($BH$1/Tabela3[[#This Row],[Cotação]],100)),)</f>
        <v>0</v>
      </c>
      <c r="AW333" s="17">
        <f>Tabela3[[#This Row],[Ativos]]*[Lucro]</f>
        <v>0</v>
      </c>
      <c r="AX333" s="47">
        <f>SUMPRODUCT(N(Tabela1[Código]=Tabela3[[#This Row],[PAPEL]]),Tabela1[Fechamento])</f>
        <v>13.72</v>
      </c>
      <c r="AY333" s="47">
        <f>SUMPRODUCT(N(Tabela17[Código]=Tabela3[[#This Row],[PAPEL]]),Tabela17[Fechamento])</f>
        <v>0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t="11.25" customHeight="1">
      <c r="A334" s="4" t="s">
        <v>231</v>
      </c>
      <c r="B334" s="57" t="s">
        <v>596</v>
      </c>
      <c r="C334" s="15" t="str">
        <f>LEFT([PAPEL],LEN([PAPEL])-(LEN([PAPEL])-4))</f>
        <v>GOAU</v>
      </c>
      <c r="D334" s="15">
        <v>4</v>
      </c>
      <c r="E334" s="6">
        <v>6900000000</v>
      </c>
      <c r="F334" s="8">
        <v>137618994</v>
      </c>
      <c r="G334" s="85">
        <v>0</v>
      </c>
      <c r="H334" s="15"/>
      <c r="I334" s="19"/>
      <c r="J334" s="19"/>
      <c r="K334" s="87"/>
      <c r="L334" s="87"/>
      <c r="M334" s="55">
        <v>14172661000</v>
      </c>
      <c r="N334" s="55">
        <v>75794000</v>
      </c>
      <c r="O334" s="55">
        <v>125231000</v>
      </c>
      <c r="P334" s="91">
        <v>11116909000</v>
      </c>
      <c r="Q334" s="92">
        <v>505124000</v>
      </c>
      <c r="R334" s="92">
        <f>IF(Tabela3[[#This Row],[Ativo || Passivo]]&gt;0,Tabela3[[#This Row],[Ativo || Passivo]]-Tabela3[[#This Row],[Patrimônio Líquido]],0)</f>
        <v>3055752000</v>
      </c>
      <c r="S334" s="92">
        <f>Tabela3[[#This Row],[Cotação]]*Tabela3[[#This Row],[Total Ações]]</f>
        <v>5703258855.1599998</v>
      </c>
      <c r="T334" s="40">
        <f>IF(Tabela3[[#This Row],[Passivo Circulante]]&gt;0,Tabela3[[#This Row],[Ativo Circulante]]/Tabela3[[#This Row],[Passivo Circulante]],0)</f>
        <v>0.60523352843944389</v>
      </c>
      <c r="U33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4" s="19">
        <f>IF(Tabela3[[#This Row],[Lucro Líquido]]&gt;0,Tabela3[[#This Row],[Lucro Líquido]]/Tabela3[[#This Row],[Patrimônio Líquido]],0)/Tabela3[[#This Row],[Ref]]*4</f>
        <v>4.5437450284067274E-2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4" s="19">
        <f>IF(Tabela3[[#This Row],[Dívida]]&gt;0,Tabela3[[#This Row],[Dívida]]/Tabela3[[#This Row],[Patrimônio Líquido]],0)</f>
        <v>0.27487424786871961</v>
      </c>
      <c r="Y334" s="19">
        <f>SUMPRODUCT(N([Dívida / PL]&gt;0),N(RIGHT([PAPEL],LEN([PAPEL])-(LEN([PAPEL])-1))="3"),[Dívida / PL])/SUMPRODUCT(N([Dívida / PL]&gt;0),N(RIGHT([PAPEL],LEN([PAPEL])-(LEN([PAPEL])-1))="3"))</f>
        <v>2.2435702141443779</v>
      </c>
      <c r="Z334" s="13">
        <f>Tabela3[[#This Row],[Capital Social]]*20%</f>
        <v>1380000000</v>
      </c>
      <c r="AA334" s="13">
        <f>IF(([Lucro Líquido]*5%)&gt;[Teto R. Legal],[Teto R. Legal],[Lucro Líquido]*5%)</f>
        <v>25256200</v>
      </c>
      <c r="AB334" s="13">
        <f>IF([Lucro Líquido]&lt;0,0,[Lucro Líquido]-[Reserva Legal])</f>
        <v>479867800</v>
      </c>
      <c r="AC334" s="13">
        <f>Tabela3[[#This Row],[Lucro Distribuir]]*[%Div]</f>
        <v>0</v>
      </c>
      <c r="AD334" s="56">
        <f>SUMPRODUCT(N([Nome]=Tabela3[[#This Row],[Nome]]),[Ações])</f>
        <v>412681538</v>
      </c>
      <c r="AE334" s="6">
        <f>[Capital Social]/[Total Ações]</f>
        <v>16.719914424667092</v>
      </c>
      <c r="AF334" s="77">
        <f>Tabela3[[#This Row],[Lucro Líquido]]/Tabela3[[#This Row],[Total Ações]]</f>
        <v>1.2240043556297884</v>
      </c>
      <c r="AG3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143960340</v>
      </c>
      <c r="AM334" s="6">
        <f>[Patrimônio Líquido]/[Total Ações]</f>
        <v>26.938227122726289</v>
      </c>
      <c r="AN334" s="48">
        <f>MAX(Tabela3[[#This Row],[Cotação 1]:[Cotação 5]])</f>
        <v>13.82</v>
      </c>
      <c r="AO334" s="44">
        <f>[Cotação]/[VPA]</f>
        <v>0.51302559507863199</v>
      </c>
      <c r="AP334" s="40">
        <f>IF(Tabela3[[#This Row],[Lucro/Ação]]&gt;0,Tabela3[[#This Row],[Cotação]]/(Tabela3[[#This Row],[Lucro/Ação]]/[Ref]*4),0)</f>
        <v>11.290809494619143</v>
      </c>
      <c r="AQ334" s="77">
        <f>[Lucro Distribuir]/[Total Ações]</f>
        <v>1.1628041378482989</v>
      </c>
      <c r="AR33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0</v>
      </c>
      <c r="AZ334" s="17">
        <f>SUMPRODUCT(N(Tabela176[Código]=Tabela3[[#This Row],[PAPEL]]),Tabela176[Fechamento])</f>
        <v>13.82</v>
      </c>
      <c r="BA334" s="1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customHeight="1">
      <c r="A335" s="3" t="s">
        <v>1174</v>
      </c>
      <c r="B335" s="58" t="s">
        <v>1175</v>
      </c>
      <c r="C335" s="16" t="str">
        <f>LEFT([PAPEL],LEN([PAPEL])-(LEN([PAPEL])-4))</f>
        <v>JSLG</v>
      </c>
      <c r="D335" s="16">
        <v>4</v>
      </c>
      <c r="E335" s="5">
        <v>676614203.57000005</v>
      </c>
      <c r="F335" s="56">
        <v>216799134</v>
      </c>
      <c r="G335" s="80">
        <v>0.25</v>
      </c>
      <c r="H335" s="86"/>
      <c r="J335" s="18"/>
      <c r="K335" s="16"/>
      <c r="L335" s="86"/>
      <c r="M335" s="54">
        <v>5035404000</v>
      </c>
      <c r="N335" s="54">
        <v>1162216000</v>
      </c>
      <c r="O335" s="54">
        <v>811530000</v>
      </c>
      <c r="P335" s="90">
        <v>1014637000</v>
      </c>
      <c r="Q335" s="73">
        <v>93585000</v>
      </c>
      <c r="R335" s="73">
        <f>IF(Tabela3[[#This Row],[Ativo || Passivo]]&gt;0,Tabela3[[#This Row],[Ativo || Passivo]]-Tabela3[[#This Row],[Patrimônio Líquido]],0)</f>
        <v>4020767000</v>
      </c>
      <c r="S335" s="73">
        <f>Tabela3[[#This Row],[Cotação]]*Tabela3[[#This Row],[Total Ações]]</f>
        <v>3026515910.6400003</v>
      </c>
      <c r="T335" s="37">
        <f>IF(Tabela3[[#This Row],[Passivo Circulante]]&gt;0,Tabela3[[#This Row],[Ativo Circulante]]/Tabela3[[#This Row],[Passivo Circulante]],0)</f>
        <v>1.4321294345249098</v>
      </c>
      <c r="U33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5" s="18">
        <f>IF(Tabela3[[#This Row],[Lucro Líquido]]&gt;0,Tabela3[[#This Row],[Lucro Líquido]]/Tabela3[[#This Row],[Patrimônio Líquido]],0)/Tabela3[[#This Row],[Ref]]*4</f>
        <v>9.2234956935337467E-2</v>
      </c>
      <c r="W33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5" s="18">
        <f>IF(Tabela3[[#This Row],[Dívida]]&gt;0,Tabela3[[#This Row],[Dívida]]/Tabela3[[#This Row],[Patrimônio Líquido]],0)</f>
        <v>3.9627640229954162</v>
      </c>
      <c r="Y335" s="18">
        <f>SUMPRODUCT(N([Dívida / PL]&gt;0),N(RIGHT([PAPEL],LEN([PAPEL])-(LEN([PAPEL])-1))="3"),[Dívida / PL])/SUMPRODUCT(N([Dívida / PL]&gt;0),N(RIGHT([PAPEL],LEN([PAPEL])-(LEN([PAPEL])-1))="3"))</f>
        <v>2.2435702141443779</v>
      </c>
      <c r="Z335" s="7">
        <f>Tabela3[[#This Row],[Capital Social]]*20%</f>
        <v>135322840.71400002</v>
      </c>
      <c r="AA335" s="47">
        <f>IF(([Lucro Líquido]*5%)&gt;[Teto R. Legal],[Teto R. Legal],[Lucro Líquido]*5%)</f>
        <v>4679250</v>
      </c>
      <c r="AB335" s="47">
        <f>IF([Lucro Líquido]&lt;0,0,[Lucro Líquido]-[Reserva Legal])</f>
        <v>88905750</v>
      </c>
      <c r="AC335" s="47">
        <f>Tabela3[[#This Row],[Lucro Distribuir]]*[%Div]</f>
        <v>22226437.5</v>
      </c>
      <c r="AD335" s="56">
        <f>SUMPRODUCT(N([Nome]=Tabela3[[#This Row],[Nome]]),[Ações])</f>
        <v>216799134</v>
      </c>
      <c r="AE335" s="84">
        <f>[Capital Social]/[Total Ações]</f>
        <v>3.1209266895411125</v>
      </c>
      <c r="AF335" s="84">
        <f>Tabela3[[#This Row],[Lucro Líquido]]/Tabela3[[#This Row],[Total Ações]]</f>
        <v>0.43166685342940531</v>
      </c>
      <c r="AG33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33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335" s="7">
        <f>[Div Base]*[Ações]</f>
        <v>22226437.5</v>
      </c>
      <c r="AL335" s="113">
        <f>SUMPRODUCT(N([Nome]=Tabela3[[#This Row],[Nome]]),[Div Base]*[Ações])</f>
        <v>22226437.5</v>
      </c>
      <c r="AM335" s="5">
        <f>[Patrimônio Líquido]/[Total Ações]</f>
        <v>4.6800786575097666</v>
      </c>
      <c r="AN335" s="52">
        <f>MAX(Tabela3[[#This Row],[Cotação 1]:[Cotação 5]])</f>
        <v>13.96</v>
      </c>
      <c r="AO335" s="53">
        <f>[Cotação]/[VPA]</f>
        <v>2.9828558495698463</v>
      </c>
      <c r="AP335" s="37">
        <f>IF(Tabela3[[#This Row],[Lucro/Ação]]&gt;0,Tabela3[[#This Row],[Cotação]]/(Tabela3[[#This Row],[Lucro/Ação]]/[Ref]*4),0)</f>
        <v>32.339754347812153</v>
      </c>
      <c r="AQ335" s="84">
        <f>[Lucro Distribuir]/[Total Ações]</f>
        <v>0.41008351075793503</v>
      </c>
      <c r="AR335" s="84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335" s="10" t="str">
        <f>IF(AND([% A.A.]&gt;=5%,SUMPRODUCT(N([Nome]=Tabela3[[#This Row],[Nome]]),[PL])&gt;0,[Rentabilidade s/ PL]&gt;=[Rentabilidade s/ PL Média]),"Sim","Não")</f>
        <v>Não</v>
      </c>
      <c r="AT335" s="22">
        <f>IF([Cotação]&gt;0,Tabela3[[#This Row],[Lucro]]/Tabela3[[#This Row],[Cotação]],0)</f>
        <v>7.3439024132868017E-3</v>
      </c>
      <c r="AU335" s="22">
        <f>((1+Tabela3[[#This Row],[% Yield]])^(1/(3*Tabela3[[#This Row],[Ref]])))^(12)-1</f>
        <v>7.3439024132868624E-3</v>
      </c>
      <c r="AV335" s="10">
        <f>IF([Cotação]&gt;0,($BH$1/Tabela3[[#This Row],[Cotação]]-MOD($BH$1/Tabela3[[#This Row],[Cotação]],100)),)</f>
        <v>0</v>
      </c>
      <c r="AW335" s="7">
        <f>Tabela3[[#This Row],[Ativos]]*[Lucro]</f>
        <v>0</v>
      </c>
      <c r="AX335" s="7">
        <f>SUMPRODUCT(N(Tabela1[Código]=Tabela3[[#This Row],[PAPEL]]),Tabela1[Fechamento])</f>
        <v>0</v>
      </c>
      <c r="AY335" s="7">
        <f>SUMPRODUCT(N(Tabela17[Código]=Tabela3[[#This Row],[PAPEL]]),Tabela17[Fechamento])</f>
        <v>0</v>
      </c>
      <c r="AZ335" s="7">
        <f>SUMPRODUCT(N(Tabela176[Código]=Tabela3[[#This Row],[PAPEL]]),Tabela176[Fechamento])</f>
        <v>0</v>
      </c>
      <c r="BA335" s="7">
        <f>SUMPRODUCT(N(Tabela1768[Código]=Tabela3[[#This Row],[PAPEL]]),Tabela1768[Fechamento])</f>
        <v>0</v>
      </c>
      <c r="BB335" s="7">
        <f>SUMPRODUCT(N(Tabela17683[Código]=Tabela3[[#This Row],[PAPEL]]),Tabela17683[Fechamento])</f>
        <v>13.96</v>
      </c>
    </row>
    <row r="336" spans="1:54" ht="11.25" customHeight="1">
      <c r="A336" s="3" t="s">
        <v>267</v>
      </c>
      <c r="B336" s="58" t="s">
        <v>265</v>
      </c>
      <c r="C336" s="82" t="str">
        <f>LEFT([PAPEL],LEN([PAPEL])-(LEN([PAPEL])-4))</f>
        <v>CIQU</v>
      </c>
      <c r="D336" s="16">
        <v>3</v>
      </c>
      <c r="E336" s="5">
        <v>173000000</v>
      </c>
      <c r="F336" s="56">
        <v>16632000</v>
      </c>
      <c r="G336" s="80">
        <v>0.25</v>
      </c>
      <c r="H336" s="16"/>
      <c r="J336" s="18">
        <v>0.1</v>
      </c>
      <c r="K336" s="86"/>
      <c r="L336" s="86"/>
      <c r="M336" s="54">
        <v>571642000</v>
      </c>
      <c r="N336" s="54">
        <v>361717000</v>
      </c>
      <c r="O336" s="54">
        <v>263730000</v>
      </c>
      <c r="P336" s="5">
        <v>264517000</v>
      </c>
      <c r="Q336" s="5">
        <v>37183000</v>
      </c>
      <c r="R336" s="5">
        <f>IF(Tabela3[[#This Row],[Ativo || Passivo]]&gt;0,Tabela3[[#This Row],[Ativo || Passivo]]-Tabela3[[#This Row],[Patrimônio Líquido]],0)</f>
        <v>307125000</v>
      </c>
      <c r="S336" s="5">
        <f>Tabela3[[#This Row],[Cotação]]*Tabela3[[#This Row],[Total Ações]]</f>
        <v>349022520</v>
      </c>
      <c r="T336" s="119">
        <f>IF(Tabela3[[#This Row],[Passivo Circulante]]&gt;0,Tabela3[[#This Row],[Ativo Circulante]]/Tabela3[[#This Row],[Passivo Circulante]],0)</f>
        <v>1.3715428658097297</v>
      </c>
      <c r="U33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6" s="18">
        <f>IF(Tabela3[[#This Row],[Lucro Líquido]]&gt;0,Tabela3[[#This Row],[Lucro Líquido]]/Tabela3[[#This Row],[Patrimônio Líquido]],0)/Tabela3[[#This Row],[Ref]]*4</f>
        <v>0.18742588693102269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6" s="18">
        <f>IF(Tabela3[[#This Row],[Dívida]]&gt;0,Tabela3[[#This Row],[Dívida]]/Tabela3[[#This Row],[Patrimônio Líquido]],0)</f>
        <v>1.1610784940098369</v>
      </c>
      <c r="Y336" s="18">
        <f>SUMPRODUCT(N([Dívida / PL]&gt;0),N(RIGHT([PAPEL],LEN([PAPEL])-(LEN([PAPEL])-1))="3"),[Dívida / PL])/SUMPRODUCT(N([Dívida / PL]&gt;0),N(RIGHT([PAPEL],LEN([PAPEL])-(LEN([PAPEL])-1))="3"))</f>
        <v>2.2435702141443779</v>
      </c>
      <c r="Z336" s="5">
        <f>Tabela3[[#This Row],[Capital Social]]*20%</f>
        <v>34600000</v>
      </c>
      <c r="AA336" s="5">
        <f>IF(([Lucro Líquido]*5%)&gt;[Teto R. Legal],[Teto R. Legal],[Lucro Líquido]*5%)</f>
        <v>1859150</v>
      </c>
      <c r="AB336" s="5">
        <f>IF([Lucro Líquido]&lt;0,0,[Lucro Líquido]-[Reserva Legal])</f>
        <v>35323850</v>
      </c>
      <c r="AC336" s="5">
        <f>Tabela3[[#This Row],[Lucro Distribuir]]*[%Div]</f>
        <v>8830962.5</v>
      </c>
      <c r="AD336" s="56">
        <f>SUMPRODUCT(N([Nome]=Tabela3[[#This Row],[Nome]]),[Ações])</f>
        <v>24948000</v>
      </c>
      <c r="AE336" s="5">
        <f>[Capital Social]/[Total Ações]</f>
        <v>6.934423601090268</v>
      </c>
      <c r="AF336" s="76">
        <f>Tabela3[[#This Row],[Lucro Líquido]]/Tabela3[[#This Row],[Total Ações]]</f>
        <v>1.490420073753407</v>
      </c>
      <c r="AG33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33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336" s="5">
        <f>[Div Base]*[Ações]</f>
        <v>6274544.9710006025</v>
      </c>
      <c r="AL336" s="5">
        <f>SUMPRODUCT(N([Nome]=Tabela3[[#This Row],[Nome]]),[Div Base]*[Ações])</f>
        <v>9126610.8630029354</v>
      </c>
      <c r="AM336" s="5">
        <f>[Patrimônio Líquido]/[Total Ações]</f>
        <v>10.602733686067019</v>
      </c>
      <c r="AN336" s="52">
        <f>MAX(Tabela3[[#This Row],[Cotação 1]:[Cotação 5]])</f>
        <v>13.99</v>
      </c>
      <c r="AO336" s="53">
        <f>[Cotação]/[VPA]</f>
        <v>1.3194710358880526</v>
      </c>
      <c r="AP336" s="37">
        <f>IF(Tabela3[[#This Row],[Lucro/Ação]]&gt;0,Tabela3[[#This Row],[Cotação]]/(Tabela3[[#This Row],[Lucro/Ação]]/[Ref]*4),0)</f>
        <v>7.0399615415646934</v>
      </c>
      <c r="AQ336" s="76">
        <f>[Lucro Distribuir]/[Total Ações]</f>
        <v>1.4158990700657368</v>
      </c>
      <c r="AR336" s="76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336" s="16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2.696621827296675E-2</v>
      </c>
      <c r="AU336" s="18">
        <f>((1+Tabela3[[#This Row],[% Yield]])^(1/(3*Tabela3[[#This Row],[Ref]])))^(12)-1</f>
        <v>3.6115594940458573E-2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47">
        <f>SUMPRODUCT(N(Tabela1[Código]=Tabela3[[#This Row],[PAPEL]]),Tabela1[Fechamento])</f>
        <v>0</v>
      </c>
      <c r="AY336" s="54">
        <f>SUMPRODUCT(N(Tabela17[Código]=Tabela3[[#This Row],[PAPEL]]),Tabela17[Fechamento])</f>
        <v>13.99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0</v>
      </c>
      <c r="BB336" s="7">
        <f>SUMPRODUCT(N(Tabela17683[Código]=Tabela3[[#This Row],[PAPEL]]),Tabela17683[Fechamento])</f>
        <v>0</v>
      </c>
    </row>
    <row r="337" spans="1:54" ht="11.25" customHeight="1">
      <c r="A337" s="4" t="s">
        <v>12</v>
      </c>
      <c r="B337" s="57" t="s">
        <v>90</v>
      </c>
      <c r="C337" s="14" t="str">
        <f>LEFT([PAPEL],LEN([PAPEL])-(LEN([PAPEL])-4))</f>
        <v>CEBR</v>
      </c>
      <c r="D337" s="15">
        <v>3</v>
      </c>
      <c r="E337" s="6">
        <v>342056165.62</v>
      </c>
      <c r="F337" s="8">
        <v>4576432</v>
      </c>
      <c r="G337" s="80">
        <v>0.25</v>
      </c>
      <c r="H337" s="15"/>
      <c r="I337" s="19"/>
      <c r="J337" s="19"/>
      <c r="K337" s="87"/>
      <c r="L337" s="87"/>
      <c r="M337" s="13">
        <v>821792000</v>
      </c>
      <c r="N337" s="13">
        <v>37012000</v>
      </c>
      <c r="O337" s="13">
        <v>35888000</v>
      </c>
      <c r="P337" s="88">
        <v>465994000</v>
      </c>
      <c r="Q337" s="88">
        <v>17904000</v>
      </c>
      <c r="R337" s="88">
        <f>IF(Tabela3[[#This Row],[Ativo || Passivo]]&gt;0,Tabela3[[#This Row],[Ativo || Passivo]]-Tabela3[[#This Row],[Patrimônio Líquido]],0)</f>
        <v>355798000</v>
      </c>
      <c r="S337" s="88">
        <f>Tabela3[[#This Row],[Cotação]]*Tabela3[[#This Row],[Total Ações]]</f>
        <v>128568412</v>
      </c>
      <c r="T337" s="121">
        <f>IF(Tabela3[[#This Row],[Passivo Circulante]]&gt;0,Tabela3[[#This Row],[Ativo Circulante]]/Tabela3[[#This Row],[Passivo Circulante]],0)</f>
        <v>1.0313196611680784</v>
      </c>
      <c r="U33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7" s="19">
        <f>IF(Tabela3[[#This Row],[Lucro Líquido]]&gt;0,Tabela3[[#This Row],[Lucro Líquido]]/Tabela3[[#This Row],[Patrimônio Líquido]],0)/Tabela3[[#This Row],[Ref]]*4</f>
        <v>5.1228127400781982E-2</v>
      </c>
      <c r="W33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7" s="19">
        <f>IF(Tabela3[[#This Row],[Dívida]]&gt;0,Tabela3[[#This Row],[Dívida]]/Tabela3[[#This Row],[Patrimônio Líquido]],0)</f>
        <v>0.7635248522513165</v>
      </c>
      <c r="Y337" s="19">
        <f>SUMPRODUCT(N([Dívida / PL]&gt;0),N(RIGHT([PAPEL],LEN([PAPEL])-(LEN([PAPEL])-1))="3"),[Dívida / PL])/SUMPRODUCT(N([Dívida / PL]&gt;0),N(RIGHT([PAPEL],LEN([PAPEL])-(LEN([PAPEL])-1))="3"))</f>
        <v>2.2435702141443779</v>
      </c>
      <c r="Z337" s="6">
        <f>Tabela3[[#This Row],[Capital Social]]*20%</f>
        <v>68411233.123999998</v>
      </c>
      <c r="AA337" s="6">
        <f>IF(([Lucro Líquido]*5%)&gt;[Teto R. Legal],[Teto R. Legal],[Lucro Líquido]*5%)</f>
        <v>895200</v>
      </c>
      <c r="AB337" s="88">
        <f>IF([Lucro Líquido]&lt;0,0,[Lucro Líquido]-[Reserva Legal])</f>
        <v>17008800</v>
      </c>
      <c r="AC337" s="88">
        <f>Tabela3[[#This Row],[Lucro Distribuir]]*[%Div]</f>
        <v>4252200</v>
      </c>
      <c r="AD337" s="56">
        <f>SUMPRODUCT(N([Nome]=Tabela3[[#This Row],[Nome]]),[Ações])</f>
        <v>9183458</v>
      </c>
      <c r="AE337" s="6">
        <f>[Capital Social]/[Total Ações]</f>
        <v>37.246989709105222</v>
      </c>
      <c r="AF337" s="77">
        <f>Tabela3[[#This Row],[Lucro Líquido]]/Tabela3[[#This Row],[Total Ações]]</f>
        <v>1.9495924084369962</v>
      </c>
      <c r="AG3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3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6">
        <f>[Div Base]*[Ações]</f>
        <v>0</v>
      </c>
      <c r="AL337" s="6">
        <f>SUMPRODUCT(N([Nome]=Tabela3[[#This Row],[Nome]]),[Div Base]*[Ações])</f>
        <v>4890537.1982034566</v>
      </c>
      <c r="AM337" s="6">
        <f>[Patrimônio Líquido]/[Total Ações]</f>
        <v>50.742759426786726</v>
      </c>
      <c r="AN337" s="48">
        <f>MAX(Tabela3[[#This Row],[Cotação 1]:[Cotação 5]])</f>
        <v>14</v>
      </c>
      <c r="AO337" s="44">
        <f>[Cotação]/[VPA]</f>
        <v>0.27590143220728164</v>
      </c>
      <c r="AP337" s="40">
        <f>IF(Tabela3[[#This Row],[Lucro/Ação]]&gt;0,Tabela3[[#This Row],[Cotação]]/(Tabela3[[#This Row],[Lucro/Ação]]/[Ref]*4),0)</f>
        <v>5.3857411193029492</v>
      </c>
      <c r="AQ337" s="77">
        <f>[Lucro Distribuir]/[Total Ações]</f>
        <v>1.8521127880151464</v>
      </c>
      <c r="AR33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5" t="str">
        <f>IF(AND([% A.A.]&gt;=5%,SUMPRODUCT(N([Nome]=Tabela3[[#This Row],[Nome]]),[PL])&gt;0,[Rentabilidade s/ PL]&gt;=[Rentabilidade s/ PL Média]),"Sim","Não")</f>
        <v>Não</v>
      </c>
      <c r="AT337" s="42">
        <f>IF([Cotação]&gt;0,Tabela3[[#This Row],[Lucro]]/Tabela3[[#This Row],[Cotação]],0)</f>
        <v>0</v>
      </c>
      <c r="AU337" s="19">
        <f>((1+Tabela3[[#This Row],[% Yield]])^(1/(3*Tabela3[[#This Row],[Ref]])))^(12)-1</f>
        <v>0</v>
      </c>
      <c r="AV337" s="14">
        <f>IF([Cotação]&gt;0,($BH$1/Tabela3[[#This Row],[Cotação]]-MOD($BH$1/Tabela3[[#This Row],[Cotação]],100)),)</f>
        <v>0</v>
      </c>
      <c r="AW337" s="17">
        <f>Tabela3[[#This Row],[Ativos]]*[Lucro]</f>
        <v>0</v>
      </c>
      <c r="AX337" s="5">
        <f>SUMPRODUCT(N(Tabela1[Código]=Tabela3[[#This Row],[PAPEL]]),Tabela1[Fechamento])</f>
        <v>14</v>
      </c>
      <c r="AY337" s="5">
        <f>SUMPRODUCT(N(Tabela17[Código]=Tabela3[[#This Row],[PAPEL]]),Tabela17[Fechamento])</f>
        <v>0</v>
      </c>
      <c r="AZ337" s="7">
        <f>SUMPRODUCT(N(Tabela176[Código]=Tabela3[[#This Row],[PAPEL]]),Tabela176[Fechamento])</f>
        <v>0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t="11.25" customHeight="1">
      <c r="A338" s="3" t="s">
        <v>288</v>
      </c>
      <c r="B338" s="58" t="s">
        <v>292</v>
      </c>
      <c r="C338" s="81" t="str">
        <f>LEFT([PAPEL],LEN([PAPEL])-(LEN([PAPEL])-4))</f>
        <v>HBTS</v>
      </c>
      <c r="D338" s="16">
        <v>3</v>
      </c>
      <c r="E338" s="6">
        <v>127181809.47</v>
      </c>
      <c r="F338" s="8">
        <v>5950327</v>
      </c>
      <c r="G338" s="85">
        <v>0.25</v>
      </c>
      <c r="H338" s="19"/>
      <c r="I338" s="19"/>
      <c r="J338" s="19">
        <v>0.1</v>
      </c>
      <c r="K338" s="87"/>
      <c r="L338" s="87"/>
      <c r="M338" s="55"/>
      <c r="N338" s="55"/>
      <c r="O338" s="55"/>
      <c r="P338" s="5">
        <v>500173000</v>
      </c>
      <c r="Q338" s="5">
        <v>5129000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127871618</v>
      </c>
      <c r="T338" s="119">
        <f>IF(Tabela3[[#This Row],[Passivo Circulante]]&gt;0,Tabela3[[#This Row],[Ativo Circulante]]/Tabela3[[#This Row],[Passivo Circulante]],0)</f>
        <v>0</v>
      </c>
      <c r="U33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8" s="18">
        <f>IF(Tabela3[[#This Row],[Lucro Líquido]]&gt;0,Tabela3[[#This Row],[Lucro Líquido]]/Tabela3[[#This Row],[Patrimônio Líquido]],0)/Tabela3[[#This Row],[Ref]]*4</f>
        <v>1.3672602612829295E-2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2.2435702141443779</v>
      </c>
      <c r="Z338" s="6">
        <f>Tabela3[[#This Row],[Capital Social]]*20%</f>
        <v>25436361.894000001</v>
      </c>
      <c r="AA338" s="6">
        <f>IF(([Lucro Líquido]*5%)&gt;[Teto R. Legal],[Teto R. Legal],[Lucro Líquido]*5%)</f>
        <v>256450</v>
      </c>
      <c r="AB338" s="88">
        <f>IF([Lucro Líquido]&lt;0,0,[Lucro Líquido]-[Reserva Legal])</f>
        <v>4872550</v>
      </c>
      <c r="AC338" s="88">
        <f>Tabela3[[#This Row],[Lucro Distribuir]]*[%Div]</f>
        <v>1218137.5</v>
      </c>
      <c r="AD338" s="56">
        <f>SUMPRODUCT(N([Nome]=Tabela3[[#This Row],[Nome]]),[Ações])</f>
        <v>9133687</v>
      </c>
      <c r="AE338" s="6">
        <f>[Capital Social]/[Total Ações]</f>
        <v>13.924476443083718</v>
      </c>
      <c r="AF338" s="77">
        <f>Tabela3[[#This Row],[Lucro Líquido]]/Tabela3[[#This Row],[Total Ações]]</f>
        <v>0.56154759846708124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338" s="6">
        <f>[Div Base]*[Ações]</f>
        <v>845778.17873645423</v>
      </c>
      <c r="AL338" s="6">
        <f>SUMPRODUCT(N([Nome]=Tabela3[[#This Row],[Nome]]),[Div Base]*[Ações])</f>
        <v>1257520.8920246577</v>
      </c>
      <c r="AM338" s="6">
        <f>[Patrimônio Líquido]/[Total Ações]</f>
        <v>54.761346650043954</v>
      </c>
      <c r="AN338" s="48">
        <f>MAX(Tabela3[[#This Row],[Cotação 1]:[Cotação 5]])</f>
        <v>14</v>
      </c>
      <c r="AO338" s="44">
        <f>[Cotação]/[VPA]</f>
        <v>0.25565477944631154</v>
      </c>
      <c r="AP338" s="40">
        <f>IF(Tabela3[[#This Row],[Lucro/Ação]]&gt;0,Tabela3[[#This Row],[Cotação]]/(Tabela3[[#This Row],[Lucro/Ação]]/[Ref]*4),0)</f>
        <v>18.698325891986741</v>
      </c>
      <c r="AQ338" s="77">
        <f>[Lucro Distribuir]/[Total Ações]</f>
        <v>0.53347021854372723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338" s="15" t="str">
        <f>IF(AND([% A.A.]&gt;=5%,SUMPRODUCT(N([Nome]=Tabela3[[#This Row],[Nome]]),[PL])&gt;0,[Rentabilidade s/ PL]&gt;=[Rentabilidade s/ PL Média]),"Sim","Não")</f>
        <v>Não</v>
      </c>
      <c r="AT338" s="42">
        <f>IF([Cotação]&gt;0,Tabela3[[#This Row],[Lucro]]/Tabela3[[#This Row],[Cotação]],0)</f>
        <v>1.0152841524945415E-2</v>
      </c>
      <c r="AU338" s="19">
        <f>((1+Tabela3[[#This Row],[% Yield]])^(1/(3*Tabela3[[#This Row],[Ref]])))^(12)-1</f>
        <v>1.3559977278016611E-2</v>
      </c>
      <c r="AV338" s="14">
        <f>IF([Cotação]&gt;0,($BH$1/Tabela3[[#This Row],[Cotação]]-MOD($BH$1/Tabela3[[#This Row],[Cotação]],100)),)</f>
        <v>0</v>
      </c>
      <c r="AW338" s="17">
        <f>Tabela3[[#This Row],[Ativos]]*[Lucro]</f>
        <v>0</v>
      </c>
      <c r="AX338" s="5">
        <f>SUMPRODUCT(N(Tabela1[Código]=Tabela3[[#This Row],[PAPEL]]),Tabela1[Fechamento])</f>
        <v>0</v>
      </c>
      <c r="AY338" s="5">
        <f>SUMPRODUCT(N(Tabela17[Código]=Tabela3[[#This Row],[PAPEL]]),Tabela17[Fechamento])</f>
        <v>14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customHeight="1">
      <c r="A339" s="3" t="s">
        <v>835</v>
      </c>
      <c r="B339" s="58" t="s">
        <v>836</v>
      </c>
      <c r="C339" s="16" t="str">
        <f>LEFT([PAPEL],LEN([PAPEL])-(LEN([PAPEL])-4))</f>
        <v>CVCB</v>
      </c>
      <c r="D339" s="16">
        <v>4</v>
      </c>
      <c r="E339" s="5">
        <v>82728124.230000004</v>
      </c>
      <c r="F339" s="56">
        <v>129729000</v>
      </c>
      <c r="G339" s="80">
        <v>0.25</v>
      </c>
      <c r="H339" s="86"/>
      <c r="J339" s="18"/>
      <c r="K339" s="16"/>
      <c r="L339" s="86"/>
      <c r="M339" s="54">
        <v>2066845000</v>
      </c>
      <c r="N339" s="54">
        <v>1733400000</v>
      </c>
      <c r="O339" s="54">
        <v>1633696000</v>
      </c>
      <c r="P339" s="90">
        <v>316281000</v>
      </c>
      <c r="Q339" s="73">
        <v>111682000</v>
      </c>
      <c r="R339" s="73">
        <f>IF(Tabela3[[#This Row],[Ativo || Passivo]]&gt;0,Tabela3[[#This Row],[Ativo || Passivo]]-Tabela3[[#This Row],[Patrimônio Líquido]],0)</f>
        <v>1750564000</v>
      </c>
      <c r="S339" s="73">
        <f>Tabela3[[#This Row],[Cotação]]*Tabela3[[#This Row],[Total Ações]]</f>
        <v>1829178900</v>
      </c>
      <c r="T339" s="37">
        <f>IF(Tabela3[[#This Row],[Passivo Circulante]]&gt;0,Tabela3[[#This Row],[Ativo Circulante]]/Tabela3[[#This Row],[Passivo Circulante]],0)</f>
        <v>1.0610297142185572</v>
      </c>
      <c r="U33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39" s="18">
        <f>IF(Tabela3[[#This Row],[Lucro Líquido]]&gt;0,Tabela3[[#This Row],[Lucro Líquido]]/Tabela3[[#This Row],[Patrimônio Líquido]],0)/Tabela3[[#This Row],[Ref]]*4</f>
        <v>0.35311005087248365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39" s="18">
        <f>IF(Tabela3[[#This Row],[Dívida]]&gt;0,Tabela3[[#This Row],[Dívida]]/Tabela3[[#This Row],[Patrimônio Líquido]],0)</f>
        <v>5.5348376917993809</v>
      </c>
      <c r="Y339" s="18">
        <f>SUMPRODUCT(N([Dívida / PL]&gt;0),N(RIGHT([PAPEL],LEN([PAPEL])-(LEN([PAPEL])-1))="3"),[Dívida / PL])/SUMPRODUCT(N([Dívida / PL]&gt;0),N(RIGHT([PAPEL],LEN([PAPEL])-(LEN([PAPEL])-1))="3"))</f>
        <v>2.2435702141443779</v>
      </c>
      <c r="Z339" s="7">
        <f>Tabela3[[#This Row],[Capital Social]]*20%</f>
        <v>16545624.846000001</v>
      </c>
      <c r="AA339" s="47">
        <f>IF(([Lucro Líquido]*5%)&gt;[Teto R. Legal],[Teto R. Legal],[Lucro Líquido]*5%)</f>
        <v>5584100</v>
      </c>
      <c r="AB339" s="47">
        <f>IF([Lucro Líquido]&lt;0,0,[Lucro Líquido]-[Reserva Legal])</f>
        <v>106097900</v>
      </c>
      <c r="AC339" s="47">
        <f>Tabela3[[#This Row],[Lucro Distribuir]]*[%Div]</f>
        <v>26524475</v>
      </c>
      <c r="AD339" s="56">
        <f>SUMPRODUCT(N([Nome]=Tabela3[[#This Row],[Nome]]),[Ações])</f>
        <v>129729000</v>
      </c>
      <c r="AE339" s="84">
        <f>[Capital Social]/[Total Ações]</f>
        <v>0.63769954466618883</v>
      </c>
      <c r="AF339" s="84">
        <f>Tabela3[[#This Row],[Lucro Líquido]]/Tabela3[[#This Row],[Total Ações]]</f>
        <v>0.86088692582229109</v>
      </c>
      <c r="AG33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33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339" s="7">
        <f>[Div Base]*[Ações]</f>
        <v>26524475</v>
      </c>
      <c r="AL339" s="7">
        <f>SUMPRODUCT(N([Nome]=Tabela3[[#This Row],[Nome]]),[Div Base]*[Ações])</f>
        <v>26524475</v>
      </c>
      <c r="AM339" s="5">
        <f>[Patrimônio Líquido]/[Total Ações]</f>
        <v>2.4380130888236247</v>
      </c>
      <c r="AN339" s="52">
        <f>MAX(Tabela3[[#This Row],[Cotação 1]:[Cotação 5]])</f>
        <v>14.1</v>
      </c>
      <c r="AO339" s="53">
        <f>[Cotação]/[VPA]</f>
        <v>5.7833979910269662</v>
      </c>
      <c r="AP339" s="37">
        <f>IF(Tabela3[[#This Row],[Lucro/Ação]]&gt;0,Tabela3[[#This Row],[Cotação]]/(Tabela3[[#This Row],[Lucro/Ação]]/[Ref]*4),0)</f>
        <v>16.378457584928636</v>
      </c>
      <c r="AQ339" s="84">
        <f>[Lucro Distribuir]/[Total Ações]</f>
        <v>0.81784257953117656</v>
      </c>
      <c r="AR339" s="84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1.4500754956226535E-2</v>
      </c>
      <c r="AU339" s="22">
        <f>((1+Tabela3[[#This Row],[% Yield]])^(1/(3*Tabela3[[#This Row],[Ref]])))^(12)-1</f>
        <v>1.4500754956227047E-2</v>
      </c>
      <c r="AV339" s="10">
        <f>IF([Cotação]&gt;0,($BH$1/Tabela3[[#This Row],[Cotação]]-MOD($BH$1/Tabela3[[#This Row],[Cotação]],100)),)</f>
        <v>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0</v>
      </c>
      <c r="BA339" s="7">
        <f>SUMPRODUCT(N(Tabela1768[Código]=Tabela3[[#This Row],[PAPEL]]),Tabela1768[Fechamento])</f>
        <v>14.1</v>
      </c>
      <c r="BB339" s="7">
        <f>SUMPRODUCT(N(Tabela17683[Código]=Tabela3[[#This Row],[PAPEL]]),Tabela17683[Fechamento])</f>
        <v>0</v>
      </c>
    </row>
    <row r="340" spans="1:54" ht="11.25" customHeight="1">
      <c r="A340" s="4" t="s">
        <v>231</v>
      </c>
      <c r="B340" s="57" t="s">
        <v>593</v>
      </c>
      <c r="C340" s="15" t="str">
        <f>LEFT([PAPEL],LEN([PAPEL])-(LEN([PAPEL])-4))</f>
        <v>GGBR</v>
      </c>
      <c r="D340" s="15">
        <v>4</v>
      </c>
      <c r="E340" s="6">
        <v>19323246666</v>
      </c>
      <c r="F340" s="8">
        <v>1146031245</v>
      </c>
      <c r="G340" s="85">
        <v>0.3</v>
      </c>
      <c r="H340" s="15"/>
      <c r="I340" s="19"/>
      <c r="J340" s="19"/>
      <c r="K340" s="87"/>
      <c r="L340" s="87"/>
      <c r="M340" s="55">
        <v>36290747000</v>
      </c>
      <c r="N340" s="55">
        <v>700974000</v>
      </c>
      <c r="O340" s="55">
        <v>581077000</v>
      </c>
      <c r="P340" s="91">
        <v>30339079000</v>
      </c>
      <c r="Q340" s="92">
        <v>1583731000</v>
      </c>
      <c r="R340" s="92">
        <f>IF(Tabela3[[#This Row],[Ativo || Passivo]]&gt;0,Tabela3[[#This Row],[Ativo || Passivo]]-Tabela3[[#This Row],[Patrimônio Líquido]],0)</f>
        <v>5951668000</v>
      </c>
      <c r="S340" s="92">
        <f>Tabela3[[#This Row],[Cotação]]*Tabela3[[#This Row],[Total Ações]]</f>
        <v>24642709572.240002</v>
      </c>
      <c r="T340" s="40">
        <f>IF(Tabela3[[#This Row],[Passivo Circulante]]&gt;0,Tabela3[[#This Row],[Ativo Circulante]]/Tabela3[[#This Row],[Passivo Circulante]],0)</f>
        <v>1.2063358212422794</v>
      </c>
      <c r="U34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0" s="19">
        <f>IF(Tabela3[[#This Row],[Lucro Líquido]]&gt;0,Tabela3[[#This Row],[Lucro Líquido]]/Tabela3[[#This Row],[Patrimônio Líquido]],0)/Tabela3[[#This Row],[Ref]]*4</f>
        <v>5.22010242960902E-2</v>
      </c>
      <c r="W34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0" s="19">
        <f>IF(Tabela3[[#This Row],[Dívida]]&gt;0,Tabela3[[#This Row],[Dívida]]/Tabela3[[#This Row],[Patrimônio Líquido]],0)</f>
        <v>0.19617167680007688</v>
      </c>
      <c r="Y340" s="19">
        <f>SUMPRODUCT(N([Dívida / PL]&gt;0),N(RIGHT([PAPEL],LEN([PAPEL])-(LEN([PAPEL])-1))="3"),[Dívida / PL])/SUMPRODUCT(N([Dívida / PL]&gt;0),N(RIGHT([PAPEL],LEN([PAPEL])-(LEN([PAPEL])-1))="3"))</f>
        <v>2.2435702141443779</v>
      </c>
      <c r="Z340" s="13">
        <f>Tabela3[[#This Row],[Capital Social]]*20%</f>
        <v>3864649333.2000003</v>
      </c>
      <c r="AA340" s="13">
        <f>IF(([Lucro Líquido]*5%)&gt;[Teto R. Legal],[Teto R. Legal],[Lucro Líquido]*5%)</f>
        <v>79186550</v>
      </c>
      <c r="AB340" s="13">
        <f>IF([Lucro Líquido]&lt;0,0,[Lucro Líquido]-[Reserva Legal])</f>
        <v>1504544450</v>
      </c>
      <c r="AC340" s="13">
        <f>Tabela3[[#This Row],[Lucro Distribuir]]*[%Div]</f>
        <v>451363335</v>
      </c>
      <c r="AD340" s="56">
        <f>SUMPRODUCT(N([Nome]=Tabela3[[#This Row],[Nome]]),[Ações])</f>
        <v>1719658728</v>
      </c>
      <c r="AE340" s="6">
        <f>[Capital Social]/[Total Ações]</f>
        <v>11.236675249206773</v>
      </c>
      <c r="AF340" s="77">
        <f>Tabela3[[#This Row],[Lucro Líquido]]/Tabela3[[#This Row],[Total Ações]]</f>
        <v>0.92095656784291913</v>
      </c>
      <c r="AG3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3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340" s="13">
        <f>[Div Base]*[Ações]</f>
        <v>451363335</v>
      </c>
      <c r="AL340" s="13">
        <f>SUMPRODUCT(N([Nome]=Tabela3[[#This Row],[Nome]]),[Div Base]*[Ações])</f>
        <v>451363335</v>
      </c>
      <c r="AM340" s="6">
        <f>[Patrimônio Líquido]/[Total Ações]</f>
        <v>17.642499936766523</v>
      </c>
      <c r="AN340" s="48">
        <f>MAX(Tabela3[[#This Row],[Cotação 1]:[Cotação 5]])</f>
        <v>14.33</v>
      </c>
      <c r="AO340" s="44">
        <f>[Cotação]/[VPA]</f>
        <v>0.81224316572826749</v>
      </c>
      <c r="AP340" s="40">
        <f>IF(Tabela3[[#This Row],[Lucro/Ação]]&gt;0,Tabela3[[#This Row],[Cotação]]/(Tabela3[[#This Row],[Lucro/Ação]]/[Ref]*4),0)</f>
        <v>15.559908578060289</v>
      </c>
      <c r="AQ340" s="77">
        <f>[Lucro Distribuir]/[Total Ações]</f>
        <v>0.87490873945077319</v>
      </c>
      <c r="AR340" s="77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340" s="14" t="str">
        <f>IF(AND([% A.A.]&gt;=5%,SUMPRODUCT(N([Nome]=Tabela3[[#This Row],[Nome]]),[PL])&gt;0,[Rentabilidade s/ PL]&gt;=[Rentabilidade s/ PL Média]),"Sim","Não")</f>
        <v>Não</v>
      </c>
      <c r="AT340" s="42">
        <f>IF([Cotação]&gt;0,Tabela3[[#This Row],[Lucro]]/Tabela3[[#This Row],[Cotação]],0)</f>
        <v>2.7484233468756589E-2</v>
      </c>
      <c r="AU340" s="42">
        <f>((1+Tabela3[[#This Row],[% Yield]])^(1/(3*Tabela3[[#This Row],[Ref]])))^(12)-1</f>
        <v>2.748423346875728E-2</v>
      </c>
      <c r="AV340" s="14">
        <f>IF([Cotação]&gt;0,($BH$1/Tabela3[[#This Row],[Cotação]]-MOD($BH$1/Tabela3[[#This Row],[Cotação]],100)),)</f>
        <v>0</v>
      </c>
      <c r="AW340" s="17">
        <f>Tabela3[[#This Row],[Ativos]]*[Lucro]</f>
        <v>0</v>
      </c>
      <c r="AX340" s="17">
        <f>SUMPRODUCT(N(Tabela1[Código]=Tabela3[[#This Row],[PAPEL]]),Tabela1[Fechamento])</f>
        <v>0</v>
      </c>
      <c r="AY340" s="17">
        <f>SUMPRODUCT(N(Tabela17[Código]=Tabela3[[#This Row],[PAPEL]]),Tabela17[Fechamento])</f>
        <v>0</v>
      </c>
      <c r="AZ340" s="17">
        <f>SUMPRODUCT(N(Tabela176[Código]=Tabela3[[#This Row],[PAPEL]]),Tabela176[Fechamento])</f>
        <v>14.33</v>
      </c>
      <c r="BA340" s="17">
        <f>SUMPRODUCT(N(Tabela1768[Código]=Tabela3[[#This Row],[PAPEL]]),Tabela1768[Fechamento])</f>
        <v>0</v>
      </c>
      <c r="BB340" s="7">
        <f>SUMPRODUCT(N(Tabela17683[Código]=Tabela3[[#This Row],[PAPEL]]),Tabela17683[Fechamento])</f>
        <v>0</v>
      </c>
    </row>
    <row r="341" spans="1:54" ht="11.25" customHeight="1">
      <c r="A341" s="3" t="s">
        <v>1276</v>
      </c>
      <c r="B341" s="57" t="s">
        <v>1241</v>
      </c>
      <c r="C341" s="16" t="str">
        <f>LEFT([PAPEL],LEN([PAPEL])-(LEN([PAPEL])-4))</f>
        <v>AUTM</v>
      </c>
      <c r="D341" s="16">
        <v>4</v>
      </c>
      <c r="E341" s="5">
        <v>900188000</v>
      </c>
      <c r="F341" s="56">
        <v>125907641</v>
      </c>
      <c r="G341" s="80">
        <v>0.25</v>
      </c>
      <c r="H341" s="86"/>
      <c r="J341" s="18"/>
      <c r="K341" s="16"/>
      <c r="L341" s="86"/>
      <c r="M341" s="54">
        <v>2052866000</v>
      </c>
      <c r="N341" s="54">
        <v>385538000</v>
      </c>
      <c r="O341" s="54">
        <v>182503000</v>
      </c>
      <c r="P341" s="90">
        <v>1295190000</v>
      </c>
      <c r="Q341" s="73">
        <v>136896000</v>
      </c>
      <c r="R341" s="73">
        <f>IF(Tabela3[[#This Row],[Ativo || Passivo]]&gt;0,Tabela3[[#This Row],[Ativo || Passivo]]-Tabela3[[#This Row],[Patrimônio Líquido]],0)</f>
        <v>757676000</v>
      </c>
      <c r="S341" s="73">
        <f>Tabela3[[#This Row],[Cotação]]*Tabela3[[#This Row],[Total Ações]]</f>
        <v>1836992482.1900001</v>
      </c>
      <c r="T341" s="37">
        <f>IF(Tabela3[[#This Row],[Passivo Circulante]]&gt;0,Tabela3[[#This Row],[Ativo Circulante]]/Tabela3[[#This Row],[Passivo Circulante]],0)</f>
        <v>2.112502260236818</v>
      </c>
      <c r="U34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1" s="18">
        <f>IF(Tabela3[[#This Row],[Lucro Líquido]]&gt;0,Tabela3[[#This Row],[Lucro Líquido]]/Tabela3[[#This Row],[Patrimônio Líquido]],0)/Tabela3[[#This Row],[Ref]]*4</f>
        <v>0.10569568943552683</v>
      </c>
      <c r="W34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1" s="18">
        <f>IF(Tabela3[[#This Row],[Dívida]]&gt;0,Tabela3[[#This Row],[Dívida]]/Tabela3[[#This Row],[Patrimônio Líquido]],0)</f>
        <v>0.58499216331194648</v>
      </c>
      <c r="Y341" s="18">
        <f>SUMPRODUCT(N([Dívida / PL]&gt;0),N(RIGHT([PAPEL],LEN([PAPEL])-(LEN([PAPEL])-1))="3"),[Dívida / PL])/SUMPRODUCT(N([Dívida / PL]&gt;0),N(RIGHT([PAPEL],LEN([PAPEL])-(LEN([PAPEL])-1))="3"))</f>
        <v>2.2435702141443779</v>
      </c>
      <c r="Z341" s="7">
        <f>Tabela3[[#This Row],[Capital Social]]*20%</f>
        <v>180037600</v>
      </c>
      <c r="AA341" s="47">
        <f>IF(([Lucro Líquido]*5%)&gt;[Teto R. Legal],[Teto R. Legal],[Lucro Líquido]*5%)</f>
        <v>6844800</v>
      </c>
      <c r="AB341" s="47">
        <f>IF([Lucro Líquido]&lt;0,0,[Lucro Líquido]-[Reserva Legal])</f>
        <v>130051200</v>
      </c>
      <c r="AC341" s="47">
        <f>Tabela3[[#This Row],[Lucro Distribuir]]*[%Div]</f>
        <v>32512800</v>
      </c>
      <c r="AD341" s="56">
        <f>SUMPRODUCT(N([Nome]=Tabela3[[#This Row],[Nome]]),[Ações])</f>
        <v>125907641</v>
      </c>
      <c r="AE341" s="84">
        <f>[Capital Social]/[Total Ações]</f>
        <v>7.1495899124978441</v>
      </c>
      <c r="AF341" s="84">
        <f>Tabela3[[#This Row],[Lucro Líquido]]/Tabela3[[#This Row],[Total Ações]]</f>
        <v>1.0872731703392013</v>
      </c>
      <c r="AG34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34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341" s="7">
        <f>[Div Base]*[Ações]</f>
        <v>32512799.999999996</v>
      </c>
      <c r="AL341" s="113">
        <f>SUMPRODUCT(N([Nome]=Tabela3[[#This Row],[Nome]]),[Div Base]*[Ações])</f>
        <v>32512799.999999996</v>
      </c>
      <c r="AM341" s="5">
        <f>[Patrimônio Líquido]/[Total Ações]</f>
        <v>10.28682603941408</v>
      </c>
      <c r="AN341" s="52">
        <f>MAX(Tabela3[[#This Row],[Cotação 1]:[Cotação 5]])</f>
        <v>14.59</v>
      </c>
      <c r="AO341" s="53">
        <f>[Cotação]/[VPA]</f>
        <v>1.4183189201507116</v>
      </c>
      <c r="AP341" s="37">
        <f>IF(Tabela3[[#This Row],[Lucro/Ação]]&gt;0,Tabela3[[#This Row],[Cotação]]/(Tabela3[[#This Row],[Lucro/Ação]]/[Ref]*4),0)</f>
        <v>13.418890852837189</v>
      </c>
      <c r="AQ341" s="84">
        <f>[Lucro Distribuir]/[Total Ações]</f>
        <v>1.0329095118222411</v>
      </c>
      <c r="AR341" s="84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341" s="10" t="str">
        <f>IF(AND([% A.A.]&gt;=5%,SUMPRODUCT(N([Nome]=Tabela3[[#This Row],[Nome]]),[PL])&gt;0,[Rentabilidade s/ PL]&gt;=[Rentabilidade s/ PL Média]),"Sim","Não")</f>
        <v>Não</v>
      </c>
      <c r="AT341" s="22">
        <f>IF([Cotação]&gt;0,Tabela3[[#This Row],[Lucro]]/Tabela3[[#This Row],[Cotação]],0)</f>
        <v>1.769892926357507E-2</v>
      </c>
      <c r="AU341" s="22">
        <f>((1+Tabela3[[#This Row],[% Yield]])^(1/(3*Tabela3[[#This Row],[Ref]])))^(12)-1</f>
        <v>1.7698929263575858E-2</v>
      </c>
      <c r="AV341" s="10">
        <f>IF([Cotação]&gt;0,($BH$1/Tabela3[[#This Row],[Cotação]]-MOD($BH$1/Tabela3[[#This Row],[Cotação]],100)),)</f>
        <v>0</v>
      </c>
      <c r="AW341" s="7">
        <f>Tabela3[[#This Row],[Ativos]]*[Lucro]</f>
        <v>0</v>
      </c>
      <c r="AX341" s="7">
        <f>SUMPRODUCT(N(Tabela1[Código]=Tabela3[[#This Row],[PAPEL]]),Tabela1[Fechamento])</f>
        <v>0</v>
      </c>
      <c r="AY341" s="7">
        <f>SUMPRODUCT(N(Tabela17[Código]=Tabela3[[#This Row],[PAPEL]]),Tabela17[Fechamento])</f>
        <v>0</v>
      </c>
      <c r="AZ341" s="7">
        <f>SUMPRODUCT(N(Tabela176[Código]=Tabela3[[#This Row],[PAPEL]]),Tabela176[Fechamento])</f>
        <v>0</v>
      </c>
      <c r="BA341" s="7">
        <f>SUMPRODUCT(N(Tabela1768[Código]=Tabela3[[#This Row],[PAPEL]]),Tabela1768[Fechamento])</f>
        <v>0</v>
      </c>
      <c r="BB341" s="7">
        <f>SUMPRODUCT(N(Tabela17683[Código]=Tabela3[[#This Row],[PAPEL]]),Tabela17683[Fechamento])</f>
        <v>14.59</v>
      </c>
    </row>
    <row r="342" spans="1:54" ht="11.25" customHeight="1">
      <c r="A342" s="4" t="s">
        <v>26</v>
      </c>
      <c r="B342" s="57" t="s">
        <v>57</v>
      </c>
      <c r="C342" s="81" t="str">
        <f>LEFT([PAPEL],LEN([PAPEL])-(LEN([PAPEL])-4))</f>
        <v>SULA</v>
      </c>
      <c r="D342" s="16">
        <v>4</v>
      </c>
      <c r="E342" s="5"/>
      <c r="F342" s="56"/>
      <c r="G342" s="85"/>
      <c r="H342" s="16"/>
      <c r="J342" s="18"/>
      <c r="K342" s="86">
        <v>1</v>
      </c>
      <c r="L342" s="86">
        <v>2</v>
      </c>
      <c r="M342" s="54">
        <v>4172250000</v>
      </c>
      <c r="N342" s="54">
        <v>393710000</v>
      </c>
      <c r="O342" s="54">
        <v>94664000</v>
      </c>
      <c r="P342" s="6">
        <v>3576748000</v>
      </c>
      <c r="Q342" s="6">
        <v>480429000</v>
      </c>
      <c r="R342" s="6">
        <f>IF(Tabela3[[#This Row],[Ativo || Passivo]]&gt;0,Tabela3[[#This Row],[Ativo || Passivo]]-Tabela3[[#This Row],[Patrimônio Líquido]],0)</f>
        <v>595502000</v>
      </c>
      <c r="S342" s="6">
        <f>Tabela3[[#This Row],[Cotação]]*Tabela3[[#This Row],[Total Ações]]</f>
        <v>15016198692.17</v>
      </c>
      <c r="T342" s="121">
        <f>IF(Tabela3[[#This Row],[Passivo Circulante]]&gt;0,Tabela3[[#This Row],[Ativo Circulante]]/Tabela3[[#This Row],[Passivo Circulante]],0)</f>
        <v>4.159025606355109</v>
      </c>
      <c r="U34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2" s="19">
        <f>IF(Tabela3[[#This Row],[Lucro Líquido]]&gt;0,Tabela3[[#This Row],[Lucro Líquido]]/Tabela3[[#This Row],[Patrimônio Líquido]],0)/Tabela3[[#This Row],[Ref]]*4</f>
        <v>0.13432005833231753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2" s="19">
        <f>IF(Tabela3[[#This Row],[Dívida]]&gt;0,Tabela3[[#This Row],[Dívida]]/Tabela3[[#This Row],[Patrimônio Líquido]],0)</f>
        <v>0.16649257929269828</v>
      </c>
      <c r="Y342" s="19">
        <f>SUMPRODUCT(N([Dívida / PL]&gt;0),N(RIGHT([PAPEL],LEN([PAPEL])-(LEN([PAPEL])-1))="3"),[Dívida / PL])/SUMPRODUCT(N([Dívida / PL]&gt;0),N(RIGHT([PAPEL],LEN([PAPEL])-(LEN([PAPEL])-1))="3"))</f>
        <v>2.2435702141443779</v>
      </c>
      <c r="Z342" s="5">
        <f>Tabela3[[#This Row],[Capital Social]]*20%</f>
        <v>0</v>
      </c>
      <c r="AA342" s="5">
        <f>IF(([Lucro Líquido]*5%)&gt;[Teto R. Legal],[Teto R. Legal],[Lucro Líquido]*5%)</f>
        <v>0</v>
      </c>
      <c r="AB342" s="5">
        <f>IF([Lucro Líquido]&lt;0,0,[Lucro Líquido]-[Reserva Legal])</f>
        <v>480429000</v>
      </c>
      <c r="AC342" s="5">
        <f>Tabela3[[#This Row],[Lucro Distribuir]]*[%Div]</f>
        <v>0</v>
      </c>
      <c r="AD342" s="56">
        <f>SUMPRODUCT(N([Nome]=Tabela3[[#This Row],[Nome]]),[Ações])</f>
        <v>1022205493</v>
      </c>
      <c r="AE342" s="5">
        <f>[Capital Social]/[Total Ações]</f>
        <v>0</v>
      </c>
      <c r="AF342" s="76">
        <f>Tabela3[[#This Row],[Lucro Líquido]]/Tabela3[[#This Row],[Total Ações]]</f>
        <v>0.46999258298839919</v>
      </c>
      <c r="AG34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5">
        <f>[Div Base]*[Ações]</f>
        <v>0</v>
      </c>
      <c r="AL342" s="5">
        <f>SUMPRODUCT(N([Nome]=Tabela3[[#This Row],[Nome]]),[Div Base]*[Ações])</f>
        <v>114101887.5</v>
      </c>
      <c r="AM342" s="5">
        <f>[Patrimônio Líquido]/[Total Ações]</f>
        <v>3.4990498725484738</v>
      </c>
      <c r="AN342" s="52">
        <f>MAX(Tabela3[[#This Row],[Cotação 1]:[Cotação 5]])</f>
        <v>14.69</v>
      </c>
      <c r="AO342" s="53">
        <f>[Cotação]/[VPA]</f>
        <v>4.1982825438554796</v>
      </c>
      <c r="AP342" s="37">
        <f>IF(Tabela3[[#This Row],[Lucro/Ação]]&gt;0,Tabela3[[#This Row],[Cotação]]/(Tabela3[[#This Row],[Lucro/Ação]]/[Ref]*4),0)</f>
        <v>31.255812393027895</v>
      </c>
      <c r="AQ342" s="76">
        <f>[Lucro Distribuir]/[Total Ações]</f>
        <v>0.46999258298839919</v>
      </c>
      <c r="AR342" s="76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342" s="16" t="str">
        <f>IF(AND([% A.A.]&gt;=5%,SUMPRODUCT(N([Nome]=Tabela3[[#This Row],[Nome]]),[PL])&gt;0,[Rentabilidade s/ PL]&gt;=[Rentabilidade s/ PL Média]),"Sim","Não")</f>
        <v>Não</v>
      </c>
      <c r="AT342" s="22">
        <f>IF([Cotação]&gt;0,Tabela3[[#This Row],[Lucro]]/Tabela3[[#This Row],[Cotação]],0)</f>
        <v>2.2795760066659936E-2</v>
      </c>
      <c r="AU342" s="18">
        <f>((1+Tabela3[[#This Row],[% Yield]])^(1/(3*Tabela3[[#This Row],[Ref]])))^(12)-1</f>
        <v>2.279576006666173E-2</v>
      </c>
      <c r="AV342" s="10">
        <f>IF([Cotação]&gt;0,($BH$1/Tabela3[[#This Row],[Cotação]]-MOD($BH$1/Tabela3[[#This Row],[Cotação]],100)),)</f>
        <v>0</v>
      </c>
      <c r="AW342" s="7">
        <f>Tabela3[[#This Row],[Ativos]]*[Lucro]</f>
        <v>0</v>
      </c>
      <c r="AX342" s="47">
        <f>SUMPRODUCT(N(Tabela1[Código]=Tabela3[[#This Row],[PAPEL]]),Tabela1[Fechamento])</f>
        <v>0</v>
      </c>
      <c r="AY342" s="54">
        <f>SUMPRODUCT(N(Tabela17[Código]=Tabela3[[#This Row],[PAPEL]]),Tabela17[Fechamento])</f>
        <v>14.69</v>
      </c>
      <c r="AZ342" s="7">
        <f>SUMPRODUCT(N(Tabela176[Código]=Tabela3[[#This Row],[PAPEL]]),Tabela176[Fechamento])</f>
        <v>0</v>
      </c>
      <c r="BA342" s="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customHeight="1">
      <c r="A343" s="24" t="s">
        <v>12</v>
      </c>
      <c r="B343" s="57" t="s">
        <v>29</v>
      </c>
      <c r="C343" s="15" t="str">
        <f>LEFT([PAPEL],LEN([PAPEL])-(LEN([PAPEL])-4))</f>
        <v>GETI</v>
      </c>
      <c r="D343" s="16">
        <v>4</v>
      </c>
      <c r="E343" s="6">
        <v>207227038.81</v>
      </c>
      <c r="F343" s="56">
        <v>197461211</v>
      </c>
      <c r="G343" s="80">
        <v>0.25</v>
      </c>
      <c r="H343" s="16"/>
      <c r="J343" s="18"/>
      <c r="K343" s="86"/>
      <c r="L343" s="86"/>
      <c r="M343" s="54">
        <v>4073242000</v>
      </c>
      <c r="N343" s="54">
        <v>762943000</v>
      </c>
      <c r="O343" s="54">
        <v>892729000</v>
      </c>
      <c r="P343" s="89">
        <v>1783809000</v>
      </c>
      <c r="Q343" s="89">
        <v>881359000</v>
      </c>
      <c r="R343" s="89">
        <f>IF(Tabela3[[#This Row],[Ativo || Passivo]]&gt;0,Tabela3[[#This Row],[Ativo || Passivo]]-Tabela3[[#This Row],[Patrimônio Líquido]],0)</f>
        <v>2289433000</v>
      </c>
      <c r="S343" s="89">
        <f>Tabela3[[#This Row],[Cotação]]*Tabela3[[#This Row],[Total Ações]]</f>
        <v>5604426347.0999994</v>
      </c>
      <c r="T343" s="120">
        <f>IF(Tabela3[[#This Row],[Passivo Circulante]]&gt;0,Tabela3[[#This Row],[Ativo Circulante]]/Tabela3[[#This Row],[Passivo Circulante]],0)</f>
        <v>0.85461881489231339</v>
      </c>
      <c r="U34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3" s="49">
        <f>IF(Tabela3[[#This Row],[Lucro Líquido]]&gt;0,Tabela3[[#This Row],[Lucro Líquido]]/Tabela3[[#This Row],[Patrimônio Líquido]],0)/Tabela3[[#This Row],[Ref]]*4</f>
        <v>0.49408821235905864</v>
      </c>
      <c r="W34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3" s="49">
        <f>IF(Tabela3[[#This Row],[Dívida]]&gt;0,Tabela3[[#This Row],[Dívida]]/Tabela3[[#This Row],[Patrimônio Líquido]],0)</f>
        <v>1.2834518718091454</v>
      </c>
      <c r="Y343" s="49">
        <f>SUMPRODUCT(N([Dívida / PL]&gt;0),N(RIGHT([PAPEL],LEN([PAPEL])-(LEN([PAPEL])-1))="3"),[Dívida / PL])/SUMPRODUCT(N([Dívida / PL]&gt;0),N(RIGHT([PAPEL],LEN([PAPEL])-(LEN([PAPEL])-1))="3"))</f>
        <v>2.2435702141443779</v>
      </c>
      <c r="Z343" s="28">
        <f>Tabela3[[#This Row],[Capital Social]]*20%</f>
        <v>41445407.762000002</v>
      </c>
      <c r="AA343" s="28">
        <f>IF(([Lucro Líquido]*5%)&gt;[Teto R. Legal],[Teto R. Legal],[Lucro Líquido]*5%)</f>
        <v>41445407.762000002</v>
      </c>
      <c r="AB343" s="89">
        <f>IF([Lucro Líquido]&lt;0,0,[Lucro Líquido]-[Reserva Legal])</f>
        <v>839913592.23800004</v>
      </c>
      <c r="AC343" s="89">
        <f>Tabela3[[#This Row],[Lucro Distribuir]]*[%Div]</f>
        <v>209978398.05950001</v>
      </c>
      <c r="AD343" s="56">
        <f>SUMPRODUCT(N([Nome]=Tabela3[[#This Row],[Nome]]),[Ações])</f>
        <v>381253493</v>
      </c>
      <c r="AE343" s="28">
        <f>[Capital Social]/[Total Ações]</f>
        <v>0.54354135139687754</v>
      </c>
      <c r="AF343" s="78">
        <f>Tabela3[[#This Row],[Lucro Líquido]]/Tabela3[[#This Row],[Total Ações]]</f>
        <v>2.3117401313881207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343" s="28">
        <f>[Div Base]*[Ações]</f>
        <v>105369605.00073382</v>
      </c>
      <c r="AL343" s="28">
        <f>SUMPRODUCT(N([Nome]=Tabela3[[#This Row],[Nome]]),[Div Base]*[Ações])</f>
        <v>213252728.44292897</v>
      </c>
      <c r="AM343" s="28">
        <f>[Patrimônio Líquido]/[Total Ações]</f>
        <v>4.6788004116725563</v>
      </c>
      <c r="AN343" s="29">
        <f>MAX(Tabela3[[#This Row],[Cotação 1]:[Cotação 5]])</f>
        <v>14.7</v>
      </c>
      <c r="AO343" s="30">
        <f>[Cotação]/[VPA]</f>
        <v>3.1418309623395775</v>
      </c>
      <c r="AP343" s="35">
        <f>IF(Tabela3[[#This Row],[Lucro/Ação]]&gt;0,Tabela3[[#This Row],[Cotação]]/(Tabela3[[#This Row],[Lucro/Ação]]/[Ref]*4),0)</f>
        <v>6.3588462216871902</v>
      </c>
      <c r="AQ343" s="77">
        <f>[Lucro Distribuir]/[Total Ações]</f>
        <v>2.2030318611087454</v>
      </c>
      <c r="AR343" s="77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343" s="25" t="str">
        <f>IF(AND([% A.A.]&gt;=5%,SUMPRODUCT(N([Nome]=Tabela3[[#This Row],[Nome]]),[PL])&gt;0,[Rentabilidade s/ PL]&gt;=[Rentabilidade s/ PL Média]),"Sim","Não")</f>
        <v>Não</v>
      </c>
      <c r="AT343" s="27">
        <f>IF([Cotação]&gt;0,Tabela3[[#This Row],[Lucro]]/Tabela3[[#This Row],[Cotação]],0)</f>
        <v>3.6300802086066286E-2</v>
      </c>
      <c r="AU343" s="49">
        <f>((1+Tabela3[[#This Row],[% Yield]])^(1/(3*Tabela3[[#This Row],[Ref]])))^(12)-1</f>
        <v>3.6300802086067341E-2</v>
      </c>
      <c r="AV343" s="10">
        <f>IF([Cotação]&gt;0,($BH$1/Tabela3[[#This Row],[Cotação]]-MOD($BH$1/Tabela3[[#This Row],[Cotação]],100)),)</f>
        <v>0</v>
      </c>
      <c r="AW343" s="7">
        <f>Tabela3[[#This Row],[Ativos]]*[Lucro]</f>
        <v>0</v>
      </c>
      <c r="AX343" s="5">
        <f>SUMPRODUCT(N(Tabela1[Código]=Tabela3[[#This Row],[PAPEL]]),Tabela1[Fechamento])</f>
        <v>14.7</v>
      </c>
      <c r="AY343" s="5">
        <f>SUMPRODUCT(N(Tabela17[Código]=Tabela3[[#This Row],[PAPEL]]),Tabela17[Fechamento])</f>
        <v>0</v>
      </c>
      <c r="AZ343" s="7">
        <f>SUMPRODUCT(N(Tabela176[Código]=Tabela3[[#This Row],[PAPEL]]),Tabela176[Fechamento])</f>
        <v>0</v>
      </c>
      <c r="BA343" s="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customHeight="1">
      <c r="A344" s="3" t="s">
        <v>964</v>
      </c>
      <c r="B344" s="58" t="s">
        <v>966</v>
      </c>
      <c r="C344" s="16" t="str">
        <f>LEFT([PAPEL],LEN([PAPEL])-(LEN([PAPEL])-4))</f>
        <v>TECN</v>
      </c>
      <c r="D344" s="16">
        <v>3</v>
      </c>
      <c r="E344" s="5">
        <v>126331859.86</v>
      </c>
      <c r="F344" s="56">
        <v>77636196</v>
      </c>
      <c r="G344" s="80">
        <v>0.25</v>
      </c>
      <c r="H344" s="86"/>
      <c r="J344" s="18"/>
      <c r="K344" s="16"/>
      <c r="L344" s="86"/>
      <c r="M344" s="54"/>
      <c r="N344" s="54"/>
      <c r="O344" s="54"/>
      <c r="P344" s="90">
        <v>417585000</v>
      </c>
      <c r="Q344" s="73">
        <v>2518000</v>
      </c>
      <c r="R344" s="73">
        <f>IF(Tabela3[[#This Row],[Ativo || Passivo]]&gt;0,Tabela3[[#This Row],[Ativo || Passivo]]-Tabela3[[#This Row],[Patrimônio Líquido]],0)</f>
        <v>0</v>
      </c>
      <c r="S344" s="73">
        <f>Tabela3[[#This Row],[Cotação]]*Tabela3[[#This Row],[Total Ações]]</f>
        <v>1162990216.0799999</v>
      </c>
      <c r="T344" s="37">
        <f>IF(Tabela3[[#This Row],[Passivo Circulante]]&gt;0,Tabela3[[#This Row],[Ativo Circulante]]/Tabela3[[#This Row],[Passivo Circulante]],0)</f>
        <v>0</v>
      </c>
      <c r="U34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4" s="18">
        <f>IF(Tabela3[[#This Row],[Lucro Líquido]]&gt;0,Tabela3[[#This Row],[Lucro Líquido]]/Tabela3[[#This Row],[Patrimônio Líquido]],0)/Tabela3[[#This Row],[Ref]]*4</f>
        <v>8.0398801042502327E-3</v>
      </c>
      <c r="W34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4" s="18">
        <f>IF(Tabela3[[#This Row],[Dívida]]&gt;0,Tabela3[[#This Row],[Dívida]]/Tabela3[[#This Row],[Patrimônio Líquido]],0)</f>
        <v>0</v>
      </c>
      <c r="Y344" s="18">
        <f>SUMPRODUCT(N([Dívida / PL]&gt;0),N(RIGHT([PAPEL],LEN([PAPEL])-(LEN([PAPEL])-1))="3"),[Dívida / PL])/SUMPRODUCT(N([Dívida / PL]&gt;0),N(RIGHT([PAPEL],LEN([PAPEL])-(LEN([PAPEL])-1))="3"))</f>
        <v>2.2435702141443779</v>
      </c>
      <c r="Z344" s="7">
        <f>Tabela3[[#This Row],[Capital Social]]*20%</f>
        <v>25266371.972000003</v>
      </c>
      <c r="AA344" s="47">
        <f>IF(([Lucro Líquido]*5%)&gt;[Teto R. Legal],[Teto R. Legal],[Lucro Líquido]*5%)</f>
        <v>125900</v>
      </c>
      <c r="AB344" s="47">
        <f>IF([Lucro Líquido]&lt;0,0,[Lucro Líquido]-[Reserva Legal])</f>
        <v>2392100</v>
      </c>
      <c r="AC344" s="47">
        <f>Tabela3[[#This Row],[Lucro Distribuir]]*[%Div]</f>
        <v>598025</v>
      </c>
      <c r="AD344" s="56">
        <f>SUMPRODUCT(N([Nome]=Tabela3[[#This Row],[Nome]]),[Ações])</f>
        <v>77636196</v>
      </c>
      <c r="AE344" s="84">
        <f>[Capital Social]/[Total Ações]</f>
        <v>1.62722887478928</v>
      </c>
      <c r="AF344" s="84">
        <f>Tabela3[[#This Row],[Lucro Líquido]]/Tabela3[[#This Row],[Total Ações]]</f>
        <v>3.243332530099749E-2</v>
      </c>
      <c r="AG34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34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344" s="7">
        <f>[Div Base]*[Ações]</f>
        <v>598025</v>
      </c>
      <c r="AL344" s="7">
        <f>SUMPRODUCT(N([Nome]=Tabela3[[#This Row],[Nome]]),[Div Base]*[Ações])</f>
        <v>598025</v>
      </c>
      <c r="AM344" s="5">
        <f>[Patrimônio Líquido]/[Total Ações]</f>
        <v>5.3787411222466384</v>
      </c>
      <c r="AN344" s="52">
        <f>MAX(Tabela3[[#This Row],[Cotação 1]:[Cotação 5]])</f>
        <v>14.98</v>
      </c>
      <c r="AO344" s="53">
        <f>[Cotação]/[VPA]</f>
        <v>2.7850382941916019</v>
      </c>
      <c r="AP344" s="37">
        <f>IF(Tabela3[[#This Row],[Lucro/Ação]]&gt;0,Tabela3[[#This Row],[Cotação]]/(Tabela3[[#This Row],[Lucro/Ação]]/[Ref]*4),0)</f>
        <v>346.40296348689435</v>
      </c>
      <c r="AQ344" s="84">
        <f>[Lucro Distribuir]/[Total Ações]</f>
        <v>3.0811659035947615E-2</v>
      </c>
      <c r="AR344" s="84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344" s="10" t="str">
        <f>IF(AND([% A.A.]&gt;=5%,SUMPRODUCT(N([Nome]=Tabela3[[#This Row],[Nome]]),[PL])&gt;0,[Rentabilidade s/ PL]&gt;=[Rentabilidade s/ PL Média]),"Sim","Não")</f>
        <v>Não</v>
      </c>
      <c r="AT344" s="22">
        <f>IF([Cotação]&gt;0,Tabela3[[#This Row],[Lucro]]/Tabela3[[#This Row],[Cotação]],0)</f>
        <v>5.1421326829018045E-4</v>
      </c>
      <c r="AU344" s="22">
        <f>((1+Tabela3[[#This Row],[% Yield]])^(1/(3*Tabela3[[#This Row],[Ref]])))^(12)-1</f>
        <v>6.8567644329342592E-4</v>
      </c>
      <c r="AV344" s="10">
        <f>IF([Cotação]&gt;0,($BH$1/Tabela3[[#This Row],[Cotação]]-MOD($BH$1/Tabela3[[#This Row],[Cotação]],100)),)</f>
        <v>0</v>
      </c>
      <c r="AW344" s="7">
        <f>Tabela3[[#This Row],[Ativos]]*[Lucro]</f>
        <v>0</v>
      </c>
      <c r="AX344" s="7">
        <f>SUMPRODUCT(N(Tabela1[Código]=Tabela3[[#This Row],[PAPEL]]),Tabela1[Fechamento])</f>
        <v>0</v>
      </c>
      <c r="AY344" s="7">
        <f>SUMPRODUCT(N(Tabela17[Código]=Tabela3[[#This Row],[PAPEL]]),Tabela17[Fechamento])</f>
        <v>0</v>
      </c>
      <c r="AZ344" s="7">
        <f>SUMPRODUCT(N(Tabela176[Código]=Tabela3[[#This Row],[PAPEL]]),Tabela176[Fechamento])</f>
        <v>0</v>
      </c>
      <c r="BA344" s="7">
        <f>SUMPRODUCT(N(Tabela1768[Código]=Tabela3[[#This Row],[PAPEL]]),Tabela1768[Fechamento])</f>
        <v>14.98</v>
      </c>
      <c r="BB344" s="7">
        <f>SUMPRODUCT(N(Tabela17683[Código]=Tabela3[[#This Row],[PAPEL]]),Tabela17683[Fechamento])</f>
        <v>0</v>
      </c>
    </row>
    <row r="345" spans="1:54" ht="11.25" customHeight="1">
      <c r="A345" s="4" t="s">
        <v>12</v>
      </c>
      <c r="B345" s="57" t="s">
        <v>162</v>
      </c>
      <c r="C345" s="83" t="str">
        <f>LEFT([PAPEL],LEN([PAPEL])-(LEN([PAPEL])-4))</f>
        <v>ELPL</v>
      </c>
      <c r="D345" s="15">
        <v>4</v>
      </c>
      <c r="E345" s="5">
        <v>1257629316.47</v>
      </c>
      <c r="F345" s="8">
        <v>66604817</v>
      </c>
      <c r="G345" s="85">
        <v>0.25</v>
      </c>
      <c r="H345" s="15"/>
      <c r="I345" s="19"/>
      <c r="J345" s="19"/>
      <c r="K345" s="87"/>
      <c r="L345" s="87"/>
      <c r="M345" s="54">
        <v>10694051000</v>
      </c>
      <c r="N345" s="54">
        <v>2675679000</v>
      </c>
      <c r="O345" s="54">
        <v>2220725000</v>
      </c>
      <c r="P345" s="88">
        <v>2829462000</v>
      </c>
      <c r="Q345" s="88">
        <v>198182000</v>
      </c>
      <c r="R345" s="88">
        <f>IF(Tabela3[[#This Row],[Ativo || Passivo]]&gt;0,Tabela3[[#This Row],[Ativo || Passivo]]-Tabela3[[#This Row],[Patrimônio Líquido]],0)</f>
        <v>7864589000</v>
      </c>
      <c r="S345" s="88">
        <f>Tabela3[[#This Row],[Cotação]]*Tabela3[[#This Row],[Total Ações]]</f>
        <v>2510158305</v>
      </c>
      <c r="T345" s="121">
        <f>IF(Tabela3[[#This Row],[Passivo Circulante]]&gt;0,Tabela3[[#This Row],[Ativo Circulante]]/Tabela3[[#This Row],[Passivo Circulante]],0)</f>
        <v>1.2048673293631584</v>
      </c>
      <c r="U34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5" s="19">
        <f>IF(Tabela3[[#This Row],[Lucro Líquido]]&gt;0,Tabela3[[#This Row],[Lucro Líquido]]/Tabela3[[#This Row],[Patrimônio Líquido]],0)/Tabela3[[#This Row],[Ref]]*4</f>
        <v>7.0042290725233283E-2</v>
      </c>
      <c r="W34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5" s="19">
        <f>IF(Tabela3[[#This Row],[Dívida]]&gt;0,Tabela3[[#This Row],[Dívida]]/Tabela3[[#This Row],[Patrimônio Líquido]],0)</f>
        <v>2.7795351201041045</v>
      </c>
      <c r="Y345" s="19">
        <f>SUMPRODUCT(N([Dívida / PL]&gt;0),N(RIGHT([PAPEL],LEN([PAPEL])-(LEN([PAPEL])-1))="3"),[Dívida / PL])/SUMPRODUCT(N([Dívida / PL]&gt;0),N(RIGHT([PAPEL],LEN([PAPEL])-(LEN([PAPEL])-1))="3"))</f>
        <v>2.2435702141443779</v>
      </c>
      <c r="Z345" s="13">
        <f>Tabela3[[#This Row],[Capital Social]]*20%</f>
        <v>251525863.29400003</v>
      </c>
      <c r="AA345" s="13">
        <f>IF(([Lucro Líquido]*5%)&gt;[Teto R. Legal],[Teto R. Legal],[Lucro Líquido]*5%)</f>
        <v>9909100</v>
      </c>
      <c r="AB345" s="88">
        <f>IF([Lucro Líquido]&lt;0,0,[Lucro Líquido]-[Reserva Legal])</f>
        <v>188272900</v>
      </c>
      <c r="AC345" s="88">
        <f>Tabela3[[#This Row],[Lucro Distribuir]]*[%Div]</f>
        <v>47068225</v>
      </c>
      <c r="AD345" s="56">
        <f>SUMPRODUCT(N([Nome]=Tabela3[[#This Row],[Nome]]),[Ações])</f>
        <v>167343887</v>
      </c>
      <c r="AE345" s="5">
        <f>[Capital Social]/[Total Ações]</f>
        <v>7.5152390626016716</v>
      </c>
      <c r="AF345" s="77">
        <f>Tabela3[[#This Row],[Lucro Líquido]]/Tabela3[[#This Row],[Total Ações]]</f>
        <v>1.1842798894709552</v>
      </c>
      <c r="AG3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3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345" s="13">
        <f>[Div Base]*[Ações]</f>
        <v>18150825.305932619</v>
      </c>
      <c r="AL345" s="13">
        <f>SUMPRODUCT(N([Nome]=Tabela3[[#This Row],[Nome]]),[Div Base]*[Ações])</f>
        <v>48349046.403254516</v>
      </c>
      <c r="AM345" s="6">
        <f>[Patrimônio Líquido]/[Total Ações]</f>
        <v>16.908069070966423</v>
      </c>
      <c r="AN345" s="48">
        <f>MAX(Tabela3[[#This Row],[Cotação 1]:[Cotação 5]])</f>
        <v>15</v>
      </c>
      <c r="AO345" s="44">
        <f>[Cotação]/[VPA]</f>
        <v>0.88715038583306649</v>
      </c>
      <c r="AP345" s="40">
        <f>IF(Tabela3[[#This Row],[Lucro/Ação]]&gt;0,Tabela3[[#This Row],[Cotação]]/(Tabela3[[#This Row],[Lucro/Ação]]/[Ref]*4),0)</f>
        <v>12.665924781261667</v>
      </c>
      <c r="AQ345" s="77">
        <f>[Lucro Distribuir]/[Total Ações]</f>
        <v>1.1250658949974073</v>
      </c>
      <c r="AR345" s="77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345" s="14" t="str">
        <f>IF(AND([% A.A.]&gt;=5%,SUMPRODUCT(N([Nome]=Tabela3[[#This Row],[Nome]]),[PL])&gt;0,[Rentabilidade s/ PL]&gt;=[Rentabilidade s/ PL Média]),"Sim","Não")</f>
        <v>Não</v>
      </c>
      <c r="AT345" s="42">
        <f>IF([Cotação]&gt;0,Tabela3[[#This Row],[Lucro]]/Tabela3[[#This Row],[Cotação]],0)</f>
        <v>1.8167680280474427E-2</v>
      </c>
      <c r="AU345" s="19">
        <f>((1+Tabela3[[#This Row],[% Yield]])^(1/(3*Tabela3[[#This Row],[Ref]])))^(12)-1</f>
        <v>1.8167680280472887E-2</v>
      </c>
      <c r="AV345" s="14">
        <f>IF([Cotação]&gt;0,($BH$1/Tabela3[[#This Row],[Cotação]]-MOD($BH$1/Tabela3[[#This Row],[Cotação]],100)),)</f>
        <v>0</v>
      </c>
      <c r="AW345" s="17">
        <f>Tabela3[[#This Row],[Ativos]]*[Lucro]</f>
        <v>0</v>
      </c>
      <c r="AX345" s="17">
        <f>SUMPRODUCT(N(Tabela1[Código]=Tabela3[[#This Row],[PAPEL]]),Tabela1[Fechamento])</f>
        <v>15</v>
      </c>
      <c r="AY345" s="1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0</v>
      </c>
    </row>
    <row r="346" spans="1:54" ht="11.25" customHeight="1">
      <c r="A346" s="3" t="s">
        <v>905</v>
      </c>
      <c r="B346" s="58" t="s">
        <v>904</v>
      </c>
      <c r="C346" s="16" t="str">
        <f>LEFT([PAPEL],LEN([PAPEL])-(LEN([PAPEL])-4))</f>
        <v>NAFG</v>
      </c>
      <c r="D346" s="16">
        <v>3</v>
      </c>
      <c r="E346" s="5">
        <v>90000000</v>
      </c>
      <c r="F346" s="56">
        <v>8065423</v>
      </c>
      <c r="G346" s="80">
        <v>0.25</v>
      </c>
      <c r="H346" s="86"/>
      <c r="I346" s="18">
        <v>0.06</v>
      </c>
      <c r="J346" s="18"/>
      <c r="K346" s="16"/>
      <c r="L346" s="86"/>
      <c r="M346" s="54"/>
      <c r="N346" s="54"/>
      <c r="O346" s="54"/>
      <c r="P346" s="90">
        <v>289903000</v>
      </c>
      <c r="Q346" s="73">
        <v>-10989000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203685465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6" s="18">
        <f>IF(Tabela3[[#This Row],[Lucro Líquido]]&gt;0,Tabela3[[#This Row],[Lucro Líquido]]/Tabela3[[#This Row],[Patrimônio Líquido]],0)/Tabela3[[#This Row],[Ref]]*4</f>
        <v>0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2.2435702141443779</v>
      </c>
      <c r="Z346" s="7">
        <f>Tabela3[[#This Row],[Capital Social]]*20%</f>
        <v>18000000</v>
      </c>
      <c r="AA346" s="47">
        <f>IF(([Lucro Líquido]*5%)&gt;[Teto R. Legal],[Teto R. Legal],[Lucro Líquido]*5%)</f>
        <v>-549450</v>
      </c>
      <c r="AB346" s="47">
        <f>IF([Lucro Líquido]&lt;0,0,[Lucro Líquido]-[Reserva Legal])</f>
        <v>0</v>
      </c>
      <c r="AC346" s="47">
        <f>Tabela3[[#This Row],[Lucro Distribuir]]*[%Div]</f>
        <v>0</v>
      </c>
      <c r="AD346" s="56">
        <f>SUMPRODUCT(N([Nome]=Tabela3[[#This Row],[Nome]]),[Ações])</f>
        <v>13579031</v>
      </c>
      <c r="AE346" s="84">
        <f>[Capital Social]/[Total Ações]</f>
        <v>6.6278661562816961</v>
      </c>
      <c r="AF346" s="84">
        <f>Tabela3[[#This Row],[Lucro Líquido]]/Tabela3[[#This Row],[Total Ações]]</f>
        <v>-0.80926245768199512</v>
      </c>
      <c r="AG34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6" s="7">
        <f>[Div Base]*[Ações]</f>
        <v>0</v>
      </c>
      <c r="AL346" s="7">
        <f>SUMPRODUCT(N([Nome]=Tabela3[[#This Row],[Nome]]),[Div Base]*[Ações])</f>
        <v>0</v>
      </c>
      <c r="AM346" s="5">
        <f>[Patrimônio Líquido]/[Total Ações]</f>
        <v>21.34931424782814</v>
      </c>
      <c r="AN346" s="52">
        <f>MAX(Tabela3[[#This Row],[Cotação 1]:[Cotação 5]])</f>
        <v>15</v>
      </c>
      <c r="AO346" s="53">
        <f>[Cotação]/[VPA]</f>
        <v>0.70259867955833499</v>
      </c>
      <c r="AP346" s="37">
        <f>IF(Tabela3[[#This Row],[Lucro/Ação]]&gt;0,Tabela3[[#This Row],[Cotação]]/(Tabela3[[#This Row],[Lucro/Ação]]/[Ref]*4),0)</f>
        <v>0</v>
      </c>
      <c r="AQ346" s="84">
        <f>[Lucro Distribuir]/[Total Ações]</f>
        <v>0</v>
      </c>
      <c r="AR34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0</v>
      </c>
      <c r="AU346" s="22">
        <f>((1+Tabela3[[#This Row],[% Yield]])^(1/(3*Tabela3[[#This Row],[Ref]])))^(12)-1</f>
        <v>0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15</v>
      </c>
      <c r="BB346" s="7">
        <f>SUMPRODUCT(N(Tabela17683[Código]=Tabela3[[#This Row],[PAPEL]]),Tabela17683[Fechamento])</f>
        <v>0</v>
      </c>
    </row>
    <row r="347" spans="1:54" ht="11.25" customHeight="1">
      <c r="A347" s="4" t="s">
        <v>359</v>
      </c>
      <c r="B347" s="57" t="s">
        <v>358</v>
      </c>
      <c r="C347" s="81" t="str">
        <f>LEFT([PAPEL],LEN([PAPEL])-(LEN([PAPEL])-4))</f>
        <v>BRIN</v>
      </c>
      <c r="D347" s="15">
        <v>3</v>
      </c>
      <c r="E347" s="6">
        <v>348895784.44999999</v>
      </c>
      <c r="F347" s="8">
        <v>98042555</v>
      </c>
      <c r="G347" s="80">
        <v>0.25</v>
      </c>
      <c r="H347" s="15"/>
      <c r="I347" s="19"/>
      <c r="J347" s="19"/>
      <c r="K347" s="87"/>
      <c r="L347" s="87"/>
      <c r="M347" s="55"/>
      <c r="N347" s="55"/>
      <c r="O347" s="55"/>
      <c r="P347" s="6">
        <v>496428000</v>
      </c>
      <c r="Q347" s="6">
        <v>88119000</v>
      </c>
      <c r="R347" s="6">
        <f>IF(Tabela3[[#This Row],[Ativo || Passivo]]&gt;0,Tabela3[[#This Row],[Ativo || Passivo]]-Tabela3[[#This Row],[Patrimônio Líquido]],0)</f>
        <v>0</v>
      </c>
      <c r="S347" s="6">
        <f>Tabela3[[#This Row],[Cotação]]*Tabela3[[#This Row],[Total Ações]]</f>
        <v>1480442580.5</v>
      </c>
      <c r="T347" s="121">
        <f>IF(Tabela3[[#This Row],[Passivo Circulante]]&gt;0,Tabela3[[#This Row],[Ativo Circulante]]/Tabela3[[#This Row],[Passivo Circulante]],0)</f>
        <v>0</v>
      </c>
      <c r="U34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7" s="19">
        <f>IF(Tabela3[[#This Row],[Lucro Líquido]]&gt;0,Tabela3[[#This Row],[Lucro Líquido]]/Tabela3[[#This Row],[Patrimônio Líquido]],0)/Tabela3[[#This Row],[Ref]]*4</f>
        <v>0.23667480480553071</v>
      </c>
      <c r="W34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7" s="19">
        <f>IF(Tabela3[[#This Row],[Dívida]]&gt;0,Tabela3[[#This Row],[Dívida]]/Tabela3[[#This Row],[Patrimônio Líquido]],0)</f>
        <v>0</v>
      </c>
      <c r="Y347" s="19">
        <f>SUMPRODUCT(N([Dívida / PL]&gt;0),N(RIGHT([PAPEL],LEN([PAPEL])-(LEN([PAPEL])-1))="3"),[Dívida / PL])/SUMPRODUCT(N([Dívida / PL]&gt;0),N(RIGHT([PAPEL],LEN([PAPEL])-(LEN([PAPEL])-1))="3"))</f>
        <v>2.2435702141443779</v>
      </c>
      <c r="Z347" s="6">
        <f>Tabela3[[#This Row],[Capital Social]]*20%</f>
        <v>69779156.890000001</v>
      </c>
      <c r="AA347" s="6">
        <f>IF(([Lucro Líquido]*5%)&gt;[Teto R. Legal],[Teto R. Legal],[Lucro Líquido]*5%)</f>
        <v>4405950</v>
      </c>
      <c r="AB347" s="6">
        <f>IF([Lucro Líquido]&lt;0,0,[Lucro Líquido]-[Reserva Legal])</f>
        <v>83713050</v>
      </c>
      <c r="AC347" s="6">
        <f>Tabela3[[#This Row],[Lucro Distribuir]]*[%Div]</f>
        <v>20928262.5</v>
      </c>
      <c r="AD347" s="56">
        <f>SUMPRODUCT(N([Nome]=Tabela3[[#This Row],[Nome]]),[Ações])</f>
        <v>98042555</v>
      </c>
      <c r="AE347" s="6">
        <f>[Capital Social]/[Total Ações]</f>
        <v>3.5586157913775298</v>
      </c>
      <c r="AF347" s="77">
        <f>Tabela3[[#This Row],[Lucro Líquido]]/Tabela3[[#This Row],[Total Ações]]</f>
        <v>0.89878318654588307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347" s="6">
        <f>[Div Base]*[Ações]</f>
        <v>20928262.5</v>
      </c>
      <c r="AL347" s="6">
        <f>SUMPRODUCT(N([Nome]=Tabela3[[#This Row],[Nome]]),[Div Base]*[Ações])</f>
        <v>20928262.5</v>
      </c>
      <c r="AM347" s="6">
        <f>[Patrimônio Líquido]/[Total Ações]</f>
        <v>5.063393135766403</v>
      </c>
      <c r="AN347" s="48">
        <f>MAX(Tabela3[[#This Row],[Cotação 1]:[Cotação 5]])</f>
        <v>15.1</v>
      </c>
      <c r="AO347" s="44">
        <f>[Cotação]/[VPA]</f>
        <v>2.9821899258301303</v>
      </c>
      <c r="AP347" s="40">
        <f>IF(Tabela3[[#This Row],[Lucro/Ação]]&gt;0,Tabela3[[#This Row],[Cotação]]/(Tabela3[[#This Row],[Lucro/Ação]]/[Ref]*4),0)</f>
        <v>12.600369220883122</v>
      </c>
      <c r="AQ347" s="77">
        <f>[Lucro Distribuir]/[Total Ações]</f>
        <v>0.85384402721858887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347" s="15" t="str">
        <f>IF(AND([% A.A.]&gt;=5%,SUMPRODUCT(N([Nome]=Tabela3[[#This Row],[Nome]]),[PL])&gt;0,[Rentabilidade s/ PL]&gt;=[Rentabilidade s/ PL Média]),"Sim","Não")</f>
        <v>Não</v>
      </c>
      <c r="AT347" s="42">
        <f>IF([Cotação]&gt;0,Tabela3[[#This Row],[Lucro]]/Tabela3[[#This Row],[Cotação]],0)</f>
        <v>1.4136490516864055E-2</v>
      </c>
      <c r="AU347" s="19">
        <f>((1+Tabela3[[#This Row],[% Yield]])^(1/(3*Tabela3[[#This Row],[Ref]])))^(12)-1</f>
        <v>1.8892924299665603E-2</v>
      </c>
      <c r="AV347" s="14">
        <f>IF([Cotação]&gt;0,($BH$1/Tabela3[[#This Row],[Cotação]]-MOD($BH$1/Tabela3[[#This Row],[Cotação]],100)),)</f>
        <v>0</v>
      </c>
      <c r="AW347" s="17">
        <f>Tabela3[[#This Row],[Ativos]]*[Lucro]</f>
        <v>0</v>
      </c>
      <c r="AX347" s="13">
        <f>SUMPRODUCT(N(Tabela1[Código]=Tabela3[[#This Row],[PAPEL]]),Tabela1[Fechamento])</f>
        <v>0</v>
      </c>
      <c r="AY347" s="55">
        <f>SUMPRODUCT(N(Tabela17[Código]=Tabela3[[#This Row],[PAPEL]]),Tabela17[Fechamento])</f>
        <v>15.1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t="11.25" customHeight="1">
      <c r="A348" s="4" t="s">
        <v>12</v>
      </c>
      <c r="B348" s="57" t="s">
        <v>94</v>
      </c>
      <c r="C348" s="14" t="str">
        <f>LEFT([PAPEL],LEN([PAPEL])-(LEN([PAPEL])-4))</f>
        <v>ENMA</v>
      </c>
      <c r="D348" s="15">
        <v>4</v>
      </c>
      <c r="E348" s="6">
        <v>618549815.79999995</v>
      </c>
      <c r="F348" s="8">
        <v>161318939</v>
      </c>
      <c r="G348" s="80">
        <v>0.25</v>
      </c>
      <c r="H348" s="15"/>
      <c r="I348" s="19"/>
      <c r="J348" s="19"/>
      <c r="K348" s="87"/>
      <c r="L348" s="87"/>
      <c r="M348" s="55">
        <v>3615568000</v>
      </c>
      <c r="N348" s="55">
        <v>1292445000</v>
      </c>
      <c r="O348" s="55">
        <v>591107000</v>
      </c>
      <c r="P348" s="88">
        <v>1381058000</v>
      </c>
      <c r="Q348" s="88">
        <v>192247000</v>
      </c>
      <c r="R348" s="88">
        <f>IF(Tabela3[[#This Row],[Ativo || Passivo]]&gt;0,Tabela3[[#This Row],[Ativo || Passivo]]-Tabela3[[#This Row],[Patrimônio Líquido]],0)</f>
        <v>2234510000</v>
      </c>
      <c r="S348" s="88">
        <f>Tabela3[[#This Row],[Cotação]]*Tabela3[[#This Row],[Total Ações]]</f>
        <v>2502162620.7600002</v>
      </c>
      <c r="T348" s="121">
        <f>IF(Tabela3[[#This Row],[Passivo Circulante]]&gt;0,Tabela3[[#This Row],[Ativo Circulante]]/Tabela3[[#This Row],[Passivo Circulante]],0)</f>
        <v>2.1864823120010421</v>
      </c>
      <c r="U3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8" s="19">
        <f>IF(Tabela3[[#This Row],[Lucro Líquido]]&gt;0,Tabela3[[#This Row],[Lucro Líquido]]/Tabela3[[#This Row],[Patrimônio Líquido]],0)/Tabela3[[#This Row],[Ref]]*4</f>
        <v>0.13920269822121881</v>
      </c>
      <c r="W3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8" s="19">
        <f>IF(Tabela3[[#This Row],[Dívida]]&gt;0,Tabela3[[#This Row],[Dívida]]/Tabela3[[#This Row],[Patrimônio Líquido]],0)</f>
        <v>1.6179697014897274</v>
      </c>
      <c r="Y348" s="19">
        <f>SUMPRODUCT(N([Dívida / PL]&gt;0),N(RIGHT([PAPEL],LEN([PAPEL])-(LEN([PAPEL])-1))="3"),[Dívida / PL])/SUMPRODUCT(N([Dívida / PL]&gt;0),N(RIGHT([PAPEL],LEN([PAPEL])-(LEN([PAPEL])-1))="3"))</f>
        <v>2.2435702141443779</v>
      </c>
      <c r="Z348" s="6">
        <f>Tabela3[[#This Row],[Capital Social]]*20%</f>
        <v>123709963.16</v>
      </c>
      <c r="AA348" s="6">
        <f>IF(([Lucro Líquido]*5%)&gt;[Teto R. Legal],[Teto R. Legal],[Lucro Líquido]*5%)</f>
        <v>9612350</v>
      </c>
      <c r="AB348" s="88">
        <f>IF([Lucro Líquido]&lt;0,0,[Lucro Líquido]-[Reserva Legal])</f>
        <v>182634650</v>
      </c>
      <c r="AC348" s="88">
        <f>Tabela3[[#This Row],[Lucro Distribuir]]*[%Div]</f>
        <v>45658662.5</v>
      </c>
      <c r="AD348" s="56">
        <f>SUMPRODUCT(N([Nome]=Tabela3[[#This Row],[Nome]]),[Ações])</f>
        <v>164183899</v>
      </c>
      <c r="AE348" s="6">
        <f>[Capital Social]/[Total Ações]</f>
        <v>3.7674206762503548</v>
      </c>
      <c r="AF348" s="77">
        <f>Tabela3[[#This Row],[Lucro Líquido]]/Tabela3[[#This Row],[Total Ações]]</f>
        <v>1.1709248054829056</v>
      </c>
      <c r="AG3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3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3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348" s="6">
        <f>[Div Base]*[Ações]</f>
        <v>44766059.725618996</v>
      </c>
      <c r="AL348" s="6">
        <f>SUMPRODUCT(N([Nome]=Tabela3[[#This Row],[Nome]]),[Div Base]*[Ações])</f>
        <v>45658662.5</v>
      </c>
      <c r="AM348" s="6">
        <f>[Patrimônio Líquido]/[Total Ações]</f>
        <v>8.4116530817677813</v>
      </c>
      <c r="AN348" s="48">
        <f>MAX(Tabela3[[#This Row],[Cotação 1]:[Cotação 5]])</f>
        <v>15.24</v>
      </c>
      <c r="AO348" s="44">
        <f>[Cotação]/[VPA]</f>
        <v>1.8117722939659302</v>
      </c>
      <c r="AP348" s="40">
        <f>IF(Tabela3[[#This Row],[Lucro/Ação]]&gt;0,Tabela3[[#This Row],[Cotação]]/(Tabela3[[#This Row],[Lucro/Ação]]/[Ref]*4),0)</f>
        <v>13.015353273445099</v>
      </c>
      <c r="AQ348" s="77">
        <f>[Lucro Distribuir]/[Total Ações]</f>
        <v>1.1123785652087601</v>
      </c>
      <c r="AR348" s="77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348" s="15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1.8208683444211227E-2</v>
      </c>
      <c r="AU348" s="19">
        <f>((1+Tabela3[[#This Row],[% Yield]])^(1/(3*Tabela3[[#This Row],[Ref]])))^(12)-1</f>
        <v>1.8208683444210561E-2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5">
        <f>SUMPRODUCT(N(Tabela1[Código]=Tabela3[[#This Row],[PAPEL]]),Tabela1[Fechamento])</f>
        <v>15.24</v>
      </c>
      <c r="AY348" s="5">
        <f>SUMPRODUCT(N(Tabela17[Código]=Tabela3[[#This Row],[PAPEL]]),Tabela17[Fechamento])</f>
        <v>0</v>
      </c>
      <c r="AZ348" s="7">
        <f>SUMPRODUCT(N(Tabela176[Código]=Tabela3[[#This Row],[PAPEL]]),Tabela176[Fechamento])</f>
        <v>0</v>
      </c>
      <c r="BA348" s="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customHeight="1">
      <c r="A349" s="3" t="s">
        <v>769</v>
      </c>
      <c r="B349" s="58" t="s">
        <v>771</v>
      </c>
      <c r="C349" s="16" t="str">
        <f>LEFT([PAPEL],LEN([PAPEL])-(LEN([PAPEL])-4))</f>
        <v>LAME</v>
      </c>
      <c r="D349" s="16">
        <v>4</v>
      </c>
      <c r="E349" s="5">
        <v>548848132.39999998</v>
      </c>
      <c r="F349" s="56">
        <v>626706258</v>
      </c>
      <c r="G349" s="80">
        <v>0.25</v>
      </c>
      <c r="H349" s="86"/>
      <c r="J349" s="18"/>
      <c r="K349" s="16"/>
      <c r="L349" s="86"/>
      <c r="M349" s="54">
        <v>7939655000</v>
      </c>
      <c r="N349" s="54">
        <v>4173489000</v>
      </c>
      <c r="O349" s="54">
        <v>2921077000</v>
      </c>
      <c r="P349" s="90">
        <v>1175107000</v>
      </c>
      <c r="Q349" s="73">
        <v>452192000</v>
      </c>
      <c r="R349" s="73">
        <f>IF(Tabela3[[#This Row],[Ativo || Passivo]]&gt;0,Tabela3[[#This Row],[Ativo || Passivo]]-Tabela3[[#This Row],[Patrimônio Líquido]],0)</f>
        <v>6764548000</v>
      </c>
      <c r="S349" s="73">
        <f>Tabela3[[#This Row],[Cotação]]*Tabela3[[#This Row],[Total Ações]]</f>
        <v>15253776038.299999</v>
      </c>
      <c r="T349" s="37">
        <f>IF(Tabela3[[#This Row],[Passivo Circulante]]&gt;0,Tabela3[[#This Row],[Ativo Circulante]]/Tabela3[[#This Row],[Passivo Circulante]],0)</f>
        <v>1.4287500808777036</v>
      </c>
      <c r="U34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49" s="18">
        <f>IF(Tabela3[[#This Row],[Lucro Líquido]]&gt;0,Tabela3[[#This Row],[Lucro Líquido]]/Tabela3[[#This Row],[Patrimônio Líquido]],0)/Tabela3[[#This Row],[Ref]]*4</f>
        <v>0.38480921311846494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49" s="18">
        <f>IF(Tabela3[[#This Row],[Dívida]]&gt;0,Tabela3[[#This Row],[Dívida]]/Tabela3[[#This Row],[Patrimônio Líquido]],0)</f>
        <v>5.7565379152706946</v>
      </c>
      <c r="Y349" s="18">
        <f>SUMPRODUCT(N([Dívida / PL]&gt;0),N(RIGHT([PAPEL],LEN([PAPEL])-(LEN([PAPEL])-1))="3"),[Dívida / PL])/SUMPRODUCT(N([Dívida / PL]&gt;0),N(RIGHT([PAPEL],LEN([PAPEL])-(LEN([PAPEL])-1))="3"))</f>
        <v>2.2435702141443779</v>
      </c>
      <c r="Z349" s="7">
        <f>Tabela3[[#This Row],[Capital Social]]*20%</f>
        <v>109769626.48</v>
      </c>
      <c r="AA349" s="47">
        <f>IF(([Lucro Líquido]*5%)&gt;[Teto R. Legal],[Teto R. Legal],[Lucro Líquido]*5%)</f>
        <v>22609600</v>
      </c>
      <c r="AB349" s="47">
        <f>IF([Lucro Líquido]&lt;0,0,[Lucro Líquido]-[Reserva Legal])</f>
        <v>429582400</v>
      </c>
      <c r="AC349" s="47">
        <f>Tabela3[[#This Row],[Lucro Distribuir]]*[%Div]</f>
        <v>107395600</v>
      </c>
      <c r="AD349" s="56">
        <f>SUMPRODUCT(N([Nome]=Tabela3[[#This Row],[Nome]]),[Ações])</f>
        <v>993731338</v>
      </c>
      <c r="AE349" s="84">
        <f>[Capital Social]/[Total Ações]</f>
        <v>0.55231037948810258</v>
      </c>
      <c r="AF349" s="84">
        <f>Tabela3[[#This Row],[Lucro Líquido]]/Tabela3[[#This Row],[Total Ações]]</f>
        <v>0.45504452029266684</v>
      </c>
      <c r="AG34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4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49" s="7">
        <f>[Div Base]*[Ações]</f>
        <v>67730071.527305305</v>
      </c>
      <c r="AL349" s="7">
        <f>SUMPRODUCT(N([Nome]=Tabela3[[#This Row],[Nome]]),[Div Base]*[Ações])</f>
        <v>107395600</v>
      </c>
      <c r="AM349" s="5">
        <f>[Patrimônio Líquido]/[Total Ações]</f>
        <v>1.182519817041334</v>
      </c>
      <c r="AN349" s="52">
        <f>MAX(Tabela3[[#This Row],[Cotação 1]:[Cotação 5]])</f>
        <v>15.35</v>
      </c>
      <c r="AO349" s="53">
        <f>[Cotação]/[VPA]</f>
        <v>12.98075497661064</v>
      </c>
      <c r="AP349" s="37">
        <f>IF(Tabela3[[#This Row],[Lucro/Ação]]&gt;0,Tabela3[[#This Row],[Cotação]]/(Tabela3[[#This Row],[Lucro/Ação]]/[Ref]*4),0)</f>
        <v>33.732963073871275</v>
      </c>
      <c r="AQ349" s="84">
        <f>[Lucro Distribuir]/[Total Ações]</f>
        <v>0.43229229427803351</v>
      </c>
      <c r="AR349" s="84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7.0405911120200899E-3</v>
      </c>
      <c r="AU349" s="22">
        <f>((1+Tabela3[[#This Row],[% Yield]])^(1/(3*Tabela3[[#This Row],[Ref]])))^(12)-1</f>
        <v>7.0405911120212661E-3</v>
      </c>
      <c r="AV349" s="10">
        <f>IF([Cotação]&gt;0,($BH$1/Tabela3[[#This Row],[Cotação]]-MOD($BH$1/Tabela3[[#This Row],[Cotação]],100)),)</f>
        <v>0</v>
      </c>
      <c r="AW349" s="7">
        <f>Tabela3[[#This Row],[Ativos]]*[Lucro]</f>
        <v>0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15.35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0</v>
      </c>
    </row>
    <row r="350" spans="1:54" ht="11.25" customHeight="1">
      <c r="A350" s="4" t="s">
        <v>12</v>
      </c>
      <c r="B350" s="57" t="s">
        <v>71</v>
      </c>
      <c r="C350" s="14" t="str">
        <f>LEFT([PAPEL],LEN([PAPEL])-(LEN([PAPEL])-4))</f>
        <v>CLSC</v>
      </c>
      <c r="D350" s="15">
        <v>3</v>
      </c>
      <c r="E350" s="6">
        <v>1017700000</v>
      </c>
      <c r="F350" s="8">
        <v>23044454</v>
      </c>
      <c r="G350" s="85">
        <v>0.25</v>
      </c>
      <c r="H350" s="15"/>
      <c r="I350" s="19"/>
      <c r="J350" s="19"/>
      <c r="K350" s="87"/>
      <c r="L350" s="87"/>
      <c r="M350" s="13">
        <v>1938606000</v>
      </c>
      <c r="N350" s="13">
        <v>36406000</v>
      </c>
      <c r="O350" s="13">
        <v>3468000</v>
      </c>
      <c r="P350" s="88">
        <v>1927248000</v>
      </c>
      <c r="Q350" s="88">
        <v>149553000</v>
      </c>
      <c r="R350" s="88">
        <f>IF(Tabela3[[#This Row],[Ativo || Passivo]]&gt;0,Tabela3[[#This Row],[Ativo || Passivo]]-Tabela3[[#This Row],[Patrimônio Líquido]],0)</f>
        <v>11358000</v>
      </c>
      <c r="S350" s="13">
        <f>Tabela3[[#This Row],[Cotação]]*Tabela3[[#This Row],[Total Ações]]</f>
        <v>596702512.76999998</v>
      </c>
      <c r="T350" s="121">
        <f>IF(Tabela3[[#This Row],[Passivo Circulante]]&gt;0,Tabela3[[#This Row],[Ativo Circulante]]/Tabela3[[#This Row],[Passivo Circulante]],0)</f>
        <v>10.497693194925029</v>
      </c>
      <c r="U35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0" s="19">
        <f>IF(Tabela3[[#This Row],[Lucro Líquido]]&gt;0,Tabela3[[#This Row],[Lucro Líquido]]/Tabela3[[#This Row],[Patrimônio Líquido]],0)/Tabela3[[#This Row],[Ref]]*4</f>
        <v>0.10346566710667232</v>
      </c>
      <c r="W3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0" s="19">
        <f>IF(Tabela3[[#This Row],[Dívida]]&gt;0,Tabela3[[#This Row],[Dívida]]/Tabela3[[#This Row],[Patrimônio Líquido]],0)</f>
        <v>5.8933774999377353E-3</v>
      </c>
      <c r="Y350" s="19">
        <f>SUMPRODUCT(N([Dívida / PL]&gt;0),N(RIGHT([PAPEL],LEN([PAPEL])-(LEN([PAPEL])-1))="3"),[Dívida / PL])/SUMPRODUCT(N([Dívida / PL]&gt;0),N(RIGHT([PAPEL],LEN([PAPEL])-(LEN([PAPEL])-1))="3"))</f>
        <v>2.2435702141443779</v>
      </c>
      <c r="Z350" s="6">
        <f>Tabela3[[#This Row],[Capital Social]]*20%</f>
        <v>203540000</v>
      </c>
      <c r="AA350" s="6">
        <f>IF(([Lucro Líquido]*5%)&gt;[Teto R. Legal],[Teto R. Legal],[Lucro Líquido]*5%)</f>
        <v>7477650</v>
      </c>
      <c r="AB350" s="88">
        <f>IF([Lucro Líquido]&lt;0,0,[Lucro Líquido]-[Reserva Legal])</f>
        <v>142075350</v>
      </c>
      <c r="AC350" s="88">
        <f>Tabela3[[#This Row],[Lucro Distribuir]]*[%Div]</f>
        <v>35518837.5</v>
      </c>
      <c r="AD350" s="56">
        <f>SUMPRODUCT(N([Nome]=Tabela3[[#This Row],[Nome]]),[Ações])</f>
        <v>38571591</v>
      </c>
      <c r="AE350" s="6">
        <f>[Capital Social]/[Total Ações]</f>
        <v>26.384703705895877</v>
      </c>
      <c r="AF350" s="77">
        <f>Tabela3[[#This Row],[Lucro Líquido]]/Tabela3[[#This Row],[Total Ações]]</f>
        <v>3.8772836723276467</v>
      </c>
      <c r="AG3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3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350" s="6">
        <f>[Div Base]*[Ações]</f>
        <v>21220597.74257756</v>
      </c>
      <c r="AL350" s="6">
        <f>SUMPRODUCT(N([Nome]=Tabela3[[#This Row],[Nome]]),[Div Base]*[Ações])</f>
        <v>35518837.5</v>
      </c>
      <c r="AM350" s="6">
        <f>[Patrimônio Líquido]/[Total Ações]</f>
        <v>49.965478478707297</v>
      </c>
      <c r="AN350" s="48">
        <f>MAX(Tabela3[[#This Row],[Cotação 1]:[Cotação 5]])</f>
        <v>15.47</v>
      </c>
      <c r="AO350" s="44">
        <f>[Cotação]/[VPA]</f>
        <v>0.30961376676483776</v>
      </c>
      <c r="AP350" s="40">
        <f>IF(Tabela3[[#This Row],[Lucro/Ação]]&gt;0,Tabela3[[#This Row],[Cotação]]/(Tabela3[[#This Row],[Lucro/Ação]]/[Ref]*4),0)</f>
        <v>2.992430005265692</v>
      </c>
      <c r="AQ350" s="77">
        <f>[Lucro Distribuir]/[Total Ações]</f>
        <v>3.6834194887112641</v>
      </c>
      <c r="AR350" s="77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350" s="14" t="str">
        <f>IF(AND([% A.A.]&gt;=5%,SUMPRODUCT(N([Nome]=Tabela3[[#This Row],[Nome]]),[PL])&gt;0,[Rentabilidade s/ PL]&gt;=[Rentabilidade s/ PL Média]),"Sim","Não")</f>
        <v>Não</v>
      </c>
      <c r="AT350" s="42">
        <f>IF([Cotação]&gt;0,Tabela3[[#This Row],[Lucro]]/Tabela3[[#This Row],[Cotação]],0)</f>
        <v>5.9525201821448999E-2</v>
      </c>
      <c r="AU350" s="19">
        <f>((1+Tabela3[[#This Row],[% Yield]])^(1/(3*Tabela3[[#This Row],[Ref]])))^(12)-1</f>
        <v>8.0144159545363358E-2</v>
      </c>
      <c r="AV350" s="14">
        <f>IF([Cotação]&gt;0,($BH$1/Tabela3[[#This Row],[Cotação]]-MOD($BH$1/Tabela3[[#This Row],[Cotação]],100)),)</f>
        <v>0</v>
      </c>
      <c r="AW350" s="17">
        <f>Tabela3[[#This Row],[Ativos]]*[Lucro]</f>
        <v>0</v>
      </c>
      <c r="AX350" s="5">
        <f>SUMPRODUCT(N(Tabela1[Código]=Tabela3[[#This Row],[PAPEL]]),Tabela1[Fechamento])</f>
        <v>15.47</v>
      </c>
      <c r="AY350" s="5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0</v>
      </c>
    </row>
    <row r="351" spans="1:54" ht="11.25" customHeight="1">
      <c r="A351" s="3" t="s">
        <v>288</v>
      </c>
      <c r="B351" s="58" t="s">
        <v>286</v>
      </c>
      <c r="C351" s="82" t="str">
        <f>LEFT([PAPEL],LEN([PAPEL])-(LEN([PAPEL])-4))</f>
        <v>BRAP</v>
      </c>
      <c r="D351" s="16">
        <v>3</v>
      </c>
      <c r="E351" s="5">
        <v>4100000000</v>
      </c>
      <c r="F351" s="56">
        <v>122523049</v>
      </c>
      <c r="G351" s="80">
        <v>0.25</v>
      </c>
      <c r="H351" s="16"/>
      <c r="J351" s="18"/>
      <c r="K351" s="86"/>
      <c r="L351" s="86"/>
      <c r="M351" s="54"/>
      <c r="N351" s="54"/>
      <c r="O351" s="54"/>
      <c r="P351" s="5">
        <v>10031194000</v>
      </c>
      <c r="Q351" s="5">
        <v>852679000</v>
      </c>
      <c r="R351" s="5">
        <f>IF(Tabela3[[#This Row],[Ativo || Passivo]]&gt;0,Tabela3[[#This Row],[Ativo || Passivo]]-Tabela3[[#This Row],[Patrimônio Líquido]],0)</f>
        <v>0</v>
      </c>
      <c r="S351" s="5">
        <f>Tabela3[[#This Row],[Cotação]]*Tabela3[[#This Row],[Total Ações]]</f>
        <v>5557812325.5</v>
      </c>
      <c r="T351" s="119">
        <f>IF(Tabela3[[#This Row],[Passivo Circulante]]&gt;0,Tabela3[[#This Row],[Ativo Circulante]]/Tabela3[[#This Row],[Passivo Circulante]],0)</f>
        <v>0</v>
      </c>
      <c r="U351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1" s="18">
        <f>IF(Tabela3[[#This Row],[Lucro Líquido]]&gt;0,Tabela3[[#This Row],[Lucro Líquido]]/Tabela3[[#This Row],[Patrimônio Líquido]],0)/Tabela3[[#This Row],[Ref]]*4</f>
        <v>0.11333698992695519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1" s="18">
        <f>IF(Tabela3[[#This Row],[Dívida]]&gt;0,Tabela3[[#This Row],[Dívida]]/Tabela3[[#This Row],[Patrimônio Líquido]],0)</f>
        <v>0</v>
      </c>
      <c r="Y351" s="18">
        <f>SUMPRODUCT(N([Dívida / PL]&gt;0),N(RIGHT([PAPEL],LEN([PAPEL])-(LEN([PAPEL])-1))="3"),[Dívida / PL])/SUMPRODUCT(N([Dívida / PL]&gt;0),N(RIGHT([PAPEL],LEN([PAPEL])-(LEN([PAPEL])-1))="3"))</f>
        <v>2.2435702141443779</v>
      </c>
      <c r="Z351" s="5">
        <f>Tabela3[[#This Row],[Capital Social]]*20%</f>
        <v>820000000</v>
      </c>
      <c r="AA351" s="5">
        <f>IF(([Lucro Líquido]*5%)&gt;[Teto R. Legal],[Teto R. Legal],[Lucro Líquido]*5%)</f>
        <v>42633950</v>
      </c>
      <c r="AB351" s="5">
        <f>IF([Lucro Líquido]&lt;0,0,[Lucro Líquido]-[Reserva Legal])</f>
        <v>810045050</v>
      </c>
      <c r="AC351" s="5">
        <f>Tabela3[[#This Row],[Lucro Distribuir]]*[%Div]</f>
        <v>202511262.5</v>
      </c>
      <c r="AD351" s="21">
        <f>SUMPRODUCT(N([Nome]=Tabela3[[#This Row],[Nome]]),[Ações])</f>
        <v>349547945</v>
      </c>
      <c r="AE351" s="5">
        <f>[Capital Social]/[Total Ações]</f>
        <v>11.729435285336894</v>
      </c>
      <c r="AF351" s="76">
        <f>Tabela3[[#This Row],[Lucro Líquido]]/Tabela3[[#This Row],[Total Ações]]</f>
        <v>2.439376377967263</v>
      </c>
      <c r="AG351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351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351" s="5">
        <f>[Div Base]*[Ações]</f>
        <v>68775379.059664533</v>
      </c>
      <c r="AL351" s="5">
        <f>SUMPRODUCT(N([Nome]=Tabela3[[#This Row],[Nome]]),[Div Base]*[Ações])</f>
        <v>208953866.04579151</v>
      </c>
      <c r="AM351" s="5">
        <f>[Patrimônio Líquido]/[Total Ações]</f>
        <v>28.697619721380423</v>
      </c>
      <c r="AN351" s="52">
        <f>MAX(Tabela3[[#This Row],[Cotação 1]:[Cotação 5]])</f>
        <v>15.9</v>
      </c>
      <c r="AO351" s="53">
        <f>[Cotação]/[VPA]</f>
        <v>0.55405291987175209</v>
      </c>
      <c r="AP351" s="37">
        <f>IF(Tabela3[[#This Row],[Lucro/Ação]]&gt;0,Tabela3[[#This Row],[Cotação]]/(Tabela3[[#This Row],[Lucro/Ação]]/[Ref]*4),0)</f>
        <v>4.8885445098624452</v>
      </c>
      <c r="AQ351" s="76">
        <f>[Lucro Distribuir]/[Total Ações]</f>
        <v>2.3174075590688998</v>
      </c>
      <c r="AR351" s="76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351" s="16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3.5303525121576772E-2</v>
      </c>
      <c r="AU351" s="18">
        <f>((1+Tabela3[[#This Row],[% Yield]])^(1/(3*Tabela3[[#This Row],[Ref]])))^(12)-1</f>
        <v>4.7346189551478624E-2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47">
        <f>SUMPRODUCT(N(Tabela1[Código]=Tabela3[[#This Row],[PAPEL]]),Tabela1[Fechamento])</f>
        <v>0</v>
      </c>
      <c r="AY351" s="54">
        <f>SUMPRODUCT(N(Tabela17[Código]=Tabela3[[#This Row],[PAPEL]]),Tabela17[Fechamento])</f>
        <v>15.9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0</v>
      </c>
    </row>
    <row r="352" spans="1:54" ht="11.25" customHeight="1">
      <c r="A352" s="3" t="s">
        <v>769</v>
      </c>
      <c r="B352" s="58" t="s">
        <v>776</v>
      </c>
      <c r="C352" s="16" t="str">
        <f>LEFT([PAPEL],LEN([PAPEL])-(LEN([PAPEL])-4))</f>
        <v>HYPE</v>
      </c>
      <c r="D352" s="16">
        <v>4</v>
      </c>
      <c r="E352" s="5">
        <v>5269124421.04</v>
      </c>
      <c r="F352" s="56">
        <v>632100787</v>
      </c>
      <c r="G352" s="80">
        <v>0.25</v>
      </c>
      <c r="H352" s="86"/>
      <c r="J352" s="18"/>
      <c r="K352" s="16"/>
      <c r="L352" s="86"/>
      <c r="M352" s="54">
        <v>12059427000</v>
      </c>
      <c r="N352" s="54">
        <v>2624550000</v>
      </c>
      <c r="O352" s="54">
        <v>1670812000</v>
      </c>
      <c r="P352" s="90">
        <v>7078577000</v>
      </c>
      <c r="Q352" s="73">
        <v>256722000</v>
      </c>
      <c r="R352" s="73">
        <f>IF(Tabela3[[#This Row],[Ativo || Passivo]]&gt;0,Tabela3[[#This Row],[Ativo || Passivo]]-Tabela3[[#This Row],[Patrimônio Líquido]],0)</f>
        <v>4980850000</v>
      </c>
      <c r="S352" s="73">
        <f>Tabela3[[#This Row],[Cotação]]*Tabela3[[#This Row],[Total Ações]]</f>
        <v>10113612592</v>
      </c>
      <c r="T352" s="37">
        <f>IF(Tabela3[[#This Row],[Passivo Circulante]]&gt;0,Tabela3[[#This Row],[Ativo Circulante]]/Tabela3[[#This Row],[Passivo Circulante]],0)</f>
        <v>1.5708230489127442</v>
      </c>
      <c r="U3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2" s="18">
        <f>IF(Tabela3[[#This Row],[Lucro Líquido]]&gt;0,Tabela3[[#This Row],[Lucro Líquido]]/Tabela3[[#This Row],[Patrimônio Líquido]],0)/Tabela3[[#This Row],[Ref]]*4</f>
        <v>3.6267458840950659E-2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2" s="18">
        <f>IF(Tabela3[[#This Row],[Dívida]]&gt;0,Tabela3[[#This Row],[Dívida]]/Tabela3[[#This Row],[Patrimônio Líquido]],0)</f>
        <v>0.7036513129686941</v>
      </c>
      <c r="Y352" s="18">
        <f>SUMPRODUCT(N([Dívida / PL]&gt;0),N(RIGHT([PAPEL],LEN([PAPEL])-(LEN([PAPEL])-1))="3"),[Dívida / PL])/SUMPRODUCT(N([Dívida / PL]&gt;0),N(RIGHT([PAPEL],LEN([PAPEL])-(LEN([PAPEL])-1))="3"))</f>
        <v>2.2435702141443779</v>
      </c>
      <c r="Z352" s="7">
        <f>Tabela3[[#This Row],[Capital Social]]*20%</f>
        <v>1053824884.2080001</v>
      </c>
      <c r="AA352" s="47">
        <f>IF(([Lucro Líquido]*5%)&gt;[Teto R. Legal],[Teto R. Legal],[Lucro Líquido]*5%)</f>
        <v>12836100</v>
      </c>
      <c r="AB352" s="47">
        <f>IF([Lucro Líquido]&lt;0,0,[Lucro Líquido]-[Reserva Legal])</f>
        <v>243885900</v>
      </c>
      <c r="AC352" s="47">
        <f>Tabela3[[#This Row],[Lucro Distribuir]]*[%Div]</f>
        <v>60971475</v>
      </c>
      <c r="AD352" s="56">
        <f>SUMPRODUCT(N([Nome]=Tabela3[[#This Row],[Nome]]),[Ações])</f>
        <v>632100787</v>
      </c>
      <c r="AE352" s="84">
        <f>[Capital Social]/[Total Ações]</f>
        <v>8.3358928345077352</v>
      </c>
      <c r="AF352" s="84">
        <f>Tabela3[[#This Row],[Lucro Líquido]]/Tabela3[[#This Row],[Total Ações]]</f>
        <v>0.40614092764924842</v>
      </c>
      <c r="AG3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3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352" s="7">
        <f>[Div Base]*[Ações]</f>
        <v>60971475</v>
      </c>
      <c r="AL352" s="7">
        <f>SUMPRODUCT(N([Nome]=Tabela3[[#This Row],[Nome]]),[Div Base]*[Ações])</f>
        <v>60971475</v>
      </c>
      <c r="AM352" s="5">
        <f>[Patrimônio Líquido]/[Total Ações]</f>
        <v>11.19849420469081</v>
      </c>
      <c r="AN352" s="52">
        <f>MAX(Tabela3[[#This Row],[Cotação 1]:[Cotação 5]])</f>
        <v>16</v>
      </c>
      <c r="AO352" s="53">
        <f>[Cotação]/[VPA]</f>
        <v>1.4287635201255846</v>
      </c>
      <c r="AP352" s="37">
        <f>IF(Tabela3[[#This Row],[Lucro/Ação]]&gt;0,Tabela3[[#This Row],[Cotação]]/(Tabela3[[#This Row],[Lucro/Ação]]/[Ref]*4),0)</f>
        <v>39.395192433838943</v>
      </c>
      <c r="AQ352" s="84">
        <f>[Lucro Distribuir]/[Total Ações]</f>
        <v>0.38583388126678603</v>
      </c>
      <c r="AR352" s="84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6.0286543947935317E-3</v>
      </c>
      <c r="AU352" s="22">
        <f>((1+Tabela3[[#This Row],[% Yield]])^(1/(3*Tabela3[[#This Row],[Ref]])))^(12)-1</f>
        <v>6.0286543947929427E-3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16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t="11.25" customHeight="1">
      <c r="A353" s="4" t="s">
        <v>733</v>
      </c>
      <c r="B353" s="57" t="s">
        <v>731</v>
      </c>
      <c r="C353" s="15" t="str">
        <f>LEFT([PAPEL],LEN([PAPEL])-(LEN([PAPEL])-4))</f>
        <v>CREM</v>
      </c>
      <c r="D353" s="15">
        <v>3</v>
      </c>
      <c r="E353" s="6">
        <v>98407570.090000004</v>
      </c>
      <c r="F353" s="8">
        <v>29286632</v>
      </c>
      <c r="G353" s="85">
        <v>0.35</v>
      </c>
      <c r="H353" s="15"/>
      <c r="I353" s="19"/>
      <c r="J353" s="19"/>
      <c r="K353" s="87"/>
      <c r="L353" s="87"/>
      <c r="M353" s="55"/>
      <c r="N353" s="55"/>
      <c r="O353" s="55"/>
      <c r="P353" s="91">
        <v>285071000</v>
      </c>
      <c r="Q353" s="92">
        <v>27479000</v>
      </c>
      <c r="R353" s="92">
        <f>IF(Tabela3[[#This Row],[Ativo || Passivo]]&gt;0,Tabela3[[#This Row],[Ativo || Passivo]]-Tabela3[[#This Row],[Patrimônio Líquido]],0)</f>
        <v>0</v>
      </c>
      <c r="S353" s="92">
        <f>Tabela3[[#This Row],[Cotação]]*Tabela3[[#This Row],[Total Ações]]</f>
        <v>472979106.79999995</v>
      </c>
      <c r="T353" s="40">
        <f>IF(Tabela3[[#This Row],[Passivo Circulante]]&gt;0,Tabela3[[#This Row],[Ativo Circulante]]/Tabela3[[#This Row],[Passivo Circulante]],0)</f>
        <v>0</v>
      </c>
      <c r="U353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3" s="19">
        <f>IF(Tabela3[[#This Row],[Lucro Líquido]]&gt;0,Tabela3[[#This Row],[Lucro Líquido]]/Tabela3[[#This Row],[Patrimônio Líquido]],0)/Tabela3[[#This Row],[Ref]]*4</f>
        <v>0.12852470671049201</v>
      </c>
      <c r="W35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3" s="19">
        <f>IF(Tabela3[[#This Row],[Dívida]]&gt;0,Tabela3[[#This Row],[Dívida]]/Tabela3[[#This Row],[Patrimônio Líquido]],0)</f>
        <v>0</v>
      </c>
      <c r="Y353" s="19">
        <f>SUMPRODUCT(N([Dívida / PL]&gt;0),N(RIGHT([PAPEL],LEN([PAPEL])-(LEN([PAPEL])-1))="3"),[Dívida / PL])/SUMPRODUCT(N([Dívida / PL]&gt;0),N(RIGHT([PAPEL],LEN([PAPEL])-(LEN([PAPEL])-1))="3"))</f>
        <v>2.2435702141443779</v>
      </c>
      <c r="Z353" s="13">
        <f>Tabela3[[#This Row],[Capital Social]]*20%</f>
        <v>19681514.018000003</v>
      </c>
      <c r="AA353" s="13">
        <f>IF(([Lucro Líquido]*5%)&gt;[Teto R. Legal],[Teto R. Legal],[Lucro Líquido]*5%)</f>
        <v>1373950</v>
      </c>
      <c r="AB353" s="13">
        <f>IF([Lucro Líquido]&lt;0,0,[Lucro Líquido]-[Reserva Legal])</f>
        <v>26105050</v>
      </c>
      <c r="AC353" s="13">
        <f>Tabela3[[#This Row],[Lucro Distribuir]]*[%Div]</f>
        <v>9136767.5</v>
      </c>
      <c r="AD353" s="56">
        <f>SUMPRODUCT(N([Nome]=Tabela3[[#This Row],[Nome]]),[Ações])</f>
        <v>29286632</v>
      </c>
      <c r="AE353" s="6">
        <f>[Capital Social]/[Total Ações]</f>
        <v>3.3601531951506067</v>
      </c>
      <c r="AF353" s="77">
        <f>Tabela3[[#This Row],[Lucro Líquido]]/Tabela3[[#This Row],[Total Ações]]</f>
        <v>0.93827791464720145</v>
      </c>
      <c r="AG35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35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353" s="13">
        <f>[Div Base]*[Ações]</f>
        <v>9136767.5</v>
      </c>
      <c r="AL353" s="13">
        <f>SUMPRODUCT(N([Nome]=Tabela3[[#This Row],[Nome]]),[Div Base]*[Ações])</f>
        <v>9136767.5</v>
      </c>
      <c r="AM353" s="6">
        <f>[Patrimônio Líquido]/[Total Ações]</f>
        <v>9.7338266824263027</v>
      </c>
      <c r="AN353" s="48">
        <f>MAX(Tabela3[[#This Row],[Cotação 1]:[Cotação 5]])</f>
        <v>16.149999999999999</v>
      </c>
      <c r="AO353" s="44">
        <f>[Cotação]/[VPA]</f>
        <v>1.6591624781194858</v>
      </c>
      <c r="AP353" s="40">
        <f>IF(Tabela3[[#This Row],[Lucro/Ação]]&gt;0,Tabela3[[#This Row],[Cotação]]/(Tabela3[[#This Row],[Lucro/Ação]]/[Ref]*4),0)</f>
        <v>12.90928818734306</v>
      </c>
      <c r="AQ353" s="77">
        <f>[Lucro Distribuir]/[Total Ações]</f>
        <v>0.89136401891484141</v>
      </c>
      <c r="AR353" s="77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353" s="14" t="str">
        <f>IF(AND([% A.A.]&gt;=5%,SUMPRODUCT(N([Nome]=Tabela3[[#This Row],[Nome]]),[PL])&gt;0,[Rentabilidade s/ PL]&gt;=[Rentabilidade s/ PL Média]),"Sim","Não")</f>
        <v>Não</v>
      </c>
      <c r="AT353" s="42">
        <f>IF([Cotação]&gt;0,Tabela3[[#This Row],[Lucro]]/Tabela3[[#This Row],[Cotação]],0)</f>
        <v>1.9317486478030624E-2</v>
      </c>
      <c r="AU353" s="42">
        <f>((1+Tabela3[[#This Row],[% Yield]])^(1/(3*Tabela3[[#This Row],[Ref]])))^(12)-1</f>
        <v>2.5839221111096711E-2</v>
      </c>
      <c r="AV353" s="14">
        <f>IF([Cotação]&gt;0,($BH$1/Tabela3[[#This Row],[Cotação]]-MOD($BH$1/Tabela3[[#This Row],[Cotação]],100)),)</f>
        <v>0</v>
      </c>
      <c r="AW353" s="17">
        <f>Tabela3[[#This Row],[Ativos]]*[Lucro]</f>
        <v>0</v>
      </c>
      <c r="AX353" s="17">
        <f>SUMPRODUCT(N(Tabela1[Código]=Tabela3[[#This Row],[PAPEL]]),Tabela1[Fechamento])</f>
        <v>0</v>
      </c>
      <c r="AY353" s="17">
        <f>SUMPRODUCT(N(Tabela17[Código]=Tabela3[[#This Row],[PAPEL]]),Tabela17[Fechamento])</f>
        <v>0</v>
      </c>
      <c r="AZ353" s="17">
        <f>SUMPRODUCT(N(Tabela176[Código]=Tabela3[[#This Row],[PAPEL]]),Tabela176[Fechamento])</f>
        <v>16.149999999999999</v>
      </c>
      <c r="BA353" s="17">
        <f>SUMPRODUCT(N(Tabela1768[Código]=Tabela3[[#This Row],[PAPEL]]),Tabela1768[Fechamento])</f>
        <v>0</v>
      </c>
      <c r="BB353" s="7">
        <f>SUMPRODUCT(N(Tabela17683[Código]=Tabela3[[#This Row],[PAPEL]]),Tabela17683[Fechamento])</f>
        <v>0</v>
      </c>
    </row>
    <row r="354" spans="1:54" ht="11.25" customHeight="1">
      <c r="A354" s="3" t="s">
        <v>989</v>
      </c>
      <c r="B354" s="58" t="s">
        <v>990</v>
      </c>
      <c r="C354" s="16" t="str">
        <f>LEFT([PAPEL],LEN([PAPEL])-(LEN([PAPEL])-4))</f>
        <v>IMCH</v>
      </c>
      <c r="D354" s="16">
        <v>4</v>
      </c>
      <c r="E354" s="5">
        <v>615586000</v>
      </c>
      <c r="F354" s="56">
        <v>84482793</v>
      </c>
      <c r="G354" s="80">
        <v>0.25</v>
      </c>
      <c r="H354" s="86"/>
      <c r="J354" s="18"/>
      <c r="K354" s="16"/>
      <c r="L354" s="86"/>
      <c r="M354" s="54">
        <v>933347000</v>
      </c>
      <c r="N354" s="54">
        <v>5245000</v>
      </c>
      <c r="O354" s="54">
        <v>938000</v>
      </c>
      <c r="P354" s="90">
        <v>921911000</v>
      </c>
      <c r="Q354" s="73">
        <v>4179000</v>
      </c>
      <c r="R354" s="73">
        <f>IF(Tabela3[[#This Row],[Ativo || Passivo]]&gt;0,Tabela3[[#This Row],[Ativo || Passivo]]-Tabela3[[#This Row],[Patrimônio Líquido]],0)</f>
        <v>11436000</v>
      </c>
      <c r="S354" s="73">
        <f>Tabela3[[#This Row],[Cotação]]*Tabela3[[#This Row],[Total Ações]]</f>
        <v>1381293665.5500002</v>
      </c>
      <c r="T354" s="37">
        <f>IF(Tabela3[[#This Row],[Passivo Circulante]]&gt;0,Tabela3[[#This Row],[Ativo Circulante]]/Tabela3[[#This Row],[Passivo Circulante]],0)</f>
        <v>5.591684434968017</v>
      </c>
      <c r="U3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4" s="18">
        <f>IF(Tabela3[[#This Row],[Lucro Líquido]]&gt;0,Tabela3[[#This Row],[Lucro Líquido]]/Tabela3[[#This Row],[Patrimônio Líquido]],0)/Tabela3[[#This Row],[Ref]]*4</f>
        <v>4.5329755258370925E-3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4" s="18">
        <f>IF(Tabela3[[#This Row],[Dívida]]&gt;0,Tabela3[[#This Row],[Dívida]]/Tabela3[[#This Row],[Patrimônio Líquido]],0)</f>
        <v>1.2404668129569991E-2</v>
      </c>
      <c r="Y354" s="18">
        <f>SUMPRODUCT(N([Dívida / PL]&gt;0),N(RIGHT([PAPEL],LEN([PAPEL])-(LEN([PAPEL])-1))="3"),[Dívida / PL])/SUMPRODUCT(N([Dívida / PL]&gt;0),N(RIGHT([PAPEL],LEN([PAPEL])-(LEN([PAPEL])-1))="3"))</f>
        <v>2.2435702141443779</v>
      </c>
      <c r="Z354" s="7">
        <f>Tabela3[[#This Row],[Capital Social]]*20%</f>
        <v>123117200</v>
      </c>
      <c r="AA354" s="47">
        <f>IF(([Lucro Líquido]*5%)&gt;[Teto R. Legal],[Teto R. Legal],[Lucro Líquido]*5%)</f>
        <v>208950</v>
      </c>
      <c r="AB354" s="47">
        <f>IF([Lucro Líquido]&lt;0,0,[Lucro Líquido]-[Reserva Legal])</f>
        <v>3970050</v>
      </c>
      <c r="AC354" s="47">
        <f>Tabela3[[#This Row],[Lucro Distribuir]]*[%Div]</f>
        <v>992512.5</v>
      </c>
      <c r="AD354" s="56">
        <f>SUMPRODUCT(N([Nome]=Tabela3[[#This Row],[Nome]]),[Ações])</f>
        <v>84482793</v>
      </c>
      <c r="AE354" s="84">
        <f>[Capital Social]/[Total Ações]</f>
        <v>7.2865251980956645</v>
      </c>
      <c r="AF354" s="84">
        <f>Tabela3[[#This Row],[Lucro Líquido]]/Tabela3[[#This Row],[Total Ações]]</f>
        <v>4.9465694156205275E-2</v>
      </c>
      <c r="AG3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3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354" s="7">
        <f>[Div Base]*[Ações]</f>
        <v>992512.5</v>
      </c>
      <c r="AL354" s="113">
        <f>SUMPRODUCT(N([Nome]=Tabela3[[#This Row],[Nome]]),[Div Base]*[Ações])</f>
        <v>992512.5</v>
      </c>
      <c r="AM354" s="5">
        <f>[Patrimônio Líquido]/[Total Ações]</f>
        <v>10.912411477683982</v>
      </c>
      <c r="AN354" s="52">
        <f>MAX(Tabela3[[#This Row],[Cotação 1]:[Cotação 5]])</f>
        <v>16.350000000000001</v>
      </c>
      <c r="AO354" s="53">
        <f>[Cotação]/[VPA]</f>
        <v>1.4982939411179605</v>
      </c>
      <c r="AP354" s="37">
        <f>IF(Tabela3[[#This Row],[Lucro/Ação]]&gt;0,Tabela3[[#This Row],[Cotação]]/(Tabela3[[#This Row],[Lucro/Ação]]/[Ref]*4),0)</f>
        <v>330.53210470208188</v>
      </c>
      <c r="AQ354" s="84">
        <f>[Lucro Distribuir]/[Total Ações]</f>
        <v>4.6992409448395014E-2</v>
      </c>
      <c r="AR354" s="84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7.1853837077056595E-4</v>
      </c>
      <c r="AU354" s="22">
        <f>((1+Tabela3[[#This Row],[% Yield]])^(1/(3*Tabela3[[#This Row],[Ref]])))^(12)-1</f>
        <v>7.1853837076951699E-4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0</v>
      </c>
      <c r="BA354" s="7">
        <f>SUMPRODUCT(N(Tabela1768[Código]=Tabela3[[#This Row],[PAPEL]]),Tabela1768[Fechamento])</f>
        <v>16.350000000000001</v>
      </c>
      <c r="BB354" s="7">
        <f>SUMPRODUCT(N(Tabela17683[Código]=Tabela3[[#This Row],[PAPEL]]),Tabela17683[Fechamento])</f>
        <v>0</v>
      </c>
    </row>
    <row r="355" spans="1:54" ht="11.25" customHeight="1">
      <c r="A355" s="4" t="s">
        <v>40</v>
      </c>
      <c r="B355" s="57" t="s">
        <v>254</v>
      </c>
      <c r="C355" s="14" t="str">
        <f>LEFT([PAPEL],LEN([PAPEL])-(LEN([PAPEL])-4))</f>
        <v>BRKM</v>
      </c>
      <c r="D355" s="16">
        <v>4</v>
      </c>
      <c r="E355" s="5">
        <v>8043222080.5</v>
      </c>
      <c r="F355" s="56">
        <v>345002878</v>
      </c>
      <c r="G355" s="80">
        <v>0.25</v>
      </c>
      <c r="H355" s="16"/>
      <c r="I355" s="18">
        <v>0.06</v>
      </c>
      <c r="J355" s="18"/>
      <c r="K355" s="86"/>
      <c r="L355" s="86"/>
      <c r="M355" s="54"/>
      <c r="N355" s="54"/>
      <c r="O355" s="54"/>
      <c r="P355" s="5">
        <v>7593110000</v>
      </c>
      <c r="Q355" s="6">
        <v>509697000</v>
      </c>
      <c r="R355" s="6">
        <f>IF(Tabela3[[#This Row],[Ativo || Passivo]]&gt;0,Tabela3[[#This Row],[Ativo || Passivo]]-Tabela3[[#This Row],[Patrimônio Líquido]],0)</f>
        <v>0</v>
      </c>
      <c r="S355" s="6">
        <f>Tabela3[[#This Row],[Cotação]]*Tabela3[[#This Row],[Total Ações]]</f>
        <v>13059206400.24</v>
      </c>
      <c r="T355" s="121">
        <f>IF(Tabela3[[#This Row],[Passivo Circulante]]&gt;0,Tabela3[[#This Row],[Ativo Circulante]]/Tabela3[[#This Row],[Passivo Circulante]],0)</f>
        <v>0</v>
      </c>
      <c r="U35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5" s="19">
        <f>IF(Tabela3[[#This Row],[Lucro Líquido]]&gt;0,Tabela3[[#This Row],[Lucro Líquido]]/Tabela3[[#This Row],[Patrimônio Líquido]],0)/Tabela3[[#This Row],[Ref]]*4</f>
        <v>6.7126249981891484E-2</v>
      </c>
      <c r="W35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5" s="19">
        <f>IF(Tabela3[[#This Row],[Dívida]]&gt;0,Tabela3[[#This Row],[Dívida]]/Tabela3[[#This Row],[Patrimônio Líquido]],0)</f>
        <v>0</v>
      </c>
      <c r="Y355" s="19">
        <f>SUMPRODUCT(N([Dívida / PL]&gt;0),N(RIGHT([PAPEL],LEN([PAPEL])-(LEN([PAPEL])-1))="3"),[Dívida / PL])/SUMPRODUCT(N([Dívida / PL]&gt;0),N(RIGHT([PAPEL],LEN([PAPEL])-(LEN([PAPEL])-1))="3"))</f>
        <v>2.2435702141443779</v>
      </c>
      <c r="Z355" s="5">
        <f>Tabela3[[#This Row],[Capital Social]]*20%</f>
        <v>1608644416.1000001</v>
      </c>
      <c r="AA355" s="5">
        <f>IF(([Lucro Líquido]*5%)&gt;[Teto R. Legal],[Teto R. Legal],[Lucro Líquido]*5%)</f>
        <v>25484850</v>
      </c>
      <c r="AB355" s="5">
        <f>IF([Lucro Líquido]&lt;0,0,[Lucro Líquido]-[Reserva Legal])</f>
        <v>484212150</v>
      </c>
      <c r="AC355" s="5">
        <f>Tabela3[[#This Row],[Lucro Distribuir]]*[%Div]</f>
        <v>121053037.5</v>
      </c>
      <c r="AD355" s="21">
        <f>SUMPRODUCT(N([Nome]=Tabela3[[#This Row],[Nome]]),[Ações])</f>
        <v>797265348</v>
      </c>
      <c r="AE355" s="5">
        <f>[Capital Social]/[Total Ações]</f>
        <v>10.088513317024283</v>
      </c>
      <c r="AF355" s="76">
        <f>Tabela3[[#This Row],[Lucro Líquido]]/Tabela3[[#This Row],[Total Ações]]</f>
        <v>0.63930660134497652</v>
      </c>
      <c r="AG35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35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35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355" s="5">
        <f>[Div Base]*[Ações]</f>
        <v>208833967.74688226</v>
      </c>
      <c r="AL355" s="5">
        <f>SUMPRODUCT(N([Nome]=Tabela3[[#This Row],[Nome]]),[Div Base]*[Ações])</f>
        <v>209193412.19493559</v>
      </c>
      <c r="AM355" s="5">
        <f>[Patrimônio Líquido]/[Total Ações]</f>
        <v>9.5239433383727103</v>
      </c>
      <c r="AN355" s="52">
        <f>MAX(Tabela3[[#This Row],[Cotação 1]:[Cotação 5]])</f>
        <v>16.38</v>
      </c>
      <c r="AO355" s="53">
        <f>[Cotação]/[VPA]</f>
        <v>1.7198758348344747</v>
      </c>
      <c r="AP355" s="37">
        <f>IF(Tabela3[[#This Row],[Lucro/Ação]]&gt;0,Tabela3[[#This Row],[Cotação]]/(Tabela3[[#This Row],[Lucro/Ação]]/[Ref]*4),0)</f>
        <v>25.621509250083871</v>
      </c>
      <c r="AQ355" s="76">
        <f>[Lucro Distribuir]/[Total Ações]</f>
        <v>0.60734127127772775</v>
      </c>
      <c r="AR355" s="7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355" s="16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3.6954261234521189E-2</v>
      </c>
      <c r="AU355" s="18">
        <f>((1+Tabela3[[#This Row],[% Yield]])^(1/(3*Tabela3[[#This Row],[Ref]])))^(12)-1</f>
        <v>3.6954261234522834E-2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47">
        <f>SUMPRODUCT(N(Tabela1[Código]=Tabela3[[#This Row],[PAPEL]]),Tabela1[Fechamento])</f>
        <v>0</v>
      </c>
      <c r="AY355" s="47">
        <f>SUMPRODUCT(N(Tabela17[Código]=Tabela3[[#This Row],[PAPEL]]),Tabela17[Fechamento])</f>
        <v>16.38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0</v>
      </c>
      <c r="BB355" s="7">
        <f>SUMPRODUCT(N(Tabela17683[Código]=Tabela3[[#This Row],[PAPEL]]),Tabela17683[Fechamento])</f>
        <v>0</v>
      </c>
    </row>
    <row r="356" spans="1:54" ht="11.25" customHeight="1">
      <c r="A356" s="3" t="s">
        <v>1141</v>
      </c>
      <c r="B356" s="57" t="s">
        <v>1145</v>
      </c>
      <c r="C356" s="16" t="str">
        <f>LEFT([PAPEL],LEN([PAPEL])-(LEN([PAPEL])-4))</f>
        <v>STBP</v>
      </c>
      <c r="D356" s="16">
        <v>4</v>
      </c>
      <c r="E356" s="5">
        <v>1071077315.22</v>
      </c>
      <c r="F356" s="56"/>
      <c r="G356" s="80">
        <v>0.25</v>
      </c>
      <c r="H356" s="86"/>
      <c r="J356" s="18"/>
      <c r="K356" s="16">
        <v>1</v>
      </c>
      <c r="L356" s="86">
        <v>4</v>
      </c>
      <c r="M356" s="54">
        <v>2144669000</v>
      </c>
      <c r="N356" s="54">
        <v>254441000</v>
      </c>
      <c r="O356" s="54">
        <v>354195000</v>
      </c>
      <c r="P356" s="90">
        <v>1447969000</v>
      </c>
      <c r="Q356" s="73">
        <v>255060000</v>
      </c>
      <c r="R356" s="73">
        <f>IF(Tabela3[[#This Row],[Ativo || Passivo]]&gt;0,Tabela3[[#This Row],[Ativo || Passivo]]-Tabela3[[#This Row],[Patrimônio Líquido]],0)</f>
        <v>696700000</v>
      </c>
      <c r="S356" s="73">
        <f>Tabela3[[#This Row],[Cotação]]*Tabela3[[#This Row],[Total Ações]]</f>
        <v>11017071603.16</v>
      </c>
      <c r="T356" s="37">
        <f>IF(Tabela3[[#This Row],[Passivo Circulante]]&gt;0,Tabela3[[#This Row],[Ativo Circulante]]/Tabela3[[#This Row],[Passivo Circulante]],0)</f>
        <v>0.71836417792458951</v>
      </c>
      <c r="U3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6" s="18">
        <f>IF(Tabela3[[#This Row],[Lucro Líquido]]&gt;0,Tabela3[[#This Row],[Lucro Líquido]]/Tabela3[[#This Row],[Patrimônio Líquido]],0)/Tabela3[[#This Row],[Ref]]*4</f>
        <v>0.17615018001075991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6" s="18">
        <f>IF(Tabela3[[#This Row],[Dívida]]&gt;0,Tabela3[[#This Row],[Dívida]]/Tabela3[[#This Row],[Patrimônio Líquido]],0)</f>
        <v>0.48115670984668868</v>
      </c>
      <c r="Y356" s="18">
        <f>SUMPRODUCT(N([Dívida / PL]&gt;0),N(RIGHT([PAPEL],LEN([PAPEL])-(LEN([PAPEL])-1))="3"),[Dívida / PL])/SUMPRODUCT(N([Dívida / PL]&gt;0),N(RIGHT([PAPEL],LEN([PAPEL])-(LEN([PAPEL])-1))="3"))</f>
        <v>2.2435702141443779</v>
      </c>
      <c r="Z356" s="7">
        <f>Tabela3[[#This Row],[Capital Social]]*20%</f>
        <v>214215463.04400003</v>
      </c>
      <c r="AA356" s="47">
        <f>IF(([Lucro Líquido]*5%)&gt;[Teto R. Legal],[Teto R. Legal],[Lucro Líquido]*5%)</f>
        <v>12753000</v>
      </c>
      <c r="AB356" s="47">
        <f>IF([Lucro Líquido]&lt;0,0,[Lucro Líquido]-[Reserva Legal])</f>
        <v>242307000</v>
      </c>
      <c r="AC356" s="47">
        <f>Tabela3[[#This Row],[Lucro Distribuir]]*[%Div]</f>
        <v>60576750</v>
      </c>
      <c r="AD356" s="56">
        <f>SUMPRODUCT(N([Nome]=Tabela3[[#This Row],[Nome]]),[Ações])</f>
        <v>666086554</v>
      </c>
      <c r="AE356" s="84">
        <f>[Capital Social]/[Total Ações]</f>
        <v>1.6080152178240787</v>
      </c>
      <c r="AF356" s="84">
        <f>Tabela3[[#This Row],[Lucro Líquido]]/Tabela3[[#This Row],[Total Ações]]</f>
        <v>0.38292320790489942</v>
      </c>
      <c r="AG3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6" s="7">
        <f>[Div Base]*[Ações]</f>
        <v>0</v>
      </c>
      <c r="AL356" s="113">
        <f>SUMPRODUCT(N([Nome]=Tabela3[[#This Row],[Nome]]),[Div Base]*[Ações])</f>
        <v>60576750</v>
      </c>
      <c r="AM356" s="5">
        <f>[Patrimônio Líquido]/[Total Ações]</f>
        <v>2.1738451126278102</v>
      </c>
      <c r="AN356" s="52">
        <f>MAX(Tabela3[[#This Row],[Cotação 1]:[Cotação 5]])</f>
        <v>16.54</v>
      </c>
      <c r="AO356" s="53">
        <f>[Cotação]/[VPA]</f>
        <v>7.6086377561674317</v>
      </c>
      <c r="AP356" s="37">
        <f>IF(Tabela3[[#This Row],[Lucro/Ação]]&gt;0,Tabela3[[#This Row],[Cotação]]/(Tabela3[[#This Row],[Lucro/Ação]]/[Ref]*4),0)</f>
        <v>43.194039062024615</v>
      </c>
      <c r="AQ356" s="84">
        <f>[Lucro Distribuir]/[Total Ações]</f>
        <v>0.36377704750965445</v>
      </c>
      <c r="AR356" s="84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2.7492219430898916E-2</v>
      </c>
      <c r="AU356" s="22">
        <f>((1+Tabela3[[#This Row],[% Yield]])^(1/(3*Tabela3[[#This Row],[Ref]])))^(12)-1</f>
        <v>2.7492219430898635E-2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0</v>
      </c>
      <c r="BB356" s="7">
        <f>SUMPRODUCT(N(Tabela17683[Código]=Tabela3[[#This Row],[PAPEL]]),Tabela17683[Fechamento])</f>
        <v>16.54</v>
      </c>
    </row>
    <row r="357" spans="1:54" ht="11.25" customHeight="1">
      <c r="A357" s="3" t="s">
        <v>795</v>
      </c>
      <c r="B357" s="58" t="s">
        <v>796</v>
      </c>
      <c r="C357" s="16" t="str">
        <f>LEFT([PAPEL],LEN([PAPEL])-(LEN([PAPEL])-4))</f>
        <v>ABEV</v>
      </c>
      <c r="D357" s="16">
        <v>4</v>
      </c>
      <c r="E357" s="5">
        <v>57000790000</v>
      </c>
      <c r="F357" s="56">
        <v>15664342206</v>
      </c>
      <c r="G357" s="80">
        <v>0.4</v>
      </c>
      <c r="H357" s="86"/>
      <c r="J357" s="18"/>
      <c r="K357" s="16"/>
      <c r="L357" s="86"/>
      <c r="M357" s="54">
        <v>43882834000</v>
      </c>
      <c r="N357" s="54">
        <v>149230000</v>
      </c>
      <c r="O357" s="54">
        <v>957641000</v>
      </c>
      <c r="P357" s="90">
        <v>42838778000</v>
      </c>
      <c r="Q357" s="73">
        <v>9534969000</v>
      </c>
      <c r="R357" s="73">
        <f>IF(Tabela3[[#This Row],[Ativo || Passivo]]&gt;0,Tabela3[[#This Row],[Ativo || Passivo]]-Tabela3[[#This Row],[Patrimônio Líquido]],0)</f>
        <v>1044056000</v>
      </c>
      <c r="S357" s="73">
        <f>Tabela3[[#This Row],[Cotação]]*Tabela3[[#This Row],[Total Ações]]</f>
        <v>261751158262.26001</v>
      </c>
      <c r="T357" s="37">
        <f>IF(Tabela3[[#This Row],[Passivo Circulante]]&gt;0,Tabela3[[#This Row],[Ativo Circulante]]/Tabela3[[#This Row],[Passivo Circulante]],0)</f>
        <v>0.15583083848749166</v>
      </c>
      <c r="U35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7" s="18">
        <f>IF(Tabela3[[#This Row],[Lucro Líquido]]&gt;0,Tabela3[[#This Row],[Lucro Líquido]]/Tabela3[[#This Row],[Patrimônio Líquido]],0)/Tabela3[[#This Row],[Ref]]*4</f>
        <v>0.22257798763540829</v>
      </c>
      <c r="W35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7" s="18">
        <f>IF(Tabela3[[#This Row],[Dívida]]&gt;0,Tabela3[[#This Row],[Dívida]]/Tabela3[[#This Row],[Patrimônio Líquido]],0)</f>
        <v>2.4371750286621155E-2</v>
      </c>
      <c r="Y357" s="18">
        <f>SUMPRODUCT(N([Dívida / PL]&gt;0),N(RIGHT([PAPEL],LEN([PAPEL])-(LEN([PAPEL])-1))="3"),[Dívida / PL])/SUMPRODUCT(N([Dívida / PL]&gt;0),N(RIGHT([PAPEL],LEN([PAPEL])-(LEN([PAPEL])-1))="3"))</f>
        <v>2.2435702141443779</v>
      </c>
      <c r="Z357" s="7">
        <f>Tabela3[[#This Row],[Capital Social]]*20%</f>
        <v>11400158000</v>
      </c>
      <c r="AA357" s="47">
        <f>IF(([Lucro Líquido]*5%)&gt;[Teto R. Legal],[Teto R. Legal],[Lucro Líquido]*5%)</f>
        <v>476748450</v>
      </c>
      <c r="AB357" s="47">
        <f>IF([Lucro Líquido]&lt;0,0,[Lucro Líquido]-[Reserva Legal])</f>
        <v>9058220550</v>
      </c>
      <c r="AC357" s="47">
        <f>Tabela3[[#This Row],[Lucro Distribuir]]*[%Div]</f>
        <v>3623288220</v>
      </c>
      <c r="AD357" s="56">
        <f>SUMPRODUCT(N([Nome]=Tabela3[[#This Row],[Nome]]),[Ações])</f>
        <v>15664342206</v>
      </c>
      <c r="AE357" s="84">
        <f>[Capital Social]/[Total Ações]</f>
        <v>3.6388881990950548</v>
      </c>
      <c r="AF357" s="84">
        <f>Tabela3[[#This Row],[Lucro Líquido]]/Tabela3[[#This Row],[Total Ações]]</f>
        <v>0.60870535606326115</v>
      </c>
      <c r="AG35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35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357" s="7">
        <f>[Div Base]*[Ações]</f>
        <v>3623288220</v>
      </c>
      <c r="AL357" s="7">
        <f>SUMPRODUCT(N([Nome]=Tabela3[[#This Row],[Nome]]),[Div Base]*[Ações])</f>
        <v>3623288220</v>
      </c>
      <c r="AM357" s="5">
        <f>[Patrimônio Líquido]/[Total Ações]</f>
        <v>2.7347958463006012</v>
      </c>
      <c r="AN357" s="52">
        <f>MAX(Tabela3[[#This Row],[Cotação 1]:[Cotação 5]])</f>
        <v>16.71</v>
      </c>
      <c r="AO357" s="53">
        <f>[Cotação]/[VPA]</f>
        <v>6.1101453048511338</v>
      </c>
      <c r="AP357" s="37">
        <f>IF(Tabela3[[#This Row],[Lucro/Ação]]&gt;0,Tabela3[[#This Row],[Cotação]]/(Tabela3[[#This Row],[Lucro/Ação]]/[Ref]*4),0)</f>
        <v>27.451705219205223</v>
      </c>
      <c r="AQ357" s="84">
        <f>[Lucro Distribuir]/[Total Ações]</f>
        <v>0.57827008826009807</v>
      </c>
      <c r="AR357" s="84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357" s="10" t="str">
        <f>IF(AND([% A.A.]&gt;=5%,SUMPRODUCT(N([Nome]=Tabela3[[#This Row],[Nome]]),[PL])&gt;0,[Rentabilidade s/ PL]&gt;=[Rentabilidade s/ PL Média]),"Sim","Não")</f>
        <v>Não</v>
      </c>
      <c r="AT357" s="22">
        <f>IF([Cotação]&gt;0,Tabela3[[#This Row],[Lucro]]/Tabela3[[#This Row],[Cotação]],0)</f>
        <v>1.3842491639978409E-2</v>
      </c>
      <c r="AU357" s="22">
        <f>((1+Tabela3[[#This Row],[% Yield]])^(1/(3*Tabela3[[#This Row],[Ref]])))^(12)-1</f>
        <v>1.3842491639978416E-2</v>
      </c>
      <c r="AV357" s="10">
        <f>IF([Cotação]&gt;0,($BH$1/Tabela3[[#This Row],[Cotação]]-MOD($BH$1/Tabela3[[#This Row],[Cotação]],100)),)</f>
        <v>0</v>
      </c>
      <c r="AW357" s="7">
        <f>Tabela3[[#This Row],[Ativos]]*[Lucro]</f>
        <v>0</v>
      </c>
      <c r="AX357" s="7">
        <f>SUMPRODUCT(N(Tabela1[Código]=Tabela3[[#This Row],[PAPEL]]),Tabela1[Fechamento])</f>
        <v>0</v>
      </c>
      <c r="AY357" s="7">
        <f>SUMPRODUCT(N(Tabela17[Código]=Tabela3[[#This Row],[PAPEL]]),Tabela17[Fechamento])</f>
        <v>0</v>
      </c>
      <c r="AZ357" s="7">
        <f>SUMPRODUCT(N(Tabela176[Código]=Tabela3[[#This Row],[PAPEL]]),Tabela176[Fechamento])</f>
        <v>16.71</v>
      </c>
      <c r="BA357" s="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t="11.25" customHeight="1">
      <c r="A358" s="3" t="s">
        <v>1276</v>
      </c>
      <c r="B358" s="58" t="s">
        <v>1255</v>
      </c>
      <c r="C358" s="16" t="str">
        <f>LEFT([PAPEL],LEN([PAPEL])-(LEN([PAPEL])-4))</f>
        <v>TUPY</v>
      </c>
      <c r="D358" s="16">
        <v>4</v>
      </c>
      <c r="E358" s="5">
        <v>1053760000</v>
      </c>
      <c r="F358" s="56">
        <v>144177500</v>
      </c>
      <c r="G358" s="80">
        <v>0.25</v>
      </c>
      <c r="H358" s="86"/>
      <c r="J358" s="18"/>
      <c r="K358" s="16"/>
      <c r="L358" s="86"/>
      <c r="M358" s="54">
        <v>4169427000</v>
      </c>
      <c r="N358" s="54">
        <v>1345023000</v>
      </c>
      <c r="O358" s="54">
        <v>549750000</v>
      </c>
      <c r="P358" s="90">
        <v>1901901000</v>
      </c>
      <c r="Q358" s="73">
        <v>86321000</v>
      </c>
      <c r="R358" s="73">
        <f>IF(Tabela3[[#This Row],[Ativo || Passivo]]&gt;0,Tabela3[[#This Row],[Ativo || Passivo]]-Tabela3[[#This Row],[Patrimônio Líquido]],0)</f>
        <v>2267526000</v>
      </c>
      <c r="S358" s="73">
        <f>Tabela3[[#This Row],[Cotação]]*Tabela3[[#This Row],[Total Ações]]</f>
        <v>2416414900</v>
      </c>
      <c r="T358" s="37">
        <f>IF(Tabela3[[#This Row],[Passivo Circulante]]&gt;0,Tabela3[[#This Row],[Ativo Circulante]]/Tabela3[[#This Row],[Passivo Circulante]],0)</f>
        <v>2.4466084583901773</v>
      </c>
      <c r="U35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8" s="18">
        <f>IF(Tabela3[[#This Row],[Lucro Líquido]]&gt;0,Tabela3[[#This Row],[Lucro Líquido]]/Tabela3[[#This Row],[Patrimônio Líquido]],0)/Tabela3[[#This Row],[Ref]]*4</f>
        <v>4.5386694680743106E-2</v>
      </c>
      <c r="W35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8" s="18">
        <f>IF(Tabela3[[#This Row],[Dívida]]&gt;0,Tabela3[[#This Row],[Dívida]]/Tabela3[[#This Row],[Patrimônio Líquido]],0)</f>
        <v>1.1922418674789066</v>
      </c>
      <c r="Y358" s="18">
        <f>SUMPRODUCT(N([Dívida / PL]&gt;0),N(RIGHT([PAPEL],LEN([PAPEL])-(LEN([PAPEL])-1))="3"),[Dívida / PL])/SUMPRODUCT(N([Dívida / PL]&gt;0),N(RIGHT([PAPEL],LEN([PAPEL])-(LEN([PAPEL])-1))="3"))</f>
        <v>2.2435702141443779</v>
      </c>
      <c r="Z358" s="7">
        <f>Tabela3[[#This Row],[Capital Social]]*20%</f>
        <v>210752000</v>
      </c>
      <c r="AA358" s="47">
        <f>IF(([Lucro Líquido]*5%)&gt;[Teto R. Legal],[Teto R. Legal],[Lucro Líquido]*5%)</f>
        <v>4316050</v>
      </c>
      <c r="AB358" s="47">
        <f>IF([Lucro Líquido]&lt;0,0,[Lucro Líquido]-[Reserva Legal])</f>
        <v>82004950</v>
      </c>
      <c r="AC358" s="47">
        <f>Tabela3[[#This Row],[Lucro Distribuir]]*[%Div]</f>
        <v>20501237.5</v>
      </c>
      <c r="AD358" s="56">
        <f>SUMPRODUCT(N([Nome]=Tabela3[[#This Row],[Nome]]),[Ações])</f>
        <v>144177500</v>
      </c>
      <c r="AE358" s="84">
        <f>[Capital Social]/[Total Ações]</f>
        <v>7.3087687052418024</v>
      </c>
      <c r="AF358" s="84">
        <f>Tabela3[[#This Row],[Lucro Líquido]]/Tabela3[[#This Row],[Total Ações]]</f>
        <v>0.59871339147925295</v>
      </c>
      <c r="AG35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35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358" s="7">
        <f>[Div Base]*[Ações]</f>
        <v>20501237.499999996</v>
      </c>
      <c r="AL358" s="113">
        <f>SUMPRODUCT(N([Nome]=Tabela3[[#This Row],[Nome]]),[Div Base]*[Ações])</f>
        <v>20501237.499999996</v>
      </c>
      <c r="AM358" s="5">
        <f>[Patrimônio Líquido]/[Total Ações]</f>
        <v>13.191385618421737</v>
      </c>
      <c r="AN358" s="52">
        <f>MAX(Tabela3[[#This Row],[Cotação 1]:[Cotação 5]])</f>
        <v>16.760000000000002</v>
      </c>
      <c r="AO358" s="53">
        <f>[Cotação]/[VPA]</f>
        <v>1.2705261209705447</v>
      </c>
      <c r="AP358" s="37">
        <f>IF(Tabela3[[#This Row],[Lucro/Ação]]&gt;0,Tabela3[[#This Row],[Cotação]]/(Tabela3[[#This Row],[Lucro/Ação]]/[Ref]*4),0)</f>
        <v>27.993360827608583</v>
      </c>
      <c r="AQ358" s="84">
        <f>[Lucro Distribuir]/[Total Ações]</f>
        <v>0.5687777219052903</v>
      </c>
      <c r="AR358" s="84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358" s="10" t="str">
        <f>IF(AND([% A.A.]&gt;=5%,SUMPRODUCT(N([Nome]=Tabela3[[#This Row],[Nome]]),[PL])&gt;0,[Rentabilidade s/ PL]&gt;=[Rentabilidade s/ PL Média]),"Sim","Não")</f>
        <v>Não</v>
      </c>
      <c r="AT358" s="22">
        <f>IF([Cotação]&gt;0,Tabela3[[#This Row],[Lucro]]/Tabela3[[#This Row],[Cotação]],0)</f>
        <v>8.4841545630264057E-3</v>
      </c>
      <c r="AU358" s="22">
        <f>((1+Tabela3[[#This Row],[% Yield]])^(1/(3*Tabela3[[#This Row],[Ref]])))^(12)-1</f>
        <v>8.4841545630265358E-3</v>
      </c>
      <c r="AV358" s="10">
        <f>IF([Cotação]&gt;0,($BH$1/Tabela3[[#This Row],[Cotação]]-MOD($BH$1/Tabela3[[#This Row],[Cotação]],100)),)</f>
        <v>0</v>
      </c>
      <c r="AW358" s="7">
        <f>Tabela3[[#This Row],[Ativos]]*[Lucro]</f>
        <v>0</v>
      </c>
      <c r="AX358" s="7">
        <f>SUMPRODUCT(N(Tabela1[Código]=Tabela3[[#This Row],[PAPEL]]),Tabela1[Fechamento])</f>
        <v>0</v>
      </c>
      <c r="AY358" s="7">
        <f>SUMPRODUCT(N(Tabela17[Código]=Tabela3[[#This Row],[PAPEL]]),Tabela17[Fechamento])</f>
        <v>0</v>
      </c>
      <c r="AZ358" s="7">
        <f>SUMPRODUCT(N(Tabela176[Código]=Tabela3[[#This Row],[PAPEL]]),Tabela176[Fechamento])</f>
        <v>0</v>
      </c>
      <c r="BA358" s="7">
        <f>SUMPRODUCT(N(Tabela1768[Código]=Tabela3[[#This Row],[PAPEL]]),Tabela1768[Fechamento])</f>
        <v>0</v>
      </c>
      <c r="BB358" s="7">
        <f>SUMPRODUCT(N(Tabela17683[Código]=Tabela3[[#This Row],[PAPEL]]),Tabela17683[Fechamento])</f>
        <v>16.760000000000002</v>
      </c>
    </row>
    <row r="359" spans="1:54" ht="11.25" customHeight="1">
      <c r="A359" s="3" t="s">
        <v>996</v>
      </c>
      <c r="B359" s="58" t="s">
        <v>999</v>
      </c>
      <c r="C359" s="16" t="str">
        <f>LEFT([PAPEL],LEN([PAPEL])-(LEN([PAPEL])-4))</f>
        <v>CGRA</v>
      </c>
      <c r="D359" s="16">
        <v>4</v>
      </c>
      <c r="E359" s="5">
        <v>141551832</v>
      </c>
      <c r="F359" s="56">
        <v>8759925</v>
      </c>
      <c r="G359" s="80">
        <v>0.25</v>
      </c>
      <c r="H359" s="86"/>
      <c r="J359" s="18"/>
      <c r="K359" s="16"/>
      <c r="L359" s="86"/>
      <c r="M359" s="54">
        <v>493836775</v>
      </c>
      <c r="N359" s="54">
        <v>244813557</v>
      </c>
      <c r="O359" s="54">
        <v>113102343</v>
      </c>
      <c r="P359" s="90">
        <v>356152349</v>
      </c>
      <c r="Q359" s="73">
        <v>50433141</v>
      </c>
      <c r="R359" s="73">
        <f>IF(Tabela3[[#This Row],[Ativo || Passivo]]&gt;0,Tabela3[[#This Row],[Ativo || Passivo]]-Tabela3[[#This Row],[Patrimônio Líquido]],0)</f>
        <v>137684426</v>
      </c>
      <c r="S359" s="73">
        <f>Tabela3[[#This Row],[Cotação]]*Tabela3[[#This Row],[Total Ações]]</f>
        <v>365706516</v>
      </c>
      <c r="T359" s="37">
        <f>IF(Tabela3[[#This Row],[Passivo Circulante]]&gt;0,Tabela3[[#This Row],[Ativo Circulante]]/Tabela3[[#This Row],[Passivo Circulante]],0)</f>
        <v>2.1645312599757549</v>
      </c>
      <c r="U35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59" s="18">
        <f>IF(Tabela3[[#This Row],[Lucro Líquido]]&gt;0,Tabela3[[#This Row],[Lucro Líquido]]/Tabela3[[#This Row],[Patrimônio Líquido]],0)/Tabela3[[#This Row],[Ref]]*4</f>
        <v>0.14160552679662378</v>
      </c>
      <c r="W35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59" s="18">
        <f>IF(Tabela3[[#This Row],[Dívida]]&gt;0,Tabela3[[#This Row],[Dívida]]/Tabela3[[#This Row],[Patrimônio Líquido]],0)</f>
        <v>0.38658856634411809</v>
      </c>
      <c r="Y359" s="18">
        <f>SUMPRODUCT(N([Dívida / PL]&gt;0),N(RIGHT([PAPEL],LEN([PAPEL])-(LEN([PAPEL])-1))="3"),[Dívida / PL])/SUMPRODUCT(N([Dívida / PL]&gt;0),N(RIGHT([PAPEL],LEN([PAPEL])-(LEN([PAPEL])-1))="3"))</f>
        <v>2.2435702141443779</v>
      </c>
      <c r="Z359" s="7">
        <f>Tabela3[[#This Row],[Capital Social]]*20%</f>
        <v>28310366.400000002</v>
      </c>
      <c r="AA359" s="47">
        <f>IF(([Lucro Líquido]*5%)&gt;[Teto R. Legal],[Teto R. Legal],[Lucro Líquido]*5%)</f>
        <v>2521657.0500000003</v>
      </c>
      <c r="AB359" s="47">
        <f>IF([Lucro Líquido]&lt;0,0,[Lucro Líquido]-[Reserva Legal])</f>
        <v>47911483.950000003</v>
      </c>
      <c r="AC359" s="47">
        <f>Tabela3[[#This Row],[Lucro Distribuir]]*[%Div]</f>
        <v>11977870.987500001</v>
      </c>
      <c r="AD359" s="56">
        <f>SUMPRODUCT(N([Nome]=Tabela3[[#This Row],[Nome]]),[Ações])</f>
        <v>21768245</v>
      </c>
      <c r="AE359" s="84">
        <f>[Capital Social]/[Total Ações]</f>
        <v>6.502675433871679</v>
      </c>
      <c r="AF359" s="84">
        <f>Tabela3[[#This Row],[Lucro Líquido]]/Tabela3[[#This Row],[Total Ações]]</f>
        <v>2.3168216362871696</v>
      </c>
      <c r="AG35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35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359" s="7">
        <f>[Div Base]*[Ações]</f>
        <v>4820106.14591006</v>
      </c>
      <c r="AL359" s="113">
        <f>SUMPRODUCT(N([Nome]=Tabela3[[#This Row],[Nome]]),[Div Base]*[Ações])</f>
        <v>11977870.987500001</v>
      </c>
      <c r="AM359" s="5">
        <f>[Patrimônio Líquido]/[Total Ações]</f>
        <v>16.361096128787597</v>
      </c>
      <c r="AN359" s="52">
        <f>MAX(Tabela3[[#This Row],[Cotação 1]:[Cotação 5]])</f>
        <v>16.8</v>
      </c>
      <c r="AO359" s="53">
        <f>[Cotação]/[VPA]</f>
        <v>1.0268260676275929</v>
      </c>
      <c r="AP359" s="37">
        <f>IF(Tabela3[[#This Row],[Lucro/Ação]]&gt;0,Tabela3[[#This Row],[Cotação]]/(Tabela3[[#This Row],[Lucro/Ação]]/[Ref]*4),0)</f>
        <v>7.2513134964169694</v>
      </c>
      <c r="AQ359" s="84">
        <f>[Lucro Distribuir]/[Total Ações]</f>
        <v>2.2009805544728112</v>
      </c>
      <c r="AR359" s="84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359" s="10" t="str">
        <f>IF(AND([% A.A.]&gt;=5%,SUMPRODUCT(N([Nome]=Tabela3[[#This Row],[Nome]]),[PL])&gt;0,[Rentabilidade s/ PL]&gt;=[Rentabilidade s/ PL Média]),"Sim","Não")</f>
        <v>Não</v>
      </c>
      <c r="AT359" s="22">
        <f>IF([Cotação]&gt;0,Tabela3[[#This Row],[Lucro]]/Tabela3[[#This Row],[Cotação]],0)</f>
        <v>3.2752686822512068E-2</v>
      </c>
      <c r="AU359" s="22">
        <f>((1+Tabela3[[#This Row],[% Yield]])^(1/(3*Tabela3[[#This Row],[Ref]])))^(12)-1</f>
        <v>3.2752686822510979E-2</v>
      </c>
      <c r="AV359" s="10">
        <f>IF([Cotação]&gt;0,($BH$1/Tabela3[[#This Row],[Cotação]]-MOD($BH$1/Tabela3[[#This Row],[Cotação]],100)),)</f>
        <v>0</v>
      </c>
      <c r="AW359" s="7">
        <f>Tabela3[[#This Row],[Ativos]]*[Lucro]</f>
        <v>0</v>
      </c>
      <c r="AX359" s="7">
        <f>SUMPRODUCT(N(Tabela1[Código]=Tabela3[[#This Row],[PAPEL]]),Tabela1[Fechamento])</f>
        <v>0</v>
      </c>
      <c r="AY359" s="7">
        <f>SUMPRODUCT(N(Tabela17[Código]=Tabela3[[#This Row],[PAPEL]]),Tabela17[Fechamento])</f>
        <v>0</v>
      </c>
      <c r="AZ359" s="7">
        <f>SUMPRODUCT(N(Tabela176[Código]=Tabela3[[#This Row],[PAPEL]]),Tabela176[Fechamento])</f>
        <v>0</v>
      </c>
      <c r="BA359" s="7">
        <f>SUMPRODUCT(N(Tabela1768[Código]=Tabela3[[#This Row],[PAPEL]]),Tabela1768[Fechamento])</f>
        <v>16.8</v>
      </c>
      <c r="BB359" s="7">
        <f>SUMPRODUCT(N(Tabela17683[Código]=Tabela3[[#This Row],[PAPEL]]),Tabela17683[Fechamento])</f>
        <v>0</v>
      </c>
    </row>
    <row r="360" spans="1:54" ht="11.25" customHeight="1">
      <c r="A360" s="3" t="s">
        <v>1140</v>
      </c>
      <c r="B360" s="57" t="s">
        <v>1133</v>
      </c>
      <c r="C360" s="16" t="str">
        <f>LEFT([PAPEL],LEN([PAPEL])-(LEN([PAPEL])-4))</f>
        <v>CCRO</v>
      </c>
      <c r="D360" s="16">
        <v>4</v>
      </c>
      <c r="E360" s="5">
        <v>2025342000</v>
      </c>
      <c r="F360" s="56">
        <v>1765587200</v>
      </c>
      <c r="G360" s="80">
        <v>0.25</v>
      </c>
      <c r="H360" s="86"/>
      <c r="J360" s="18"/>
      <c r="K360" s="16"/>
      <c r="L360" s="86"/>
      <c r="M360" s="54">
        <v>4418256000</v>
      </c>
      <c r="N360" s="54">
        <v>483119000</v>
      </c>
      <c r="O360" s="54">
        <v>126989000</v>
      </c>
      <c r="P360" s="90">
        <v>3475447000</v>
      </c>
      <c r="Q360" s="73">
        <v>1339571000</v>
      </c>
      <c r="R360" s="73">
        <f>IF(Tabela3[[#This Row],[Ativo || Passivo]]&gt;0,Tabela3[[#This Row],[Ativo || Passivo]]-Tabela3[[#This Row],[Patrimônio Líquido]],0)</f>
        <v>942809000</v>
      </c>
      <c r="S360" s="73">
        <f>Tabela3[[#This Row],[Cotação]]*Tabela3[[#This Row],[Total Ações]]</f>
        <v>29714832575.999996</v>
      </c>
      <c r="T360" s="37">
        <f>IF(Tabela3[[#This Row],[Passivo Circulante]]&gt;0,Tabela3[[#This Row],[Ativo Circulante]]/Tabela3[[#This Row],[Passivo Circulante]],0)</f>
        <v>3.8044161305309907</v>
      </c>
      <c r="U36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0" s="18">
        <f>IF(Tabela3[[#This Row],[Lucro Líquido]]&gt;0,Tabela3[[#This Row],[Lucro Líquido]]/Tabela3[[#This Row],[Patrimônio Líquido]],0)/Tabela3[[#This Row],[Ref]]*4</f>
        <v>0.3854384774102439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0" s="18">
        <f>IF(Tabela3[[#This Row],[Dívida]]&gt;0,Tabela3[[#This Row],[Dívida]]/Tabela3[[#This Row],[Patrimônio Líquido]],0)</f>
        <v>0.27127704724025425</v>
      </c>
      <c r="Y360" s="18">
        <f>SUMPRODUCT(N([Dívida / PL]&gt;0),N(RIGHT([PAPEL],LEN([PAPEL])-(LEN([PAPEL])-1))="3"),[Dívida / PL])/SUMPRODUCT(N([Dívida / PL]&gt;0),N(RIGHT([PAPEL],LEN([PAPEL])-(LEN([PAPEL])-1))="3"))</f>
        <v>2.2435702141443779</v>
      </c>
      <c r="Z360" s="7">
        <f>Tabela3[[#This Row],[Capital Social]]*20%</f>
        <v>405068400</v>
      </c>
      <c r="AA360" s="47">
        <f>IF(([Lucro Líquido]*5%)&gt;[Teto R. Legal],[Teto R. Legal],[Lucro Líquido]*5%)</f>
        <v>66978550</v>
      </c>
      <c r="AB360" s="47">
        <f>IF([Lucro Líquido]&lt;0,0,[Lucro Líquido]-[Reserva Legal])</f>
        <v>1272592450</v>
      </c>
      <c r="AC360" s="47">
        <f>Tabela3[[#This Row],[Lucro Distribuir]]*[%Div]</f>
        <v>318148112.5</v>
      </c>
      <c r="AD360" s="56">
        <f>SUMPRODUCT(N([Nome]=Tabela3[[#This Row],[Nome]]),[Ações])</f>
        <v>1765587200</v>
      </c>
      <c r="AE360" s="84">
        <f>[Capital Social]/[Total Ações]</f>
        <v>1.1471209125213413</v>
      </c>
      <c r="AF360" s="84">
        <f>Tabela3[[#This Row],[Lucro Líquido]]/Tabela3[[#This Row],[Total Ações]]</f>
        <v>0.75871132278258469</v>
      </c>
      <c r="AG36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0.18019393916086388</v>
      </c>
      <c r="AH36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0.18019393916086388</v>
      </c>
      <c r="AK360" s="7">
        <f>[Div Base]*[Ações]</f>
        <v>318148112.5</v>
      </c>
      <c r="AL360" s="113">
        <f>SUMPRODUCT(N([Nome]=Tabela3[[#This Row],[Nome]]),[Div Base]*[Ações])</f>
        <v>318148112.5</v>
      </c>
      <c r="AM360" s="5">
        <f>[Patrimônio Líquido]/[Total Ações]</f>
        <v>1.9684369030314675</v>
      </c>
      <c r="AN360" s="52">
        <f>MAX(Tabela3[[#This Row],[Cotação 1]:[Cotação 5]])</f>
        <v>16.829999999999998</v>
      </c>
      <c r="AO360" s="53">
        <f>[Cotação]/[VPA]</f>
        <v>8.549931153028659</v>
      </c>
      <c r="AP360" s="37">
        <f>IF(Tabela3[[#This Row],[Lucro/Ação]]&gt;0,Tabela3[[#This Row],[Cotação]]/(Tabela3[[#This Row],[Lucro/Ação]]/[Ref]*4),0)</f>
        <v>22.182349853796477</v>
      </c>
      <c r="AQ360" s="84">
        <f>[Lucro Distribuir]/[Total Ações]</f>
        <v>0.7207757566434555</v>
      </c>
      <c r="AR360" s="84">
        <f>IF([Unit ON]&gt;0,SUMPRODUCT(N([Nome]=Tabela3[[#This Row],[Nome]]),N(RIGHT([PAPEL],1)="3"),[Div Base])*[Unit ON]+SUMPRODUCT(N([Nome]=Tabela3[[#This Row],[Nome]]),N(RIGHT([PAPEL],1)="4"),[Div Base])*[Unit PN],[Div Base])</f>
        <v>0.18019393916086388</v>
      </c>
      <c r="AS360" s="10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1.0706710585909916E-2</v>
      </c>
      <c r="AU360" s="22">
        <f>((1+Tabela3[[#This Row],[% Yield]])^(1/(3*Tabela3[[#This Row],[Ref]])))^(12)-1</f>
        <v>1.0706710585908885E-2</v>
      </c>
      <c r="AV360" s="10">
        <f>IF([Cotação]&gt;0,($BH$1/Tabela3[[#This Row],[Cotação]]-MOD($BH$1/Tabela3[[#This Row],[Cotação]],100)),)</f>
        <v>0</v>
      </c>
      <c r="AW360" s="7">
        <f>Tabela3[[#This Row],[Ativos]]*[Lucro]</f>
        <v>0</v>
      </c>
      <c r="AX360" s="7">
        <f>SUMPRODUCT(N(Tabela1[Código]=Tabela3[[#This Row],[PAPEL]]),Tabela1[Fechamento])</f>
        <v>0</v>
      </c>
      <c r="AY360" s="7">
        <f>SUMPRODUCT(N(Tabela17[Código]=Tabela3[[#This Row],[PAPEL]]),Tabela17[Fechamento])</f>
        <v>0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16.829999999999998</v>
      </c>
    </row>
    <row r="361" spans="1:54">
      <c r="A361" s="3" t="s">
        <v>1201</v>
      </c>
      <c r="B361" s="58" t="s">
        <v>1196</v>
      </c>
      <c r="C361" s="16" t="str">
        <f>LEFT([PAPEL],LEN([PAPEL])-(LEN([PAPEL])-4))</f>
        <v>MTSA</v>
      </c>
      <c r="D361" s="16">
        <v>3</v>
      </c>
      <c r="E361" s="5">
        <v>100000000</v>
      </c>
      <c r="F361" s="56">
        <v>5551953</v>
      </c>
      <c r="G361" s="80">
        <v>0.25</v>
      </c>
      <c r="H361" s="86"/>
      <c r="J361" s="18">
        <v>0.1</v>
      </c>
      <c r="K361" s="16"/>
      <c r="L361" s="86"/>
      <c r="M361" s="54"/>
      <c r="N361" s="54"/>
      <c r="O361" s="54"/>
      <c r="P361" s="90">
        <v>187243051</v>
      </c>
      <c r="Q361" s="73">
        <v>15526375</v>
      </c>
      <c r="R361" s="73">
        <f>IF(Tabela3[[#This Row],[Ativo || Passivo]]&gt;0,Tabela3[[#This Row],[Ativo || Passivo]]-Tabela3[[#This Row],[Patrimônio Líquido]],0)</f>
        <v>0</v>
      </c>
      <c r="S361" s="73">
        <f>Tabela3[[#This Row],[Cotação]]*Tabela3[[#This Row],[Total Ações]]</f>
        <v>164336248.88999999</v>
      </c>
      <c r="T361" s="37">
        <f>IF(Tabela3[[#This Row],[Passivo Circulante]]&gt;0,Tabela3[[#This Row],[Ativo Circulante]]/Tabela3[[#This Row],[Passivo Circulante]],0)</f>
        <v>0</v>
      </c>
      <c r="U36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1" s="18">
        <f>IF(Tabela3[[#This Row],[Lucro Líquido]]&gt;0,Tabela3[[#This Row],[Lucro Líquido]]/Tabela3[[#This Row],[Patrimônio Líquido]],0)/Tabela3[[#This Row],[Ref]]*4</f>
        <v>0.11056129038045494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1" s="18">
        <f>IF(Tabela3[[#This Row],[Dívida]]&gt;0,Tabela3[[#This Row],[Dívida]]/Tabela3[[#This Row],[Patrimônio Líquido]],0)</f>
        <v>0</v>
      </c>
      <c r="Y361" s="18">
        <f>SUMPRODUCT(N([Dívida / PL]&gt;0),N(RIGHT([PAPEL],LEN([PAPEL])-(LEN([PAPEL])-1))="3"),[Dívida / PL])/SUMPRODUCT(N([Dívida / PL]&gt;0),N(RIGHT([PAPEL],LEN([PAPEL])-(LEN([PAPEL])-1))="3"))</f>
        <v>2.2435702141443779</v>
      </c>
      <c r="Z361" s="7">
        <f>Tabela3[[#This Row],[Capital Social]]*20%</f>
        <v>20000000</v>
      </c>
      <c r="AA361" s="47">
        <f>IF(([Lucro Líquido]*5%)&gt;[Teto R. Legal],[Teto R. Legal],[Lucro Líquido]*5%)</f>
        <v>776318.75</v>
      </c>
      <c r="AB361" s="47">
        <f>IF([Lucro Líquido]&lt;0,0,[Lucro Líquido]-[Reserva Legal])</f>
        <v>14750056.25</v>
      </c>
      <c r="AC361" s="47">
        <f>Tabela3[[#This Row],[Lucro Distribuir]]*[%Div]</f>
        <v>3687514.0625</v>
      </c>
      <c r="AD361" s="56">
        <f>SUMPRODUCT(N([Nome]=Tabela3[[#This Row],[Nome]]),[Ações])</f>
        <v>9764483</v>
      </c>
      <c r="AE361" s="84">
        <f>[Capital Social]/[Total Ações]</f>
        <v>10.241197613841921</v>
      </c>
      <c r="AF361" s="84">
        <f>Tabela3[[#This Row],[Lucro Líquido]]/Tabela3[[#This Row],[Total Ações]]</f>
        <v>1.5900867460161485</v>
      </c>
      <c r="AG36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6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61" s="7">
        <f>[Div Base]*[Ações]</f>
        <v>2234578.7645658352</v>
      </c>
      <c r="AL361" s="113">
        <f>SUMPRODUCT(N([Nome]=Tabela3[[#This Row],[Nome]]),[Div Base]*[Ações])</f>
        <v>3775925.0047089439</v>
      </c>
      <c r="AM361" s="5">
        <f>[Patrimônio Líquido]/[Total Ações]</f>
        <v>19.17593087109681</v>
      </c>
      <c r="AN361" s="52">
        <f>MAX(Tabela3[[#This Row],[Cotação 1]:[Cotação 5]])</f>
        <v>16.829999999999998</v>
      </c>
      <c r="AO361" s="53">
        <f>[Cotação]/[VPA]</f>
        <v>0.87766273841585707</v>
      </c>
      <c r="AP361" s="37">
        <f>IF(Tabela3[[#This Row],[Lucro/Ação]]&gt;0,Tabela3[[#This Row],[Cotação]]/(Tabela3[[#This Row],[Lucro/Ação]]/[Ref]*4),0)</f>
        <v>7.9382461564595719</v>
      </c>
      <c r="AQ361" s="84">
        <f>[Lucro Distribuir]/[Total Ações]</f>
        <v>1.510582408715341</v>
      </c>
      <c r="AR361" s="84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61" s="10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2.3914745879811999E-2</v>
      </c>
      <c r="AU361" s="22">
        <f>((1+Tabela3[[#This Row],[% Yield]])^(1/(3*Tabela3[[#This Row],[Ref]])))^(12)-1</f>
        <v>3.2012751305753095E-2</v>
      </c>
      <c r="AV361" s="10">
        <f>IF([Cotação]&gt;0,($BH$1/Tabela3[[#This Row],[Cotação]]-MOD($BH$1/Tabela3[[#This Row],[Cotação]],100)),)</f>
        <v>0</v>
      </c>
      <c r="AW361" s="7">
        <f>Tabela3[[#This Row],[Ativos]]*[Lucro]</f>
        <v>0</v>
      </c>
      <c r="AX361" s="7">
        <f>SUMPRODUCT(N(Tabela1[Código]=Tabela3[[#This Row],[PAPEL]]),Tabela1[Fechamento])</f>
        <v>0</v>
      </c>
      <c r="AY361" s="7">
        <f>SUMPRODUCT(N(Tabela17[Código]=Tabela3[[#This Row],[PAPEL]]),Tabela17[Fechamento])</f>
        <v>0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16.829999999999998</v>
      </c>
    </row>
    <row r="362" spans="1:54" ht="11.25" customHeight="1">
      <c r="A362" s="3" t="s">
        <v>335</v>
      </c>
      <c r="B362" s="58" t="s">
        <v>340</v>
      </c>
      <c r="C362" s="82" t="str">
        <f>LEFT([PAPEL],LEN([PAPEL])-(LEN([PAPEL])-4))</f>
        <v>BRPR</v>
      </c>
      <c r="D362" s="16">
        <v>4</v>
      </c>
      <c r="E362" s="5">
        <v>2346986526</v>
      </c>
      <c r="F362" s="56">
        <v>311612886</v>
      </c>
      <c r="G362" s="85">
        <v>0.25</v>
      </c>
      <c r="H362" s="16"/>
      <c r="J362" s="18"/>
      <c r="K362" s="86"/>
      <c r="L362" s="86"/>
      <c r="M362" s="54"/>
      <c r="N362" s="54"/>
      <c r="O362" s="54"/>
      <c r="P362" s="5">
        <v>7650441000</v>
      </c>
      <c r="Q362" s="5">
        <v>81162000</v>
      </c>
      <c r="R362" s="5">
        <f>IF(Tabela3[[#This Row],[Ativo || Passivo]]&gt;0,Tabela3[[#This Row],[Ativo || Passivo]]-Tabela3[[#This Row],[Patrimônio Líquido]],0)</f>
        <v>0</v>
      </c>
      <c r="S362" s="5">
        <f>Tabela3[[#This Row],[Cotação]]*Tabela3[[#This Row],[Total Ações]]</f>
        <v>5250677129.1000004</v>
      </c>
      <c r="T362" s="119">
        <f>IF(Tabela3[[#This Row],[Passivo Circulante]]&gt;0,Tabela3[[#This Row],[Ativo Circulante]]/Tabela3[[#This Row],[Passivo Circulante]],0)</f>
        <v>0</v>
      </c>
      <c r="U36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2" s="18">
        <f>IF(Tabela3[[#This Row],[Lucro Líquido]]&gt;0,Tabela3[[#This Row],[Lucro Líquido]]/Tabela3[[#This Row],[Patrimônio Líquido]],0)/Tabela3[[#This Row],[Ref]]*4</f>
        <v>1.0608800198576789E-2</v>
      </c>
      <c r="W36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2" s="18">
        <f>IF(Tabela3[[#This Row],[Dívida]]&gt;0,Tabela3[[#This Row],[Dívida]]/Tabela3[[#This Row],[Patrimônio Líquido]],0)</f>
        <v>0</v>
      </c>
      <c r="Y362" s="18">
        <f>SUMPRODUCT(N([Dívida / PL]&gt;0),N(RIGHT([PAPEL],LEN([PAPEL])-(LEN([PAPEL])-1))="3"),[Dívida / PL])/SUMPRODUCT(N([Dívida / PL]&gt;0),N(RIGHT([PAPEL],LEN([PAPEL])-(LEN([PAPEL])-1))="3"))</f>
        <v>2.2435702141443779</v>
      </c>
      <c r="Z362" s="5">
        <f>Tabela3[[#This Row],[Capital Social]]*20%</f>
        <v>469397305.20000005</v>
      </c>
      <c r="AA362" s="5">
        <f>IF(([Lucro Líquido]*5%)&gt;[Teto R. Legal],[Teto R. Legal],[Lucro Líquido]*5%)</f>
        <v>4058100</v>
      </c>
      <c r="AB362" s="5">
        <f>IF([Lucro Líquido]&lt;0,0,[Lucro Líquido]-[Reserva Legal])</f>
        <v>77103900</v>
      </c>
      <c r="AC362" s="5">
        <f>Tabela3[[#This Row],[Lucro Distribuir]]*[%Div]</f>
        <v>19275975</v>
      </c>
      <c r="AD362" s="21">
        <f>SUMPRODUCT(N([Nome]=Tabela3[[#This Row],[Nome]]),[Ações])</f>
        <v>311612886</v>
      </c>
      <c r="AE362" s="5">
        <f>[Capital Social]/[Total Ações]</f>
        <v>7.5317377151084823</v>
      </c>
      <c r="AF362" s="76">
        <f>Tabela3[[#This Row],[Lucro Líquido]]/Tabela3[[#This Row],[Total Ações]]</f>
        <v>0.26045777837313183</v>
      </c>
      <c r="AG36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36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362" s="5">
        <f>[Div Base]*[Ações]</f>
        <v>19275975</v>
      </c>
      <c r="AL362" s="5">
        <f>SUMPRODUCT(N([Nome]=Tabela3[[#This Row],[Nome]]),[Div Base]*[Ações])</f>
        <v>19275975</v>
      </c>
      <c r="AM362" s="5">
        <f>[Patrimônio Líquido]/[Total Ações]</f>
        <v>24.551106015558034</v>
      </c>
      <c r="AN362" s="52">
        <f>MAX(Tabela3[[#This Row],[Cotação 1]:[Cotação 5]])</f>
        <v>16.850000000000001</v>
      </c>
      <c r="AO362" s="53">
        <f>[Cotação]/[VPA]</f>
        <v>0.68632345888295854</v>
      </c>
      <c r="AP362" s="37">
        <f>IF(Tabela3[[#This Row],[Lucro/Ação]]&gt;0,Tabela3[[#This Row],[Cotação]]/(Tabela3[[#This Row],[Lucro/Ação]]/[Ref]*4),0)</f>
        <v>64.693786859614121</v>
      </c>
      <c r="AQ362" s="76">
        <f>[Lucro Distribuir]/[Total Ações]</f>
        <v>0.24743488945447525</v>
      </c>
      <c r="AR362" s="76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362" s="16" t="str">
        <f>IF(AND([% A.A.]&gt;=5%,SUMPRODUCT(N([Nome]=Tabela3[[#This Row],[Nome]]),[PL])&gt;0,[Rentabilidade s/ PL]&gt;=[Rentabilidade s/ PL Média]),"Sim","Não")</f>
        <v>Não</v>
      </c>
      <c r="AT362" s="22">
        <f>IF([Cotação]&gt;0,Tabela3[[#This Row],[Lucro]]/Tabela3[[#This Row],[Cotação]],0)</f>
        <v>3.6711407930931045E-3</v>
      </c>
      <c r="AU362" s="18">
        <f>((1+Tabela3[[#This Row],[% Yield]])^(1/(3*Tabela3[[#This Row],[Ref]])))^(12)-1</f>
        <v>3.6711407930920537E-3</v>
      </c>
      <c r="AV362" s="10">
        <f>IF([Cotação]&gt;0,($BH$1/Tabela3[[#This Row],[Cotação]]-MOD($BH$1/Tabela3[[#This Row],[Cotação]],100)),)</f>
        <v>0</v>
      </c>
      <c r="AW362" s="7">
        <f>Tabela3[[#This Row],[Ativos]]*[Lucro]</f>
        <v>0</v>
      </c>
      <c r="AX362" s="47">
        <f>SUMPRODUCT(N(Tabela1[Código]=Tabela3[[#This Row],[PAPEL]]),Tabela1[Fechamento])</f>
        <v>0</v>
      </c>
      <c r="AY362" s="54">
        <f>SUMPRODUCT(N(Tabela17[Código]=Tabela3[[#This Row],[PAPEL]]),Tabela17[Fechamento])</f>
        <v>16.850000000000001</v>
      </c>
      <c r="AZ362" s="7">
        <f>SUMPRODUCT(N(Tabela176[Código]=Tabela3[[#This Row],[PAPEL]]),Tabela176[Fechamento])</f>
        <v>0</v>
      </c>
      <c r="BA362" s="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12</v>
      </c>
      <c r="B363" s="60" t="s">
        <v>55</v>
      </c>
      <c r="C363" s="43" t="str">
        <f>LEFT([PAPEL],LEN([PAPEL])-(LEN([PAPEL])-4))</f>
        <v>LIGT</v>
      </c>
      <c r="D363" s="16">
        <v>4</v>
      </c>
      <c r="E363" s="5">
        <v>2225822197.8899999</v>
      </c>
      <c r="F363" s="56">
        <v>203934060</v>
      </c>
      <c r="G363" s="80">
        <v>0.25</v>
      </c>
      <c r="H363" s="18"/>
      <c r="J363" s="18"/>
      <c r="K363" s="86"/>
      <c r="L363" s="86"/>
      <c r="M363" s="54">
        <v>3526009000</v>
      </c>
      <c r="N363" s="54">
        <v>75956000</v>
      </c>
      <c r="O363" s="54">
        <v>47969000</v>
      </c>
      <c r="P363" s="88">
        <v>3477139000</v>
      </c>
      <c r="Q363" s="88">
        <v>587335000</v>
      </c>
      <c r="R363" s="88">
        <f>IF(Tabela3[[#This Row],[Ativo || Passivo]]&gt;0,Tabela3[[#This Row],[Ativo || Passivo]]-Tabela3[[#This Row],[Patrimônio Líquido]],0)</f>
        <v>48870000</v>
      </c>
      <c r="S363" s="88">
        <f>Tabela3[[#This Row],[Cotação]]*Tabela3[[#This Row],[Total Ações]]</f>
        <v>3448524954.5999999</v>
      </c>
      <c r="T363" s="121">
        <f>IF(Tabela3[[#This Row],[Passivo Circulante]]&gt;0,Tabela3[[#This Row],[Ativo Circulante]]/Tabela3[[#This Row],[Passivo Circulante]],0)</f>
        <v>1.5834393045508557</v>
      </c>
      <c r="U36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3" s="19">
        <f>IF(Tabela3[[#This Row],[Lucro Líquido]]&gt;0,Tabela3[[#This Row],[Lucro Líquido]]/Tabela3[[#This Row],[Patrimônio Líquido]],0)/Tabela3[[#This Row],[Ref]]*4</f>
        <v>0.16891329337136077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3" s="19">
        <f>IF(Tabela3[[#This Row],[Dívida]]&gt;0,Tabela3[[#This Row],[Dívida]]/Tabela3[[#This Row],[Patrimônio Líquido]],0)</f>
        <v>1.4054658154304444E-2</v>
      </c>
      <c r="Y363" s="19">
        <f>SUMPRODUCT(N([Dívida / PL]&gt;0),N(RIGHT([PAPEL],LEN([PAPEL])-(LEN([PAPEL])-1))="3"),[Dívida / PL])/SUMPRODUCT(N([Dívida / PL]&gt;0),N(RIGHT([PAPEL],LEN([PAPEL])-(LEN([PAPEL])-1))="3"))</f>
        <v>2.2435702141443779</v>
      </c>
      <c r="Z363" s="6">
        <f>Tabela3[[#This Row],[Capital Social]]*20%</f>
        <v>445164439.57800001</v>
      </c>
      <c r="AA363" s="6">
        <f>IF(([Lucro Líquido]*5%)&gt;[Teto R. Legal],[Teto R. Legal],[Lucro Líquido]*5%)</f>
        <v>29366750</v>
      </c>
      <c r="AB363" s="88">
        <f>IF([Lucro Líquido]&lt;0,0,[Lucro Líquido]-[Reserva Legal])</f>
        <v>557968250</v>
      </c>
      <c r="AC363" s="88">
        <f>Tabela3[[#This Row],[Lucro Distribuir]]*[%Div]</f>
        <v>139492062.5</v>
      </c>
      <c r="AD363" s="56">
        <f>SUMPRODUCT(N([Nome]=Tabela3[[#This Row],[Nome]]),[Ações])</f>
        <v>203934060</v>
      </c>
      <c r="AE363" s="6">
        <f>[Capital Social]/[Total Ações]</f>
        <v>10.914421053010958</v>
      </c>
      <c r="AF363" s="77">
        <f>Tabela3[[#This Row],[Lucro Líquido]]/Tabela3[[#This Row],[Total Ações]]</f>
        <v>2.8800240626798681</v>
      </c>
      <c r="AG3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0.68400571488646866</v>
      </c>
      <c r="AH3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0.68400571488646866</v>
      </c>
      <c r="AK363" s="6">
        <f>[Div Base]*[Ações]</f>
        <v>139492062.5</v>
      </c>
      <c r="AL363" s="6">
        <f>SUMPRODUCT(N([Nome]=Tabela3[[#This Row],[Nome]]),[Div Base]*[Ações])</f>
        <v>139492062.5</v>
      </c>
      <c r="AM363" s="6">
        <f>[Patrimônio Líquido]/[Total Ações]</f>
        <v>17.050310281666533</v>
      </c>
      <c r="AN363" s="39">
        <f>MAX(Tabela3[[#This Row],[Cotação 1]:[Cotação 5]])</f>
        <v>16.91</v>
      </c>
      <c r="AO363" s="44">
        <f>[Cotação]/[VPA]</f>
        <v>0.99177080772439652</v>
      </c>
      <c r="AP363" s="40">
        <f>IF(Tabela3[[#This Row],[Lucro/Ação]]&gt;0,Tabela3[[#This Row],[Cotação]]/(Tabela3[[#This Row],[Lucro/Ação]]/[Ref]*4),0)</f>
        <v>5.8714787210024948</v>
      </c>
      <c r="AQ363" s="77">
        <f>[Lucro Distribuir]/[Total Ações]</f>
        <v>2.7360228595458747</v>
      </c>
      <c r="AR363" s="77">
        <f>IF([Unit ON]&gt;0,SUMPRODUCT(N([Nome]=Tabela3[[#This Row],[Nome]]),N(RIGHT([PAPEL],1)="3"),[Div Base])*[Unit ON]+SUMPRODUCT(N([Nome]=Tabela3[[#This Row],[Nome]]),N(RIGHT([PAPEL],1)="4"),[Div Base])*[Unit PN],[Div Base])</f>
        <v>0.68400571488646866</v>
      </c>
      <c r="AS363" s="14" t="str">
        <f>IF(AND([% A.A.]&gt;=5%,SUMPRODUCT(N([Nome]=Tabela3[[#This Row],[Nome]]),[PL])&gt;0,[Rentabilidade s/ PL]&gt;=[Rentabilidade s/ PL Média]),"Sim","Não")</f>
        <v>Não</v>
      </c>
      <c r="AT363" s="41">
        <f>IF([Cotação]&gt;0,Tabela3[[#This Row],[Lucro]]/Tabela3[[#This Row],[Cotação]],0)</f>
        <v>4.0449776161234102E-2</v>
      </c>
      <c r="AU363" s="19">
        <f>((1+Tabela3[[#This Row],[% Yield]])^(1/(3*Tabela3[[#This Row],[Ref]])))^(12)-1</f>
        <v>4.0449776161234796E-2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5">
        <f>SUMPRODUCT(N(Tabela1[Código]=Tabela3[[#This Row],[PAPEL]]),Tabela1[Fechamento])</f>
        <v>16.91</v>
      </c>
      <c r="AY363" s="5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24" t="s">
        <v>12</v>
      </c>
      <c r="B364" s="57" t="s">
        <v>32</v>
      </c>
      <c r="C364" s="15" t="str">
        <f>LEFT([PAPEL],LEN([PAPEL])-(LEN([PAPEL])-4))</f>
        <v>CPFE</v>
      </c>
      <c r="D364" s="16">
        <v>3</v>
      </c>
      <c r="E364" s="5">
        <v>4793424356.6199999</v>
      </c>
      <c r="F364" s="56">
        <v>962274260</v>
      </c>
      <c r="G364" s="80">
        <v>0.25</v>
      </c>
      <c r="H364" s="16"/>
      <c r="J364" s="18"/>
      <c r="K364" s="86"/>
      <c r="L364" s="86"/>
      <c r="M364" s="54"/>
      <c r="N364" s="54"/>
      <c r="O364" s="54"/>
      <c r="P364" s="89">
        <v>6763474000</v>
      </c>
      <c r="Q364" s="89">
        <v>636489000</v>
      </c>
      <c r="R364" s="89">
        <f>IF(Tabela3[[#This Row],[Ativo || Passivo]]&gt;0,Tabela3[[#This Row],[Ativo || Passivo]]-Tabela3[[#This Row],[Patrimônio Líquido]],0)</f>
        <v>0</v>
      </c>
      <c r="S364" s="89">
        <f>Tabela3[[#This Row],[Cotação]]*Tabela3[[#This Row],[Total Ações]]</f>
        <v>16320171449.6</v>
      </c>
      <c r="T364" s="120">
        <f>IF(Tabela3[[#This Row],[Passivo Circulante]]&gt;0,Tabela3[[#This Row],[Ativo Circulante]]/Tabela3[[#This Row],[Passivo Circulante]],0)</f>
        <v>0</v>
      </c>
      <c r="U364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4" s="49">
        <f>IF(Tabela3[[#This Row],[Lucro Líquido]]&gt;0,Tabela3[[#This Row],[Lucro Líquido]]/Tabela3[[#This Row],[Patrimônio Líquido]],0)/Tabela3[[#This Row],[Ref]]*4</f>
        <v>0.12547575402818137</v>
      </c>
      <c r="W364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4" s="49">
        <f>IF(Tabela3[[#This Row],[Dívida]]&gt;0,Tabela3[[#This Row],[Dívida]]/Tabela3[[#This Row],[Patrimônio Líquido]],0)</f>
        <v>0</v>
      </c>
      <c r="Y364" s="49">
        <f>SUMPRODUCT(N([Dívida / PL]&gt;0),N(RIGHT([PAPEL],LEN([PAPEL])-(LEN([PAPEL])-1))="3"),[Dívida / PL])/SUMPRODUCT(N([Dívida / PL]&gt;0),N(RIGHT([PAPEL],LEN([PAPEL])-(LEN([PAPEL])-1))="3"))</f>
        <v>2.2435702141443779</v>
      </c>
      <c r="Z364" s="28">
        <f>Tabela3[[#This Row],[Capital Social]]*20%</f>
        <v>958684871.324</v>
      </c>
      <c r="AA364" s="28">
        <f>IF(([Lucro Líquido]*5%)&gt;[Teto R. Legal],[Teto R. Legal],[Lucro Líquido]*5%)</f>
        <v>31824450</v>
      </c>
      <c r="AB364" s="89">
        <f>IF([Lucro Líquido]&lt;0,0,[Lucro Líquido]-[Reserva Legal])</f>
        <v>604664550</v>
      </c>
      <c r="AC364" s="89">
        <f>Tabela3[[#This Row],[Lucro Distribuir]]*[%Div]</f>
        <v>151166137.5</v>
      </c>
      <c r="AD364" s="56">
        <f>SUMPRODUCT(N([Nome]=Tabela3[[#This Row],[Nome]]),[Ações])</f>
        <v>962274260</v>
      </c>
      <c r="AE364" s="28">
        <f>[Capital Social]/[Total Ações]</f>
        <v>4.9813494508519849</v>
      </c>
      <c r="AF364" s="78">
        <f>Tabela3[[#This Row],[Lucro Líquido]]/Tabela3[[#This Row],[Total Ações]]</f>
        <v>0.6614424041644843</v>
      </c>
      <c r="AG3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3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364" s="28">
        <f>[Div Base]*[Ações]</f>
        <v>151166137.5</v>
      </c>
      <c r="AL364" s="28">
        <f>SUMPRODUCT(N([Nome]=Tabela3[[#This Row],[Nome]]),[Div Base]*[Ações])</f>
        <v>151166137.5</v>
      </c>
      <c r="AM364" s="28">
        <f>[Patrimônio Líquido]/[Total Ações]</f>
        <v>7.0286344352596526</v>
      </c>
      <c r="AN364" s="29">
        <f>MAX(Tabela3[[#This Row],[Cotação 1]:[Cotação 5]])</f>
        <v>16.96</v>
      </c>
      <c r="AO364" s="30">
        <f>[Cotação]/[VPA]</f>
        <v>2.4129864991866605</v>
      </c>
      <c r="AP364" s="35">
        <f>IF(Tabela3[[#This Row],[Lucro/Ação]]&gt;0,Tabela3[[#This Row],[Cotação]]/(Tabela3[[#This Row],[Lucro/Ação]]/[Ref]*4),0)</f>
        <v>19.230699332117286</v>
      </c>
      <c r="AQ364" s="77">
        <f>[Lucro Distribuir]/[Total Ações]</f>
        <v>0.62837028395626005</v>
      </c>
      <c r="AR364" s="77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364" s="25" t="str">
        <f>IF(AND([% A.A.]&gt;=5%,SUMPRODUCT(N([Nome]=Tabela3[[#This Row],[Nome]]),[PL])&gt;0,[Rentabilidade s/ PL]&gt;=[Rentabilidade s/ PL Média]),"Sim","Não")</f>
        <v>Não</v>
      </c>
      <c r="AT364" s="27">
        <f>IF([Cotação]&gt;0,Tabela3[[#This Row],[Lucro]]/Tabela3[[#This Row],[Cotação]],0)</f>
        <v>9.2625336668080774E-3</v>
      </c>
      <c r="AU364" s="49">
        <f>((1+Tabela3[[#This Row],[% Yield]])^(1/(3*Tabela3[[#This Row],[Ref]])))^(12)-1</f>
        <v>1.236907124768627E-2</v>
      </c>
      <c r="AV364" s="10">
        <f>IF([Cotação]&gt;0,($BH$1/Tabela3[[#This Row],[Cotação]]-MOD($BH$1/Tabela3[[#This Row],[Cotação]],100)),)</f>
        <v>0</v>
      </c>
      <c r="AW364" s="7">
        <f>Tabela3[[#This Row],[Ativos]]*[Lucro]</f>
        <v>0</v>
      </c>
      <c r="AX364" s="5">
        <f>SUMPRODUCT(N(Tabela1[Código]=Tabela3[[#This Row],[PAPEL]]),Tabela1[Fechamento])</f>
        <v>16.96</v>
      </c>
      <c r="AY364" s="5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customHeight="1">
      <c r="A365" s="4" t="s">
        <v>12</v>
      </c>
      <c r="B365" s="57" t="s">
        <v>483</v>
      </c>
      <c r="C365" s="15" t="str">
        <f>LEFT([PAPEL],LEN([PAPEL])-(LEN([PAPEL])-4))</f>
        <v>EKTR</v>
      </c>
      <c r="D365" s="15">
        <v>4</v>
      </c>
      <c r="E365" s="6">
        <v>952491950.13999999</v>
      </c>
      <c r="F365" s="8">
        <v>101878293</v>
      </c>
      <c r="G365" s="80">
        <v>0.25</v>
      </c>
      <c r="H365" s="15"/>
      <c r="I365" s="19"/>
      <c r="J365" s="19">
        <v>0.1</v>
      </c>
      <c r="K365" s="87"/>
      <c r="L365" s="87"/>
      <c r="M365" s="55">
        <v>4601380000</v>
      </c>
      <c r="N365" s="55">
        <v>1223769000</v>
      </c>
      <c r="O365" s="55">
        <v>808162000</v>
      </c>
      <c r="P365" s="91">
        <v>2052755000</v>
      </c>
      <c r="Q365" s="91">
        <v>323694000</v>
      </c>
      <c r="R365" s="91">
        <f>IF(Tabela3[[#This Row],[Ativo || Passivo]]&gt;0,Tabela3[[#This Row],[Ativo || Passivo]]-Tabela3[[#This Row],[Patrimônio Líquido]],0)</f>
        <v>2548625000</v>
      </c>
      <c r="S365" s="91">
        <f>Tabela3[[#This Row],[Cotação]]*Tabela3[[#This Row],[Total Ações]]</f>
        <v>3290032319.7000003</v>
      </c>
      <c r="T365" s="36">
        <f>IF(Tabela3[[#This Row],[Passivo Circulante]]&gt;0,Tabela3[[#This Row],[Ativo Circulante]]/Tabela3[[#This Row],[Passivo Circulante]],0)</f>
        <v>1.5142619920263511</v>
      </c>
      <c r="U365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5" s="19">
        <f>IF(Tabela3[[#This Row],[Lucro Líquido]]&gt;0,Tabela3[[#This Row],[Lucro Líquido]]/Tabela3[[#This Row],[Patrimônio Líquido]],0)/Tabela3[[#This Row],[Ref]]*4</f>
        <v>0.15768759545099148</v>
      </c>
      <c r="W36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5" s="19">
        <f>IF(Tabela3[[#This Row],[Dívida]]&gt;0,Tabela3[[#This Row],[Dívida]]/Tabela3[[#This Row],[Patrimônio Líquido]],0)</f>
        <v>1.2415631675480026</v>
      </c>
      <c r="Y365" s="19">
        <f>SUMPRODUCT(N([Dívida / PL]&gt;0),N(RIGHT([PAPEL],LEN([PAPEL])-(LEN([PAPEL])-1))="3"),[Dívida / PL])/SUMPRODUCT(N([Dívida / PL]&gt;0),N(RIGHT([PAPEL],LEN([PAPEL])-(LEN([PAPEL])-1))="3"))</f>
        <v>2.2435702141443779</v>
      </c>
      <c r="Z365" s="13">
        <f>Tabela3[[#This Row],[Capital Social]]*20%</f>
        <v>190498390.028</v>
      </c>
      <c r="AA365" s="13">
        <f>IF(([Lucro Líquido]*5%)&gt;[Teto R. Legal],[Teto R. Legal],[Lucro Líquido]*5%)</f>
        <v>16184700</v>
      </c>
      <c r="AB365" s="13">
        <f>IF([Lucro Líquido]&lt;0,0,[Lucro Líquido]-[Reserva Legal])</f>
        <v>307509300</v>
      </c>
      <c r="AC365" s="13">
        <f>Tabela3[[#This Row],[Lucro Distribuir]]*[%Div]</f>
        <v>76877325</v>
      </c>
      <c r="AD365" s="56">
        <f>SUMPRODUCT(N([Nome]=Tabela3[[#This Row],[Nome]]),[Ações])</f>
        <v>193759265</v>
      </c>
      <c r="AE365" s="6">
        <f>[Capital Social]/[Total Ações]</f>
        <v>4.9158524117027387</v>
      </c>
      <c r="AF365" s="77">
        <f>Tabela3[[#This Row],[Lucro Líquido]]/Tabela3[[#This Row],[Total Ações]]</f>
        <v>1.6705988227195225</v>
      </c>
      <c r="AG36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36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365" s="13">
        <f>[Div Base]*[Ações]</f>
        <v>43080714.687869102</v>
      </c>
      <c r="AL365" s="13">
        <f>SUMPRODUCT(N([Nome]=Tabela3[[#This Row],[Nome]]),[Div Base]*[Ações])</f>
        <v>78401807.747173041</v>
      </c>
      <c r="AM365" s="6">
        <f>[Patrimônio Líquido]/[Total Ações]</f>
        <v>10.594357900769287</v>
      </c>
      <c r="AN365" s="48">
        <f>MAX(Tabela3[[#This Row],[Cotação 1]:[Cotação 5]])</f>
        <v>16.98</v>
      </c>
      <c r="AO365" s="44">
        <f>[Cotação]/[VPA]</f>
        <v>1.6027398884426052</v>
      </c>
      <c r="AP365" s="40">
        <f>IF(Tabela3[[#This Row],[Lucro/Ação]]&gt;0,Tabela3[[#This Row],[Cotação]]/(Tabela3[[#This Row],[Lucro/Ação]]/[Ref]*4),0)</f>
        <v>10.164020092124044</v>
      </c>
      <c r="AQ365" s="77">
        <f>[Lucro Distribuir]/[Total Ações]</f>
        <v>1.5870688815835465</v>
      </c>
      <c r="AR365" s="77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365" s="14" t="str">
        <f>IF(AND([% A.A.]&gt;=5%,SUMPRODUCT(N([Nome]=Tabela3[[#This Row],[Nome]]),[PL])&gt;0,[Rentabilidade s/ PL]&gt;=[Rentabilidade s/ PL Média]),"Sim","Não")</f>
        <v>Não</v>
      </c>
      <c r="AT365" s="42">
        <f>IF([Cotação]&gt;0,Tabela3[[#This Row],[Lucro]]/Tabela3[[#This Row],[Cotação]],0)</f>
        <v>2.4903681527906497E-2</v>
      </c>
      <c r="AU365" s="42">
        <f>((1+Tabela3[[#This Row],[% Yield]])^(1/(3*Tabela3[[#This Row],[Ref]])))^(12)-1</f>
        <v>2.4903681527907784E-2</v>
      </c>
      <c r="AV365" s="14">
        <f>IF([Cotação]&gt;0,($BH$1/Tabela3[[#This Row],[Cotação]]-MOD($BH$1/Tabela3[[#This Row],[Cotação]],100)),)</f>
        <v>0</v>
      </c>
      <c r="AW365" s="17">
        <f>Tabela3[[#This Row],[Ativos]]*[Lucro]</f>
        <v>0</v>
      </c>
      <c r="AX365" s="17">
        <f>SUMPRODUCT(N(Tabela1[Código]=Tabela3[[#This Row],[PAPEL]]),Tabela1[Fechamento])</f>
        <v>0</v>
      </c>
      <c r="AY365" s="17">
        <f>SUMPRODUCT(N(Tabela17[Código]=Tabela3[[#This Row],[PAPEL]]),Tabela17[Fechamento])</f>
        <v>16.98</v>
      </c>
      <c r="AZ365" s="7">
        <f>SUMPRODUCT(N(Tabela176[Código]=Tabela3[[#This Row],[PAPEL]]),Tabela176[Fechamento])</f>
        <v>0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customHeight="1">
      <c r="A366" s="24" t="s">
        <v>12</v>
      </c>
      <c r="B366" s="57" t="s">
        <v>33</v>
      </c>
      <c r="C366" s="15" t="str">
        <f>LEFT([PAPEL],LEN([PAPEL])-(LEN([PAPEL])-4))</f>
        <v>GETI</v>
      </c>
      <c r="D366" s="15">
        <v>4</v>
      </c>
      <c r="E366" s="6">
        <v>207227038.81</v>
      </c>
      <c r="F366" s="8">
        <v>183792282</v>
      </c>
      <c r="G366" s="85">
        <v>0.25</v>
      </c>
      <c r="H366" s="15"/>
      <c r="I366" s="19"/>
      <c r="J366" s="19">
        <v>0.1</v>
      </c>
      <c r="K366" s="87"/>
      <c r="L366" s="87"/>
      <c r="M366" s="54">
        <v>4073242000</v>
      </c>
      <c r="N366" s="54">
        <v>762943000</v>
      </c>
      <c r="O366" s="54">
        <v>892729000</v>
      </c>
      <c r="P366" s="89">
        <v>1783809000</v>
      </c>
      <c r="Q366" s="89">
        <v>881359000</v>
      </c>
      <c r="R366" s="89">
        <f>IF(Tabela3[[#This Row],[Ativo || Passivo]]&gt;0,Tabela3[[#This Row],[Ativo || Passivo]]-Tabela3[[#This Row],[Patrimônio Líquido]],0)</f>
        <v>2289433000</v>
      </c>
      <c r="S366" s="89">
        <f>Tabela3[[#This Row],[Cotação]]*Tabela3[[#This Row],[Total Ações]]</f>
        <v>6477496846.0699997</v>
      </c>
      <c r="T366" s="120">
        <f>IF(Tabela3[[#This Row],[Passivo Circulante]]&gt;0,Tabela3[[#This Row],[Ativo Circulante]]/Tabela3[[#This Row],[Passivo Circulante]],0)</f>
        <v>0.85461881489231339</v>
      </c>
      <c r="U366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6" s="49">
        <f>IF(Tabela3[[#This Row],[Lucro Líquido]]&gt;0,Tabela3[[#This Row],[Lucro Líquido]]/Tabela3[[#This Row],[Patrimônio Líquido]],0)/Tabela3[[#This Row],[Ref]]*4</f>
        <v>0.49408821235905864</v>
      </c>
      <c r="W366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6" s="49">
        <f>IF(Tabela3[[#This Row],[Dívida]]&gt;0,Tabela3[[#This Row],[Dívida]]/Tabela3[[#This Row],[Patrimônio Líquido]],0)</f>
        <v>1.2834518718091454</v>
      </c>
      <c r="Y366" s="49">
        <f>SUMPRODUCT(N([Dívida / PL]&gt;0),N(RIGHT([PAPEL],LEN([PAPEL])-(LEN([PAPEL])-1))="3"),[Dívida / PL])/SUMPRODUCT(N([Dívida / PL]&gt;0),N(RIGHT([PAPEL],LEN([PAPEL])-(LEN([PAPEL])-1))="3"))</f>
        <v>2.2435702141443779</v>
      </c>
      <c r="Z366" s="28">
        <f>Tabela3[[#This Row],[Capital Social]]*20%</f>
        <v>41445407.762000002</v>
      </c>
      <c r="AA366" s="28">
        <f>IF(([Lucro Líquido]*5%)&gt;[Teto R. Legal],[Teto R. Legal],[Lucro Líquido]*5%)</f>
        <v>41445407.762000002</v>
      </c>
      <c r="AB366" s="89">
        <f>IF([Lucro Líquido]&lt;0,0,[Lucro Líquido]-[Reserva Legal])</f>
        <v>839913592.23800004</v>
      </c>
      <c r="AC366" s="89">
        <f>Tabela3[[#This Row],[Lucro Distribuir]]*[%Div]</f>
        <v>209978398.05950001</v>
      </c>
      <c r="AD366" s="56">
        <f>SUMPRODUCT(N([Nome]=Tabela3[[#This Row],[Nome]]),[Ações])</f>
        <v>381253493</v>
      </c>
      <c r="AE366" s="28">
        <f>[Capital Social]/[Total Ações]</f>
        <v>0.54354135139687754</v>
      </c>
      <c r="AF366" s="78">
        <f>Tabela3[[#This Row],[Lucro Líquido]]/Tabela3[[#This Row],[Total Ações]]</f>
        <v>2.3117401313881207</v>
      </c>
      <c r="AG3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3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366" s="28">
        <f>[Div Base]*[Ações]</f>
        <v>107883123.44219516</v>
      </c>
      <c r="AL366" s="28">
        <f>SUMPRODUCT(N([Nome]=Tabela3[[#This Row],[Nome]]),[Div Base]*[Ações])</f>
        <v>213252728.44292897</v>
      </c>
      <c r="AM366" s="28">
        <f>[Patrimônio Líquido]/[Total Ações]</f>
        <v>4.6788004116725563</v>
      </c>
      <c r="AN366" s="29">
        <f>MAX(Tabela3[[#This Row],[Cotação 1]:[Cotação 5]])</f>
        <v>16.989999999999998</v>
      </c>
      <c r="AO366" s="30">
        <f>[Cotação]/[VPA]</f>
        <v>3.6312726564727495</v>
      </c>
      <c r="AP366" s="35">
        <f>IF(Tabela3[[#This Row],[Lucro/Ação]]&gt;0,Tabela3[[#This Row],[Cotação]]/(Tabela3[[#This Row],[Lucro/Ação]]/[Ref]*4),0)</f>
        <v>7.3494419936370985</v>
      </c>
      <c r="AQ366" s="77">
        <f>[Lucro Distribuir]/[Total Ações]</f>
        <v>2.2030318611087454</v>
      </c>
      <c r="AR366" s="77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366" s="25" t="str">
        <f>IF(AND([% A.A.]&gt;=5%,SUMPRODUCT(N([Nome]=Tabela3[[#This Row],[Nome]]),[PL])&gt;0,[Rentabilidade s/ PL]&gt;=[Rentabilidade s/ PL Média]),"Sim","Não")</f>
        <v>Não</v>
      </c>
      <c r="AT366" s="27">
        <f>IF([Cotação]&gt;0,Tabela3[[#This Row],[Lucro]]/Tabela3[[#This Row],[Cotação]],0)</f>
        <v>3.4548791673678546E-2</v>
      </c>
      <c r="AU366" s="49">
        <f>((1+Tabela3[[#This Row],[% Yield]])^(1/(3*Tabela3[[#This Row],[Ref]])))^(12)-1</f>
        <v>3.4548791673678636E-2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5">
        <f>SUMPRODUCT(N(Tabela1[Código]=Tabela3[[#This Row],[PAPEL]]),Tabela1[Fechamento])</f>
        <v>16.989999999999998</v>
      </c>
      <c r="AY366" s="5">
        <f>SUMPRODUCT(N(Tabela17[Código]=Tabela3[[#This Row],[PAPEL]]),Tabela17[Fechamento])</f>
        <v>0</v>
      </c>
      <c r="AZ366" s="7">
        <f>SUMPRODUCT(N(Tabela176[Código]=Tabela3[[#This Row],[PAPEL]]),Tabela176[Fechamento])</f>
        <v>0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customHeight="1">
      <c r="A367" s="4" t="s">
        <v>250</v>
      </c>
      <c r="B367" s="60" t="s">
        <v>245</v>
      </c>
      <c r="C367" s="16" t="str">
        <f>LEFT([PAPEL],LEN([PAPEL])-(LEN([PAPEL])-4))</f>
        <v>JOPA</v>
      </c>
      <c r="D367" s="16">
        <v>3</v>
      </c>
      <c r="E367" s="5">
        <v>120000000</v>
      </c>
      <c r="F367" s="56">
        <v>10450993</v>
      </c>
      <c r="G367" s="80">
        <v>0.3</v>
      </c>
      <c r="H367" s="86"/>
      <c r="J367" s="18"/>
      <c r="K367" s="16"/>
      <c r="L367" s="86"/>
      <c r="M367" s="54"/>
      <c r="N367" s="54"/>
      <c r="O367" s="54"/>
      <c r="P367" s="90">
        <v>359366000</v>
      </c>
      <c r="Q367" s="73">
        <v>13211000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180429255.05000001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7" s="18">
        <f>IF(Tabela3[[#This Row],[Lucro Líquido]]&gt;0,Tabela3[[#This Row],[Lucro Líquido]]/Tabela3[[#This Row],[Patrimônio Líquido]],0)/Tabela3[[#This Row],[Ref]]*4</f>
        <v>4.9015952167613702E-2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2.2435702141443779</v>
      </c>
      <c r="Z367" s="7">
        <f>Tabela3[[#This Row],[Capital Social]]*20%</f>
        <v>24000000</v>
      </c>
      <c r="AA367" s="47">
        <f>IF(([Lucro Líquido]*5%)&gt;[Teto R. Legal],[Teto R. Legal],[Lucro Líquido]*5%)</f>
        <v>660550</v>
      </c>
      <c r="AB367" s="47">
        <f>IF([Lucro Líquido]&lt;0,0,[Lucro Líquido]-[Reserva Legal])</f>
        <v>12550450</v>
      </c>
      <c r="AC367" s="47">
        <f>Tabela3[[#This Row],[Lucro Distribuir]]*[%Div]</f>
        <v>3765135</v>
      </c>
      <c r="AD367" s="56">
        <f>SUMPRODUCT(N([Nome]=Tabela3[[#This Row],[Nome]]),[Ações])</f>
        <v>10582361</v>
      </c>
      <c r="AE367" s="84">
        <f>[Capital Social]/[Total Ações]</f>
        <v>11.339624494004694</v>
      </c>
      <c r="AF367" s="84">
        <f>Tabela3[[#This Row],[Lucro Líquido]]/Tabela3[[#This Row],[Total Ações]]</f>
        <v>1.2483981599191334</v>
      </c>
      <c r="AG36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36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367" s="7">
        <f>[Div Base]*[Ações]</f>
        <v>3718395.1227004067</v>
      </c>
      <c r="AL367" s="7">
        <f>SUMPRODUCT(N([Nome]=Tabela3[[#This Row],[Nome]]),[Div Base]*[Ações])</f>
        <v>3765135</v>
      </c>
      <c r="AM367" s="5">
        <f>[Patrimônio Líquido]/[Total Ações]</f>
        <v>33.958962465937425</v>
      </c>
      <c r="AN367" s="52">
        <f>MAX(Tabela3[[#This Row],[Cotação 1]:[Cotação 5]])</f>
        <v>17.05</v>
      </c>
      <c r="AO367" s="53">
        <f>[Cotação]/[VPA]</f>
        <v>0.50207658779628561</v>
      </c>
      <c r="AP367" s="37">
        <f>IF(Tabela3[[#This Row],[Lucro/Ação]]&gt;0,Tabela3[[#This Row],[Cotação]]/(Tabela3[[#This Row],[Lucro/Ação]]/[Ref]*4),0)</f>
        <v>10.243126280183182</v>
      </c>
      <c r="AQ367" s="84">
        <f>[Lucro Distribuir]/[Total Ações]</f>
        <v>1.1859782519231767</v>
      </c>
      <c r="AR367" s="84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2.0867652526507508E-2</v>
      </c>
      <c r="AU367" s="22">
        <f>((1+Tabela3[[#This Row],[% Yield]])^(1/(3*Tabela3[[#This Row],[Ref]])))^(12)-1</f>
        <v>2.7919860469183488E-2</v>
      </c>
      <c r="AV367" s="10">
        <f>IF([Cotação]&gt;0,($BH$1/Tabela3[[#This Row],[Cotação]]-MOD($BH$1/Tabela3[[#This Row],[Cotação]],100)),)</f>
        <v>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17.05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17.05</v>
      </c>
      <c r="BB367" s="7">
        <f>SUMPRODUCT(N(Tabela17683[Código]=Tabela3[[#This Row],[PAPEL]]),Tabela17683[Fechamento])</f>
        <v>0</v>
      </c>
    </row>
    <row r="368" spans="1:54" ht="11.25" customHeight="1">
      <c r="A368" s="3" t="s">
        <v>829</v>
      </c>
      <c r="B368" s="58" t="s">
        <v>833</v>
      </c>
      <c r="C368" s="16" t="str">
        <f>LEFT([PAPEL],LEN([PAPEL])-(LEN([PAPEL])-4))</f>
        <v>SLCE</v>
      </c>
      <c r="D368" s="16">
        <v>4</v>
      </c>
      <c r="E368" s="5">
        <v>557433909.85000002</v>
      </c>
      <c r="F368" s="56">
        <v>98897500</v>
      </c>
      <c r="G368" s="80">
        <v>0.25</v>
      </c>
      <c r="H368" s="86"/>
      <c r="J368" s="18"/>
      <c r="K368" s="16"/>
      <c r="L368" s="86"/>
      <c r="M368" s="54">
        <v>3220989000</v>
      </c>
      <c r="N368" s="54">
        <v>819165000</v>
      </c>
      <c r="O368" s="54">
        <v>722289000</v>
      </c>
      <c r="P368" s="90">
        <v>2008675000</v>
      </c>
      <c r="Q368" s="73">
        <v>95573000</v>
      </c>
      <c r="R368" s="73">
        <f>IF(Tabela3[[#This Row],[Ativo || Passivo]]&gt;0,Tabela3[[#This Row],[Ativo || Passivo]]-Tabela3[[#This Row],[Patrimônio Líquido]],0)</f>
        <v>1212314000</v>
      </c>
      <c r="S368" s="73">
        <f>Tabela3[[#This Row],[Cotação]]*Tabela3[[#This Row],[Total Ações]]</f>
        <v>1690158275</v>
      </c>
      <c r="T368" s="37">
        <f>IF(Tabela3[[#This Row],[Passivo Circulante]]&gt;0,Tabela3[[#This Row],[Ativo Circulante]]/Tabela3[[#This Row],[Passivo Circulante]],0)</f>
        <v>1.1341235987257179</v>
      </c>
      <c r="U36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8" s="18">
        <f>IF(Tabela3[[#This Row],[Lucro Líquido]]&gt;0,Tabela3[[#This Row],[Lucro Líquido]]/Tabela3[[#This Row],[Patrimônio Líquido]],0)/Tabela3[[#This Row],[Ref]]*4</f>
        <v>4.7580121224190072E-2</v>
      </c>
      <c r="W36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8" s="18">
        <f>IF(Tabela3[[#This Row],[Dívida]]&gt;0,Tabela3[[#This Row],[Dívida]]/Tabela3[[#This Row],[Patrimônio Líquido]],0)</f>
        <v>0.60353914894146643</v>
      </c>
      <c r="Y368" s="18">
        <f>SUMPRODUCT(N([Dívida / PL]&gt;0),N(RIGHT([PAPEL],LEN([PAPEL])-(LEN([PAPEL])-1))="3"),[Dívida / PL])/SUMPRODUCT(N([Dívida / PL]&gt;0),N(RIGHT([PAPEL],LEN([PAPEL])-(LEN([PAPEL])-1))="3"))</f>
        <v>2.2435702141443779</v>
      </c>
      <c r="Z368" s="7">
        <f>Tabela3[[#This Row],[Capital Social]]*20%</f>
        <v>111486781.97000001</v>
      </c>
      <c r="AA368" s="47">
        <f>IF(([Lucro Líquido]*5%)&gt;[Teto R. Legal],[Teto R. Legal],[Lucro Líquido]*5%)</f>
        <v>4778650</v>
      </c>
      <c r="AB368" s="47">
        <f>IF([Lucro Líquido]&lt;0,0,[Lucro Líquido]-[Reserva Legal])</f>
        <v>90794350</v>
      </c>
      <c r="AC368" s="47">
        <f>Tabela3[[#This Row],[Lucro Distribuir]]*[%Div]</f>
        <v>22698587.5</v>
      </c>
      <c r="AD368" s="56">
        <f>SUMPRODUCT(N([Nome]=Tabela3[[#This Row],[Nome]]),[Ações])</f>
        <v>98897500</v>
      </c>
      <c r="AE368" s="84">
        <f>[Capital Social]/[Total Ações]</f>
        <v>5.6364813048863729</v>
      </c>
      <c r="AF368" s="84">
        <f>Tabela3[[#This Row],[Lucro Líquido]]/Tabela3[[#This Row],[Total Ações]]</f>
        <v>0.96638438787633663</v>
      </c>
      <c r="AG36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0.22951629212062993</v>
      </c>
      <c r="AH36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0.22951629212062993</v>
      </c>
      <c r="AK368" s="7">
        <f>[Div Base]*[Ações]</f>
        <v>22698587.5</v>
      </c>
      <c r="AL368" s="7">
        <f>SUMPRODUCT(N([Nome]=Tabela3[[#This Row],[Nome]]),[Div Base]*[Ações])</f>
        <v>22698587.5</v>
      </c>
      <c r="AM368" s="5">
        <f>[Patrimônio Líquido]/[Total Ações]</f>
        <v>20.310675194014003</v>
      </c>
      <c r="AN368" s="52">
        <f>MAX(Tabela3[[#This Row],[Cotação 1]:[Cotação 5]])</f>
        <v>17.09</v>
      </c>
      <c r="AO368" s="53">
        <f>[Cotação]/[VPA]</f>
        <v>0.84142943731564346</v>
      </c>
      <c r="AP368" s="37">
        <f>IF(Tabela3[[#This Row],[Lucro/Ação]]&gt;0,Tabela3[[#This Row],[Cotação]]/(Tabela3[[#This Row],[Lucro/Ação]]/[Ref]*4),0)</f>
        <v>17.684474433155806</v>
      </c>
      <c r="AQ368" s="84">
        <f>[Lucro Distribuir]/[Total Ações]</f>
        <v>0.91806516848251973</v>
      </c>
      <c r="AR368" s="84">
        <f>IF([Unit ON]&gt;0,SUMPRODUCT(N([Nome]=Tabela3[[#This Row],[Nome]]),N(RIGHT([PAPEL],1)="3"),[Div Base])*[Unit ON]+SUMPRODUCT(N([Nome]=Tabela3[[#This Row],[Nome]]),N(RIGHT([PAPEL],1)="4"),[Div Base])*[Unit PN],[Div Base])</f>
        <v>0.22951629212062993</v>
      </c>
      <c r="AS368" s="10" t="str">
        <f>IF(AND([% A.A.]&gt;=5%,SUMPRODUCT(N([Nome]=Tabela3[[#This Row],[Nome]]),[PL])&gt;0,[Rentabilidade s/ PL]&gt;=[Rentabilidade s/ PL Média]),"Sim","Não")</f>
        <v>Não</v>
      </c>
      <c r="AT368" s="22">
        <f>IF([Cotação]&gt;0,Tabela3[[#This Row],[Lucro]]/Tabela3[[#This Row],[Cotação]],0)</f>
        <v>1.3429859105946748E-2</v>
      </c>
      <c r="AU368" s="22">
        <f>((1+Tabela3[[#This Row],[% Yield]])^(1/(3*Tabela3[[#This Row],[Ref]])))^(12)-1</f>
        <v>1.3429859105947628E-2</v>
      </c>
      <c r="AV368" s="10">
        <f>IF([Cotação]&gt;0,($BH$1/Tabela3[[#This Row],[Cotação]]-MOD($BH$1/Tabela3[[#This Row],[Cotação]],100)),)</f>
        <v>0</v>
      </c>
      <c r="AW368" s="7">
        <f>Tabela3[[#This Row],[Ativos]]*[Lucro]</f>
        <v>0</v>
      </c>
      <c r="AX368" s="7">
        <f>SUMPRODUCT(N(Tabela1[Código]=Tabela3[[#This Row],[PAPEL]]),Tabela1[Fechamento])</f>
        <v>0</v>
      </c>
      <c r="AY368" s="7">
        <f>SUMPRODUCT(N(Tabela17[Código]=Tabela3[[#This Row],[PAPEL]]),Tabela17[Fechamento])</f>
        <v>0</v>
      </c>
      <c r="AZ368" s="7">
        <f>SUMPRODUCT(N(Tabela176[Código]=Tabela3[[#This Row],[PAPEL]]),Tabela176[Fechamento])</f>
        <v>0</v>
      </c>
      <c r="BA368" s="7">
        <f>SUMPRODUCT(N(Tabela1768[Código]=Tabela3[[#This Row],[PAPEL]]),Tabela1768[Fechamento])</f>
        <v>17.09</v>
      </c>
      <c r="BB368" s="7">
        <f>SUMPRODUCT(N(Tabela17683[Código]=Tabela3[[#This Row],[PAPEL]]),Tabela17683[Fechamento])</f>
        <v>0</v>
      </c>
    </row>
    <row r="369" spans="1:54" ht="11.25" customHeight="1">
      <c r="A369" s="4" t="s">
        <v>12</v>
      </c>
      <c r="B369" s="57" t="s">
        <v>69</v>
      </c>
      <c r="C369" s="14" t="str">
        <f>LEFT([PAPEL],LEN([PAPEL])-(LEN([PAPEL])-4))</f>
        <v>CEBR</v>
      </c>
      <c r="D369" s="15">
        <v>3</v>
      </c>
      <c r="E369" s="6">
        <v>342056165.62</v>
      </c>
      <c r="F369" s="8">
        <v>3294024</v>
      </c>
      <c r="G369" s="80">
        <v>0.25</v>
      </c>
      <c r="H369" s="19"/>
      <c r="I369" s="19"/>
      <c r="J369" s="19"/>
      <c r="K369" s="87"/>
      <c r="L369" s="87"/>
      <c r="M369" s="13">
        <v>821792000</v>
      </c>
      <c r="N369" s="13">
        <v>37012000</v>
      </c>
      <c r="O369" s="13">
        <v>35888000</v>
      </c>
      <c r="P369" s="88">
        <v>465994000</v>
      </c>
      <c r="Q369" s="88">
        <v>17904000</v>
      </c>
      <c r="R369" s="88">
        <f>IF(Tabela3[[#This Row],[Ativo || Passivo]]&gt;0,Tabela3[[#This Row],[Ativo || Passivo]]-Tabela3[[#This Row],[Patrimônio Líquido]],0)</f>
        <v>355798000</v>
      </c>
      <c r="S369" s="88">
        <f>Tabela3[[#This Row],[Cotação]]*Tabela3[[#This Row],[Total Ações]]</f>
        <v>157037131.80000001</v>
      </c>
      <c r="T369" s="121">
        <f>IF(Tabela3[[#This Row],[Passivo Circulante]]&gt;0,Tabela3[[#This Row],[Ativo Circulante]]/Tabela3[[#This Row],[Passivo Circulante]],0)</f>
        <v>1.0313196611680784</v>
      </c>
      <c r="U36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69" s="19">
        <f>IF(Tabela3[[#This Row],[Lucro Líquido]]&gt;0,Tabela3[[#This Row],[Lucro Líquido]]/Tabela3[[#This Row],[Patrimônio Líquido]],0)/Tabela3[[#This Row],[Ref]]*4</f>
        <v>5.1228127400781982E-2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69" s="19">
        <f>IF(Tabela3[[#This Row],[Dívida]]&gt;0,Tabela3[[#This Row],[Dívida]]/Tabela3[[#This Row],[Patrimônio Líquido]],0)</f>
        <v>0.7635248522513165</v>
      </c>
      <c r="Y369" s="19">
        <f>SUMPRODUCT(N([Dívida / PL]&gt;0),N(RIGHT([PAPEL],LEN([PAPEL])-(LEN([PAPEL])-1))="3"),[Dívida / PL])/SUMPRODUCT(N([Dívida / PL]&gt;0),N(RIGHT([PAPEL],LEN([PAPEL])-(LEN([PAPEL])-1))="3"))</f>
        <v>2.2435702141443779</v>
      </c>
      <c r="Z369" s="6">
        <f>Tabela3[[#This Row],[Capital Social]]*20%</f>
        <v>68411233.123999998</v>
      </c>
      <c r="AA369" s="6">
        <f>IF(([Lucro Líquido]*5%)&gt;[Teto R. Legal],[Teto R. Legal],[Lucro Líquido]*5%)</f>
        <v>895200</v>
      </c>
      <c r="AB369" s="88">
        <f>IF([Lucro Líquido]&lt;0,0,[Lucro Líquido]-[Reserva Legal])</f>
        <v>17008800</v>
      </c>
      <c r="AC369" s="88">
        <f>Tabela3[[#This Row],[Lucro Distribuir]]*[%Div]</f>
        <v>4252200</v>
      </c>
      <c r="AD369" s="56">
        <f>SUMPRODUCT(N([Nome]=Tabela3[[#This Row],[Nome]]),[Ações])</f>
        <v>9183458</v>
      </c>
      <c r="AE369" s="6">
        <f>[Capital Social]/[Total Ações]</f>
        <v>37.246989709105222</v>
      </c>
      <c r="AF369" s="77">
        <f>Tabela3[[#This Row],[Lucro Líquido]]/Tabela3[[#This Row],[Total Ações]]</f>
        <v>1.9495924084369962</v>
      </c>
      <c r="AG3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3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9" s="6">
        <f>[Div Base]*[Ações]</f>
        <v>0</v>
      </c>
      <c r="AL369" s="6">
        <f>SUMPRODUCT(N([Nome]=Tabela3[[#This Row],[Nome]]),[Div Base]*[Ações])</f>
        <v>4890537.1982034566</v>
      </c>
      <c r="AM369" s="6">
        <f>[Patrimônio Líquido]/[Total Ações]</f>
        <v>50.742759426786726</v>
      </c>
      <c r="AN369" s="48">
        <f>MAX(Tabela3[[#This Row],[Cotação 1]:[Cotação 5]])</f>
        <v>17.100000000000001</v>
      </c>
      <c r="AO369" s="44">
        <f>[Cotação]/[VPA]</f>
        <v>0.33699389219603693</v>
      </c>
      <c r="AP369" s="40">
        <f>IF(Tabela3[[#This Row],[Lucro/Ação]]&gt;0,Tabela3[[#This Row],[Cotação]]/(Tabela3[[#This Row],[Lucro/Ação]]/[Ref]*4),0)</f>
        <v>6.5782980814343164</v>
      </c>
      <c r="AQ369" s="77">
        <f>[Lucro Distribuir]/[Total Ações]</f>
        <v>1.8521127880151464</v>
      </c>
      <c r="AR36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0</v>
      </c>
      <c r="AU369" s="19">
        <f>((1+Tabela3[[#This Row],[% Yield]])^(1/(3*Tabela3[[#This Row],[Ref]])))^(12)-1</f>
        <v>0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5">
        <f>SUMPRODUCT(N(Tabela1[Código]=Tabela3[[#This Row],[PAPEL]]),Tabela1[Fechamento])</f>
        <v>17.100000000000001</v>
      </c>
      <c r="AY369" s="5">
        <f>SUMPRODUCT(N(Tabela17[Código]=Tabela3[[#This Row],[PAPEL]]),Tabela17[Fechamento])</f>
        <v>0</v>
      </c>
      <c r="AZ369" s="7">
        <f>SUMPRODUCT(N(Tabela176[Código]=Tabela3[[#This Row],[PAPEL]]),Tabela176[Fechamento])</f>
        <v>0</v>
      </c>
      <c r="BA369" s="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customHeight="1">
      <c r="A370" s="3" t="s">
        <v>996</v>
      </c>
      <c r="B370" s="58" t="s">
        <v>1000</v>
      </c>
      <c r="C370" s="16" t="str">
        <f>LEFT([PAPEL],LEN([PAPEL])-(LEN([PAPEL])-4))</f>
        <v>CGRA</v>
      </c>
      <c r="D370" s="16">
        <v>4</v>
      </c>
      <c r="E370" s="5">
        <v>141551832</v>
      </c>
      <c r="F370" s="56">
        <v>13008320</v>
      </c>
      <c r="G370" s="80">
        <v>0.25</v>
      </c>
      <c r="H370" s="86"/>
      <c r="J370" s="18"/>
      <c r="K370" s="16"/>
      <c r="L370" s="86"/>
      <c r="M370" s="54">
        <v>493836775</v>
      </c>
      <c r="N370" s="54">
        <v>244813557</v>
      </c>
      <c r="O370" s="54">
        <v>113102343</v>
      </c>
      <c r="P370" s="90">
        <v>356152349</v>
      </c>
      <c r="Q370" s="73">
        <v>50433141</v>
      </c>
      <c r="R370" s="73">
        <f>IF(Tabela3[[#This Row],[Ativo || Passivo]]&gt;0,Tabela3[[#This Row],[Ativo || Passivo]]-Tabela3[[#This Row],[Patrimônio Líquido]],0)</f>
        <v>137684426</v>
      </c>
      <c r="S370" s="73">
        <f>Tabela3[[#This Row],[Cotação]]*Tabela3[[#This Row],[Total Ações]]</f>
        <v>373978449.09999996</v>
      </c>
      <c r="T370" s="37">
        <f>IF(Tabela3[[#This Row],[Passivo Circulante]]&gt;0,Tabela3[[#This Row],[Ativo Circulante]]/Tabela3[[#This Row],[Passivo Circulante]],0)</f>
        <v>2.1645312599757549</v>
      </c>
      <c r="U37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0" s="18">
        <f>IF(Tabela3[[#This Row],[Lucro Líquido]]&gt;0,Tabela3[[#This Row],[Lucro Líquido]]/Tabela3[[#This Row],[Patrimônio Líquido]],0)/Tabela3[[#This Row],[Ref]]*4</f>
        <v>0.14160552679662378</v>
      </c>
      <c r="W37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0" s="18">
        <f>IF(Tabela3[[#This Row],[Dívida]]&gt;0,Tabela3[[#This Row],[Dívida]]/Tabela3[[#This Row],[Patrimônio Líquido]],0)</f>
        <v>0.38658856634411809</v>
      </c>
      <c r="Y370" s="18">
        <f>SUMPRODUCT(N([Dívida / PL]&gt;0),N(RIGHT([PAPEL],LEN([PAPEL])-(LEN([PAPEL])-1))="3"),[Dívida / PL])/SUMPRODUCT(N([Dívida / PL]&gt;0),N(RIGHT([PAPEL],LEN([PAPEL])-(LEN([PAPEL])-1))="3"))</f>
        <v>2.2435702141443779</v>
      </c>
      <c r="Z370" s="7">
        <f>Tabela3[[#This Row],[Capital Social]]*20%</f>
        <v>28310366.400000002</v>
      </c>
      <c r="AA370" s="47">
        <f>IF(([Lucro Líquido]*5%)&gt;[Teto R. Legal],[Teto R. Legal],[Lucro Líquido]*5%)</f>
        <v>2521657.0500000003</v>
      </c>
      <c r="AB370" s="47">
        <f>IF([Lucro Líquido]&lt;0,0,[Lucro Líquido]-[Reserva Legal])</f>
        <v>47911483.950000003</v>
      </c>
      <c r="AC370" s="47">
        <f>Tabela3[[#This Row],[Lucro Distribuir]]*[%Div]</f>
        <v>11977870.987500001</v>
      </c>
      <c r="AD370" s="56">
        <f>SUMPRODUCT(N([Nome]=Tabela3[[#This Row],[Nome]]),[Ações])</f>
        <v>21768245</v>
      </c>
      <c r="AE370" s="84">
        <f>[Capital Social]/[Total Ações]</f>
        <v>6.502675433871679</v>
      </c>
      <c r="AF370" s="84">
        <f>Tabela3[[#This Row],[Lucro Líquido]]/Tabela3[[#This Row],[Total Ações]]</f>
        <v>2.3168216362871696</v>
      </c>
      <c r="AG37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37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370" s="7">
        <f>[Div Base]*[Ações]</f>
        <v>7157764.8415899398</v>
      </c>
      <c r="AL370" s="113">
        <f>SUMPRODUCT(N([Nome]=Tabela3[[#This Row],[Nome]]),[Div Base]*[Ações])</f>
        <v>11977870.987500001</v>
      </c>
      <c r="AM370" s="5">
        <f>[Patrimônio Líquido]/[Total Ações]</f>
        <v>16.361096128787597</v>
      </c>
      <c r="AN370" s="52">
        <f>MAX(Tabela3[[#This Row],[Cotação 1]:[Cotação 5]])</f>
        <v>17.18</v>
      </c>
      <c r="AO370" s="53">
        <f>[Cotação]/[VPA]</f>
        <v>1.0500518953477407</v>
      </c>
      <c r="AP370" s="37">
        <f>IF(Tabela3[[#This Row],[Lucro/Ação]]&gt;0,Tabela3[[#This Row],[Cotação]]/(Tabela3[[#This Row],[Lucro/Ação]]/[Ref]*4),0)</f>
        <v>7.4153313016930671</v>
      </c>
      <c r="AQ370" s="84">
        <f>[Lucro Distribuir]/[Total Ações]</f>
        <v>2.2009805544728112</v>
      </c>
      <c r="AR370" s="84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370" s="10" t="str">
        <f>IF(AND([% A.A.]&gt;=5%,SUMPRODUCT(N([Nome]=Tabela3[[#This Row],[Nome]]),[PL])&gt;0,[Rentabilidade s/ PL]&gt;=[Rentabilidade s/ PL Média]),"Sim","Não")</f>
        <v>Não</v>
      </c>
      <c r="AT370" s="22">
        <f>IF([Cotação]&gt;0,Tabela3[[#This Row],[Lucro]]/Tabela3[[#This Row],[Cotação]],0)</f>
        <v>3.2028238569161982E-2</v>
      </c>
      <c r="AU370" s="22">
        <f>((1+Tabela3[[#This Row],[% Yield]])^(1/(3*Tabela3[[#This Row],[Ref]])))^(12)-1</f>
        <v>3.2028238569161482E-2</v>
      </c>
      <c r="AV370" s="10">
        <f>IF([Cotação]&gt;0,($BH$1/Tabela3[[#This Row],[Cotação]]-MOD($BH$1/Tabela3[[#This Row],[Cotação]],100)),)</f>
        <v>0</v>
      </c>
      <c r="AW370" s="7">
        <f>Tabela3[[#This Row],[Ativos]]*[Lucro]</f>
        <v>0</v>
      </c>
      <c r="AX370" s="7">
        <f>SUMPRODUCT(N(Tabela1[Código]=Tabela3[[#This Row],[PAPEL]]),Tabela1[Fechamento])</f>
        <v>0</v>
      </c>
      <c r="AY370" s="7">
        <f>SUMPRODUCT(N(Tabela17[Código]=Tabela3[[#This Row],[PAPEL]]),Tabela17[Fechamento])</f>
        <v>0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17.18</v>
      </c>
      <c r="BB370" s="7">
        <f>SUMPRODUCT(N(Tabela17683[Código]=Tabela3[[#This Row],[PAPEL]]),Tabela17683[Fechamento])</f>
        <v>0</v>
      </c>
    </row>
    <row r="371" spans="1:54">
      <c r="A371" s="4" t="s">
        <v>231</v>
      </c>
      <c r="B371" s="57" t="s">
        <v>597</v>
      </c>
      <c r="C371" s="15" t="str">
        <f>LEFT([PAPEL],LEN([PAPEL])-(LEN([PAPEL])-4))</f>
        <v>GOAU</v>
      </c>
      <c r="D371" s="15">
        <v>4</v>
      </c>
      <c r="E371" s="6">
        <v>6900000000</v>
      </c>
      <c r="F371" s="8">
        <v>275062544</v>
      </c>
      <c r="G371" s="85">
        <v>0.3</v>
      </c>
      <c r="H371" s="15"/>
      <c r="I371" s="19"/>
      <c r="J371" s="19"/>
      <c r="K371" s="87"/>
      <c r="L371" s="87"/>
      <c r="M371" s="55">
        <v>14172661000</v>
      </c>
      <c r="N371" s="55">
        <v>75794000</v>
      </c>
      <c r="O371" s="55">
        <v>125231000</v>
      </c>
      <c r="P371" s="91">
        <v>11116909000</v>
      </c>
      <c r="Q371" s="92">
        <v>505124000</v>
      </c>
      <c r="R371" s="92">
        <f>IF(Tabela3[[#This Row],[Ativo || Passivo]]&gt;0,Tabela3[[#This Row],[Ativo || Passivo]]-Tabela3[[#This Row],[Patrimônio Líquido]],0)</f>
        <v>3055752000</v>
      </c>
      <c r="S371" s="92">
        <f>Tabela3[[#This Row],[Cotação]]*Tabela3[[#This Row],[Total Ações]]</f>
        <v>7139390607.4000006</v>
      </c>
      <c r="T371" s="40">
        <f>IF(Tabela3[[#This Row],[Passivo Circulante]]&gt;0,Tabela3[[#This Row],[Ativo Circulante]]/Tabela3[[#This Row],[Passivo Circulante]],0)</f>
        <v>0.60523352843944389</v>
      </c>
      <c r="U37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1" s="19">
        <f>IF(Tabela3[[#This Row],[Lucro Líquido]]&gt;0,Tabela3[[#This Row],[Lucro Líquido]]/Tabela3[[#This Row],[Patrimônio Líquido]],0)/Tabela3[[#This Row],[Ref]]*4</f>
        <v>4.5437450284067274E-2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1" s="19">
        <f>IF(Tabela3[[#This Row],[Dívida]]&gt;0,Tabela3[[#This Row],[Dívida]]/Tabela3[[#This Row],[Patrimônio Líquido]],0)</f>
        <v>0.27487424786871961</v>
      </c>
      <c r="Y371" s="19">
        <f>SUMPRODUCT(N([Dívida / PL]&gt;0),N(RIGHT([PAPEL],LEN([PAPEL])-(LEN([PAPEL])-1))="3"),[Dívida / PL])/SUMPRODUCT(N([Dívida / PL]&gt;0),N(RIGHT([PAPEL],LEN([PAPEL])-(LEN([PAPEL])-1))="3"))</f>
        <v>2.2435702141443779</v>
      </c>
      <c r="Z371" s="13">
        <f>Tabela3[[#This Row],[Capital Social]]*20%</f>
        <v>1380000000</v>
      </c>
      <c r="AA371" s="13">
        <f>IF(([Lucro Líquido]*5%)&gt;[Teto R. Legal],[Teto R. Legal],[Lucro Líquido]*5%)</f>
        <v>25256200</v>
      </c>
      <c r="AB371" s="13">
        <f>IF([Lucro Líquido]&lt;0,0,[Lucro Líquido]-[Reserva Legal])</f>
        <v>479867800</v>
      </c>
      <c r="AC371" s="13">
        <f>Tabela3[[#This Row],[Lucro Distribuir]]*[%Div]</f>
        <v>143960340</v>
      </c>
      <c r="AD371" s="56">
        <f>SUMPRODUCT(N([Nome]=Tabela3[[#This Row],[Nome]]),[Ações])</f>
        <v>412681538</v>
      </c>
      <c r="AE371" s="6">
        <f>[Capital Social]/[Total Ações]</f>
        <v>16.719914424667092</v>
      </c>
      <c r="AF371" s="77">
        <f>Tabela3[[#This Row],[Lucro Líquido]]/Tabela3[[#This Row],[Total Ações]]</f>
        <v>1.2240043556297884</v>
      </c>
      <c r="AG3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3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371" s="13">
        <f>[Div Base]*[Ações]</f>
        <v>143960340</v>
      </c>
      <c r="AL371" s="13">
        <f>SUMPRODUCT(N([Nome]=Tabela3[[#This Row],[Nome]]),[Div Base]*[Ações])</f>
        <v>143960340</v>
      </c>
      <c r="AM371" s="6">
        <f>[Patrimônio Líquido]/[Total Ações]</f>
        <v>26.938227122726289</v>
      </c>
      <c r="AN371" s="48">
        <f>MAX(Tabela3[[#This Row],[Cotação 1]:[Cotação 5]])</f>
        <v>17.3</v>
      </c>
      <c r="AO371" s="44">
        <f>[Cotação]/[VPA]</f>
        <v>0.64221004304343954</v>
      </c>
      <c r="AP371" s="40">
        <f>IF(Tabela3[[#This Row],[Lucro/Ação]]&gt;0,Tabela3[[#This Row],[Cotação]]/(Tabela3[[#This Row],[Lucro/Ação]]/[Ref]*4),0)</f>
        <v>14.133936632193283</v>
      </c>
      <c r="AQ371" s="77">
        <f>[Lucro Distribuir]/[Total Ações]</f>
        <v>1.1628041378482989</v>
      </c>
      <c r="AR371" s="77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371" s="14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3.0252781114451503E-2</v>
      </c>
      <c r="AU371" s="42">
        <f>((1+Tabela3[[#This Row],[% Yield]])^(1/(3*Tabela3[[#This Row],[Ref]])))^(12)-1</f>
        <v>3.0252781114450622E-2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7">
        <f>SUMPRODUCT(N(Tabela1[Código]=Tabela3[[#This Row],[PAPEL]]),Tabela1[Fechamento])</f>
        <v>0</v>
      </c>
      <c r="AY371" s="17">
        <f>SUMPRODUCT(N(Tabela17[Código]=Tabela3[[#This Row],[PAPEL]]),Tabela17[Fechamento])</f>
        <v>0</v>
      </c>
      <c r="AZ371" s="17">
        <f>SUMPRODUCT(N(Tabela176[Código]=Tabela3[[#This Row],[PAPEL]]),Tabela176[Fechamento])</f>
        <v>17.3</v>
      </c>
      <c r="BA371" s="1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customHeight="1">
      <c r="A372" s="4" t="s">
        <v>12</v>
      </c>
      <c r="B372" s="57" t="s">
        <v>439</v>
      </c>
      <c r="C372" s="15" t="str">
        <f>LEFT([PAPEL],LEN([PAPEL])-(LEN([PAPEL])-4))</f>
        <v>ALUP</v>
      </c>
      <c r="D372" s="15">
        <v>4</v>
      </c>
      <c r="E372" s="6">
        <v>1590658000</v>
      </c>
      <c r="F372" s="8"/>
      <c r="G372" s="80">
        <v>0.5</v>
      </c>
      <c r="H372" s="15"/>
      <c r="I372" s="19"/>
      <c r="J372" s="19"/>
      <c r="K372" s="87">
        <v>1</v>
      </c>
      <c r="L372" s="87">
        <v>2</v>
      </c>
      <c r="M372" s="55">
        <v>3399639000</v>
      </c>
      <c r="N372" s="55">
        <v>711736000</v>
      </c>
      <c r="O372" s="55">
        <v>275776000</v>
      </c>
      <c r="P372" s="91">
        <v>2566242000</v>
      </c>
      <c r="Q372" s="92">
        <v>289851000</v>
      </c>
      <c r="R372" s="92">
        <f>IF(Tabela3[[#This Row],[Ativo || Passivo]]&gt;0,Tabela3[[#This Row],[Ativo || Passivo]]-Tabela3[[#This Row],[Patrimônio Líquido]],0)</f>
        <v>833397000</v>
      </c>
      <c r="S372" s="92">
        <f>Tabela3[[#This Row],[Cotação]]*Tabela3[[#This Row],[Total Ações]]</f>
        <v>10879540338</v>
      </c>
      <c r="T372" s="40">
        <f>IF(Tabela3[[#This Row],[Passivo Circulante]]&gt;0,Tabela3[[#This Row],[Ativo Circulante]]/Tabela3[[#This Row],[Passivo Circulante]],0)</f>
        <v>2.5808482246460898</v>
      </c>
      <c r="U37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2" s="19">
        <f>IF(Tabela3[[#This Row],[Lucro Líquido]]&gt;0,Tabela3[[#This Row],[Lucro Líquido]]/Tabela3[[#This Row],[Patrimônio Líquido]],0)/Tabela3[[#This Row],[Ref]]*4</f>
        <v>0.11294764874084362</v>
      </c>
      <c r="W37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2" s="19">
        <f>IF(Tabela3[[#This Row],[Dívida]]&gt;0,Tabela3[[#This Row],[Dívida]]/Tabela3[[#This Row],[Patrimônio Líquido]],0)</f>
        <v>0.32475386187273064</v>
      </c>
      <c r="Y372" s="19">
        <f>SUMPRODUCT(N([Dívida / PL]&gt;0),N(RIGHT([PAPEL],LEN([PAPEL])-(LEN([PAPEL])-1))="3"),[Dívida / PL])/SUMPRODUCT(N([Dívida / PL]&gt;0),N(RIGHT([PAPEL],LEN([PAPEL])-(LEN([PAPEL])-1))="3"))</f>
        <v>2.2435702141443779</v>
      </c>
      <c r="Z372" s="13">
        <f>Tabela3[[#This Row],[Capital Social]]*20%</f>
        <v>318131600</v>
      </c>
      <c r="AA372" s="13">
        <f>IF(([Lucro Líquido]*5%)&gt;[Teto R. Legal],[Teto R. Legal],[Lucro Líquido]*5%)</f>
        <v>14492550</v>
      </c>
      <c r="AB372" s="13">
        <f>IF([Lucro Líquido]&lt;0,0,[Lucro Líquido]-[Reserva Legal])</f>
        <v>275358450</v>
      </c>
      <c r="AC372" s="13">
        <f>Tabela3[[#This Row],[Lucro Distribuir]]*[%Div]</f>
        <v>137679225</v>
      </c>
      <c r="AD372" s="56">
        <f>SUMPRODUCT(N([Nome]=Tabela3[[#This Row],[Nome]]),[Ações])</f>
        <v>624901800</v>
      </c>
      <c r="AE372" s="6">
        <f>[Capital Social]/[Total Ações]</f>
        <v>2.5454527415347501</v>
      </c>
      <c r="AF372" s="77">
        <f>Tabela3[[#This Row],[Lucro Líquido]]/Tabela3[[#This Row],[Total Ações]]</f>
        <v>0.46383447767313202</v>
      </c>
      <c r="AG3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2" s="13">
        <f>[Div Base]*[Ações]</f>
        <v>0</v>
      </c>
      <c r="AL372" s="13">
        <f>SUMPRODUCT(N([Nome]=Tabela3[[#This Row],[Nome]]),[Div Base]*[Ações])</f>
        <v>137679225</v>
      </c>
      <c r="AM372" s="6">
        <f>[Patrimônio Líquido]/[Total Ações]</f>
        <v>4.106632434088044</v>
      </c>
      <c r="AN372" s="48">
        <f>MAX(Tabela3[[#This Row],[Cotação 1]:[Cotação 5]])</f>
        <v>17.41</v>
      </c>
      <c r="AO372" s="44">
        <f>[Cotação]/[VPA]</f>
        <v>4.23948339166766</v>
      </c>
      <c r="AP372" s="40">
        <f>IF(Tabela3[[#This Row],[Lucro/Ação]]&gt;0,Tabela3[[#This Row],[Cotação]]/(Tabela3[[#This Row],[Lucro/Ação]]/[Ref]*4),0)</f>
        <v>37.534941532028526</v>
      </c>
      <c r="AQ372" s="77">
        <f>[Lucro Distribuir]/[Total Ações]</f>
        <v>0.44064275378947543</v>
      </c>
      <c r="AR372" s="77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372" s="14" t="str">
        <f>IF(AND([% A.A.]&gt;=5%,SUMPRODUCT(N([Nome]=Tabela3[[#This Row],[Nome]]),[PL])&gt;0,[Rentabilidade s/ PL]&gt;=[Rentabilidade s/ PL Média]),"Sim","Não")</f>
        <v>Não</v>
      </c>
      <c r="AT372" s="42">
        <f>IF([Cotação]&gt;0,Tabela3[[#This Row],[Lucro]]/Tabela3[[#This Row],[Cotação]],0)</f>
        <v>3.7964625541884726E-2</v>
      </c>
      <c r="AU372" s="42">
        <f>((1+Tabela3[[#This Row],[% Yield]])^(1/(3*Tabela3[[#This Row],[Ref]])))^(12)-1</f>
        <v>3.7964625541884622E-2</v>
      </c>
      <c r="AV372" s="14">
        <f>IF([Cotação]&gt;0,($BH$1/Tabela3[[#This Row],[Cotação]]-MOD($BH$1/Tabela3[[#This Row],[Cotação]],100)),)</f>
        <v>0</v>
      </c>
      <c r="AW372" s="17">
        <f>Tabela3[[#This Row],[Ativos]]*[Lucro]</f>
        <v>0</v>
      </c>
      <c r="AX372" s="17">
        <f>SUMPRODUCT(N(Tabela1[Código]=Tabela3[[#This Row],[PAPEL]]),Tabela1[Fechamento])</f>
        <v>0</v>
      </c>
      <c r="AY372" s="17">
        <f>SUMPRODUCT(N(Tabela17[Código]=Tabela3[[#This Row],[PAPEL]]),Tabela17[Fechamento])</f>
        <v>17.41</v>
      </c>
      <c r="AZ372" s="7">
        <f>SUMPRODUCT(N(Tabela176[Código]=Tabela3[[#This Row],[PAPEL]]),Tabela176[Fechamento])</f>
        <v>0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customHeight="1">
      <c r="A373" s="3" t="s">
        <v>779</v>
      </c>
      <c r="B373" s="58" t="s">
        <v>778</v>
      </c>
      <c r="C373" s="16" t="str">
        <f>LEFT([PAPEL],LEN([PAPEL])-(LEN([PAPEL])-4))</f>
        <v>RADL</v>
      </c>
      <c r="D373" s="16">
        <v>3</v>
      </c>
      <c r="E373" s="5">
        <v>908639254.57000005</v>
      </c>
      <c r="F373" s="56">
        <v>330386000</v>
      </c>
      <c r="G373" s="80">
        <v>0.25</v>
      </c>
      <c r="H373" s="86"/>
      <c r="J373" s="18"/>
      <c r="K373" s="16"/>
      <c r="L373" s="86"/>
      <c r="M373" s="54"/>
      <c r="N373" s="54"/>
      <c r="O373" s="54"/>
      <c r="P373" s="90">
        <v>2304867000</v>
      </c>
      <c r="Q373" s="73">
        <v>73167000</v>
      </c>
      <c r="R373" s="73">
        <f>IF(Tabela3[[#This Row],[Ativo || Passivo]]&gt;0,Tabela3[[#This Row],[Ativo || Passivo]]-Tabela3[[#This Row],[Patrimônio Líquido]],0)</f>
        <v>0</v>
      </c>
      <c r="S373" s="73">
        <f>Tabela3[[#This Row],[Cotação]]*Tabela3[[#This Row],[Total Ações]]</f>
        <v>5828009040</v>
      </c>
      <c r="T373" s="37">
        <f>IF(Tabela3[[#This Row],[Passivo Circulante]]&gt;0,Tabela3[[#This Row],[Ativo Circulante]]/Tabela3[[#This Row],[Passivo Circulante]],0)</f>
        <v>0</v>
      </c>
      <c r="U37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3" s="18">
        <f>IF(Tabela3[[#This Row],[Lucro Líquido]]&gt;0,Tabela3[[#This Row],[Lucro Líquido]]/Tabela3[[#This Row],[Patrimônio Líquido]],0)/Tabela3[[#This Row],[Ref]]*4</f>
        <v>4.232608649436171E-2</v>
      </c>
      <c r="W37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3" s="18">
        <f>IF(Tabela3[[#This Row],[Dívida]]&gt;0,Tabela3[[#This Row],[Dívida]]/Tabela3[[#This Row],[Patrimônio Líquido]],0)</f>
        <v>0</v>
      </c>
      <c r="Y373" s="18">
        <f>SUMPRODUCT(N([Dívida / PL]&gt;0),N(RIGHT([PAPEL],LEN([PAPEL])-(LEN([PAPEL])-1))="3"),[Dívida / PL])/SUMPRODUCT(N([Dívida / PL]&gt;0),N(RIGHT([PAPEL],LEN([PAPEL])-(LEN([PAPEL])-1))="3"))</f>
        <v>2.2435702141443779</v>
      </c>
      <c r="Z373" s="7">
        <f>Tabela3[[#This Row],[Capital Social]]*20%</f>
        <v>181727850.91400003</v>
      </c>
      <c r="AA373" s="47">
        <f>IF(([Lucro Líquido]*5%)&gt;[Teto R. Legal],[Teto R. Legal],[Lucro Líquido]*5%)</f>
        <v>3658350</v>
      </c>
      <c r="AB373" s="47">
        <f>IF([Lucro Líquido]&lt;0,0,[Lucro Líquido]-[Reserva Legal])</f>
        <v>69508650</v>
      </c>
      <c r="AC373" s="47">
        <f>Tabela3[[#This Row],[Lucro Distribuir]]*[%Div]</f>
        <v>17377162.5</v>
      </c>
      <c r="AD373" s="56">
        <f>SUMPRODUCT(N([Nome]=Tabela3[[#This Row],[Nome]]),[Ações])</f>
        <v>330386000</v>
      </c>
      <c r="AE373" s="84">
        <f>[Capital Social]/[Total Ações]</f>
        <v>2.7502353446271939</v>
      </c>
      <c r="AF373" s="84">
        <f>Tabela3[[#This Row],[Lucro Líquido]]/Tabela3[[#This Row],[Total Ações]]</f>
        <v>0.22145914173118716</v>
      </c>
      <c r="AG37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7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73" s="7">
        <f>[Div Base]*[Ações]</f>
        <v>17377162.5</v>
      </c>
      <c r="AL373" s="7">
        <f>SUMPRODUCT(N([Nome]=Tabela3[[#This Row],[Nome]]),[Div Base]*[Ações])</f>
        <v>17377162.5</v>
      </c>
      <c r="AM373" s="5">
        <f>[Patrimônio Líquido]/[Total Ações]</f>
        <v>6.9762853147530466</v>
      </c>
      <c r="AN373" s="52">
        <f>MAX(Tabela3[[#This Row],[Cotação 1]:[Cotação 5]])</f>
        <v>17.64</v>
      </c>
      <c r="AO373" s="53">
        <f>[Cotação]/[VPA]</f>
        <v>2.5285663077305545</v>
      </c>
      <c r="AP373" s="37">
        <f>IF(Tabela3[[#This Row],[Lucro/Ação]]&gt;0,Tabela3[[#This Row],[Cotação]]/(Tabela3[[#This Row],[Lucro/Ação]]/[Ref]*4),0)</f>
        <v>59.740139407109758</v>
      </c>
      <c r="AQ373" s="84">
        <f>[Lucro Distribuir]/[Total Ações]</f>
        <v>0.2103861846446278</v>
      </c>
      <c r="AR373" s="84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73" s="10" t="str">
        <f>IF(AND([% A.A.]&gt;=5%,SUMPRODUCT(N([Nome]=Tabela3[[#This Row],[Nome]]),[PL])&gt;0,[Rentabilidade s/ PL]&gt;=[Rentabilidade s/ PL Média]),"Sim","Não")</f>
        <v>Não</v>
      </c>
      <c r="AT373" s="22">
        <f>IF([Cotação]&gt;0,Tabela3[[#This Row],[Lucro]]/Tabela3[[#This Row],[Cotação]],0)</f>
        <v>2.9816636145780584E-3</v>
      </c>
      <c r="AU373" s="22">
        <f>((1+Tabela3[[#This Row],[% Yield]])^(1/(3*Tabela3[[#This Row],[Ref]])))^(12)-1</f>
        <v>3.977525804896187E-3</v>
      </c>
      <c r="AV373" s="10">
        <f>IF([Cotação]&gt;0,($BH$1/Tabela3[[#This Row],[Cotação]]-MOD($BH$1/Tabela3[[#This Row],[Cotação]],100)),)</f>
        <v>0</v>
      </c>
      <c r="AW373" s="7">
        <f>Tabela3[[#This Row],[Ativos]]*[Lucro]</f>
        <v>0</v>
      </c>
      <c r="AX373" s="7">
        <f>SUMPRODUCT(N(Tabela1[Código]=Tabela3[[#This Row],[PAPEL]]),Tabela1[Fechamento])</f>
        <v>0</v>
      </c>
      <c r="AY373" s="7">
        <f>SUMPRODUCT(N(Tabela17[Código]=Tabela3[[#This Row],[PAPEL]]),Tabela17[Fechamento])</f>
        <v>0</v>
      </c>
      <c r="AZ373" s="7">
        <f>SUMPRODUCT(N(Tabela176[Código]=Tabela3[[#This Row],[PAPEL]]),Tabela176[Fechamento])</f>
        <v>17.64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customHeight="1">
      <c r="A374" s="3" t="s">
        <v>1174</v>
      </c>
      <c r="B374" s="58" t="s">
        <v>1176</v>
      </c>
      <c r="C374" s="16" t="str">
        <f>LEFT([PAPEL],LEN([PAPEL])-(LEN([PAPEL])-4))</f>
        <v>TGMA</v>
      </c>
      <c r="D374" s="16">
        <v>3</v>
      </c>
      <c r="E374" s="5">
        <v>144469396</v>
      </c>
      <c r="F374" s="56">
        <v>66002915</v>
      </c>
      <c r="G374" s="80">
        <v>0.25</v>
      </c>
      <c r="H374" s="86"/>
      <c r="J374" s="18"/>
      <c r="K374" s="16"/>
      <c r="L374" s="86"/>
      <c r="M374" s="54"/>
      <c r="N374" s="54"/>
      <c r="O374" s="54"/>
      <c r="P374" s="90">
        <v>422689000</v>
      </c>
      <c r="Q374" s="73">
        <v>43227000</v>
      </c>
      <c r="R374" s="73">
        <f>IF(Tabela3[[#This Row],[Ativo || Passivo]]&gt;0,Tabela3[[#This Row],[Ativo || Passivo]]-Tabela3[[#This Row],[Patrimônio Líquido]],0)</f>
        <v>0</v>
      </c>
      <c r="S374" s="73">
        <f>Tabela3[[#This Row],[Cotação]]*Tabela3[[#This Row],[Total Ações]]</f>
        <v>1165611478.9000001</v>
      </c>
      <c r="T374" s="37">
        <f>IF(Tabela3[[#This Row],[Passivo Circulante]]&gt;0,Tabela3[[#This Row],[Ativo Circulante]]/Tabela3[[#This Row],[Passivo Circulante]],0)</f>
        <v>0</v>
      </c>
      <c r="U3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4" s="18">
        <f>IF(Tabela3[[#This Row],[Lucro Líquido]]&gt;0,Tabela3[[#This Row],[Lucro Líquido]]/Tabela3[[#This Row],[Patrimônio Líquido]],0)/Tabela3[[#This Row],[Ref]]*4</f>
        <v>0.13635557111729901</v>
      </c>
      <c r="W3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4" s="18">
        <f>IF(Tabela3[[#This Row],[Dívida]]&gt;0,Tabela3[[#This Row],[Dívida]]/Tabela3[[#This Row],[Patrimônio Líquido]],0)</f>
        <v>0</v>
      </c>
      <c r="Y374" s="18">
        <f>SUMPRODUCT(N([Dívida / PL]&gt;0),N(RIGHT([PAPEL],LEN([PAPEL])-(LEN([PAPEL])-1))="3"),[Dívida / PL])/SUMPRODUCT(N([Dívida / PL]&gt;0),N(RIGHT([PAPEL],LEN([PAPEL])-(LEN([PAPEL])-1))="3"))</f>
        <v>2.2435702141443779</v>
      </c>
      <c r="Z374" s="7">
        <f>Tabela3[[#This Row],[Capital Social]]*20%</f>
        <v>28893879.200000003</v>
      </c>
      <c r="AA374" s="47">
        <f>IF(([Lucro Líquido]*5%)&gt;[Teto R. Legal],[Teto R. Legal],[Lucro Líquido]*5%)</f>
        <v>2161350</v>
      </c>
      <c r="AB374" s="47">
        <f>IF([Lucro Líquido]&lt;0,0,[Lucro Líquido]-[Reserva Legal])</f>
        <v>41065650</v>
      </c>
      <c r="AC374" s="47">
        <f>Tabela3[[#This Row],[Lucro Distribuir]]*[%Div]</f>
        <v>10266412.5</v>
      </c>
      <c r="AD374" s="56">
        <f>SUMPRODUCT(N([Nome]=Tabela3[[#This Row],[Nome]]),[Ações])</f>
        <v>66002915</v>
      </c>
      <c r="AE374" s="84">
        <f>[Capital Social]/[Total Ações]</f>
        <v>2.1888335689416141</v>
      </c>
      <c r="AF374" s="84">
        <f>Tabela3[[#This Row],[Lucro Líquido]]/Tabela3[[#This Row],[Total Ações]]</f>
        <v>0.65492561957301432</v>
      </c>
      <c r="AG3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3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374" s="7">
        <f>[Div Base]*[Ações]</f>
        <v>10266412.5</v>
      </c>
      <c r="AL374" s="113">
        <f>SUMPRODUCT(N([Nome]=Tabela3[[#This Row],[Nome]]),[Div Base]*[Ações])</f>
        <v>10266412.5</v>
      </c>
      <c r="AM374" s="5">
        <f>[Patrimônio Líquido]/[Total Ações]</f>
        <v>6.4040959403080908</v>
      </c>
      <c r="AN374" s="52">
        <f>MAX(Tabela3[[#This Row],[Cotação 1]:[Cotação 5]])</f>
        <v>17.66</v>
      </c>
      <c r="AO374" s="53">
        <f>[Cotação]/[VPA]</f>
        <v>2.757610155220505</v>
      </c>
      <c r="AP374" s="37">
        <f>IF(Tabela3[[#This Row],[Lucro/Ação]]&gt;0,Tabela3[[#This Row],[Cotação]]/(Tabela3[[#This Row],[Lucro/Ação]]/[Ref]*4),0)</f>
        <v>20.223670603442294</v>
      </c>
      <c r="AQ374" s="84">
        <f>[Lucro Distribuir]/[Total Ações]</f>
        <v>0.62217933859436358</v>
      </c>
      <c r="AR374" s="84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374" s="10" t="str">
        <f>IF(AND([% A.A.]&gt;=5%,SUMPRODUCT(N([Nome]=Tabela3[[#This Row],[Nome]]),[PL])&gt;0,[Rentabilidade s/ PL]&gt;=[Rentabilidade s/ PL Média]),"Sim","Não")</f>
        <v>Não</v>
      </c>
      <c r="AT374" s="22">
        <f>IF([Cotação]&gt;0,Tabela3[[#This Row],[Lucro]]/Tabela3[[#This Row],[Cotação]],0)</f>
        <v>8.8077482813471632E-3</v>
      </c>
      <c r="AU374" s="22">
        <f>((1+Tabela3[[#This Row],[% Yield]])^(1/(3*Tabela3[[#This Row],[Ref]])))^(12)-1</f>
        <v>1.1760869963091336E-2</v>
      </c>
      <c r="AV374" s="10">
        <f>IF([Cotação]&gt;0,($BH$1/Tabela3[[#This Row],[Cotação]]-MOD($BH$1/Tabela3[[#This Row],[Cotação]],100)),)</f>
        <v>0</v>
      </c>
      <c r="AW374" s="7">
        <f>Tabela3[[#This Row],[Ativos]]*[Lucro]</f>
        <v>0</v>
      </c>
      <c r="AX374" s="7">
        <f>SUMPRODUCT(N(Tabela1[Código]=Tabela3[[#This Row],[PAPEL]]),Tabela1[Fechamento])</f>
        <v>0</v>
      </c>
      <c r="AY374" s="7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17.66</v>
      </c>
    </row>
    <row r="375" spans="1:54" ht="11.25" customHeight="1">
      <c r="A375" s="3" t="s">
        <v>335</v>
      </c>
      <c r="B375" s="58" t="s">
        <v>336</v>
      </c>
      <c r="C375" s="82" t="str">
        <f>LEFT([PAPEL],LEN([PAPEL])-(LEN([PAPEL])-4))</f>
        <v>ALSC</v>
      </c>
      <c r="D375" s="16">
        <v>3</v>
      </c>
      <c r="E375" s="5">
        <v>1367420581.99</v>
      </c>
      <c r="F375" s="56">
        <v>159025920</v>
      </c>
      <c r="G375" s="85">
        <v>0.25</v>
      </c>
      <c r="H375" s="16"/>
      <c r="J375" s="18"/>
      <c r="K375" s="86"/>
      <c r="L375" s="86"/>
      <c r="M375" s="54"/>
      <c r="N375" s="54"/>
      <c r="O375" s="54"/>
      <c r="P375" s="5">
        <v>1645312000</v>
      </c>
      <c r="Q375" s="5">
        <v>40163000</v>
      </c>
      <c r="R375" s="5">
        <f>IF(Tabela3[[#This Row],[Ativo || Passivo]]&gt;0,Tabela3[[#This Row],[Ativo || Passivo]]-Tabela3[[#This Row],[Patrimônio Líquido]],0)</f>
        <v>0</v>
      </c>
      <c r="S375" s="5">
        <f>Tabela3[[#This Row],[Cotação]]*Tabela3[[#This Row],[Total Ações]]</f>
        <v>2822710080</v>
      </c>
      <c r="T375" s="119">
        <f>IF(Tabela3[[#This Row],[Passivo Circulante]]&gt;0,Tabela3[[#This Row],[Ativo Circulante]]/Tabela3[[#This Row],[Passivo Circulante]],0)</f>
        <v>0</v>
      </c>
      <c r="U375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5" s="18">
        <f>IF(Tabela3[[#This Row],[Lucro Líquido]]&gt;0,Tabela3[[#This Row],[Lucro Líquido]]/Tabela3[[#This Row],[Patrimônio Líquido]],0)/Tabela3[[#This Row],[Ref]]*4</f>
        <v>3.2547423629479801E-2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2.2435702141443779</v>
      </c>
      <c r="Z375" s="5">
        <f>Tabela3[[#This Row],[Capital Social]]*20%</f>
        <v>273484116.398</v>
      </c>
      <c r="AA375" s="5">
        <f>IF(([Lucro Líquido]*5%)&gt;[Teto R. Legal],[Teto R. Legal],[Lucro Líquido]*5%)</f>
        <v>2008150</v>
      </c>
      <c r="AB375" s="5">
        <f>IF([Lucro Líquido]&lt;0,0,[Lucro Líquido]-[Reserva Legal])</f>
        <v>38154850</v>
      </c>
      <c r="AC375" s="5">
        <f>Tabela3[[#This Row],[Lucro Distribuir]]*[%Div]</f>
        <v>9538712.5</v>
      </c>
      <c r="AD375" s="21">
        <f>SUMPRODUCT(N([Nome]=Tabela3[[#This Row],[Nome]]),[Ações])</f>
        <v>159025920</v>
      </c>
      <c r="AE375" s="5">
        <f>[Capital Social]/[Total Ações]</f>
        <v>8.5987276916241075</v>
      </c>
      <c r="AF375" s="76">
        <f>Tabela3[[#This Row],[Lucro Líquido]]/Tabela3[[#This Row],[Total Ações]]</f>
        <v>0.25255631283252439</v>
      </c>
      <c r="AG375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375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375" s="5">
        <f>[Div Base]*[Ações]</f>
        <v>9538712.5</v>
      </c>
      <c r="AL375" s="5">
        <f>SUMPRODUCT(N([Nome]=Tabela3[[#This Row],[Nome]]),[Div Base]*[Ações])</f>
        <v>9538712.5</v>
      </c>
      <c r="AM375" s="5">
        <f>[Patrimônio Líquido]/[Total Ações]</f>
        <v>10.346187590048213</v>
      </c>
      <c r="AN375" s="52">
        <f>MAX(Tabela3[[#This Row],[Cotação 1]:[Cotação 5]])</f>
        <v>17.75</v>
      </c>
      <c r="AO375" s="53">
        <f>[Cotação]/[VPA]</f>
        <v>1.7156077874591567</v>
      </c>
      <c r="AP375" s="37">
        <f>IF(Tabela3[[#This Row],[Lucro/Ação]]&gt;0,Tabela3[[#This Row],[Cotação]]/(Tabela3[[#This Row],[Lucro/Ação]]/[Ref]*4),0)</f>
        <v>52.711016607325156</v>
      </c>
      <c r="AQ375" s="76">
        <f>[Lucro Distribuir]/[Total Ações]</f>
        <v>0.23992849719089818</v>
      </c>
      <c r="AR375" s="76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375" s="16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3.3792746083225094E-3</v>
      </c>
      <c r="AU375" s="18">
        <f>((1+Tabela3[[#This Row],[% Yield]])^(1/(3*Tabela3[[#This Row],[Ref]])))^(12)-1</f>
        <v>4.5082352407539439E-3</v>
      </c>
      <c r="AV375" s="10">
        <f>IF([Cotação]&gt;0,($BH$1/Tabela3[[#This Row],[Cotação]]-MOD($BH$1/Tabela3[[#This Row],[Cotação]],100)),)</f>
        <v>0</v>
      </c>
      <c r="AW375" s="7">
        <f>Tabela3[[#This Row],[Ativos]]*[Lucro]</f>
        <v>0</v>
      </c>
      <c r="AX375" s="47">
        <f>SUMPRODUCT(N(Tabela1[Código]=Tabela3[[#This Row],[PAPEL]]),Tabela1[Fechamento])</f>
        <v>0</v>
      </c>
      <c r="AY375" s="54">
        <f>SUMPRODUCT(N(Tabela17[Código]=Tabela3[[#This Row],[PAPEL]]),Tabela17[Fechamento])</f>
        <v>17.75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</v>
      </c>
    </row>
    <row r="376" spans="1:54" ht="11.25" customHeight="1">
      <c r="A376" s="3" t="s">
        <v>779</v>
      </c>
      <c r="B376" s="58" t="s">
        <v>787</v>
      </c>
      <c r="C376" s="16" t="str">
        <f>LEFT([PAPEL],LEN([PAPEL])-(LEN([PAPEL])-4))</f>
        <v>PFRM</v>
      </c>
      <c r="D376" s="16">
        <v>3</v>
      </c>
      <c r="E376" s="5">
        <v>400112159.25</v>
      </c>
      <c r="F376" s="56">
        <v>33208341</v>
      </c>
      <c r="G376" s="80">
        <v>0.25</v>
      </c>
      <c r="H376" s="86"/>
      <c r="J376" s="18"/>
      <c r="K376" s="16"/>
      <c r="L376" s="86"/>
      <c r="M376" s="54"/>
      <c r="N376" s="54"/>
      <c r="O376" s="54"/>
      <c r="P376" s="90">
        <v>578216000</v>
      </c>
      <c r="Q376" s="73">
        <v>24956000</v>
      </c>
      <c r="R376" s="73">
        <f>IF(Tabela3[[#This Row],[Ativo || Passivo]]&gt;0,Tabela3[[#This Row],[Ativo || Passivo]]-Tabela3[[#This Row],[Patrimônio Líquido]],0)</f>
        <v>0</v>
      </c>
      <c r="S376" s="73">
        <f>Tabela3[[#This Row],[Cotação]]*Tabela3[[#This Row],[Total Ações]]</f>
        <v>591108469.80000007</v>
      </c>
      <c r="T376" s="37">
        <f>IF(Tabela3[[#This Row],[Passivo Circulante]]&gt;0,Tabela3[[#This Row],[Ativo Circulante]]/Tabela3[[#This Row],[Passivo Circulante]],0)</f>
        <v>0</v>
      </c>
      <c r="U37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6" s="18">
        <f>IF(Tabela3[[#This Row],[Lucro Líquido]]&gt;0,Tabela3[[#This Row],[Lucro Líquido]]/Tabela3[[#This Row],[Patrimônio Líquido]],0)/Tabela3[[#This Row],[Ref]]*4</f>
        <v>5.754712195211939E-2</v>
      </c>
      <c r="W37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6" s="18">
        <f>IF(Tabela3[[#This Row],[Dívida]]&gt;0,Tabela3[[#This Row],[Dívida]]/Tabela3[[#This Row],[Patrimônio Líquido]],0)</f>
        <v>0</v>
      </c>
      <c r="Y376" s="18">
        <f>SUMPRODUCT(N([Dívida / PL]&gt;0),N(RIGHT([PAPEL],LEN([PAPEL])-(LEN([PAPEL])-1))="3"),[Dívida / PL])/SUMPRODUCT(N([Dívida / PL]&gt;0),N(RIGHT([PAPEL],LEN([PAPEL])-(LEN([PAPEL])-1))="3"))</f>
        <v>2.2435702141443779</v>
      </c>
      <c r="Z376" s="7">
        <f>Tabela3[[#This Row],[Capital Social]]*20%</f>
        <v>80022431.850000009</v>
      </c>
      <c r="AA376" s="47">
        <f>IF(([Lucro Líquido]*5%)&gt;[Teto R. Legal],[Teto R. Legal],[Lucro Líquido]*5%)</f>
        <v>1247800</v>
      </c>
      <c r="AB376" s="47">
        <f>IF([Lucro Líquido]&lt;0,0,[Lucro Líquido]-[Reserva Legal])</f>
        <v>23708200</v>
      </c>
      <c r="AC376" s="47">
        <f>Tabela3[[#This Row],[Lucro Distribuir]]*[%Div]</f>
        <v>5927050</v>
      </c>
      <c r="AD376" s="56">
        <f>SUMPRODUCT(N([Nome]=Tabela3[[#This Row],[Nome]]),[Ações])</f>
        <v>33208341</v>
      </c>
      <c r="AE376" s="84">
        <f>[Capital Social]/[Total Ações]</f>
        <v>12.04854404650928</v>
      </c>
      <c r="AF376" s="84">
        <f>Tabela3[[#This Row],[Lucro Líquido]]/Tabela3[[#This Row],[Total Ações]]</f>
        <v>0.75149794444714957</v>
      </c>
      <c r="AG37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6" s="7">
        <f>[Div Base]*[Ações]</f>
        <v>5927050</v>
      </c>
      <c r="AL376" s="7">
        <f>SUMPRODUCT(N([Nome]=Tabela3[[#This Row],[Nome]]),[Div Base]*[Ações])</f>
        <v>5927050</v>
      </c>
      <c r="AM376" s="5">
        <f>[Patrimônio Líquido]/[Total Ações]</f>
        <v>17.411770133292716</v>
      </c>
      <c r="AN376" s="52">
        <f>MAX(Tabela3[[#This Row],[Cotação 1]:[Cotação 5]])</f>
        <v>17.8</v>
      </c>
      <c r="AO376" s="53">
        <f>[Cotação]/[VPA]</f>
        <v>1.0222969786377409</v>
      </c>
      <c r="AP376" s="37">
        <f>IF(Tabela3[[#This Row],[Lucro/Ação]]&gt;0,Tabela3[[#This Row],[Cotação]]/(Tabela3[[#This Row],[Lucro/Ação]]/[Ref]*4),0)</f>
        <v>17.764519648581505</v>
      </c>
      <c r="AQ376" s="84">
        <f>[Lucro Distribuir]/[Total Ações]</f>
        <v>0.71392304722479216</v>
      </c>
      <c r="AR376" s="84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6" s="10" t="str">
        <f>IF(AND([% A.A.]&gt;=5%,SUMPRODUCT(N([Nome]=Tabela3[[#This Row],[Nome]]),[PL])&gt;0,[Rentabilidade s/ PL]&gt;=[Rentabilidade s/ PL Média]),"Sim","Não")</f>
        <v>Não</v>
      </c>
      <c r="AT376" s="22">
        <f>IF([Cotação]&gt;0,Tabela3[[#This Row],[Lucro]]/Tabela3[[#This Row],[Cotação]],0)</f>
        <v>1.0027009090235845E-2</v>
      </c>
      <c r="AU376" s="22">
        <f>((1+Tabela3[[#This Row],[% Yield]])^(1/(3*Tabela3[[#This Row],[Ref]])))^(12)-1</f>
        <v>1.3391638301335496E-2</v>
      </c>
      <c r="AV376" s="10">
        <f>IF([Cotação]&gt;0,($BH$1/Tabela3[[#This Row],[Cotação]]-MOD($BH$1/Tabela3[[#This Row],[Cotação]],100)),)</f>
        <v>0</v>
      </c>
      <c r="AW376" s="7">
        <f>Tabela3[[#This Row],[Ativos]]*[Lucro]</f>
        <v>0</v>
      </c>
      <c r="AX376" s="7">
        <f>SUMPRODUCT(N(Tabela1[Código]=Tabela3[[#This Row],[PAPEL]]),Tabela1[Fechamento])</f>
        <v>0</v>
      </c>
      <c r="AY376" s="7">
        <f>SUMPRODUCT(N(Tabela17[Código]=Tabela3[[#This Row],[PAPEL]]),Tabela17[Fechamento])</f>
        <v>0</v>
      </c>
      <c r="AZ376" s="7">
        <f>SUMPRODUCT(N(Tabela176[Código]=Tabela3[[#This Row],[PAPEL]]),Tabela176[Fechamento])</f>
        <v>17.8</v>
      </c>
      <c r="BA376" s="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t="11.25" customHeight="1">
      <c r="A377" s="4" t="s">
        <v>12</v>
      </c>
      <c r="B377" s="57" t="s">
        <v>70</v>
      </c>
      <c r="C377" s="14" t="str">
        <f>LEFT([PAPEL],LEN([PAPEL])-(LEN([PAPEL])-4))</f>
        <v>CEPE</v>
      </c>
      <c r="D377" s="15">
        <v>3</v>
      </c>
      <c r="E377" s="6">
        <v>590173759.38999999</v>
      </c>
      <c r="F377" s="8">
        <v>7567254</v>
      </c>
      <c r="G377" s="85">
        <v>0.1</v>
      </c>
      <c r="H377" s="15"/>
      <c r="I377" s="19"/>
      <c r="J377" s="19"/>
      <c r="K377" s="87"/>
      <c r="L377" s="87"/>
      <c r="M377" s="55"/>
      <c r="N377" s="55"/>
      <c r="O377" s="55"/>
      <c r="P377" s="88">
        <v>3707916000</v>
      </c>
      <c r="Q377" s="88">
        <v>63180000</v>
      </c>
      <c r="R377" s="88">
        <f>IF(Tabela3[[#This Row],[Ativo || Passivo]]&gt;0,Tabela3[[#This Row],[Ativo || Passivo]]-Tabela3[[#This Row],[Patrimônio Líquido]],0)</f>
        <v>0</v>
      </c>
      <c r="S377" s="88">
        <f>Tabela3[[#This Row],[Cotação]]*Tabela3[[#This Row],[Total Ações]]</f>
        <v>1335561745.1999998</v>
      </c>
      <c r="T377" s="121">
        <f>IF(Tabela3[[#This Row],[Passivo Circulante]]&gt;0,Tabela3[[#This Row],[Ativo Circulante]]/Tabela3[[#This Row],[Passivo Circulante]],0)</f>
        <v>0</v>
      </c>
      <c r="U3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7" s="19">
        <f>IF(Tabela3[[#This Row],[Lucro Líquido]]&gt;0,Tabela3[[#This Row],[Lucro Líquido]]/Tabela3[[#This Row],[Patrimônio Líquido]],0)/Tabela3[[#This Row],[Ref]]*4</f>
        <v>2.2718961270967303E-2</v>
      </c>
      <c r="W3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7" s="19">
        <f>IF(Tabela3[[#This Row],[Dívida]]&gt;0,Tabela3[[#This Row],[Dívida]]/Tabela3[[#This Row],[Patrimônio Líquido]],0)</f>
        <v>0</v>
      </c>
      <c r="Y377" s="19">
        <f>SUMPRODUCT(N([Dívida / PL]&gt;0),N(RIGHT([PAPEL],LEN([PAPEL])-(LEN([PAPEL])-1))="3"),[Dívida / PL])/SUMPRODUCT(N([Dívida / PL]&gt;0),N(RIGHT([PAPEL],LEN([PAPEL])-(LEN([PAPEL])-1))="3"))</f>
        <v>2.2435702141443779</v>
      </c>
      <c r="Z377" s="6">
        <f>Tabela3[[#This Row],[Capital Social]]*20%</f>
        <v>118034751.87800001</v>
      </c>
      <c r="AA377" s="6">
        <f>IF(([Lucro Líquido]*5%)&gt;[Teto R. Legal],[Teto R. Legal],[Lucro Líquido]*5%)</f>
        <v>3159000</v>
      </c>
      <c r="AB377" s="88">
        <f>IF([Lucro Líquido]&lt;0,0,[Lucro Líquido]-[Reserva Legal])</f>
        <v>60021000</v>
      </c>
      <c r="AC377" s="88">
        <f>Tabela3[[#This Row],[Lucro Distribuir]]*[%Div]</f>
        <v>6002100</v>
      </c>
      <c r="AD377" s="56">
        <f>SUMPRODUCT(N([Nome]=Tabela3[[#This Row],[Nome]]),[Ações])</f>
        <v>74612388</v>
      </c>
      <c r="AE377" s="6">
        <f>[Capital Social]/[Total Ações]</f>
        <v>7.9098628955556283</v>
      </c>
      <c r="AF377" s="77">
        <f>Tabela3[[#This Row],[Lucro Líquido]]/Tabela3[[#This Row],[Total Ações]]</f>
        <v>0.84677627527482435</v>
      </c>
      <c r="AG3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3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377" s="6">
        <f>[Div Base]*[Ações]</f>
        <v>589798.09778532444</v>
      </c>
      <c r="AL377" s="6">
        <f>SUMPRODUCT(N([Nome]=Tabela3[[#This Row],[Nome]]),[Div Base]*[Ações])</f>
        <v>13668149.085004007</v>
      </c>
      <c r="AM377" s="6">
        <f>[Patrimônio Líquido]/[Total Ações]</f>
        <v>49.69571540854583</v>
      </c>
      <c r="AN377" s="48">
        <f>MAX(Tabela3[[#This Row],[Cotação 1]:[Cotação 5]])</f>
        <v>17.899999999999999</v>
      </c>
      <c r="AO377" s="44">
        <f>[Cotação]/[VPA]</f>
        <v>0.3601920176185221</v>
      </c>
      <c r="AP377" s="40">
        <f>IF(Tabela3[[#This Row],[Lucro/Ação]]&gt;0,Tabela3[[#This Row],[Cotação]]/(Tabela3[[#This Row],[Lucro/Ação]]/[Ref]*4),0)</f>
        <v>15.854246737891735</v>
      </c>
      <c r="AQ377" s="77">
        <f>[Lucro Distribuir]/[Total Ações]</f>
        <v>0.80443746151108309</v>
      </c>
      <c r="AR377" s="77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377" s="14" t="str">
        <f>IF(AND([% A.A.]&gt;=5%,SUMPRODUCT(N([Nome]=Tabela3[[#This Row],[Nome]]),[PL])&gt;0,[Rentabilidade s/ PL]&gt;=[Rentabilidade s/ PL Média]),"Sim","Não")</f>
        <v>Não</v>
      </c>
      <c r="AT377" s="42">
        <f>IF([Cotação]&gt;0,Tabela3[[#This Row],[Lucro]]/Tabela3[[#This Row],[Cotação]],0)</f>
        <v>4.3542366096624716E-3</v>
      </c>
      <c r="AU377" s="19">
        <f>((1+Tabela3[[#This Row],[% Yield]])^(1/(3*Tabela3[[#This Row],[Ref]])))^(12)-1</f>
        <v>5.8098579383099036E-3</v>
      </c>
      <c r="AV377" s="14">
        <f>IF([Cotação]&gt;0,($BH$1/Tabela3[[#This Row],[Cotação]]-MOD($BH$1/Tabela3[[#This Row],[Cotação]],100)),)</f>
        <v>0</v>
      </c>
      <c r="AW377" s="17">
        <f>Tabela3[[#This Row],[Ativos]]*[Lucro]</f>
        <v>0</v>
      </c>
      <c r="AX377" s="5">
        <f>SUMPRODUCT(N(Tabela1[Código]=Tabela3[[#This Row],[PAPEL]]),Tabela1[Fechamento])</f>
        <v>17.899999999999999</v>
      </c>
      <c r="AY377" s="5">
        <f>SUMPRODUCT(N(Tabela17[Código]=Tabela3[[#This Row],[PAPEL]]),Tabela17[Fechamento])</f>
        <v>0</v>
      </c>
      <c r="AZ377" s="7">
        <f>SUMPRODUCT(N(Tabela176[Código]=Tabela3[[#This Row],[PAPEL]]),Tabela176[Fechamento])</f>
        <v>0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customHeight="1">
      <c r="A378" s="3" t="s">
        <v>335</v>
      </c>
      <c r="B378" s="57" t="s">
        <v>348</v>
      </c>
      <c r="C378" s="81" t="str">
        <f>LEFT([PAPEL],LEN([PAPEL])-(LEN([PAPEL])-4))</f>
        <v>SSBR</v>
      </c>
      <c r="D378" s="16">
        <v>4</v>
      </c>
      <c r="E378" s="5">
        <v>997865823</v>
      </c>
      <c r="F378" s="56">
        <v>76423831</v>
      </c>
      <c r="G378" s="80">
        <v>0.25</v>
      </c>
      <c r="H378" s="16"/>
      <c r="J378" s="18"/>
      <c r="K378" s="86"/>
      <c r="L378" s="86"/>
      <c r="M378" s="54">
        <v>2600734000</v>
      </c>
      <c r="N378" s="54">
        <v>282818000</v>
      </c>
      <c r="O378" s="54">
        <v>49971000</v>
      </c>
      <c r="P378" s="5">
        <v>2230611000</v>
      </c>
      <c r="Q378" s="5">
        <v>225951000</v>
      </c>
      <c r="R378" s="5">
        <f>IF(Tabela3[[#This Row],[Ativo || Passivo]]&gt;0,Tabela3[[#This Row],[Ativo || Passivo]]-Tabela3[[#This Row],[Patrimônio Líquido]],0)</f>
        <v>370123000</v>
      </c>
      <c r="S378" s="5">
        <f>Tabela3[[#This Row],[Cotação]]*Tabela3[[#This Row],[Total Ações]]</f>
        <v>1370279289.8299999</v>
      </c>
      <c r="T378" s="119">
        <f>IF(Tabela3[[#This Row],[Passivo Circulante]]&gt;0,Tabela3[[#This Row],[Ativo Circulante]]/Tabela3[[#This Row],[Passivo Circulante]],0)</f>
        <v>5.6596425927037686</v>
      </c>
      <c r="U37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8" s="18">
        <f>IF(Tabela3[[#This Row],[Lucro Líquido]]&gt;0,Tabela3[[#This Row],[Lucro Líquido]]/Tabela3[[#This Row],[Patrimônio Líquido]],0)/Tabela3[[#This Row],[Ref]]*4</f>
        <v>0.10129556430950981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8" s="18">
        <f>IF(Tabela3[[#This Row],[Dívida]]&gt;0,Tabela3[[#This Row],[Dívida]]/Tabela3[[#This Row],[Patrimônio Líquido]],0)</f>
        <v>0.1659289764104992</v>
      </c>
      <c r="Y378" s="18">
        <f>SUMPRODUCT(N([Dívida / PL]&gt;0),N(RIGHT([PAPEL],LEN([PAPEL])-(LEN([PAPEL])-1))="3"),[Dívida / PL])/SUMPRODUCT(N([Dívida / PL]&gt;0),N(RIGHT([PAPEL],LEN([PAPEL])-(LEN([PAPEL])-1))="3"))</f>
        <v>2.2435702141443779</v>
      </c>
      <c r="Z378" s="5">
        <f>Tabela3[[#This Row],[Capital Social]]*20%</f>
        <v>199573164.60000002</v>
      </c>
      <c r="AA378" s="5">
        <f>IF(([Lucro Líquido]*5%)&gt;[Teto R. Legal],[Teto R. Legal],[Lucro Líquido]*5%)</f>
        <v>11297550</v>
      </c>
      <c r="AB378" s="5">
        <f>IF([Lucro Líquido]&lt;0,0,[Lucro Líquido]-[Reserva Legal])</f>
        <v>214653450</v>
      </c>
      <c r="AC378" s="5">
        <f>Tabela3[[#This Row],[Lucro Distribuir]]*[%Div]</f>
        <v>53663362.5</v>
      </c>
      <c r="AD378" s="21">
        <f>SUMPRODUCT(N([Nome]=Tabela3[[#This Row],[Nome]]),[Ações])</f>
        <v>76423831</v>
      </c>
      <c r="AE378" s="5">
        <f>[Capital Social]/[Total Ações]</f>
        <v>13.056998189478358</v>
      </c>
      <c r="AF378" s="76">
        <f>Tabela3[[#This Row],[Lucro Líquido]]/Tabela3[[#This Row],[Total Ações]]</f>
        <v>2.9565516023398515</v>
      </c>
      <c r="AG37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37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378" s="5">
        <f>[Div Base]*[Ações]</f>
        <v>53663362.5</v>
      </c>
      <c r="AL378" s="5">
        <f>SUMPRODUCT(N([Nome]=Tabela3[[#This Row],[Nome]]),[Div Base]*[Ações])</f>
        <v>53663362.5</v>
      </c>
      <c r="AM378" s="5">
        <f>[Patrimônio Líquido]/[Total Ações]</f>
        <v>29.187374812445611</v>
      </c>
      <c r="AN378" s="52">
        <f>MAX(Tabela3[[#This Row],[Cotação 1]:[Cotação 5]])</f>
        <v>17.93</v>
      </c>
      <c r="AO378" s="53">
        <f>[Cotação]/[VPA]</f>
        <v>0.61430670333375026</v>
      </c>
      <c r="AP378" s="37">
        <f>IF(Tabela3[[#This Row],[Lucro/Ação]]&gt;0,Tabela3[[#This Row],[Cotação]]/(Tabela3[[#This Row],[Lucro/Ação]]/[Ref]*4),0)</f>
        <v>6.0644975673044152</v>
      </c>
      <c r="AQ378" s="76">
        <f>[Lucro Distribuir]/[Total Ações]</f>
        <v>2.8087240222228589</v>
      </c>
      <c r="AR378" s="76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378" s="16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3.9162353907178739E-2</v>
      </c>
      <c r="AU378" s="18">
        <f>((1+Tabela3[[#This Row],[% Yield]])^(1/(3*Tabela3[[#This Row],[Ref]])))^(12)-1</f>
        <v>3.9162353907179481E-2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47">
        <f>SUMPRODUCT(N(Tabela1[Código]=Tabela3[[#This Row],[PAPEL]]),Tabela1[Fechamento])</f>
        <v>0</v>
      </c>
      <c r="AY378" s="54">
        <f>SUMPRODUCT(N(Tabela17[Código]=Tabela3[[#This Row],[PAPEL]]),Tabela17[Fechamento])</f>
        <v>17.93</v>
      </c>
      <c r="AZ378" s="7">
        <f>SUMPRODUCT(N(Tabela176[Código]=Tabela3[[#This Row],[PAPEL]]),Tabela176[Fechamento])</f>
        <v>0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customHeight="1">
      <c r="A379" s="4" t="s">
        <v>12</v>
      </c>
      <c r="B379" s="57" t="s">
        <v>92</v>
      </c>
      <c r="C379" s="14" t="str">
        <f>LEFT([PAPEL],LEN([PAPEL])-(LEN([PAPEL])-4))</f>
        <v>CEPE</v>
      </c>
      <c r="D379" s="15">
        <v>3</v>
      </c>
      <c r="E379" s="6">
        <v>590173759.38999999</v>
      </c>
      <c r="F379" s="8">
        <v>742441</v>
      </c>
      <c r="G379" s="80">
        <v>0.25</v>
      </c>
      <c r="H379" s="15"/>
      <c r="I379" s="19"/>
      <c r="J379" s="19">
        <v>0.1</v>
      </c>
      <c r="K379" s="87"/>
      <c r="L379" s="87"/>
      <c r="M379" s="55"/>
      <c r="N379" s="55"/>
      <c r="O379" s="55"/>
      <c r="P379" s="88">
        <v>3707916000</v>
      </c>
      <c r="Q379" s="88">
        <v>63180000</v>
      </c>
      <c r="R379" s="88">
        <f>IF(Tabela3[[#This Row],[Ativo || Passivo]]&gt;0,Tabela3[[#This Row],[Ativo || Passivo]]-Tabela3[[#This Row],[Patrimônio Líquido]],0)</f>
        <v>0</v>
      </c>
      <c r="S379" s="88">
        <f>Tabela3[[#This Row],[Cotação]]*Tabela3[[#This Row],[Total Ações]]</f>
        <v>1343769107.8800001</v>
      </c>
      <c r="T379" s="121">
        <f>IF(Tabela3[[#This Row],[Passivo Circulante]]&gt;0,Tabela3[[#This Row],[Ativo Circulante]]/Tabela3[[#This Row],[Passivo Circulante]],0)</f>
        <v>0</v>
      </c>
      <c r="U37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79" s="19">
        <f>IF(Tabela3[[#This Row],[Lucro Líquido]]&gt;0,Tabela3[[#This Row],[Lucro Líquido]]/Tabela3[[#This Row],[Patrimônio Líquido]],0)/Tabela3[[#This Row],[Ref]]*4</f>
        <v>2.2718961270967303E-2</v>
      </c>
      <c r="W37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79" s="19">
        <f>IF(Tabela3[[#This Row],[Dívida]]&gt;0,Tabela3[[#This Row],[Dívida]]/Tabela3[[#This Row],[Patrimônio Líquido]],0)</f>
        <v>0</v>
      </c>
      <c r="Y379" s="19">
        <f>SUMPRODUCT(N([Dívida / PL]&gt;0),N(RIGHT([PAPEL],LEN([PAPEL])-(LEN([PAPEL])-1))="3"),[Dívida / PL])/SUMPRODUCT(N([Dívida / PL]&gt;0),N(RIGHT([PAPEL],LEN([PAPEL])-(LEN([PAPEL])-1))="3"))</f>
        <v>2.2435702141443779</v>
      </c>
      <c r="Z379" s="6">
        <f>Tabela3[[#This Row],[Capital Social]]*20%</f>
        <v>118034751.87800001</v>
      </c>
      <c r="AA379" s="6">
        <f>IF(([Lucro Líquido]*5%)&gt;[Teto R. Legal],[Teto R. Legal],[Lucro Líquido]*5%)</f>
        <v>3159000</v>
      </c>
      <c r="AB379" s="88">
        <f>IF([Lucro Líquido]&lt;0,0,[Lucro Líquido]-[Reserva Legal])</f>
        <v>60021000</v>
      </c>
      <c r="AC379" s="88">
        <f>Tabela3[[#This Row],[Lucro Distribuir]]*[%Div]</f>
        <v>15005250</v>
      </c>
      <c r="AD379" s="56">
        <f>SUMPRODUCT(N([Nome]=Tabela3[[#This Row],[Nome]]),[Ações])</f>
        <v>74612388</v>
      </c>
      <c r="AE379" s="6">
        <f>[Capital Social]/[Total Ações]</f>
        <v>7.9098628955556283</v>
      </c>
      <c r="AF379" s="77">
        <f>Tabela3[[#This Row],[Lucro Líquido]]/Tabela3[[#This Row],[Total Ações]]</f>
        <v>0.84677627527482435</v>
      </c>
      <c r="AG37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37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379" s="6">
        <f>[Div Base]*[Ações]</f>
        <v>159132.79742211231</v>
      </c>
      <c r="AL379" s="6">
        <f>SUMPRODUCT(N([Nome]=Tabela3[[#This Row],[Nome]]),[Div Base]*[Ações])</f>
        <v>13668149.085004007</v>
      </c>
      <c r="AM379" s="6">
        <f>[Patrimônio Líquido]/[Total Ações]</f>
        <v>49.69571540854583</v>
      </c>
      <c r="AN379" s="48">
        <f>MAX(Tabela3[[#This Row],[Cotação 1]:[Cotação 5]])</f>
        <v>18.010000000000002</v>
      </c>
      <c r="AO379" s="44">
        <f>[Cotação]/[VPA]</f>
        <v>0.36240548811785384</v>
      </c>
      <c r="AP379" s="40">
        <f>IF(Tabela3[[#This Row],[Lucro/Ação]]&gt;0,Tabela3[[#This Row],[Cotação]]/(Tabela3[[#This Row],[Lucro/Ação]]/[Ref]*4),0)</f>
        <v>15.95167506980057</v>
      </c>
      <c r="AQ379" s="77">
        <f>[Lucro Distribuir]/[Total Ações]</f>
        <v>0.80443746151108309</v>
      </c>
      <c r="AR379" s="77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379" s="15" t="str">
        <f>IF(AND([% A.A.]&gt;=5%,SUMPRODUCT(N([Nome]=Tabela3[[#This Row],[Nome]]),[PL])&gt;0,[Rentabilidade s/ PL]&gt;=[Rentabilidade s/ PL Média]),"Sim","Não")</f>
        <v>Não</v>
      </c>
      <c r="AT379" s="42">
        <f>IF([Cotação]&gt;0,Tabela3[[#This Row],[Lucro]]/Tabela3[[#This Row],[Cotação]],0)</f>
        <v>1.1901015958037466E-2</v>
      </c>
      <c r="AU379" s="19">
        <f>((1+Tabela3[[#This Row],[% Yield]])^(1/(3*Tabela3[[#This Row],[Ref]])))^(12)-1</f>
        <v>1.5899412710907557E-2</v>
      </c>
      <c r="AV379" s="14">
        <f>IF([Cotação]&gt;0,($BH$1/Tabela3[[#This Row],[Cotação]]-MOD($BH$1/Tabela3[[#This Row],[Cotação]],100)),)</f>
        <v>0</v>
      </c>
      <c r="AW379" s="17">
        <f>Tabela3[[#This Row],[Ativos]]*[Lucro]</f>
        <v>0</v>
      </c>
      <c r="AX379" s="5">
        <f>SUMPRODUCT(N(Tabela1[Código]=Tabela3[[#This Row],[PAPEL]]),Tabela1[Fechamento])</f>
        <v>18.010000000000002</v>
      </c>
      <c r="AY379" s="5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0</v>
      </c>
    </row>
    <row r="380" spans="1:54" ht="11.25" customHeight="1">
      <c r="A380" s="4" t="s">
        <v>250</v>
      </c>
      <c r="B380" s="60" t="s">
        <v>246</v>
      </c>
      <c r="C380" s="16" t="str">
        <f>LEFT([PAPEL],LEN([PAPEL])-(LEN([PAPEL])-4))</f>
        <v>JOPA</v>
      </c>
      <c r="D380" s="16">
        <v>3</v>
      </c>
      <c r="E380" s="5">
        <v>120000000</v>
      </c>
      <c r="F380" s="56">
        <v>131368</v>
      </c>
      <c r="G380" s="80">
        <v>0.3</v>
      </c>
      <c r="H380" s="86"/>
      <c r="J380" s="18"/>
      <c r="K380" s="16"/>
      <c r="L380" s="86"/>
      <c r="M380" s="54"/>
      <c r="N380" s="54"/>
      <c r="O380" s="54"/>
      <c r="P380" s="90">
        <v>359366000</v>
      </c>
      <c r="Q380" s="73">
        <v>13211000</v>
      </c>
      <c r="R380" s="73">
        <f>IF(Tabela3[[#This Row],[Ativo || Passivo]]&gt;0,Tabela3[[#This Row],[Ativo || Passivo]]-Tabela3[[#This Row],[Patrimônio Líquido]],0)</f>
        <v>0</v>
      </c>
      <c r="S380" s="73">
        <f>Tabela3[[#This Row],[Cotação]]*Tabela3[[#This Row],[Total Ações]]</f>
        <v>191011616.05000001</v>
      </c>
      <c r="T380" s="37">
        <f>IF(Tabela3[[#This Row],[Passivo Circulante]]&gt;0,Tabela3[[#This Row],[Ativo Circulante]]/Tabela3[[#This Row],[Passivo Circulante]],0)</f>
        <v>0</v>
      </c>
      <c r="U38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0" s="18">
        <f>IF(Tabela3[[#This Row],[Lucro Líquido]]&gt;0,Tabela3[[#This Row],[Lucro Líquido]]/Tabela3[[#This Row],[Patrimônio Líquido]],0)/Tabela3[[#This Row],[Ref]]*4</f>
        <v>4.9015952167613702E-2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0" s="18">
        <f>IF(Tabela3[[#This Row],[Dívida]]&gt;0,Tabela3[[#This Row],[Dívida]]/Tabela3[[#This Row],[Patrimônio Líquido]],0)</f>
        <v>0</v>
      </c>
      <c r="Y380" s="18">
        <f>SUMPRODUCT(N([Dívida / PL]&gt;0),N(RIGHT([PAPEL],LEN([PAPEL])-(LEN([PAPEL])-1))="3"),[Dívida / PL])/SUMPRODUCT(N([Dívida / PL]&gt;0),N(RIGHT([PAPEL],LEN([PAPEL])-(LEN([PAPEL])-1))="3"))</f>
        <v>2.2435702141443779</v>
      </c>
      <c r="Z380" s="7">
        <f>Tabela3[[#This Row],[Capital Social]]*20%</f>
        <v>24000000</v>
      </c>
      <c r="AA380" s="47">
        <f>IF(([Lucro Líquido]*5%)&gt;[Teto R. Legal],[Teto R. Legal],[Lucro Líquido]*5%)</f>
        <v>660550</v>
      </c>
      <c r="AB380" s="47">
        <f>IF([Lucro Líquido]&lt;0,0,[Lucro Líquido]-[Reserva Legal])</f>
        <v>12550450</v>
      </c>
      <c r="AC380" s="47">
        <f>Tabela3[[#This Row],[Lucro Distribuir]]*[%Div]</f>
        <v>3765135</v>
      </c>
      <c r="AD380" s="56">
        <f>SUMPRODUCT(N([Nome]=Tabela3[[#This Row],[Nome]]),[Ações])</f>
        <v>10582361</v>
      </c>
      <c r="AE380" s="84">
        <f>[Capital Social]/[Total Ações]</f>
        <v>11.339624494004694</v>
      </c>
      <c r="AF380" s="84">
        <f>Tabela3[[#This Row],[Lucro Líquido]]/Tabela3[[#This Row],[Total Ações]]</f>
        <v>1.2483981599191334</v>
      </c>
      <c r="AG38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38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380" s="7">
        <f>[Div Base]*[Ações]</f>
        <v>46739.877299593165</v>
      </c>
      <c r="AL380" s="7">
        <f>SUMPRODUCT(N([Nome]=Tabela3[[#This Row],[Nome]]),[Div Base]*[Ações])</f>
        <v>3765135</v>
      </c>
      <c r="AM380" s="5">
        <f>[Patrimônio Líquido]/[Total Ações]</f>
        <v>33.958962465937425</v>
      </c>
      <c r="AN380" s="52">
        <f>MAX(Tabela3[[#This Row],[Cotação 1]:[Cotação 5]])</f>
        <v>18.05</v>
      </c>
      <c r="AO380" s="53">
        <f>[Cotação]/[VPA]</f>
        <v>0.53152389499841379</v>
      </c>
      <c r="AP380" s="37">
        <f>IF(Tabela3[[#This Row],[Lucro/Ação]]&gt;0,Tabela3[[#This Row],[Cotação]]/(Tabela3[[#This Row],[Lucro/Ação]]/[Ref]*4),0)</f>
        <v>10.843896149988646</v>
      </c>
      <c r="AQ380" s="84">
        <f>[Lucro Distribuir]/[Total Ações]</f>
        <v>1.1859782519231767</v>
      </c>
      <c r="AR380" s="84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1.9711549893459999E-2</v>
      </c>
      <c r="AU380" s="22">
        <f>((1+Tabela3[[#This Row],[% Yield]])^(1/(3*Tabela3[[#This Row],[Ref]])))^(12)-1</f>
        <v>2.6368034762538795E-2</v>
      </c>
      <c r="AV380" s="10">
        <f>IF([Cotação]&gt;0,($BH$1/Tabela3[[#This Row],[Cotação]]-MOD($BH$1/Tabela3[[#This Row],[Cotação]],100)),)</f>
        <v>0</v>
      </c>
      <c r="AW380" s="7">
        <f>Tabela3[[#This Row],[Ativos]]*[Lucro]</f>
        <v>0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18.05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18.05</v>
      </c>
      <c r="BB380" s="7">
        <f>SUMPRODUCT(N(Tabela17683[Código]=Tabela3[[#This Row],[PAPEL]]),Tabela17683[Fechamento])</f>
        <v>0</v>
      </c>
    </row>
    <row r="381" spans="1:54" ht="11.25" customHeight="1">
      <c r="A381" s="3" t="s">
        <v>1140</v>
      </c>
      <c r="B381" s="57" t="s">
        <v>1132</v>
      </c>
      <c r="C381" s="16" t="str">
        <f>LEFT([PAPEL],LEN([PAPEL])-(LEN([PAPEL])-4))</f>
        <v>ARTR</v>
      </c>
      <c r="D381" s="16">
        <v>4</v>
      </c>
      <c r="E381" s="5">
        <v>772416395.83000004</v>
      </c>
      <c r="F381" s="56">
        <v>344444440</v>
      </c>
      <c r="G381" s="80">
        <v>0.25</v>
      </c>
      <c r="H381" s="86"/>
      <c r="J381" s="18"/>
      <c r="K381" s="16"/>
      <c r="L381" s="86"/>
      <c r="M381" s="54">
        <v>3064518000</v>
      </c>
      <c r="N381" s="54">
        <v>263186000</v>
      </c>
      <c r="O381" s="54">
        <v>102648000</v>
      </c>
      <c r="P381" s="90">
        <v>1928203000</v>
      </c>
      <c r="Q381" s="73">
        <v>426970000</v>
      </c>
      <c r="R381" s="73">
        <f>IF(Tabela3[[#This Row],[Ativo || Passivo]]&gt;0,Tabela3[[#This Row],[Ativo || Passivo]]-Tabela3[[#This Row],[Patrimônio Líquido]],0)</f>
        <v>1136315000</v>
      </c>
      <c r="S381" s="73">
        <f>Tabela3[[#This Row],[Cotação]]*Tabela3[[#This Row],[Total Ações]]</f>
        <v>6227555475.1999998</v>
      </c>
      <c r="T381" s="37">
        <f>IF(Tabela3[[#This Row],[Passivo Circulante]]&gt;0,Tabela3[[#This Row],[Ativo Circulante]]/Tabela3[[#This Row],[Passivo Circulante]],0)</f>
        <v>2.5639661756683032</v>
      </c>
      <c r="U38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1" s="18">
        <f>IF(Tabela3[[#This Row],[Lucro Líquido]]&gt;0,Tabela3[[#This Row],[Lucro Líquido]]/Tabela3[[#This Row],[Patrimônio Líquido]],0)/Tabela3[[#This Row],[Ref]]*4</f>
        <v>0.22143415397652633</v>
      </c>
      <c r="W38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1" s="18">
        <f>IF(Tabela3[[#This Row],[Dívida]]&gt;0,Tabela3[[#This Row],[Dívida]]/Tabela3[[#This Row],[Patrimônio Líquido]],0)</f>
        <v>0.58931295097041136</v>
      </c>
      <c r="Y381" s="18">
        <f>SUMPRODUCT(N([Dívida / PL]&gt;0),N(RIGHT([PAPEL],LEN([PAPEL])-(LEN([PAPEL])-1))="3"),[Dívida / PL])/SUMPRODUCT(N([Dívida / PL]&gt;0),N(RIGHT([PAPEL],LEN([PAPEL])-(LEN([PAPEL])-1))="3"))</f>
        <v>2.2435702141443779</v>
      </c>
      <c r="Z381" s="7">
        <f>Tabela3[[#This Row],[Capital Social]]*20%</f>
        <v>154483279.16600001</v>
      </c>
      <c r="AA381" s="47">
        <f>IF(([Lucro Líquido]*5%)&gt;[Teto R. Legal],[Teto R. Legal],[Lucro Líquido]*5%)</f>
        <v>21348500</v>
      </c>
      <c r="AB381" s="47">
        <f>IF([Lucro Líquido]&lt;0,0,[Lucro Líquido]-[Reserva Legal])</f>
        <v>405621500</v>
      </c>
      <c r="AC381" s="47">
        <f>Tabela3[[#This Row],[Lucro Distribuir]]*[%Div]</f>
        <v>101405375</v>
      </c>
      <c r="AD381" s="56">
        <f>SUMPRODUCT(N([Nome]=Tabela3[[#This Row],[Nome]]),[Ações])</f>
        <v>344444440</v>
      </c>
      <c r="AE381" s="84">
        <f>[Capital Social]/[Total Ações]</f>
        <v>2.2424992426354744</v>
      </c>
      <c r="AF381" s="84">
        <f>Tabela3[[#This Row],[Lucro Líquido]]/Tabela3[[#This Row],[Total Ações]]</f>
        <v>1.2395903385753593</v>
      </c>
      <c r="AG38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38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381" s="7">
        <f>[Div Base]*[Ações]</f>
        <v>101405375</v>
      </c>
      <c r="AL381" s="113">
        <f>SUMPRODUCT(N([Nome]=Tabela3[[#This Row],[Nome]]),[Div Base]*[Ações])</f>
        <v>101405375</v>
      </c>
      <c r="AM381" s="5">
        <f>[Patrimônio Líquido]/[Total Ações]</f>
        <v>5.5980087819097903</v>
      </c>
      <c r="AN381" s="52">
        <f>MAX(Tabela3[[#This Row],[Cotação 1]:[Cotação 5]])</f>
        <v>18.079999999999998</v>
      </c>
      <c r="AO381" s="53">
        <f>[Cotação]/[VPA]</f>
        <v>3.22971983510035</v>
      </c>
      <c r="AP381" s="37">
        <f>IF(Tabela3[[#This Row],[Lucro/Ação]]&gt;0,Tabela3[[#This Row],[Cotação]]/(Tabela3[[#This Row],[Lucro/Ação]]/[Ref]*4),0)</f>
        <v>14.58546379183549</v>
      </c>
      <c r="AQ381" s="84">
        <f>[Lucro Distribuir]/[Total Ações]</f>
        <v>1.1776108216465913</v>
      </c>
      <c r="AR381" s="84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381" s="10" t="str">
        <f>IF(AND([% A.A.]&gt;=5%,SUMPRODUCT(N([Nome]=Tabela3[[#This Row],[Nome]]),[PL])&gt;0,[Rentabilidade s/ PL]&gt;=[Rentabilidade s/ PL Média]),"Sim","Não")</f>
        <v>Não</v>
      </c>
      <c r="AT381" s="22">
        <f>IF([Cotação]&gt;0,Tabela3[[#This Row],[Lucro]]/Tabela3[[#This Row],[Cotação]],0)</f>
        <v>1.6283335476307954E-2</v>
      </c>
      <c r="AU381" s="22">
        <f>((1+Tabela3[[#This Row],[% Yield]])^(1/(3*Tabela3[[#This Row],[Ref]])))^(12)-1</f>
        <v>1.6283335476307004E-2</v>
      </c>
      <c r="AV381" s="10">
        <f>IF([Cotação]&gt;0,($BH$1/Tabela3[[#This Row],[Cotação]]-MOD($BH$1/Tabela3[[#This Row],[Cotação]],100)),)</f>
        <v>0</v>
      </c>
      <c r="AW381" s="7">
        <f>Tabela3[[#This Row],[Ativos]]*[Lucro]</f>
        <v>0</v>
      </c>
      <c r="AX381" s="7">
        <f>SUMPRODUCT(N(Tabela1[Código]=Tabela3[[#This Row],[PAPEL]]),Tabela1[Fechamento])</f>
        <v>0</v>
      </c>
      <c r="AY381" s="7">
        <f>SUMPRODUCT(N(Tabela17[Código]=Tabela3[[#This Row],[PAPEL]]),Tabela17[Fechamento])</f>
        <v>0</v>
      </c>
      <c r="AZ381" s="7">
        <f>SUMPRODUCT(N(Tabela176[Código]=Tabela3[[#This Row],[PAPEL]]),Tabela176[Fechamento])</f>
        <v>0</v>
      </c>
      <c r="BA381" s="7">
        <f>SUMPRODUCT(N(Tabela1768[Código]=Tabela3[[#This Row],[PAPEL]]),Tabela1768[Fechamento])</f>
        <v>0</v>
      </c>
      <c r="BB381" s="7">
        <f>SUMPRODUCT(N(Tabela17683[Código]=Tabela3[[#This Row],[PAPEL]]),Tabela17683[Fechamento])</f>
        <v>18.079999999999998</v>
      </c>
    </row>
    <row r="382" spans="1:54" ht="11.25" customHeight="1">
      <c r="A382" s="3" t="s">
        <v>335</v>
      </c>
      <c r="B382" s="58" t="s">
        <v>338</v>
      </c>
      <c r="C382" s="82" t="str">
        <f>LEFT([PAPEL],LEN([PAPEL])-(LEN([PAPEL])-4))</f>
        <v>BRML</v>
      </c>
      <c r="D382" s="16">
        <v>3</v>
      </c>
      <c r="E382" s="5">
        <v>4311136813.4700003</v>
      </c>
      <c r="F382" s="56">
        <v>458882265</v>
      </c>
      <c r="G382" s="80">
        <v>0.25</v>
      </c>
      <c r="H382" s="16"/>
      <c r="J382" s="18"/>
      <c r="K382" s="86"/>
      <c r="L382" s="86"/>
      <c r="M382" s="54"/>
      <c r="N382" s="54"/>
      <c r="O382" s="54"/>
      <c r="P382" s="5">
        <v>8579316000</v>
      </c>
      <c r="Q382" s="5">
        <v>334866000</v>
      </c>
      <c r="R382" s="5">
        <f>IF(Tabela3[[#This Row],[Ativo || Passivo]]&gt;0,Tabela3[[#This Row],[Ativo || Passivo]]-Tabela3[[#This Row],[Patrimônio Líquido]],0)</f>
        <v>0</v>
      </c>
      <c r="S382" s="5">
        <f>Tabela3[[#This Row],[Cotação]]*Tabela3[[#This Row],[Total Ações]]</f>
        <v>8351657223</v>
      </c>
      <c r="T382" s="119">
        <f>IF(Tabela3[[#This Row],[Passivo Circulante]]&gt;0,Tabela3[[#This Row],[Ativo Circulante]]/Tabela3[[#This Row],[Passivo Circulante]],0)</f>
        <v>0</v>
      </c>
      <c r="U38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2" s="18">
        <f>IF(Tabela3[[#This Row],[Lucro Líquido]]&gt;0,Tabela3[[#This Row],[Lucro Líquido]]/Tabela3[[#This Row],[Patrimônio Líquido]],0)/Tabela3[[#This Row],[Ref]]*4</f>
        <v>5.2042377271101802E-2</v>
      </c>
      <c r="W38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2" s="18">
        <f>IF(Tabela3[[#This Row],[Dívida]]&gt;0,Tabela3[[#This Row],[Dívida]]/Tabela3[[#This Row],[Patrimônio Líquido]],0)</f>
        <v>0</v>
      </c>
      <c r="Y382" s="18">
        <f>SUMPRODUCT(N([Dívida / PL]&gt;0),N(RIGHT([PAPEL],LEN([PAPEL])-(LEN([PAPEL])-1))="3"),[Dívida / PL])/SUMPRODUCT(N([Dívida / PL]&gt;0),N(RIGHT([PAPEL],LEN([PAPEL])-(LEN([PAPEL])-1))="3"))</f>
        <v>2.2435702141443779</v>
      </c>
      <c r="Z382" s="5">
        <f>Tabela3[[#This Row],[Capital Social]]*20%</f>
        <v>862227362.69400012</v>
      </c>
      <c r="AA382" s="5">
        <f>IF(([Lucro Líquido]*5%)&gt;[Teto R. Legal],[Teto R. Legal],[Lucro Líquido]*5%)</f>
        <v>16743300</v>
      </c>
      <c r="AB382" s="5">
        <f>IF([Lucro Líquido]&lt;0,0,[Lucro Líquido]-[Reserva Legal])</f>
        <v>318122700</v>
      </c>
      <c r="AC382" s="5">
        <f>Tabela3[[#This Row],[Lucro Distribuir]]*[%Div]</f>
        <v>79530675</v>
      </c>
      <c r="AD382" s="21">
        <f>SUMPRODUCT(N([Nome]=Tabela3[[#This Row],[Nome]]),[Ações])</f>
        <v>458882265</v>
      </c>
      <c r="AE382" s="5">
        <f>[Capital Social]/[Total Ações]</f>
        <v>9.3948647448164078</v>
      </c>
      <c r="AF382" s="76">
        <f>Tabela3[[#This Row],[Lucro Líquido]]/Tabela3[[#This Row],[Total Ações]]</f>
        <v>0.72974273695236402</v>
      </c>
      <c r="AG38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38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382" s="5">
        <f>[Div Base]*[Ações]</f>
        <v>79530675</v>
      </c>
      <c r="AL382" s="5">
        <f>SUMPRODUCT(N([Nome]=Tabela3[[#This Row],[Nome]]),[Div Base]*[Ações])</f>
        <v>79530675</v>
      </c>
      <c r="AM382" s="5">
        <f>[Patrimônio Líquido]/[Total Ações]</f>
        <v>18.696115876258588</v>
      </c>
      <c r="AN382" s="52">
        <f>MAX(Tabela3[[#This Row],[Cotação 1]:[Cotação 5]])</f>
        <v>18.2</v>
      </c>
      <c r="AO382" s="53">
        <f>[Cotação]/[VPA]</f>
        <v>0.97346422756779205</v>
      </c>
      <c r="AP382" s="37">
        <f>IF(Tabela3[[#This Row],[Lucro/Ação]]&gt;0,Tabela3[[#This Row],[Cotação]]/(Tabela3[[#This Row],[Lucro/Ação]]/[Ref]*4),0)</f>
        <v>18.705222140348678</v>
      </c>
      <c r="AQ382" s="76">
        <f>[Lucro Distribuir]/[Total Ações]</f>
        <v>0.69325560010474585</v>
      </c>
      <c r="AR382" s="76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382" s="16" t="str">
        <f>IF(AND([% A.A.]&gt;=5%,SUMPRODUCT(N([Nome]=Tabela3[[#This Row],[Nome]]),[PL])&gt;0,[Rentabilidade s/ PL]&gt;=[Rentabilidade s/ PL Média]),"Sim","Não")</f>
        <v>Não</v>
      </c>
      <c r="AT382" s="22">
        <f>IF([Cotação]&gt;0,Tabela3[[#This Row],[Lucro]]/Tabela3[[#This Row],[Cotação]],0)</f>
        <v>9.5227417596805749E-3</v>
      </c>
      <c r="AU382" s="18">
        <f>((1+Tabela3[[#This Row],[% Yield]])^(1/(3*Tabela3[[#This Row],[Ref]])))^(12)-1</f>
        <v>1.2717098228206547E-2</v>
      </c>
      <c r="AV382" s="10">
        <f>IF([Cotação]&gt;0,($BH$1/Tabela3[[#This Row],[Cotação]]-MOD($BH$1/Tabela3[[#This Row],[Cotação]],100)),)</f>
        <v>0</v>
      </c>
      <c r="AW382" s="7">
        <f>Tabela3[[#This Row],[Ativos]]*[Lucro]</f>
        <v>0</v>
      </c>
      <c r="AX382" s="47">
        <f>SUMPRODUCT(N(Tabela1[Código]=Tabela3[[#This Row],[PAPEL]]),Tabela1[Fechamento])</f>
        <v>0</v>
      </c>
      <c r="AY382" s="54">
        <f>SUMPRODUCT(N(Tabela17[Código]=Tabela3[[#This Row],[PAPEL]]),Tabela17[Fechamento])</f>
        <v>18.2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customHeight="1">
      <c r="A383" s="4" t="s">
        <v>12</v>
      </c>
      <c r="B383" s="57" t="s">
        <v>72</v>
      </c>
      <c r="C383" s="81" t="str">
        <f>LEFT([PAPEL],LEN([PAPEL])-(LEN([PAPEL])-4))</f>
        <v>CESP</v>
      </c>
      <c r="D383" s="15">
        <v>3</v>
      </c>
      <c r="E383" s="6">
        <v>5975433454.4300003</v>
      </c>
      <c r="F383" s="8">
        <v>109167558</v>
      </c>
      <c r="G383" s="85">
        <v>0.25</v>
      </c>
      <c r="H383" s="19"/>
      <c r="I383" s="19"/>
      <c r="J383" s="19"/>
      <c r="K383" s="87"/>
      <c r="L383" s="87"/>
      <c r="M383" s="13">
        <v>16942307000</v>
      </c>
      <c r="N383" s="13">
        <v>1594817000</v>
      </c>
      <c r="O383" s="13">
        <v>1283878000</v>
      </c>
      <c r="P383" s="88">
        <v>10479149000</v>
      </c>
      <c r="Q383" s="88">
        <v>795212000</v>
      </c>
      <c r="R383" s="88">
        <f>IF(Tabela3[[#This Row],[Ativo || Passivo]]&gt;0,Tabela3[[#This Row],[Ativo || Passivo]]-Tabela3[[#This Row],[Patrimônio Líquido]],0)</f>
        <v>6463158000</v>
      </c>
      <c r="S383" s="88">
        <f>Tabela3[[#This Row],[Cotação]]*Tabela3[[#This Row],[Total Ações]]</f>
        <v>6026049183.1999998</v>
      </c>
      <c r="T383" s="121">
        <f>IF(Tabela3[[#This Row],[Passivo Circulante]]&gt;0,Tabela3[[#This Row],[Ativo Circulante]]/Tabela3[[#This Row],[Passivo Circulante]],0)</f>
        <v>1.2421873417879268</v>
      </c>
      <c r="U38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3" s="19">
        <f>IF(Tabela3[[#This Row],[Lucro Líquido]]&gt;0,Tabela3[[#This Row],[Lucro Líquido]]/Tabela3[[#This Row],[Patrimônio Líquido]],0)/Tabela3[[#This Row],[Ref]]*4</f>
        <v>0.10118022624419852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3" s="19">
        <f>IF(Tabela3[[#This Row],[Dívida]]&gt;0,Tabela3[[#This Row],[Dívida]]/Tabela3[[#This Row],[Patrimônio Líquido]],0)</f>
        <v>0.61676363223769415</v>
      </c>
      <c r="Y383" s="19">
        <f>SUMPRODUCT(N([Dívida / PL]&gt;0),N(RIGHT([PAPEL],LEN([PAPEL])-(LEN([PAPEL])-1))="3"),[Dívida / PL])/SUMPRODUCT(N([Dívida / PL]&gt;0),N(RIGHT([PAPEL],LEN([PAPEL])-(LEN([PAPEL])-1))="3"))</f>
        <v>2.2435702141443779</v>
      </c>
      <c r="Z383" s="6">
        <f>Tabela3[[#This Row],[Capital Social]]*20%</f>
        <v>1195086690.8860002</v>
      </c>
      <c r="AA383" s="6">
        <f>IF(([Lucro Líquido]*5%)&gt;[Teto R. Legal],[Teto R. Legal],[Lucro Líquido]*5%)</f>
        <v>39760600</v>
      </c>
      <c r="AB383" s="88">
        <f>IF([Lucro Líquido]&lt;0,0,[Lucro Líquido]-[Reserva Legal])</f>
        <v>755451400</v>
      </c>
      <c r="AC383" s="88">
        <f>Tabela3[[#This Row],[Lucro Distribuir]]*[%Div]</f>
        <v>188862850</v>
      </c>
      <c r="AD383" s="56">
        <f>SUMPRODUCT(N([Nome]=Tabela3[[#This Row],[Nome]]),[Ações])</f>
        <v>327502673</v>
      </c>
      <c r="AE383" s="6">
        <f>[Capital Social]/[Total Ações]</f>
        <v>18.245449417843378</v>
      </c>
      <c r="AF383" s="77">
        <f>Tabela3[[#This Row],[Lucro Líquido]]/Tabela3[[#This Row],[Total Ações]]</f>
        <v>2.4281084264616064</v>
      </c>
      <c r="AG3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3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3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383" s="6">
        <f>[Div Base]*[Ações]</f>
        <v>59673113.618054219</v>
      </c>
      <c r="AL383" s="6">
        <f>SUMPRODUCT(N([Nome]=Tabela3[[#This Row],[Nome]]),[Div Base]*[Ações])</f>
        <v>188862850</v>
      </c>
      <c r="AM383" s="6">
        <f>[Patrimônio Líquido]/[Total Ações]</f>
        <v>31.99714037143141</v>
      </c>
      <c r="AN383" s="48">
        <f>MAX(Tabela3[[#This Row],[Cotação 1]:[Cotação 5]])</f>
        <v>18.399999999999999</v>
      </c>
      <c r="AO383" s="44">
        <f>[Cotação]/[VPA]</f>
        <v>0.57505138854309634</v>
      </c>
      <c r="AP383" s="40">
        <f>IF(Tabela3[[#This Row],[Lucro/Ação]]&gt;0,Tabela3[[#This Row],[Cotação]]/(Tabela3[[#This Row],[Lucro/Ação]]/[Ref]*4),0)</f>
        <v>5.6834364765622238</v>
      </c>
      <c r="AQ383" s="77">
        <f>[Lucro Distribuir]/[Total Ações]</f>
        <v>2.3067030051385262</v>
      </c>
      <c r="AR383" s="77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383" s="14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2.9707580350759589E-2</v>
      </c>
      <c r="AU383" s="19">
        <f>((1+Tabela3[[#This Row],[% Yield]])^(1/(3*Tabela3[[#This Row],[Ref]])))^(12)-1</f>
        <v>3.9804948261776163E-2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18.399999999999999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customHeight="1">
      <c r="A384" s="4" t="s">
        <v>325</v>
      </c>
      <c r="B384" s="57" t="s">
        <v>404</v>
      </c>
      <c r="C384" s="81" t="str">
        <f>LEFT([PAPEL],LEN([PAPEL])-(LEN([PAPEL])-4))</f>
        <v>PATI</v>
      </c>
      <c r="D384" s="16">
        <v>3</v>
      </c>
      <c r="E384" s="5">
        <v>140000000</v>
      </c>
      <c r="F384" s="8">
        <v>11841369</v>
      </c>
      <c r="G384" s="85">
        <v>0.25</v>
      </c>
      <c r="J384" s="18"/>
      <c r="K384" s="86"/>
      <c r="L384" s="86"/>
      <c r="M384" s="13">
        <v>510692000</v>
      </c>
      <c r="N384" s="13">
        <v>218703000</v>
      </c>
      <c r="O384" s="13">
        <v>135960000</v>
      </c>
      <c r="P384" s="6">
        <v>241884000</v>
      </c>
      <c r="Q384" s="6">
        <v>56208000</v>
      </c>
      <c r="R384" s="6">
        <f>IF(Tabela3[[#This Row],[Ativo || Passivo]]&gt;0,Tabela3[[#This Row],[Ativo || Passivo]]-Tabela3[[#This Row],[Patrimônio Líquido]],0)</f>
        <v>268808000</v>
      </c>
      <c r="S384" s="13">
        <f>Tabela3[[#This Row],[Cotação]]*Tabela3[[#This Row],[Total Ações]]</f>
        <v>232738474.38</v>
      </c>
      <c r="T384" s="121">
        <f>IF(Tabela3[[#This Row],[Passivo Circulante]]&gt;0,Tabela3[[#This Row],[Ativo Circulante]]/Tabela3[[#This Row],[Passivo Circulante]],0)</f>
        <v>1.6085834068843778</v>
      </c>
      <c r="U38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4" s="19">
        <f>IF(Tabela3[[#This Row],[Lucro Líquido]]&gt;0,Tabela3[[#This Row],[Lucro Líquido]]/Tabela3[[#This Row],[Patrimônio Líquido]],0)/Tabela3[[#This Row],[Ref]]*4</f>
        <v>0.30983446610772108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4" s="19">
        <f>IF(Tabela3[[#This Row],[Dívida]]&gt;0,Tabela3[[#This Row],[Dívida]]/Tabela3[[#This Row],[Patrimônio Líquido]],0)</f>
        <v>1.1113095533396173</v>
      </c>
      <c r="Y384" s="19">
        <f>SUMPRODUCT(N([Dívida / PL]&gt;0),N(RIGHT([PAPEL],LEN([PAPEL])-(LEN([PAPEL])-1))="3"),[Dívida / PL])/SUMPRODUCT(N([Dívida / PL]&gt;0),N(RIGHT([PAPEL],LEN([PAPEL])-(LEN([PAPEL])-1))="3"))</f>
        <v>2.2435702141443779</v>
      </c>
      <c r="Z384" s="6">
        <f>Tabela3[[#This Row],[Capital Social]]*20%</f>
        <v>28000000</v>
      </c>
      <c r="AA384" s="6">
        <f>IF(([Lucro Líquido]*5%)&gt;[Teto R. Legal],[Teto R. Legal],[Lucro Líquido]*5%)</f>
        <v>2810400</v>
      </c>
      <c r="AB384" s="6">
        <f>IF([Lucro Líquido]&lt;0,0,[Lucro Líquido]-[Reserva Legal])</f>
        <v>53397600</v>
      </c>
      <c r="AC384" s="6">
        <f>Tabela3[[#This Row],[Lucro Distribuir]]*[%Div]</f>
        <v>13349400</v>
      </c>
      <c r="AD384" s="21">
        <f>SUMPRODUCT(N([Nome]=Tabela3[[#This Row],[Nome]]),[Ações])</f>
        <v>12587262</v>
      </c>
      <c r="AE384" s="5">
        <f>[Capital Social]/[Total Ações]</f>
        <v>11.12235528266592</v>
      </c>
      <c r="AF384" s="76">
        <f>Tabela3[[#This Row],[Lucro Líquido]]/Tabela3[[#This Row],[Total Ações]]</f>
        <v>4.4654667552006151</v>
      </c>
      <c r="AG38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8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8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8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84" s="5">
        <f>[Div Base]*[Ações]</f>
        <v>12489389.701912936</v>
      </c>
      <c r="AL384" s="5">
        <f>SUMPRODUCT(N([Nome]=Tabela3[[#This Row],[Nome]]),[Div Base]*[Ações])</f>
        <v>13349400.000000002</v>
      </c>
      <c r="AM384" s="5">
        <f>[Patrimônio Líquido]/[Total Ações]</f>
        <v>19.216569894231167</v>
      </c>
      <c r="AN384" s="79">
        <f>MAX(Tabela3[[#This Row],[Cotação 1]:[Cotação 5]])</f>
        <v>18.489999999999998</v>
      </c>
      <c r="AO384" s="80">
        <f>[Cotação]/[VPA]</f>
        <v>0.96219044823138355</v>
      </c>
      <c r="AP384" s="34">
        <f>IF(Tabela3[[#This Row],[Lucro/Ação]]&gt;0,Tabela3[[#This Row],[Cotação]]/(Tabela3[[#This Row],[Lucro/Ação]]/[Ref]*4),0)</f>
        <v>3.1054984305614854</v>
      </c>
      <c r="AQ384" s="76">
        <f>[Lucro Distribuir]/[Total Ações]</f>
        <v>4.2421934174405838</v>
      </c>
      <c r="AR384" s="76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84" s="10" t="str">
        <f>IF(AND([% A.A.]&gt;=5%,SUMPRODUCT(N([Nome]=Tabela3[[#This Row],[Nome]]),[PL])&gt;0,[Rentabilidade s/ PL]&gt;=[Rentabilidade s/ PL Média]),"Sim","Não")</f>
        <v>Sim</v>
      </c>
      <c r="AT384" s="22">
        <f>IF([Cotação]&gt;0,Tabela3[[#This Row],[Lucro]]/Tabela3[[#This Row],[Cotação]],0)</f>
        <v>5.7043004359468213E-2</v>
      </c>
      <c r="AU384" s="18">
        <f>((1+Tabela3[[#This Row],[% Yield]])^(1/(3*Tabela3[[#This Row],[Ref]])))^(12)-1</f>
        <v>7.6771474404933038E-2</v>
      </c>
      <c r="AV384" s="14">
        <f>IF([Cotação]&gt;0,($BH$1/Tabela3[[#This Row],[Cotação]]-MOD($BH$1/Tabela3[[#This Row],[Cotação]],100)),)</f>
        <v>0</v>
      </c>
      <c r="AW384" s="47">
        <f>Tabela3[[#This Row],[Ativos]]*[Lucro]</f>
        <v>0</v>
      </c>
      <c r="AX384" s="47">
        <f>SUMPRODUCT(N(Tabela1[Código]=Tabela3[[#This Row],[PAPEL]]),Tabela1[Fechamento])</f>
        <v>18.489999999999998</v>
      </c>
      <c r="AY384" s="47">
        <f>SUMPRODUCT(N(Tabela17[Código]=Tabela3[[#This Row],[PAPEL]]),Tabela17[Fechamento])</f>
        <v>0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customHeight="1">
      <c r="A385" s="3" t="s">
        <v>1131</v>
      </c>
      <c r="B385" s="57" t="s">
        <v>1115</v>
      </c>
      <c r="C385" s="16" t="str">
        <f>LEFT([PAPEL],LEN([PAPEL])-(LEN([PAPEL])-4))</f>
        <v>CTAX</v>
      </c>
      <c r="D385" s="16">
        <v>4</v>
      </c>
      <c r="E385" s="5"/>
      <c r="F385" s="56"/>
      <c r="G385" s="80">
        <v>0.25</v>
      </c>
      <c r="H385" s="18"/>
      <c r="J385" s="18"/>
      <c r="K385" s="16">
        <v>1</v>
      </c>
      <c r="L385" s="86">
        <v>4</v>
      </c>
      <c r="M385" s="54">
        <v>1248136000</v>
      </c>
      <c r="N385" s="54">
        <v>124319000</v>
      </c>
      <c r="O385" s="54">
        <v>129739000</v>
      </c>
      <c r="P385" s="90">
        <v>438248000</v>
      </c>
      <c r="Q385" s="73">
        <v>102257000</v>
      </c>
      <c r="R385" s="73">
        <f>IF(Tabela3[[#This Row],[Ativo || Passivo]]&gt;0,Tabela3[[#This Row],[Ativo || Passivo]]-Tabela3[[#This Row],[Patrimônio Líquido]],0)</f>
        <v>809888000</v>
      </c>
      <c r="S385" s="73">
        <f>Tabela3[[#This Row],[Cotação]]*Tabela3[[#This Row],[Total Ações]]</f>
        <v>6434740060.6999998</v>
      </c>
      <c r="T385" s="37">
        <f>IF(Tabela3[[#This Row],[Passivo Circulante]]&gt;0,Tabela3[[#This Row],[Ativo Circulante]]/Tabela3[[#This Row],[Passivo Circulante]],0)</f>
        <v>0.95822381858962991</v>
      </c>
      <c r="U38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5" s="18">
        <f>IF(Tabela3[[#This Row],[Lucro Líquido]]&gt;0,Tabela3[[#This Row],[Lucro Líquido]]/Tabela3[[#This Row],[Patrimônio Líquido]],0)/Tabela3[[#This Row],[Ref]]*4</f>
        <v>0.23333135576203429</v>
      </c>
      <c r="W3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5" s="18">
        <f>IF(Tabela3[[#This Row],[Dívida]]&gt;0,Tabela3[[#This Row],[Dívida]]/Tabela3[[#This Row],[Patrimônio Líquido]],0)</f>
        <v>1.8480129972070609</v>
      </c>
      <c r="Y385" s="18">
        <f>SUMPRODUCT(N([Dívida / PL]&gt;0),N(RIGHT([PAPEL],LEN([PAPEL])-(LEN([PAPEL])-1))="3"),[Dívida / PL])/SUMPRODUCT(N([Dívida / PL]&gt;0),N(RIGHT([PAPEL],LEN([PAPEL])-(LEN([PAPEL])-1))="3"))</f>
        <v>2.2435702141443779</v>
      </c>
      <c r="Z385" s="7">
        <f>Tabela3[[#This Row],[Capital Social]]*20%</f>
        <v>0</v>
      </c>
      <c r="AA385" s="47">
        <f>IF(([Lucro Líquido]*5%)&gt;[Teto R. Legal],[Teto R. Legal],[Lucro Líquido]*5%)</f>
        <v>0</v>
      </c>
      <c r="AB385" s="47">
        <f>IF([Lucro Líquido]&lt;0,0,[Lucro Líquido]-[Reserva Legal])</f>
        <v>102257000</v>
      </c>
      <c r="AC385" s="47">
        <f>Tabela3[[#This Row],[Lucro Distribuir]]*[%Div]</f>
        <v>25564250</v>
      </c>
      <c r="AD385" s="56">
        <f>SUMPRODUCT(N([Nome]=Tabela3[[#This Row],[Nome]]),[Ações])</f>
        <v>345767870</v>
      </c>
      <c r="AE385" s="84">
        <f>[Capital Social]/[Total Ações]</f>
        <v>0</v>
      </c>
      <c r="AF385" s="84">
        <f>Tabela3[[#This Row],[Lucro Líquido]]/Tabela3[[#This Row],[Total Ações]]</f>
        <v>0.29573887244063479</v>
      </c>
      <c r="AG38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3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38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5" s="7">
        <f>[Div Base]*[Ações]</f>
        <v>0</v>
      </c>
      <c r="AL385" s="113">
        <f>SUMPRODUCT(N([Nome]=Tabela3[[#This Row],[Nome]]),[Div Base]*[Ações])</f>
        <v>24286037.5</v>
      </c>
      <c r="AM385" s="5">
        <f>[Patrimônio Líquido]/[Total Ações]</f>
        <v>1.2674630525965296</v>
      </c>
      <c r="AN385" s="52">
        <f>MAX(Tabela3[[#This Row],[Cotação 1]:[Cotação 5]])</f>
        <v>18.61</v>
      </c>
      <c r="AO385" s="53">
        <f>[Cotação]/[VPA]</f>
        <v>14.68287376257279</v>
      </c>
      <c r="AP385" s="37">
        <f>IF(Tabela3[[#This Row],[Lucro/Ação]]&gt;0,Tabela3[[#This Row],[Cotação]]/(Tabela3[[#This Row],[Lucro/Ação]]/[Ref]*4),0)</f>
        <v>62.927135166296686</v>
      </c>
      <c r="AQ385" s="84">
        <f>[Lucro Distribuir]/[Total Ações]</f>
        <v>0.29573887244063479</v>
      </c>
      <c r="AR385" s="84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385" s="10" t="str">
        <f>IF(AND([% A.A.]&gt;=5%,SUMPRODUCT(N([Nome]=Tabela3[[#This Row],[Nome]]),[PL])&gt;0,[Rentabilidade s/ PL]&gt;=[Rentabilidade s/ PL Média]),"Sim","Não")</f>
        <v>Não</v>
      </c>
      <c r="AT385" s="22">
        <f>IF([Cotação]&gt;0,Tabela3[[#This Row],[Lucro]]/Tabela3[[#This Row],[Cotação]],0)</f>
        <v>1.8871032295714879E-2</v>
      </c>
      <c r="AU385" s="22">
        <f>((1+Tabela3[[#This Row],[% Yield]])^(1/(3*Tabela3[[#This Row],[Ref]])))^(12)-1</f>
        <v>1.8871032295715517E-2</v>
      </c>
      <c r="AV385" s="10">
        <f>IF([Cotação]&gt;0,($BH$1/Tabela3[[#This Row],[Cotação]]-MOD($BH$1/Tabela3[[#This Row],[Cotação]],100)),)</f>
        <v>0</v>
      </c>
      <c r="AW385" s="7">
        <f>Tabela3[[#This Row],[Ativos]]*[Lucro]</f>
        <v>0</v>
      </c>
      <c r="AX385" s="7">
        <f>SUMPRODUCT(N(Tabela1[Código]=Tabela3[[#This Row],[PAPEL]]),Tabela1[Fechamento])</f>
        <v>0</v>
      </c>
      <c r="AY385" s="7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18.61</v>
      </c>
    </row>
    <row r="386" spans="1:54" ht="11.25" customHeight="1">
      <c r="A386" s="4" t="s">
        <v>12</v>
      </c>
      <c r="B386" s="60" t="s">
        <v>56</v>
      </c>
      <c r="C386" s="14" t="str">
        <f>LEFT([PAPEL],LEN([PAPEL])-(LEN([PAPEL])-4))</f>
        <v>TAEE</v>
      </c>
      <c r="D386" s="15">
        <v>3</v>
      </c>
      <c r="E386" s="6">
        <v>3067535193.2800002</v>
      </c>
      <c r="F386" s="8"/>
      <c r="G386" s="80">
        <v>0.5</v>
      </c>
      <c r="H386" s="15"/>
      <c r="I386" s="19"/>
      <c r="J386" s="19"/>
      <c r="K386" s="87">
        <v>1</v>
      </c>
      <c r="L386" s="87">
        <v>2</v>
      </c>
      <c r="M386" s="55">
        <v>9101836000</v>
      </c>
      <c r="N386" s="55">
        <v>1859239000</v>
      </c>
      <c r="O386" s="55">
        <v>923506000</v>
      </c>
      <c r="P386" s="88">
        <v>4589097000</v>
      </c>
      <c r="Q386" s="88">
        <v>751496000</v>
      </c>
      <c r="R386" s="88">
        <f>IF(Tabela3[[#This Row],[Ativo || Passivo]]&gt;0,Tabela3[[#This Row],[Ativo || Passivo]]-Tabela3[[#This Row],[Patrimônio Líquido]],0)</f>
        <v>4512739000</v>
      </c>
      <c r="S386" s="88">
        <f>Tabela3[[#This Row],[Cotação]]*Tabela3[[#This Row],[Total Ações]]</f>
        <v>19264378879.440002</v>
      </c>
      <c r="T386" s="121">
        <f>IF(Tabela3[[#This Row],[Passivo Circulante]]&gt;0,Tabela3[[#This Row],[Ativo Circulante]]/Tabela3[[#This Row],[Passivo Circulante]],0)</f>
        <v>2.0132397623837854</v>
      </c>
      <c r="U38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6" s="19">
        <f>IF(Tabela3[[#This Row],[Lucro Líquido]]&gt;0,Tabela3[[#This Row],[Lucro Líquido]]/Tabela3[[#This Row],[Patrimônio Líquido]],0)/Tabela3[[#This Row],[Ref]]*4</f>
        <v>0.21834244660042415</v>
      </c>
      <c r="W3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6" s="19">
        <f>IF(Tabela3[[#This Row],[Dívida]]&gt;0,Tabela3[[#This Row],[Dívida]]/Tabela3[[#This Row],[Patrimônio Líquido]],0)</f>
        <v>0.98336099672767863</v>
      </c>
      <c r="Y386" s="19">
        <f>SUMPRODUCT(N([Dívida / PL]&gt;0),N(RIGHT([PAPEL],LEN([PAPEL])-(LEN([PAPEL])-1))="3"),[Dívida / PL])/SUMPRODUCT(N([Dívida / PL]&gt;0),N(RIGHT([PAPEL],LEN([PAPEL])-(LEN([PAPEL])-1))="3"))</f>
        <v>2.2435702141443779</v>
      </c>
      <c r="Z386" s="6">
        <f>Tabela3[[#This Row],[Capital Social]]*20%</f>
        <v>613507038.65600002</v>
      </c>
      <c r="AA386" s="6">
        <f>IF(([Lucro Líquido]*5%)&gt;[Teto R. Legal],[Teto R. Legal],[Lucro Líquido]*5%)</f>
        <v>37574800</v>
      </c>
      <c r="AB386" s="88">
        <f>IF([Lucro Líquido]&lt;0,0,[Lucro Líquido]-[Reserva Legal])</f>
        <v>713921200</v>
      </c>
      <c r="AC386" s="88">
        <f>Tabela3[[#This Row],[Lucro Distribuir]]*[%Div]</f>
        <v>356960600</v>
      </c>
      <c r="AD386" s="56">
        <f>SUMPRODUCT(N([Nome]=Tabela3[[#This Row],[Nome]]),[Ações])</f>
        <v>1033496721</v>
      </c>
      <c r="AE386" s="6">
        <f>[Capital Social]/[Total Ações]</f>
        <v>2.968113135677767</v>
      </c>
      <c r="AF386" s="77">
        <f>Tabela3[[#This Row],[Lucro Líquido]]/Tabela3[[#This Row],[Total Ações]]</f>
        <v>0.72713922040590584</v>
      </c>
      <c r="AG3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6" s="6">
        <f>[Div Base]*[Ações]</f>
        <v>0</v>
      </c>
      <c r="AL386" s="6">
        <f>SUMPRODUCT(N([Nome]=Tabela3[[#This Row],[Nome]]),[Div Base]*[Ações])</f>
        <v>356960600</v>
      </c>
      <c r="AM386" s="6">
        <f>[Patrimônio Líquido]/[Total Ações]</f>
        <v>4.4403595161478986</v>
      </c>
      <c r="AN386" s="48">
        <f>MAX(Tabela3[[#This Row],[Cotação 1]:[Cotação 5]])</f>
        <v>18.64</v>
      </c>
      <c r="AO386" s="44">
        <f>[Cotação]/[VPA]</f>
        <v>4.1978582887744587</v>
      </c>
      <c r="AP386" s="40">
        <f>IF(Tabela3[[#This Row],[Lucro/Ação]]&gt;0,Tabela3[[#This Row],[Cotação]]/(Tabela3[[#This Row],[Lucro/Ação]]/[Ref]*4),0)</f>
        <v>19.226029359544164</v>
      </c>
      <c r="AQ386" s="77">
        <f>[Lucro Distribuir]/[Total Ações]</f>
        <v>0.69078225938561055</v>
      </c>
      <c r="AR386" s="77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386" s="15" t="str">
        <f>IF(AND([% A.A.]&gt;=5%,SUMPRODUCT(N([Nome]=Tabela3[[#This Row],[Nome]]),[PL])&gt;0,[Rentabilidade s/ PL]&gt;=[Rentabilidade s/ PL Média]),"Sim","Não")</f>
        <v>Sim</v>
      </c>
      <c r="AT386" s="42">
        <f>IF([Cotação]&gt;0,Tabela3[[#This Row],[Lucro]]/Tabela3[[#This Row],[Cotação]],0)</f>
        <v>5.5588701130816306E-2</v>
      </c>
      <c r="AU386" s="19">
        <f>((1+Tabela3[[#This Row],[% Yield]])^(1/(3*Tabela3[[#This Row],[Ref]])))^(12)-1</f>
        <v>7.4796666017377333E-2</v>
      </c>
      <c r="AV386" s="14">
        <f>IF([Cotação]&gt;0,($BH$1/Tabela3[[#This Row],[Cotação]]-MOD($BH$1/Tabela3[[#This Row],[Cotação]],100)),)</f>
        <v>0</v>
      </c>
      <c r="AW386" s="17">
        <f>Tabela3[[#This Row],[Ativos]]*[Lucro]</f>
        <v>0</v>
      </c>
      <c r="AX386" s="5">
        <f>SUMPRODUCT(N(Tabela1[Código]=Tabela3[[#This Row],[PAPEL]]),Tabela1[Fechamento])</f>
        <v>18.64</v>
      </c>
      <c r="AY386" s="5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0</v>
      </c>
    </row>
    <row r="387" spans="1:54" ht="11.25" customHeight="1">
      <c r="A387" s="3" t="s">
        <v>335</v>
      </c>
      <c r="B387" s="58" t="s">
        <v>342</v>
      </c>
      <c r="C387" s="82" t="str">
        <f>LEFT([PAPEL],LEN([PAPEL])-(LEN([PAPEL])-4))</f>
        <v>CCPR</v>
      </c>
      <c r="D387" s="16">
        <v>4</v>
      </c>
      <c r="E387" s="5">
        <v>330695395.88999999</v>
      </c>
      <c r="F387" s="56">
        <v>83000000</v>
      </c>
      <c r="G387" s="85">
        <v>0.25</v>
      </c>
      <c r="H387" s="16"/>
      <c r="J387" s="18"/>
      <c r="K387" s="86"/>
      <c r="L387" s="86"/>
      <c r="M387" s="54">
        <v>2032054000</v>
      </c>
      <c r="N387" s="54">
        <v>157976000</v>
      </c>
      <c r="O387" s="54">
        <v>254893000</v>
      </c>
      <c r="P387" s="5">
        <v>699142000</v>
      </c>
      <c r="Q387" s="5">
        <v>148901000</v>
      </c>
      <c r="R387" s="5">
        <f>IF(Tabela3[[#This Row],[Ativo || Passivo]]&gt;0,Tabela3[[#This Row],[Ativo || Passivo]]-Tabela3[[#This Row],[Patrimônio Líquido]],0)</f>
        <v>1332912000</v>
      </c>
      <c r="S387" s="5">
        <f>Tabela3[[#This Row],[Cotação]]*Tabela3[[#This Row],[Total Ações]]</f>
        <v>1569530000</v>
      </c>
      <c r="T387" s="119">
        <f>IF(Tabela3[[#This Row],[Passivo Circulante]]&gt;0,Tabela3[[#This Row],[Ativo Circulante]]/Tabela3[[#This Row],[Passivo Circulante]],0)</f>
        <v>0.61977378743237355</v>
      </c>
      <c r="U387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7" s="18">
        <f>IF(Tabela3[[#This Row],[Lucro Líquido]]&gt;0,Tabela3[[#This Row],[Lucro Líquido]]/Tabela3[[#This Row],[Patrimônio Líquido]],0)/Tabela3[[#This Row],[Ref]]*4</f>
        <v>0.2129767629465831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7" s="18">
        <f>IF(Tabela3[[#This Row],[Dívida]]&gt;0,Tabela3[[#This Row],[Dívida]]/Tabela3[[#This Row],[Patrimônio Líquido]],0)</f>
        <v>1.9064968203884189</v>
      </c>
      <c r="Y387" s="18">
        <f>SUMPRODUCT(N([Dívida / PL]&gt;0),N(RIGHT([PAPEL],LEN([PAPEL])-(LEN([PAPEL])-1))="3"),[Dívida / PL])/SUMPRODUCT(N([Dívida / PL]&gt;0),N(RIGHT([PAPEL],LEN([PAPEL])-(LEN([PAPEL])-1))="3"))</f>
        <v>2.2435702141443779</v>
      </c>
      <c r="Z387" s="5">
        <f>Tabela3[[#This Row],[Capital Social]]*20%</f>
        <v>66139079.178000003</v>
      </c>
      <c r="AA387" s="5">
        <f>IF(([Lucro Líquido]*5%)&gt;[Teto R. Legal],[Teto R. Legal],[Lucro Líquido]*5%)</f>
        <v>7445050</v>
      </c>
      <c r="AB387" s="5">
        <f>IF([Lucro Líquido]&lt;0,0,[Lucro Líquido]-[Reserva Legal])</f>
        <v>141455950</v>
      </c>
      <c r="AC387" s="5">
        <f>Tabela3[[#This Row],[Lucro Distribuir]]*[%Div]</f>
        <v>35363987.5</v>
      </c>
      <c r="AD387" s="56">
        <f>SUMPRODUCT(N([Nome]=Tabela3[[#This Row],[Nome]]),[Ações])</f>
        <v>83000000</v>
      </c>
      <c r="AE387" s="5">
        <f>[Capital Social]/[Total Ações]</f>
        <v>3.9842818781927711</v>
      </c>
      <c r="AF387" s="76">
        <f>Tabela3[[#This Row],[Lucro Líquido]]/Tabela3[[#This Row],[Total Ações]]</f>
        <v>1.7939879518072288</v>
      </c>
      <c r="AG387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387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387" s="5">
        <f>[Div Base]*[Ações]</f>
        <v>35363987.5</v>
      </c>
      <c r="AL387" s="5">
        <f>SUMPRODUCT(N([Nome]=Tabela3[[#This Row],[Nome]]),[Div Base]*[Ações])</f>
        <v>35363987.5</v>
      </c>
      <c r="AM387" s="5">
        <f>[Patrimônio Líquido]/[Total Ações]</f>
        <v>8.4233975903614464</v>
      </c>
      <c r="AN387" s="52">
        <f>MAX(Tabela3[[#This Row],[Cotação 1]:[Cotação 5]])</f>
        <v>18.91</v>
      </c>
      <c r="AO387" s="53">
        <f>[Cotação]/[VPA]</f>
        <v>2.2449373660858596</v>
      </c>
      <c r="AP387" s="37">
        <f>IF(Tabela3[[#This Row],[Lucro/Ação]]&gt;0,Tabela3[[#This Row],[Cotação]]/(Tabela3[[#This Row],[Lucro/Ação]]/[Ref]*4),0)</f>
        <v>10.540761982793939</v>
      </c>
      <c r="AQ387" s="76">
        <f>[Lucro Distribuir]/[Total Ações]</f>
        <v>1.7042885542168675</v>
      </c>
      <c r="AR387" s="76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387" s="16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2.2531577924601632E-2</v>
      </c>
      <c r="AU387" s="18">
        <f>((1+Tabela3[[#This Row],[% Yield]])^(1/(3*Tabela3[[#This Row],[Ref]])))^(12)-1</f>
        <v>2.2531577924602697E-2</v>
      </c>
      <c r="AV387" s="10">
        <f>IF([Cotação]&gt;0,($BH$1/Tabela3[[#This Row],[Cotação]]-MOD($BH$1/Tabela3[[#This Row],[Cotação]],100)),)</f>
        <v>0</v>
      </c>
      <c r="AW387" s="7">
        <f>Tabela3[[#This Row],[Ativos]]*[Lucro]</f>
        <v>0</v>
      </c>
      <c r="AX387" s="47">
        <f>SUMPRODUCT(N(Tabela1[Código]=Tabela3[[#This Row],[PAPEL]]),Tabela1[Fechamento])</f>
        <v>0</v>
      </c>
      <c r="AY387" s="54">
        <f>SUMPRODUCT(N(Tabela17[Código]=Tabela3[[#This Row],[PAPEL]]),Tabela17[Fechamento])</f>
        <v>18.91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0</v>
      </c>
      <c r="BB387" s="7">
        <f>SUMPRODUCT(N(Tabela17683[Código]=Tabela3[[#This Row],[PAPEL]]),Tabela17683[Fechamento])</f>
        <v>0</v>
      </c>
    </row>
    <row r="388" spans="1:54" ht="11.25" customHeight="1">
      <c r="A388" s="3" t="s">
        <v>231</v>
      </c>
      <c r="B388" s="57" t="s">
        <v>228</v>
      </c>
      <c r="C388" s="14" t="str">
        <f>LEFT([PAPEL],LEN([PAPEL])-(LEN([PAPEL])-4))</f>
        <v>FESA</v>
      </c>
      <c r="D388" s="16">
        <v>3</v>
      </c>
      <c r="E388" s="5">
        <v>897734673.07000005</v>
      </c>
      <c r="F388" s="56">
        <v>29440000</v>
      </c>
      <c r="G388" s="80">
        <v>0.25</v>
      </c>
      <c r="H388" s="16"/>
      <c r="J388" s="18"/>
      <c r="K388" s="86"/>
      <c r="L388" s="86"/>
      <c r="M388" s="54"/>
      <c r="N388" s="54"/>
      <c r="O388" s="54"/>
      <c r="P388" s="5">
        <v>1206918000</v>
      </c>
      <c r="Q388" s="5">
        <v>49929000</v>
      </c>
      <c r="R388" s="5">
        <f>IF(Tabela3[[#This Row],[Ativo || Passivo]]&gt;0,Tabela3[[#This Row],[Ativo || Passivo]]-Tabela3[[#This Row],[Patrimônio Líquido]],0)</f>
        <v>0</v>
      </c>
      <c r="S388" s="5">
        <f>Tabela3[[#This Row],[Cotação]]*Tabela3[[#This Row],[Total Ações]]</f>
        <v>1678080000</v>
      </c>
      <c r="T388" s="119">
        <f>IF(Tabela3[[#This Row],[Passivo Circulante]]&gt;0,Tabela3[[#This Row],[Ativo Circulante]]/Tabela3[[#This Row],[Passivo Circulante]],0)</f>
        <v>0</v>
      </c>
      <c r="U38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8" s="18">
        <f>IF(Tabela3[[#This Row],[Lucro Líquido]]&gt;0,Tabela3[[#This Row],[Lucro Líquido]]/Tabela3[[#This Row],[Patrimônio Líquido]],0)/Tabela3[[#This Row],[Ref]]*4</f>
        <v>5.5158676894370623E-2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2.2435702141443779</v>
      </c>
      <c r="Z388" s="5">
        <f>Tabela3[[#This Row],[Capital Social]]*20%</f>
        <v>179546934.61400002</v>
      </c>
      <c r="AA388" s="5">
        <f>IF(([Lucro Líquido]*5%)&gt;[Teto R. Legal],[Teto R. Legal],[Lucro Líquido]*5%)</f>
        <v>2496450</v>
      </c>
      <c r="AB388" s="5">
        <f>IF([Lucro Líquido]&lt;0,0,[Lucro Líquido]-[Reserva Legal])</f>
        <v>47432550</v>
      </c>
      <c r="AC388" s="5">
        <f>Tabela3[[#This Row],[Lucro Distribuir]]*[%Div]</f>
        <v>11858137.5</v>
      </c>
      <c r="AD388" s="56">
        <f>SUMPRODUCT(N([Nome]=Tabela3[[#This Row],[Nome]]),[Ações])</f>
        <v>88320000</v>
      </c>
      <c r="AE388" s="5">
        <f>[Capital Social]/[Total Ações]</f>
        <v>10.164568309216486</v>
      </c>
      <c r="AF388" s="76">
        <f>Tabela3[[#This Row],[Lucro Líquido]]/Tabela3[[#This Row],[Total Ações]]</f>
        <v>0.56531929347826082</v>
      </c>
      <c r="AG38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38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388" s="5">
        <f>[Div Base]*[Ações]</f>
        <v>3829728.583540448</v>
      </c>
      <c r="AL388" s="5">
        <f>SUMPRODUCT(N([Nome]=Tabela3[[#This Row],[Nome]]),[Div Base]*[Ações])</f>
        <v>12255131.478871353</v>
      </c>
      <c r="AM388" s="5">
        <f>[Patrimônio Líquido]/[Total Ações]</f>
        <v>13.665285326086957</v>
      </c>
      <c r="AN388" s="52">
        <f>MAX(Tabela3[[#This Row],[Cotação 1]:[Cotação 5]])</f>
        <v>19</v>
      </c>
      <c r="AO388" s="53">
        <f>[Cotação]/[VPA]</f>
        <v>1.3903844337394917</v>
      </c>
      <c r="AP388" s="37">
        <f>IF(Tabela3[[#This Row],[Lucro/Ação]]&gt;0,Tabela3[[#This Row],[Cotação]]/(Tabela3[[#This Row],[Lucro/Ação]]/[Ref]*4),0)</f>
        <v>25.206993931382566</v>
      </c>
      <c r="AQ388" s="76">
        <f>[Lucro Distribuir]/[Total Ações]</f>
        <v>0.53705332880434786</v>
      </c>
      <c r="AR388" s="76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388" s="16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6.8466257571875855E-3</v>
      </c>
      <c r="AU388" s="18">
        <f>((1+Tabela3[[#This Row],[% Yield]])^(1/(3*Tabela3[[#This Row],[Ref]])))^(12)-1</f>
        <v>9.1392354909176632E-3</v>
      </c>
      <c r="AV388" s="10">
        <f>IF([Cotação]&gt;0,($BH$1/Tabela3[[#This Row],[Cotação]]-MOD($BH$1/Tabela3[[#This Row],[Cotação]],100)),)</f>
        <v>0</v>
      </c>
      <c r="AW388" s="7">
        <f>Tabela3[[#This Row],[Ativos]]*[Lucro]</f>
        <v>0</v>
      </c>
      <c r="AX388" s="5">
        <f>SUMPRODUCT(N(Tabela1[Código]=Tabela3[[#This Row],[PAPEL]]),Tabela1[Fechamento])</f>
        <v>19</v>
      </c>
      <c r="AY388" s="5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0</v>
      </c>
      <c r="BB388" s="7">
        <f>SUMPRODUCT(N(Tabela17683[Código]=Tabela3[[#This Row],[PAPEL]]),Tabela17683[Fechamento])</f>
        <v>0</v>
      </c>
    </row>
    <row r="389" spans="1:54" ht="11.25" customHeight="1">
      <c r="A389" s="4" t="s">
        <v>570</v>
      </c>
      <c r="B389" s="57" t="s">
        <v>572</v>
      </c>
      <c r="C389" s="15" t="str">
        <f>LEFT([PAPEL],LEN([PAPEL])-(LEN([PAPEL])-4))</f>
        <v>ITEC</v>
      </c>
      <c r="D389" s="15">
        <v>4</v>
      </c>
      <c r="E389" s="6">
        <v>280000000</v>
      </c>
      <c r="F389" s="8">
        <v>11651126</v>
      </c>
      <c r="G389" s="85">
        <v>0.25</v>
      </c>
      <c r="H389" s="15"/>
      <c r="I389" s="19"/>
      <c r="J389" s="19"/>
      <c r="K389" s="87"/>
      <c r="L389" s="87"/>
      <c r="M389" s="55"/>
      <c r="N389" s="55"/>
      <c r="O389" s="55"/>
      <c r="P389" s="91">
        <v>155949000</v>
      </c>
      <c r="Q389" s="92">
        <v>-388071000</v>
      </c>
      <c r="R389" s="92">
        <f>IF(Tabela3[[#This Row],[Ativo || Passivo]]&gt;0,Tabela3[[#This Row],[Ativo || Passivo]]-Tabela3[[#This Row],[Patrimônio Líquido]],0)</f>
        <v>0</v>
      </c>
      <c r="S389" s="92">
        <f>Tabela3[[#This Row],[Cotação]]*Tabela3[[#This Row],[Total Ações]]</f>
        <v>221371394</v>
      </c>
      <c r="T389" s="40">
        <f>IF(Tabela3[[#This Row],[Passivo Circulante]]&gt;0,Tabela3[[#This Row],[Ativo Circulante]]/Tabela3[[#This Row],[Passivo Circulante]],0)</f>
        <v>0</v>
      </c>
      <c r="U38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89" s="19">
        <f>IF(Tabela3[[#This Row],[Lucro Líquido]]&gt;0,Tabela3[[#This Row],[Lucro Líquido]]/Tabela3[[#This Row],[Patrimônio Líquido]],0)/Tabela3[[#This Row],[Ref]]*4</f>
        <v>0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89" s="19">
        <f>IF(Tabela3[[#This Row],[Dívida]]&gt;0,Tabela3[[#This Row],[Dívida]]/Tabela3[[#This Row],[Patrimônio Líquido]],0)</f>
        <v>0</v>
      </c>
      <c r="Y389" s="19">
        <f>SUMPRODUCT(N([Dívida / PL]&gt;0),N(RIGHT([PAPEL],LEN([PAPEL])-(LEN([PAPEL])-1))="3"),[Dívida / PL])/SUMPRODUCT(N([Dívida / PL]&gt;0),N(RIGHT([PAPEL],LEN([PAPEL])-(LEN([PAPEL])-1))="3"))</f>
        <v>2.2435702141443779</v>
      </c>
      <c r="Z389" s="13">
        <f>Tabela3[[#This Row],[Capital Social]]*20%</f>
        <v>56000000</v>
      </c>
      <c r="AA389" s="13">
        <f>IF(([Lucro Líquido]*5%)&gt;[Teto R. Legal],[Teto R. Legal],[Lucro Líquido]*5%)</f>
        <v>-19403550</v>
      </c>
      <c r="AB389" s="13">
        <f>IF([Lucro Líquido]&lt;0,0,[Lucro Líquido]-[Reserva Legal])</f>
        <v>0</v>
      </c>
      <c r="AC389" s="13">
        <f>Tabela3[[#This Row],[Lucro Distribuir]]*[%Div]</f>
        <v>0</v>
      </c>
      <c r="AD389" s="56">
        <f>SUMPRODUCT(N([Nome]=Tabela3[[#This Row],[Nome]]),[Ações])</f>
        <v>11651126</v>
      </c>
      <c r="AE389" s="6">
        <f>[Capital Social]/[Total Ações]</f>
        <v>24.032012013259489</v>
      </c>
      <c r="AF389" s="77">
        <f>Tabela3[[#This Row],[Lucro Líquido]]/Tabela3[[#This Row],[Total Ações]]</f>
        <v>-33.307596192848656</v>
      </c>
      <c r="AG3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9" s="13">
        <f>[Div Base]*[Ações]</f>
        <v>0</v>
      </c>
      <c r="AL389" s="13">
        <f>SUMPRODUCT(N([Nome]=Tabela3[[#This Row],[Nome]]),[Div Base]*[Ações])</f>
        <v>0</v>
      </c>
      <c r="AM389" s="6">
        <f>[Patrimônio Líquido]/[Total Ações]</f>
        <v>13.384886576627872</v>
      </c>
      <c r="AN389" s="48">
        <f>MAX(Tabela3[[#This Row],[Cotação 1]:[Cotação 5]])</f>
        <v>19</v>
      </c>
      <c r="AO389" s="44">
        <f>[Cotação]/[VPA]</f>
        <v>1.4195114684929047</v>
      </c>
      <c r="AP389" s="40">
        <f>IF(Tabela3[[#This Row],[Lucro/Ação]]&gt;0,Tabela3[[#This Row],[Cotação]]/(Tabela3[[#This Row],[Lucro/Ação]]/[Ref]*4),0)</f>
        <v>0</v>
      </c>
      <c r="AQ389" s="77">
        <f>[Lucro Distribuir]/[Total Ações]</f>
        <v>0</v>
      </c>
      <c r="AR389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9" s="14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42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17">
        <f>SUMPRODUCT(N(Tabela1[Código]=Tabela3[[#This Row],[PAPEL]]),Tabela1[Fechamento])</f>
        <v>0</v>
      </c>
      <c r="AY389" s="17">
        <f>SUMPRODUCT(N(Tabela17[Código]=Tabela3[[#This Row],[PAPEL]]),Tabela17[Fechamento])</f>
        <v>0</v>
      </c>
      <c r="AZ389" s="17">
        <f>SUMPRODUCT(N(Tabela176[Código]=Tabela3[[#This Row],[PAPEL]]),Tabela176[Fechamento])</f>
        <v>19</v>
      </c>
      <c r="BA389" s="1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t="11.25" customHeight="1">
      <c r="A390" s="3" t="s">
        <v>288</v>
      </c>
      <c r="B390" s="60" t="s">
        <v>287</v>
      </c>
      <c r="C390" s="82" t="str">
        <f>LEFT([PAPEL],LEN([PAPEL])-(LEN([PAPEL])-4))</f>
        <v>BRAP</v>
      </c>
      <c r="D390" s="16">
        <v>3</v>
      </c>
      <c r="E390" s="5">
        <v>4100000000</v>
      </c>
      <c r="F390" s="56">
        <v>227024896</v>
      </c>
      <c r="G390" s="85">
        <v>0.25</v>
      </c>
      <c r="H390" s="16"/>
      <c r="J390" s="18">
        <v>0.1</v>
      </c>
      <c r="K390" s="86"/>
      <c r="L390" s="86"/>
      <c r="M390" s="54"/>
      <c r="N390" s="54"/>
      <c r="O390" s="54"/>
      <c r="P390" s="5">
        <v>10031194000</v>
      </c>
      <c r="Q390" s="5">
        <v>852679000</v>
      </c>
      <c r="R390" s="5">
        <f>IF(Tabela3[[#This Row],[Ativo || Passivo]]&gt;0,Tabela3[[#This Row],[Ativo || Passivo]]-Tabela3[[#This Row],[Patrimônio Líquido]],0)</f>
        <v>0</v>
      </c>
      <c r="S390" s="5">
        <f>Tabela3[[#This Row],[Cotação]]*Tabela3[[#This Row],[Total Ações]]</f>
        <v>6648401913.8999996</v>
      </c>
      <c r="T390" s="119">
        <f>IF(Tabela3[[#This Row],[Passivo Circulante]]&gt;0,Tabela3[[#This Row],[Ativo Circulante]]/Tabela3[[#This Row],[Passivo Circulante]],0)</f>
        <v>0</v>
      </c>
      <c r="U39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0" s="18">
        <f>IF(Tabela3[[#This Row],[Lucro Líquido]]&gt;0,Tabela3[[#This Row],[Lucro Líquido]]/Tabela3[[#This Row],[Patrimônio Líquido]],0)/Tabela3[[#This Row],[Ref]]*4</f>
        <v>0.11333698992695519</v>
      </c>
      <c r="W39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0" s="18">
        <f>IF(Tabela3[[#This Row],[Dívida]]&gt;0,Tabela3[[#This Row],[Dívida]]/Tabela3[[#This Row],[Patrimônio Líquido]],0)</f>
        <v>0</v>
      </c>
      <c r="Y390" s="18">
        <f>SUMPRODUCT(N([Dívida / PL]&gt;0),N(RIGHT([PAPEL],LEN([PAPEL])-(LEN([PAPEL])-1))="3"),[Dívida / PL])/SUMPRODUCT(N([Dívida / PL]&gt;0),N(RIGHT([PAPEL],LEN([PAPEL])-(LEN([PAPEL])-1))="3"))</f>
        <v>2.2435702141443779</v>
      </c>
      <c r="Z390" s="5">
        <f>Tabela3[[#This Row],[Capital Social]]*20%</f>
        <v>820000000</v>
      </c>
      <c r="AA390" s="5">
        <f>IF(([Lucro Líquido]*5%)&gt;[Teto R. Legal],[Teto R. Legal],[Lucro Líquido]*5%)</f>
        <v>42633950</v>
      </c>
      <c r="AB390" s="5">
        <f>IF([Lucro Líquido]&lt;0,0,[Lucro Líquido]-[Reserva Legal])</f>
        <v>810045050</v>
      </c>
      <c r="AC390" s="5">
        <f>Tabela3[[#This Row],[Lucro Distribuir]]*[%Div]</f>
        <v>202511262.5</v>
      </c>
      <c r="AD390" s="21">
        <f>SUMPRODUCT(N([Nome]=Tabela3[[#This Row],[Nome]]),[Ações])</f>
        <v>349547945</v>
      </c>
      <c r="AE390" s="5">
        <f>[Capital Social]/[Total Ações]</f>
        <v>11.729435285336894</v>
      </c>
      <c r="AF390" s="76">
        <f>Tabela3[[#This Row],[Lucro Líquido]]/Tabela3[[#This Row],[Total Ações]]</f>
        <v>2.439376377967263</v>
      </c>
      <c r="AG39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39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390" s="5">
        <f>[Div Base]*[Ações]</f>
        <v>140178486.98612696</v>
      </c>
      <c r="AL390" s="5">
        <f>SUMPRODUCT(N([Nome]=Tabela3[[#This Row],[Nome]]),[Div Base]*[Ações])</f>
        <v>208953866.04579151</v>
      </c>
      <c r="AM390" s="5">
        <f>[Patrimônio Líquido]/[Total Ações]</f>
        <v>28.697619721380423</v>
      </c>
      <c r="AN390" s="52">
        <f>MAX(Tabela3[[#This Row],[Cotação 1]:[Cotação 5]])</f>
        <v>19.02</v>
      </c>
      <c r="AO390" s="53">
        <f>[Cotação]/[VPA]</f>
        <v>0.66277273811073734</v>
      </c>
      <c r="AP390" s="37">
        <f>IF(Tabela3[[#This Row],[Lucro/Ação]]&gt;0,Tabela3[[#This Row],[Cotação]]/(Tabela3[[#This Row],[Lucro/Ação]]/[Ref]*4),0)</f>
        <v>5.847806074061868</v>
      </c>
      <c r="AQ390" s="76">
        <f>[Lucro Distribuir]/[Total Ações]</f>
        <v>2.3174075590688998</v>
      </c>
      <c r="AR390" s="76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390" s="16" t="str">
        <f>IF(AND([% A.A.]&gt;=5%,SUMPRODUCT(N([Nome]=Tabela3[[#This Row],[Nome]]),[PL])&gt;0,[Rentabilidade s/ PL]&gt;=[Rentabilidade s/ PL Média]),"Sim","Não")</f>
        <v>Não</v>
      </c>
      <c r="AT390" s="22">
        <f>IF([Cotação]&gt;0,Tabela3[[#This Row],[Lucro]]/Tabela3[[#This Row],[Cotação]],0)</f>
        <v>3.246365169412363E-2</v>
      </c>
      <c r="AU390" s="18">
        <f>((1+Tabela3[[#This Row],[% Yield]])^(1/(3*Tabela3[[#This Row],[Ref]])))^(12)-1</f>
        <v>4.3517399341189256E-2</v>
      </c>
      <c r="AV390" s="10">
        <f>IF([Cotação]&gt;0,($BH$1/Tabela3[[#This Row],[Cotação]]-MOD($BH$1/Tabela3[[#This Row],[Cotação]],100)),)</f>
        <v>0</v>
      </c>
      <c r="AW390" s="7">
        <f>Tabela3[[#This Row],[Ativos]]*[Lucro]</f>
        <v>0</v>
      </c>
      <c r="AX390" s="47">
        <f>SUMPRODUCT(N(Tabela1[Código]=Tabela3[[#This Row],[PAPEL]]),Tabela1[Fechamento])</f>
        <v>0</v>
      </c>
      <c r="AY390" s="54">
        <f>SUMPRODUCT(N(Tabela17[Código]=Tabela3[[#This Row],[PAPEL]]),Tabela17[Fechamento])</f>
        <v>19.02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customHeight="1">
      <c r="A391" s="24" t="s">
        <v>12</v>
      </c>
      <c r="B391" s="57" t="s">
        <v>34</v>
      </c>
      <c r="C391" s="15" t="str">
        <f>LEFT([PAPEL],LEN([PAPEL])-(LEN([PAPEL])-4))</f>
        <v>CPLE</v>
      </c>
      <c r="D391" s="15">
        <v>3</v>
      </c>
      <c r="E391" s="6">
        <v>6910000000</v>
      </c>
      <c r="F391" s="8">
        <v>145031080</v>
      </c>
      <c r="G391" s="85">
        <v>0.25</v>
      </c>
      <c r="H391" s="15"/>
      <c r="I391" s="19"/>
      <c r="J391" s="19"/>
      <c r="K391" s="87"/>
      <c r="L391" s="87"/>
      <c r="M391" s="13">
        <v>14184888000</v>
      </c>
      <c r="N391" s="13">
        <v>1725572000</v>
      </c>
      <c r="O391" s="13">
        <v>626089000</v>
      </c>
      <c r="P391" s="89">
        <v>12828375000</v>
      </c>
      <c r="Q391" s="89">
        <v>898498000</v>
      </c>
      <c r="R391" s="89">
        <f>IF(Tabela3[[#This Row],[Ativo || Passivo]]&gt;0,Tabela3[[#This Row],[Ativo || Passivo]]-Tabela3[[#This Row],[Patrimônio Líquido]],0)</f>
        <v>1356513000</v>
      </c>
      <c r="S391" s="89">
        <f>Tabela3[[#This Row],[Cotação]]*Tabela3[[#This Row],[Total Ações]]</f>
        <v>5213134893.75</v>
      </c>
      <c r="T391" s="120">
        <f>IF(Tabela3[[#This Row],[Passivo Circulante]]&gt;0,Tabela3[[#This Row],[Ativo Circulante]]/Tabela3[[#This Row],[Passivo Circulante]],0)</f>
        <v>2.7561129487980143</v>
      </c>
      <c r="U391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1" s="49">
        <f>IF(Tabela3[[#This Row],[Lucro Líquido]]&gt;0,Tabela3[[#This Row],[Lucro Líquido]]/Tabela3[[#This Row],[Patrimônio Líquido]],0)/Tabela3[[#This Row],[Ref]]*4</f>
        <v>9.3386522714945061E-2</v>
      </c>
      <c r="W391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1" s="49">
        <f>IF(Tabela3[[#This Row],[Dívida]]&gt;0,Tabela3[[#This Row],[Dívida]]/Tabela3[[#This Row],[Patrimônio Líquido]],0)</f>
        <v>0.10574316700283551</v>
      </c>
      <c r="Y391" s="49">
        <f>SUMPRODUCT(N([Dívida / PL]&gt;0),N(RIGHT([PAPEL],LEN([PAPEL])-(LEN([PAPEL])-1))="3"),[Dívida / PL])/SUMPRODUCT(N([Dívida / PL]&gt;0),N(RIGHT([PAPEL],LEN([PAPEL])-(LEN([PAPEL])-1))="3"))</f>
        <v>2.2435702141443779</v>
      </c>
      <c r="Z391" s="28">
        <f>Tabela3[[#This Row],[Capital Social]]*20%</f>
        <v>1382000000</v>
      </c>
      <c r="AA391" s="28">
        <f>IF(([Lucro Líquido]*5%)&gt;[Teto R. Legal],[Teto R. Legal],[Lucro Líquido]*5%)</f>
        <v>44924900</v>
      </c>
      <c r="AB391" s="89">
        <f>IF([Lucro Líquido]&lt;0,0,[Lucro Líquido]-[Reserva Legal])</f>
        <v>853573100</v>
      </c>
      <c r="AC391" s="89">
        <f>Tabela3[[#This Row],[Lucro Distribuir]]*[%Div]</f>
        <v>213393275</v>
      </c>
      <c r="AD391" s="56">
        <f>SUMPRODUCT(N([Nome]=Tabela3[[#This Row],[Nome]]),[Ações])</f>
        <v>273655375</v>
      </c>
      <c r="AE391" s="28">
        <f>[Capital Social]/[Total Ações]</f>
        <v>25.250737355332415</v>
      </c>
      <c r="AF391" s="78">
        <f>Tabela3[[#This Row],[Lucro Líquido]]/Tabela3[[#This Row],[Total Ações]]</f>
        <v>3.2833193939640322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391" s="28">
        <f>[Div Base]*[Ações]</f>
        <v>112739994.73966645</v>
      </c>
      <c r="AL391" s="28">
        <f>SUMPRODUCT(N([Nome]=Tabela3[[#This Row],[Nome]]),[Div Base]*[Ações])</f>
        <v>213393275.00000003</v>
      </c>
      <c r="AM391" s="28">
        <f>[Patrimônio Líquido]/[Total Ações]</f>
        <v>46.877847730927996</v>
      </c>
      <c r="AN391" s="29">
        <f>MAX(Tabela3[[#This Row],[Cotação 1]:[Cotação 5]])</f>
        <v>19.05</v>
      </c>
      <c r="AO391" s="30">
        <f>[Cotação]/[VPA]</f>
        <v>0.40637531205238392</v>
      </c>
      <c r="AP391" s="35">
        <f>IF(Tabela3[[#This Row],[Lucro/Ação]]&gt;0,Tabela3[[#This Row],[Cotação]]/(Tabela3[[#This Row],[Lucro/Ação]]/[Ref]*4),0)</f>
        <v>4.3515413170786141</v>
      </c>
      <c r="AQ391" s="77">
        <f>[Lucro Distribuir]/[Total Ações]</f>
        <v>3.1191534242658308</v>
      </c>
      <c r="AR391" s="77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391" s="25" t="str">
        <f>IF(AND([% A.A.]&gt;=5%,SUMPRODUCT(N([Nome]=Tabela3[[#This Row],[Nome]]),[PL])&gt;0,[Rentabilidade s/ PL]&gt;=[Rentabilidade s/ PL Média]),"Sim","Não")</f>
        <v>Não</v>
      </c>
      <c r="AT391" s="27">
        <f>IF([Cotação]&gt;0,Tabela3[[#This Row],[Lucro]]/Tabela3[[#This Row],[Cotação]],0)</f>
        <v>4.08058049356557E-2</v>
      </c>
      <c r="AU391" s="49">
        <f>((1+Tabela3[[#This Row],[% Yield]])^(1/(3*Tabela3[[#This Row],[Ref]])))^(12)-1</f>
        <v>5.4774465649445769E-2</v>
      </c>
      <c r="AV391" s="10">
        <f>IF([Cotação]&gt;0,($BH$1/Tabela3[[#This Row],[Cotação]]-MOD($BH$1/Tabela3[[#This Row],[Cotação]],100)),)</f>
        <v>0</v>
      </c>
      <c r="AW391" s="5">
        <f>Tabela3[[#This Row],[Ativos]]*[Lucro]</f>
        <v>0</v>
      </c>
      <c r="AX391" s="5">
        <f>SUMPRODUCT(N(Tabela1[Código]=Tabela3[[#This Row],[PAPEL]]),Tabela1[Fechamento])</f>
        <v>19.05</v>
      </c>
      <c r="AY391" s="5">
        <f>SUMPRODUCT(N(Tabela17[Código]=Tabela3[[#This Row],[PAPEL]]),Tabela17[Fechamento])</f>
        <v>0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customHeight="1">
      <c r="A392" s="4" t="s">
        <v>719</v>
      </c>
      <c r="B392" s="57" t="s">
        <v>723</v>
      </c>
      <c r="C392" s="15" t="str">
        <f>LEFT([PAPEL],LEN([PAPEL])-(LEN([PAPEL])-4))</f>
        <v>FLRY</v>
      </c>
      <c r="D392" s="15">
        <v>3</v>
      </c>
      <c r="E392" s="6">
        <v>1402530425.1800001</v>
      </c>
      <c r="F392" s="8">
        <v>156293356</v>
      </c>
      <c r="G392" s="85">
        <v>0.25</v>
      </c>
      <c r="H392" s="15"/>
      <c r="I392" s="19"/>
      <c r="J392" s="19"/>
      <c r="K392" s="87"/>
      <c r="L392" s="87"/>
      <c r="M392" s="55"/>
      <c r="N392" s="55"/>
      <c r="O392" s="55"/>
      <c r="P392" s="91">
        <v>1727199000</v>
      </c>
      <c r="Q392" s="92">
        <v>61932000</v>
      </c>
      <c r="R392" s="92">
        <f>IF(Tabela3[[#This Row],[Ativo || Passivo]]&gt;0,Tabela3[[#This Row],[Ativo || Passivo]]-Tabela3[[#This Row],[Patrimônio Líquido]],0)</f>
        <v>0</v>
      </c>
      <c r="S392" s="92">
        <f>Tabela3[[#This Row],[Cotação]]*Tabela3[[#This Row],[Total Ações]]</f>
        <v>2988328966.7200003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2" s="19">
        <f>IF(Tabela3[[#This Row],[Lucro Líquido]]&gt;0,Tabela3[[#This Row],[Lucro Líquido]]/Tabela3[[#This Row],[Patrimônio Líquido]],0)/Tabela3[[#This Row],[Ref]]*4</f>
        <v>4.7809198592634661E-2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2.2435702141443779</v>
      </c>
      <c r="Z392" s="13">
        <f>Tabela3[[#This Row],[Capital Social]]*20%</f>
        <v>280506085.03600001</v>
      </c>
      <c r="AA392" s="13">
        <f>IF(([Lucro Líquido]*5%)&gt;[Teto R. Legal],[Teto R. Legal],[Lucro Líquido]*5%)</f>
        <v>3096600</v>
      </c>
      <c r="AB392" s="13">
        <f>IF([Lucro Líquido]&lt;0,0,[Lucro Líquido]-[Reserva Legal])</f>
        <v>58835400</v>
      </c>
      <c r="AC392" s="13">
        <f>Tabela3[[#This Row],[Lucro Distribuir]]*[%Div]</f>
        <v>14708850</v>
      </c>
      <c r="AD392" s="56">
        <f>SUMPRODUCT(N([Nome]=Tabela3[[#This Row],[Nome]]),[Ações])</f>
        <v>156293356</v>
      </c>
      <c r="AE392" s="6">
        <f>[Capital Social]/[Total Ações]</f>
        <v>8.9737047119264624</v>
      </c>
      <c r="AF392" s="77">
        <f>Tabela3[[#This Row],[Lucro Líquido]]/Tabela3[[#This Row],[Total Ações]]</f>
        <v>0.39625484783882942</v>
      </c>
      <c r="AG3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3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392" s="13">
        <f>[Div Base]*[Ações]</f>
        <v>14708850</v>
      </c>
      <c r="AL392" s="13">
        <f>SUMPRODUCT(N([Nome]=Tabela3[[#This Row],[Nome]]),[Div Base]*[Ações])</f>
        <v>14708850</v>
      </c>
      <c r="AM392" s="6">
        <f>[Patrimônio Líquido]/[Total Ações]</f>
        <v>11.051007184208137</v>
      </c>
      <c r="AN392" s="48">
        <f>MAX(Tabela3[[#This Row],[Cotação 1]:[Cotação 5]])</f>
        <v>19.12</v>
      </c>
      <c r="AO392" s="44">
        <f>[Cotação]/[VPA]</f>
        <v>1.7301590417317287</v>
      </c>
      <c r="AP392" s="40">
        <f>IF(Tabela3[[#This Row],[Lucro/Ação]]&gt;0,Tabela3[[#This Row],[Cotação]]/(Tabela3[[#This Row],[Lucro/Ação]]/[Ref]*4),0)</f>
        <v>36.188831703158307</v>
      </c>
      <c r="AQ392" s="77">
        <f>[Lucro Distribuir]/[Total Ações]</f>
        <v>0.37644210544688794</v>
      </c>
      <c r="AR392" s="77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4.9220986590858776E-3</v>
      </c>
      <c r="AU392" s="42">
        <f>((1+Tabela3[[#This Row],[% Yield]])^(1/(3*Tabela3[[#This Row],[Ref]])))^(12)-1</f>
        <v>6.5681761254186011E-3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19.12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customHeight="1">
      <c r="A393" s="24" t="s">
        <v>12</v>
      </c>
      <c r="B393" s="60" t="s">
        <v>35</v>
      </c>
      <c r="C393" s="15" t="str">
        <f>LEFT([PAPEL],LEN([PAPEL])-(LEN([PAPEL])-4))</f>
        <v>EQTL</v>
      </c>
      <c r="D393" s="16">
        <v>4</v>
      </c>
      <c r="E393" s="5">
        <v>1977276000</v>
      </c>
      <c r="F393" s="56">
        <v>198447352</v>
      </c>
      <c r="G393" s="85">
        <v>0.25</v>
      </c>
      <c r="H393" s="16"/>
      <c r="J393" s="18"/>
      <c r="K393" s="86"/>
      <c r="L393" s="86"/>
      <c r="M393" s="54">
        <v>2390881000</v>
      </c>
      <c r="N393" s="54">
        <v>671663000</v>
      </c>
      <c r="O393" s="54">
        <v>36658000</v>
      </c>
      <c r="P393" s="89">
        <v>2354173000</v>
      </c>
      <c r="Q393" s="89">
        <v>68637000</v>
      </c>
      <c r="R393" s="89">
        <f>IF(Tabela3[[#This Row],[Ativo || Passivo]]&gt;0,Tabela3[[#This Row],[Ativo || Passivo]]-Tabela3[[#This Row],[Patrimônio Líquido]],0)</f>
        <v>36708000</v>
      </c>
      <c r="S393" s="89">
        <f>Tabela3[[#This Row],[Cotação]]*Tabela3[[#This Row],[Total Ações]]</f>
        <v>3810189158.4000001</v>
      </c>
      <c r="T393" s="120">
        <f>IF(Tabela3[[#This Row],[Passivo Circulante]]&gt;0,Tabela3[[#This Row],[Ativo Circulante]]/Tabela3[[#This Row],[Passivo Circulante]],0)</f>
        <v>18.322412570243877</v>
      </c>
      <c r="U39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3" s="49">
        <f>IF(Tabela3[[#This Row],[Lucro Líquido]]&gt;0,Tabela3[[#This Row],[Lucro Líquido]]/Tabela3[[#This Row],[Patrimônio Líquido]],0)/Tabela3[[#This Row],[Ref]]*4</f>
        <v>2.9155461387077329E-2</v>
      </c>
      <c r="W39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3" s="49">
        <f>IF(Tabela3[[#This Row],[Dívida]]&gt;0,Tabela3[[#This Row],[Dívida]]/Tabela3[[#This Row],[Patrimônio Líquido]],0)</f>
        <v>1.5592736812460256E-2</v>
      </c>
      <c r="Y393" s="49">
        <f>SUMPRODUCT(N([Dívida / PL]&gt;0),N(RIGHT([PAPEL],LEN([PAPEL])-(LEN([PAPEL])-1))="3"),[Dívida / PL])/SUMPRODUCT(N([Dívida / PL]&gt;0),N(RIGHT([PAPEL],LEN([PAPEL])-(LEN([PAPEL])-1))="3"))</f>
        <v>2.2435702141443779</v>
      </c>
      <c r="Z393" s="28">
        <f>Tabela3[[#This Row],[Capital Social]]*20%</f>
        <v>395455200</v>
      </c>
      <c r="AA393" s="28">
        <f>IF(([Lucro Líquido]*5%)&gt;[Teto R. Legal],[Teto R. Legal],[Lucro Líquido]*5%)</f>
        <v>3431850</v>
      </c>
      <c r="AB393" s="89">
        <f>IF([Lucro Líquido]&lt;0,0,[Lucro Líquido]-[Reserva Legal])</f>
        <v>65205150</v>
      </c>
      <c r="AC393" s="89">
        <f>Tabela3[[#This Row],[Lucro Distribuir]]*[%Div]</f>
        <v>16301287.5</v>
      </c>
      <c r="AD393" s="56">
        <f>SUMPRODUCT(N([Nome]=Tabela3[[#This Row],[Nome]]),[Ações])</f>
        <v>198447352</v>
      </c>
      <c r="AE393" s="28">
        <f>[Capital Social]/[Total Ações]</f>
        <v>9.9637308337578627</v>
      </c>
      <c r="AF393" s="78">
        <f>Tabela3[[#This Row],[Lucro Líquido]]/Tabela3[[#This Row],[Total Ações]]</f>
        <v>0.34587007238070883</v>
      </c>
      <c r="AG3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3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393" s="28">
        <f>[Div Base]*[Ações]</f>
        <v>16301287.499999998</v>
      </c>
      <c r="AL393" s="28">
        <f>SUMPRODUCT(N([Nome]=Tabela3[[#This Row],[Nome]]),[Div Base]*[Ações])</f>
        <v>16301287.499999998</v>
      </c>
      <c r="AM393" s="28">
        <f>[Patrimônio Líquido]/[Total Ações]</f>
        <v>11.86296000563414</v>
      </c>
      <c r="AN393" s="29">
        <f>MAX(Tabela3[[#This Row],[Cotação 1]:[Cotação 5]])</f>
        <v>19.2</v>
      </c>
      <c r="AO393" s="30">
        <f>[Cotação]/[VPA]</f>
        <v>1.6184830759676538</v>
      </c>
      <c r="AP393" s="35">
        <f>IF(Tabela3[[#This Row],[Lucro/Ação]]&gt;0,Tabela3[[#This Row],[Cotação]]/(Tabela3[[#This Row],[Lucro/Ação]]/[Ref]*4),0)</f>
        <v>55.512175042615496</v>
      </c>
      <c r="AQ393" s="77">
        <f>[Lucro Distribuir]/[Total Ações]</f>
        <v>0.32857656876167335</v>
      </c>
      <c r="AR393" s="77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393" s="25" t="str">
        <f>IF(AND([% A.A.]&gt;=5%,SUMPRODUCT(N([Nome]=Tabela3[[#This Row],[Nome]]),[PL])&gt;0,[Rentabilidade s/ PL]&gt;=[Rentabilidade s/ PL Média]),"Sim","Não")</f>
        <v>Não</v>
      </c>
      <c r="AT393" s="27">
        <f>IF([Cotação]&gt;0,Tabela3[[#This Row],[Lucro]]/Tabela3[[#This Row],[Cotação]],0)</f>
        <v>4.2783407390842888E-3</v>
      </c>
      <c r="AU393" s="49">
        <f>((1+Tabela3[[#This Row],[% Yield]])^(1/(3*Tabela3[[#This Row],[Ref]])))^(12)-1</f>
        <v>4.2783407390845074E-3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5">
        <f>SUMPRODUCT(N(Tabela1[Código]=Tabela3[[#This Row],[PAPEL]]),Tabela1[Fechamento])</f>
        <v>19.2</v>
      </c>
      <c r="AY393" s="5">
        <f>SUMPRODUCT(N(Tabela17[Código]=Tabela3[[#This Row],[PAPEL]]),Tabela17[Fechamento])</f>
        <v>0</v>
      </c>
      <c r="AZ393" s="7">
        <f>SUMPRODUCT(N(Tabela176[Código]=Tabela3[[#This Row],[PAPEL]]),Tabela176[Fechamento])</f>
        <v>0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customHeight="1">
      <c r="A394" s="4" t="s">
        <v>325</v>
      </c>
      <c r="B394" s="57" t="s">
        <v>324</v>
      </c>
      <c r="C394" s="81" t="str">
        <f>LEFT([PAPEL],LEN([PAPEL])-(LEN([PAPEL])-4))</f>
        <v>PATI</v>
      </c>
      <c r="D394" s="15">
        <v>3</v>
      </c>
      <c r="E394" s="6">
        <v>140000000</v>
      </c>
      <c r="F394" s="8">
        <v>745893</v>
      </c>
      <c r="G394" s="80">
        <v>0.25</v>
      </c>
      <c r="H394" s="9">
        <v>0.06</v>
      </c>
      <c r="I394" s="19">
        <v>0.08</v>
      </c>
      <c r="J394" s="19"/>
      <c r="K394" s="87"/>
      <c r="L394" s="87"/>
      <c r="M394" s="13">
        <v>510692000</v>
      </c>
      <c r="N394" s="13">
        <v>218703000</v>
      </c>
      <c r="O394" s="13">
        <v>135960000</v>
      </c>
      <c r="P394" s="6">
        <v>241884000</v>
      </c>
      <c r="Q394" s="6">
        <v>56208000</v>
      </c>
      <c r="R394" s="6">
        <f>IF(Tabela3[[#This Row],[Ativo || Passivo]]&gt;0,Tabela3[[#This Row],[Ativo || Passivo]]-Tabela3[[#This Row],[Patrimônio Líquido]],0)</f>
        <v>268808000</v>
      </c>
      <c r="S394" s="13">
        <f>Tabela3[[#This Row],[Cotação]]*Tabela3[[#This Row],[Total Ações]]</f>
        <v>242304793.5</v>
      </c>
      <c r="T394" s="121">
        <f>IF(Tabela3[[#This Row],[Passivo Circulante]]&gt;0,Tabela3[[#This Row],[Ativo Circulante]]/Tabela3[[#This Row],[Passivo Circulante]],0)</f>
        <v>1.6085834068843778</v>
      </c>
      <c r="U39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4" s="19">
        <f>IF(Tabela3[[#This Row],[Lucro Líquido]]&gt;0,Tabela3[[#This Row],[Lucro Líquido]]/Tabela3[[#This Row],[Patrimônio Líquido]],0)/Tabela3[[#This Row],[Ref]]*4</f>
        <v>0.30983446610772108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4" s="19">
        <f>IF(Tabela3[[#This Row],[Dívida]]&gt;0,Tabela3[[#This Row],[Dívida]]/Tabela3[[#This Row],[Patrimônio Líquido]],0)</f>
        <v>1.1113095533396173</v>
      </c>
      <c r="Y394" s="19">
        <f>SUMPRODUCT(N([Dívida / PL]&gt;0),N(RIGHT([PAPEL],LEN([PAPEL])-(LEN([PAPEL])-1))="3"),[Dívida / PL])/SUMPRODUCT(N([Dívida / PL]&gt;0),N(RIGHT([PAPEL],LEN([PAPEL])-(LEN([PAPEL])-1))="3"))</f>
        <v>2.2435702141443779</v>
      </c>
      <c r="Z394" s="6">
        <f>Tabela3[[#This Row],[Capital Social]]*20%</f>
        <v>28000000</v>
      </c>
      <c r="AA394" s="6">
        <f>IF(([Lucro Líquido]*5%)&gt;[Teto R. Legal],[Teto R. Legal],[Lucro Líquido]*5%)</f>
        <v>2810400</v>
      </c>
      <c r="AB394" s="6">
        <f>IF([Lucro Líquido]&lt;0,0,[Lucro Líquido]-[Reserva Legal])</f>
        <v>53397600</v>
      </c>
      <c r="AC394" s="6">
        <f>Tabela3[[#This Row],[Lucro Distribuir]]*[%Div]</f>
        <v>13349400</v>
      </c>
      <c r="AD394" s="21">
        <f>SUMPRODUCT(N([Nome]=Tabela3[[#This Row],[Nome]]),[Ações])</f>
        <v>12587262</v>
      </c>
      <c r="AE394" s="5">
        <f>[Capital Social]/[Total Ações]</f>
        <v>11.12235528266592</v>
      </c>
      <c r="AF394" s="77">
        <f>Tabela3[[#This Row],[Lucro Líquido]]/Tabela3[[#This Row],[Total Ações]]</f>
        <v>4.4654667552006151</v>
      </c>
      <c r="AG3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94" s="6">
        <f>[Div Base]*[Ações]</f>
        <v>860010.29808706616</v>
      </c>
      <c r="AL394" s="6">
        <f>SUMPRODUCT(N([Nome]=Tabela3[[#This Row],[Nome]]),[Div Base]*[Ações])</f>
        <v>13349400.000000002</v>
      </c>
      <c r="AM394" s="6">
        <f>[Patrimônio Líquido]/[Total Ações]</f>
        <v>19.216569894231167</v>
      </c>
      <c r="AN394" s="48">
        <f>MAX(Tabela3[[#This Row],[Cotação 1]:[Cotação 5]])</f>
        <v>19.25</v>
      </c>
      <c r="AO394" s="44">
        <f>[Cotação]/[VPA]</f>
        <v>1.0017396499975195</v>
      </c>
      <c r="AP394" s="40">
        <f>IF(Tabela3[[#This Row],[Lucro/Ação]]&gt;0,Tabela3[[#This Row],[Cotação]]/(Tabela3[[#This Row],[Lucro/Ação]]/[Ref]*4),0)</f>
        <v>3.2331446613471391</v>
      </c>
      <c r="AQ394" s="77">
        <f>[Lucro Distribuir]/[Total Ações]</f>
        <v>4.2421934174405838</v>
      </c>
      <c r="AR394" s="77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94" s="15" t="str">
        <f>IF(AND([% A.A.]&gt;=5%,SUMPRODUCT(N([Nome]=Tabela3[[#This Row],[Nome]]),[PL])&gt;0,[Rentabilidade s/ PL]&gt;=[Rentabilidade s/ PL Média]),"Sim","Não")</f>
        <v>Sim</v>
      </c>
      <c r="AT394" s="42">
        <f>IF([Cotação]&gt;0,Tabela3[[#This Row],[Lucro]]/Tabela3[[#This Row],[Cotação]],0)</f>
        <v>5.9895802267733514E-2</v>
      </c>
      <c r="AU394" s="19">
        <f>((1+Tabela3[[#This Row],[% Yield]])^(1/(3*Tabela3[[#This Row],[Ref]])))^(12)-1</f>
        <v>8.0647938963195998E-2</v>
      </c>
      <c r="AV394" s="14">
        <f>IF([Cotação]&gt;0,($BH$1/Tabela3[[#This Row],[Cotação]]-MOD($BH$1/Tabela3[[#This Row],[Cotação]],100)),)</f>
        <v>0</v>
      </c>
      <c r="AW394" s="17">
        <f>Tabela3[[#This Row],[Ativos]]*[Lucro]</f>
        <v>0</v>
      </c>
      <c r="AX394" s="13">
        <f>SUMPRODUCT(N(Tabela1[Código]=Tabela3[[#This Row],[PAPEL]]),Tabela1[Fechamento])</f>
        <v>0</v>
      </c>
      <c r="AY394" s="55">
        <f>SUMPRODUCT(N(Tabela17[Código]=Tabela3[[#This Row],[PAPEL]]),Tabela17[Fechamento])</f>
        <v>19.25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customHeight="1">
      <c r="A395" s="3" t="s">
        <v>846</v>
      </c>
      <c r="B395" s="58" t="s">
        <v>838</v>
      </c>
      <c r="C395" s="16" t="str">
        <f>LEFT([PAPEL],LEN([PAPEL])-(LEN([PAPEL])-4))</f>
        <v>AHEB</v>
      </c>
      <c r="D395" s="16">
        <v>3</v>
      </c>
      <c r="E395" s="5">
        <v>199970873</v>
      </c>
      <c r="F395" s="56">
        <v>6154605</v>
      </c>
      <c r="G395" s="80">
        <v>0.25</v>
      </c>
      <c r="H395" s="86"/>
      <c r="J395" s="18"/>
      <c r="K395" s="16"/>
      <c r="L395" s="86"/>
      <c r="M395" s="54"/>
      <c r="N395" s="54"/>
      <c r="O395" s="54"/>
      <c r="P395" s="90">
        <v>68456000</v>
      </c>
      <c r="Q395" s="73">
        <v>-16033000</v>
      </c>
      <c r="R395" s="73">
        <f>IF(Tabela3[[#This Row],[Ativo || Passivo]]&gt;0,Tabela3[[#This Row],[Ativo || Passivo]]-Tabela3[[#This Row],[Patrimônio Líquido]],0)</f>
        <v>0</v>
      </c>
      <c r="S395" s="73">
        <f>Tabela3[[#This Row],[Cotação]]*Tabela3[[#This Row],[Total Ações]]</f>
        <v>135349948.5</v>
      </c>
      <c r="T395" s="37">
        <f>IF(Tabela3[[#This Row],[Passivo Circulante]]&gt;0,Tabela3[[#This Row],[Ativo Circulante]]/Tabela3[[#This Row],[Passivo Circulante]],0)</f>
        <v>0</v>
      </c>
      <c r="U39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5" s="18">
        <f>IF(Tabela3[[#This Row],[Lucro Líquido]]&gt;0,Tabela3[[#This Row],[Lucro Líquido]]/Tabela3[[#This Row],[Patrimônio Líquido]],0)/Tabela3[[#This Row],[Ref]]*4</f>
        <v>0</v>
      </c>
      <c r="W39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5" s="18">
        <f>IF(Tabela3[[#This Row],[Dívida]]&gt;0,Tabela3[[#This Row],[Dívida]]/Tabela3[[#This Row],[Patrimônio Líquido]],0)</f>
        <v>0</v>
      </c>
      <c r="Y395" s="18">
        <f>SUMPRODUCT(N([Dívida / PL]&gt;0),N(RIGHT([PAPEL],LEN([PAPEL])-(LEN([PAPEL])-1))="3"),[Dívida / PL])/SUMPRODUCT(N([Dívida / PL]&gt;0),N(RIGHT([PAPEL],LEN([PAPEL])-(LEN([PAPEL])-1))="3"))</f>
        <v>2.2435702141443779</v>
      </c>
      <c r="Z395" s="7">
        <f>Tabela3[[#This Row],[Capital Social]]*20%</f>
        <v>39994174.600000001</v>
      </c>
      <c r="AA395" s="47">
        <f>IF(([Lucro Líquido]*5%)&gt;[Teto R. Legal],[Teto R. Legal],[Lucro Líquido]*5%)</f>
        <v>-801650</v>
      </c>
      <c r="AB395" s="47">
        <f>IF([Lucro Líquido]&lt;0,0,[Lucro Líquido]-[Reserva Legal])</f>
        <v>0</v>
      </c>
      <c r="AC395" s="47">
        <f>Tabela3[[#This Row],[Lucro Distribuir]]*[%Div]</f>
        <v>0</v>
      </c>
      <c r="AD395" s="56">
        <f>SUMPRODUCT(N([Nome]=Tabela3[[#This Row],[Nome]]),[Ações])</f>
        <v>6941023</v>
      </c>
      <c r="AE395" s="84">
        <f>[Capital Social]/[Total Ações]</f>
        <v>28.810000053306265</v>
      </c>
      <c r="AF395" s="84">
        <f>Tabela3[[#This Row],[Lucro Líquido]]/Tabela3[[#This Row],[Total Ações]]</f>
        <v>-2.3098900551114729</v>
      </c>
      <c r="AG39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5" s="7">
        <f>[Div Base]*[Ações]</f>
        <v>0</v>
      </c>
      <c r="AL395" s="7">
        <f>SUMPRODUCT(N([Nome]=Tabela3[[#This Row],[Nome]]),[Div Base]*[Ações])</f>
        <v>0</v>
      </c>
      <c r="AM395" s="5">
        <f>[Patrimônio Líquido]/[Total Ações]</f>
        <v>9.8625231468041523</v>
      </c>
      <c r="AN395" s="52">
        <f>MAX(Tabela3[[#This Row],[Cotação 1]:[Cotação 5]])</f>
        <v>19.5</v>
      </c>
      <c r="AO395" s="53">
        <f>[Cotação]/[VPA]</f>
        <v>1.9771816714385884</v>
      </c>
      <c r="AP395" s="37">
        <f>IF(Tabela3[[#This Row],[Lucro/Ação]]&gt;0,Tabela3[[#This Row],[Cotação]]/(Tabela3[[#This Row],[Lucro/Ação]]/[Ref]*4),0)</f>
        <v>0</v>
      </c>
      <c r="AQ395" s="84">
        <f>[Lucro Distribuir]/[Total Ações]</f>
        <v>0</v>
      </c>
      <c r="AR39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5" s="10" t="str">
        <f>IF(AND([% A.A.]&gt;=5%,SUMPRODUCT(N([Nome]=Tabela3[[#This Row],[Nome]]),[PL])&gt;0,[Rentabilidade s/ PL]&gt;=[Rentabilidade s/ PL Média]),"Sim","Não")</f>
        <v>Não</v>
      </c>
      <c r="AT395" s="22">
        <f>IF([Cotação]&gt;0,Tabela3[[#This Row],[Lucro]]/Tabela3[[#This Row],[Cotação]],0)</f>
        <v>0</v>
      </c>
      <c r="AU395" s="22">
        <f>((1+Tabela3[[#This Row],[% Yield]])^(1/(3*Tabela3[[#This Row],[Ref]])))^(12)-1</f>
        <v>0</v>
      </c>
      <c r="AV395" s="10">
        <f>IF([Cotação]&gt;0,($BH$1/Tabela3[[#This Row],[Cotação]]-MOD($BH$1/Tabela3[[#This Row],[Cotação]],100)),)</f>
        <v>0</v>
      </c>
      <c r="AW395" s="7">
        <f>Tabela3[[#This Row],[Ativos]]*[Lucro]</f>
        <v>0</v>
      </c>
      <c r="AX395" s="7">
        <f>SUMPRODUCT(N(Tabela1[Código]=Tabela3[[#This Row],[PAPEL]]),Tabela1[Fechamento])</f>
        <v>0</v>
      </c>
      <c r="AY395" s="7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19.5</v>
      </c>
      <c r="BB395" s="7">
        <f>SUMPRODUCT(N(Tabela17683[Código]=Tabela3[[#This Row],[PAPEL]]),Tabela17683[Fechamento])</f>
        <v>0</v>
      </c>
    </row>
    <row r="396" spans="1:54" ht="11.25" customHeight="1">
      <c r="A396" s="3" t="s">
        <v>974</v>
      </c>
      <c r="B396" s="58" t="s">
        <v>982</v>
      </c>
      <c r="C396" s="16" t="str">
        <f>LEFT([PAPEL],LEN([PAPEL])-(LEN([PAPEL])-4))</f>
        <v>SLED</v>
      </c>
      <c r="D396" s="16">
        <v>3</v>
      </c>
      <c r="E396" s="5">
        <v>279901000</v>
      </c>
      <c r="F396" s="56">
        <v>18973810</v>
      </c>
      <c r="G396" s="80">
        <v>0.25</v>
      </c>
      <c r="H396" s="86"/>
      <c r="J396" s="18"/>
      <c r="K396" s="16"/>
      <c r="L396" s="86"/>
      <c r="M396" s="54"/>
      <c r="N396" s="54"/>
      <c r="O396" s="54"/>
      <c r="P396" s="90">
        <v>509456000</v>
      </c>
      <c r="Q396" s="73">
        <v>1040000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557624398.5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6" s="18">
        <f>IF(Tabela3[[#This Row],[Lucro Líquido]]&gt;0,Tabela3[[#This Row],[Lucro Líquido]]/Tabela3[[#This Row],[Patrimônio Líquido]],0)/Tabela3[[#This Row],[Ref]]*4</f>
        <v>2.7218575630999862E-3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2.2435702141443779</v>
      </c>
      <c r="Z396" s="7">
        <f>Tabela3[[#This Row],[Capital Social]]*20%</f>
        <v>55980200</v>
      </c>
      <c r="AA396" s="47">
        <f>IF(([Lucro Líquido]*5%)&gt;[Teto R. Legal],[Teto R. Legal],[Lucro Líquido]*5%)</f>
        <v>52000</v>
      </c>
      <c r="AB396" s="47">
        <f>IF([Lucro Líquido]&lt;0,0,[Lucro Líquido]-[Reserva Legal])</f>
        <v>988000</v>
      </c>
      <c r="AC396" s="47">
        <f>Tabela3[[#This Row],[Lucro Distribuir]]*[%Div]</f>
        <v>247000</v>
      </c>
      <c r="AD396" s="56">
        <f>SUMPRODUCT(N([Nome]=Tabela3[[#This Row],[Nome]]),[Ações])</f>
        <v>28596123</v>
      </c>
      <c r="AE396" s="84">
        <f>[Capital Social]/[Total Ações]</f>
        <v>9.7880751177353655</v>
      </c>
      <c r="AF396" s="84">
        <f>Tabela3[[#This Row],[Lucro Líquido]]/Tabela3[[#This Row],[Total Ações]]</f>
        <v>3.6368566466160462E-2</v>
      </c>
      <c r="AG3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3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396" s="7">
        <f>[Div Base]*[Ações]</f>
        <v>163886.93914905877</v>
      </c>
      <c r="AL396" s="113">
        <f>SUMPRODUCT(N([Nome]=Tabela3[[#This Row],[Nome]]),[Div Base]*[Ações])</f>
        <v>247000</v>
      </c>
      <c r="AM396" s="5">
        <f>[Patrimônio Líquido]/[Total Ações]</f>
        <v>17.815561920754082</v>
      </c>
      <c r="AN396" s="52">
        <f>MAX(Tabela3[[#This Row],[Cotação 1]:[Cotação 5]])</f>
        <v>19.5</v>
      </c>
      <c r="AO396" s="53">
        <f>[Cotação]/[VPA]</f>
        <v>1.0945486921343552</v>
      </c>
      <c r="AP396" s="37">
        <f>IF(Tabela3[[#This Row],[Lucro/Ação]]&gt;0,Tabela3[[#This Row],[Cotação]]/(Tabela3[[#This Row],[Lucro/Ação]]/[Ref]*4),0)</f>
        <v>402.13297968750004</v>
      </c>
      <c r="AQ396" s="84">
        <f>[Lucro Distribuir]/[Total Ações]</f>
        <v>3.4550138142852439E-2</v>
      </c>
      <c r="AR396" s="84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4.4295048901092871E-4</v>
      </c>
      <c r="AU396" s="22">
        <f>((1+Tabela3[[#This Row],[% Yield]])^(1/(3*Tabela3[[#This Row],[Ref]])))^(12)-1</f>
        <v>5.9064424886479117E-4</v>
      </c>
      <c r="AV396" s="10">
        <f>IF([Cotação]&gt;0,($BH$1/Tabela3[[#This Row],[Cotação]]-MOD($BH$1/Tabela3[[#This Row],[Cotação]],100)),)</f>
        <v>0</v>
      </c>
      <c r="AW396" s="7">
        <f>Tabela3[[#This Row],[Ativos]]*[Lucro]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19.5</v>
      </c>
      <c r="BB396" s="7">
        <f>SUMPRODUCT(N(Tabela17683[Código]=Tabela3[[#This Row],[PAPEL]]),Tabela17683[Fechamento])</f>
        <v>0</v>
      </c>
    </row>
    <row r="397" spans="1:54" ht="11.25" customHeight="1">
      <c r="A397" s="4" t="s">
        <v>14</v>
      </c>
      <c r="B397" s="57" t="s">
        <v>24</v>
      </c>
      <c r="C397" s="14" t="str">
        <f>LEFT([PAPEL],LEN([PAPEL])-(LEN([PAPEL])-4))</f>
        <v>BBAS</v>
      </c>
      <c r="D397" s="15">
        <v>4</v>
      </c>
      <c r="E397" s="6">
        <v>54000000000</v>
      </c>
      <c r="F397" s="8">
        <v>2865417020</v>
      </c>
      <c r="G397" s="80">
        <v>0.25</v>
      </c>
      <c r="H397" s="19"/>
      <c r="I397" s="19"/>
      <c r="J397" s="19"/>
      <c r="K397" s="87"/>
      <c r="L397" s="87"/>
      <c r="M397" s="55">
        <v>1224458597000</v>
      </c>
      <c r="N397" s="55">
        <v>650448226000</v>
      </c>
      <c r="O397" s="55">
        <v>783736092000</v>
      </c>
      <c r="P397" s="6">
        <v>69859729000</v>
      </c>
      <c r="Q397" s="6">
        <v>15810371000</v>
      </c>
      <c r="R397" s="6">
        <f>IF(Tabela3[[#This Row],[Ativo || Passivo]]&gt;0,Tabela3[[#This Row],[Ativo || Passivo]]-Tabela3[[#This Row],[Patrimônio Líquido]],0)</f>
        <v>1154598868000</v>
      </c>
      <c r="S397" s="6">
        <f>Tabela3[[#This Row],[Cotação]]*Tabela3[[#This Row],[Total Ações]]</f>
        <v>56649294485.400002</v>
      </c>
      <c r="T397" s="121">
        <f>IF(Tabela3[[#This Row],[Passivo Circulante]]&gt;0,Tabela3[[#This Row],[Ativo Circulante]]/Tabela3[[#This Row],[Passivo Circulante]],0)</f>
        <v>0.8299327192398841</v>
      </c>
      <c r="U39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7" s="19">
        <f>IF(Tabela3[[#This Row],[Lucro Líquido]]&gt;0,Tabela3[[#This Row],[Lucro Líquido]]/Tabela3[[#This Row],[Patrimônio Líquido]],0)/Tabela3[[#This Row],[Ref]]*4</f>
        <v>0.22631595092503151</v>
      </c>
      <c r="W39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7" s="19">
        <f>IF(Tabela3[[#This Row],[Dívida]]&gt;0,Tabela3[[#This Row],[Dívida]]/Tabela3[[#This Row],[Patrimônio Líquido]],0)</f>
        <v>16.527388304068573</v>
      </c>
      <c r="Y397" s="19">
        <f>SUMPRODUCT(N([Dívida / PL]&gt;0),N(RIGHT([PAPEL],LEN([PAPEL])-(LEN([PAPEL])-1))="3"),[Dívida / PL])/SUMPRODUCT(N([Dívida / PL]&gt;0),N(RIGHT([PAPEL],LEN([PAPEL])-(LEN([PAPEL])-1))="3"))</f>
        <v>2.2435702141443779</v>
      </c>
      <c r="Z397" s="6">
        <f>Tabela3[[#This Row],[Capital Social]]*20%</f>
        <v>10800000000</v>
      </c>
      <c r="AA397" s="6">
        <f>IF(([Lucro Líquido]*5%)&gt;[Teto R. Legal],[Teto R. Legal],[Lucro Líquido]*5%)</f>
        <v>790518550</v>
      </c>
      <c r="AB397" s="6">
        <f>IF([Lucro Líquido]&lt;0,0,[Lucro Líquido]-[Reserva Legal])</f>
        <v>15019852450</v>
      </c>
      <c r="AC397" s="6">
        <f>Tabela3[[#This Row],[Lucro Distribuir]]*[%Div]</f>
        <v>3754963112.5</v>
      </c>
      <c r="AD397" s="21">
        <f>SUMPRODUCT(N([Nome]=Tabela3[[#This Row],[Nome]]),[Ações])</f>
        <v>2865417020</v>
      </c>
      <c r="AE397" s="6">
        <f>[Capital Social]/[Total Ações]</f>
        <v>18.845424461113865</v>
      </c>
      <c r="AF397" s="77">
        <f>Tabela3[[#This Row],[Lucro Líquido]]/Tabela3[[#This Row],[Total Ações]]</f>
        <v>5.5176509700497274</v>
      </c>
      <c r="AG3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3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397" s="6">
        <f>[Div Base]*[Ações]</f>
        <v>3754963112.5</v>
      </c>
      <c r="AL397" s="6">
        <f>SUMPRODUCT(N([Nome]=Tabela3[[#This Row],[Nome]]),[Div Base]*[Ações])</f>
        <v>3754963112.5</v>
      </c>
      <c r="AM397" s="6">
        <f>[Patrimônio Líquido]/[Total Ações]</f>
        <v>24.380300847099736</v>
      </c>
      <c r="AN397" s="48">
        <f>MAX(Tabela3[[#This Row],[Cotação 1]:[Cotação 5]])</f>
        <v>19.77</v>
      </c>
      <c r="AO397" s="44">
        <f>[Cotação]/[VPA]</f>
        <v>0.81090057600137555</v>
      </c>
      <c r="AP397" s="40">
        <f>IF(Tabela3[[#This Row],[Lucro/Ação]]&gt;0,Tabela3[[#This Row],[Cotação]]/(Tabela3[[#This Row],[Lucro/Ação]]/[Ref]*4),0)</f>
        <v>3.5830465006418888</v>
      </c>
      <c r="AQ397" s="77">
        <f>[Lucro Distribuir]/[Total Ações]</f>
        <v>5.2417684215472411</v>
      </c>
      <c r="AR397" s="77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397" s="15" t="str">
        <f>IF(AND([% A.A.]&gt;=5%,SUMPRODUCT(N([Nome]=Tabela3[[#This Row],[Nome]]),[PL])&gt;0,[Rentabilidade s/ PL]&gt;=[Rentabilidade s/ PL Média]),"Sim","Não")</f>
        <v>Sim</v>
      </c>
      <c r="AT397" s="42">
        <f>IF([Cotação]&gt;0,Tabela3[[#This Row],[Lucro]]/Tabela3[[#This Row],[Cotação]],0)</f>
        <v>6.6284375588609529E-2</v>
      </c>
      <c r="AU397" s="19">
        <f>((1+Tabela3[[#This Row],[% Yield]])^(1/(3*Tabela3[[#This Row],[Ref]])))^(12)-1</f>
        <v>6.6284375588609112E-2</v>
      </c>
      <c r="AV397" s="14">
        <f>IF([Cotação]&gt;0,($BH$1/Tabela3[[#This Row],[Cotação]]-MOD($BH$1/Tabela3[[#This Row],[Cotação]],100)),)</f>
        <v>0</v>
      </c>
      <c r="AW397" s="17">
        <f>Tabela3[[#This Row],[Ativos]]*[Lucro]</f>
        <v>0</v>
      </c>
      <c r="AX397" s="5">
        <f>SUMPRODUCT(N(Tabela1[Código]=Tabela3[[#This Row],[PAPEL]]),Tabela1[Fechamento])</f>
        <v>19.77</v>
      </c>
      <c r="AY397" s="5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0</v>
      </c>
    </row>
    <row r="398" spans="1:54" ht="11.25" customHeight="1">
      <c r="A398" s="3" t="s">
        <v>1233</v>
      </c>
      <c r="B398" s="58" t="s">
        <v>1234</v>
      </c>
      <c r="C398" s="16" t="str">
        <f>LEFT([PAPEL],LEN([PAPEL])-(LEN([PAPEL])-4))</f>
        <v>EMBR</v>
      </c>
      <c r="D398" s="16">
        <v>4</v>
      </c>
      <c r="E398" s="5">
        <v>4789617052.4200001</v>
      </c>
      <c r="F398" s="56">
        <v>740465044</v>
      </c>
      <c r="G398" s="80">
        <v>0.25</v>
      </c>
      <c r="H398" s="86"/>
      <c r="J398" s="18"/>
      <c r="K398" s="16"/>
      <c r="L398" s="86"/>
      <c r="M398" s="54">
        <v>20534126000</v>
      </c>
      <c r="N398" s="54">
        <v>10320011000</v>
      </c>
      <c r="O398" s="54">
        <v>5550587000</v>
      </c>
      <c r="P398" s="90">
        <v>8277255000</v>
      </c>
      <c r="Q398" s="73">
        <v>777689000</v>
      </c>
      <c r="R398" s="73">
        <f>IF(Tabela3[[#This Row],[Ativo || Passivo]]&gt;0,Tabela3[[#This Row],[Ativo || Passivo]]-Tabela3[[#This Row],[Patrimônio Líquido]],0)</f>
        <v>12256871000</v>
      </c>
      <c r="S398" s="73">
        <f>Tabela3[[#This Row],[Cotação]]*Tabela3[[#This Row],[Total Ações]]</f>
        <v>14705635773.84</v>
      </c>
      <c r="T398" s="37">
        <f>IF(Tabela3[[#This Row],[Passivo Circulante]]&gt;0,Tabela3[[#This Row],[Ativo Circulante]]/Tabela3[[#This Row],[Passivo Circulante]],0)</f>
        <v>1.8592647948766501</v>
      </c>
      <c r="U39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8" s="18">
        <f>IF(Tabela3[[#This Row],[Lucro Líquido]]&gt;0,Tabela3[[#This Row],[Lucro Líquido]]/Tabela3[[#This Row],[Patrimônio Líquido]],0)/Tabela3[[#This Row],[Ref]]*4</f>
        <v>9.395494037576467E-2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8" s="18">
        <f>IF(Tabela3[[#This Row],[Dívida]]&gt;0,Tabela3[[#This Row],[Dívida]]/Tabela3[[#This Row],[Patrimônio Líquido]],0)</f>
        <v>1.4807893438102366</v>
      </c>
      <c r="Y398" s="18">
        <f>SUMPRODUCT(N([Dívida / PL]&gt;0),N(RIGHT([PAPEL],LEN([PAPEL])-(LEN([PAPEL])-1))="3"),[Dívida / PL])/SUMPRODUCT(N([Dívida / PL]&gt;0),N(RIGHT([PAPEL],LEN([PAPEL])-(LEN([PAPEL])-1))="3"))</f>
        <v>2.2435702141443779</v>
      </c>
      <c r="Z398" s="7">
        <f>Tabela3[[#This Row],[Capital Social]]*20%</f>
        <v>957923410.48400009</v>
      </c>
      <c r="AA398" s="47">
        <f>IF(([Lucro Líquido]*5%)&gt;[Teto R. Legal],[Teto R. Legal],[Lucro Líquido]*5%)</f>
        <v>38884450</v>
      </c>
      <c r="AB398" s="47">
        <f>IF([Lucro Líquido]&lt;0,0,[Lucro Líquido]-[Reserva Legal])</f>
        <v>738804550</v>
      </c>
      <c r="AC398" s="47">
        <f>Tabela3[[#This Row],[Lucro Distribuir]]*[%Div]</f>
        <v>184701137.5</v>
      </c>
      <c r="AD398" s="56">
        <f>SUMPRODUCT(N([Nome]=Tabela3[[#This Row],[Nome]]),[Ações])</f>
        <v>740465044</v>
      </c>
      <c r="AE398" s="84">
        <f>[Capital Social]/[Total Ações]</f>
        <v>6.468390494906334</v>
      </c>
      <c r="AF398" s="84">
        <f>Tabela3[[#This Row],[Lucro Líquido]]/Tabela3[[#This Row],[Total Ações]]</f>
        <v>1.050271051012639</v>
      </c>
      <c r="AG39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39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398" s="7">
        <f>[Div Base]*[Ações]</f>
        <v>184701137.5</v>
      </c>
      <c r="AL398" s="113">
        <f>SUMPRODUCT(N([Nome]=Tabela3[[#This Row],[Nome]]),[Div Base]*[Ações])</f>
        <v>184701137.5</v>
      </c>
      <c r="AM398" s="5">
        <f>[Patrimônio Líquido]/[Total Ações]</f>
        <v>11.17845476578635</v>
      </c>
      <c r="AN398" s="52">
        <f>MAX(Tabela3[[#This Row],[Cotação 1]:[Cotação 5]])</f>
        <v>19.86</v>
      </c>
      <c r="AO398" s="53">
        <f>[Cotação]/[VPA]</f>
        <v>1.7766319599722373</v>
      </c>
      <c r="AP398" s="37">
        <f>IF(Tabela3[[#This Row],[Lucro/Ação]]&gt;0,Tabela3[[#This Row],[Cotação]]/(Tabela3[[#This Row],[Lucro/Ação]]/[Ref]*4),0)</f>
        <v>18.90940436837862</v>
      </c>
      <c r="AQ398" s="84">
        <f>[Lucro Distribuir]/[Total Ações]</f>
        <v>0.99775749846200712</v>
      </c>
      <c r="AR398" s="84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1.2559887946399888E-2</v>
      </c>
      <c r="AU398" s="22">
        <f>((1+Tabela3[[#This Row],[% Yield]])^(1/(3*Tabela3[[#This Row],[Ref]])))^(12)-1</f>
        <v>1.2559887946398396E-2</v>
      </c>
      <c r="AV398" s="10">
        <f>IF([Cotação]&gt;0,($BH$1/Tabela3[[#This Row],[Cotação]]-MOD($BH$1/Tabela3[[#This Row],[Cotação]],100)),)</f>
        <v>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19.86</v>
      </c>
    </row>
    <row r="399" spans="1:54" ht="11.25" customHeight="1">
      <c r="A399" s="3" t="s">
        <v>846</v>
      </c>
      <c r="B399" s="58" t="s">
        <v>839</v>
      </c>
      <c r="C399" s="16" t="str">
        <f>LEFT([PAPEL],LEN([PAPEL])-(LEN([PAPEL])-4))</f>
        <v>AHEB</v>
      </c>
      <c r="D399" s="16">
        <v>3</v>
      </c>
      <c r="E399" s="5">
        <v>199970873</v>
      </c>
      <c r="F399" s="56">
        <v>317899</v>
      </c>
      <c r="G399" s="80">
        <v>0.25</v>
      </c>
      <c r="H399" s="86"/>
      <c r="I399" s="18">
        <v>0.08</v>
      </c>
      <c r="J399" s="18"/>
      <c r="K399" s="16"/>
      <c r="L399" s="86"/>
      <c r="M399" s="54"/>
      <c r="N399" s="54"/>
      <c r="O399" s="54"/>
      <c r="P399" s="90">
        <v>68456000</v>
      </c>
      <c r="Q399" s="73">
        <v>-16033000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138889870.23000002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2.2435702141443779</v>
      </c>
      <c r="Z399" s="7">
        <f>Tabela3[[#This Row],[Capital Social]]*20%</f>
        <v>39994174.600000001</v>
      </c>
      <c r="AA399" s="47">
        <f>IF(([Lucro Líquido]*5%)&gt;[Teto R. Legal],[Teto R. Legal],[Lucro Líquido]*5%)</f>
        <v>-801650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6941023</v>
      </c>
      <c r="AE399" s="84">
        <f>[Capital Social]/[Total Ações]</f>
        <v>28.810000053306265</v>
      </c>
      <c r="AF399" s="84">
        <f>Tabela3[[#This Row],[Lucro Líquido]]/Tabela3[[#This Row],[Total Ações]]</f>
        <v>-2.3098900551114729</v>
      </c>
      <c r="AG3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7">
        <f>SUMPRODUCT(N([Nome]=Tabela3[[#This Row],[Nome]]),[Div Base]*[Ações])</f>
        <v>0</v>
      </c>
      <c r="AM399" s="5">
        <f>[Patrimônio Líquido]/[Total Ações]</f>
        <v>9.8625231468041523</v>
      </c>
      <c r="AN399" s="52">
        <f>MAX(Tabela3[[#This Row],[Cotação 1]:[Cotação 5]])</f>
        <v>20.010000000000002</v>
      </c>
      <c r="AO399" s="53">
        <f>[Cotação]/[VPA]</f>
        <v>2.0288925766915979</v>
      </c>
      <c r="AP399" s="37">
        <f>IF(Tabela3[[#This Row],[Lucro/Ação]]&gt;0,Tabela3[[#This Row],[Cotação]]/(Tabela3[[#This Row],[Lucro/Ação]]/[Ref]*4),0)</f>
        <v>0</v>
      </c>
      <c r="AQ399" s="84">
        <f>[Lucro Distribuir]/[Total Ações]</f>
        <v>0</v>
      </c>
      <c r="AR39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20.010000000000002</v>
      </c>
      <c r="BB399" s="7">
        <f>SUMPRODUCT(N(Tabela17683[Código]=Tabela3[[#This Row],[PAPEL]]),Tabela17683[Fechamento])</f>
        <v>0</v>
      </c>
    </row>
    <row r="400" spans="1:54" ht="11.25" customHeight="1">
      <c r="A400" s="3" t="s">
        <v>335</v>
      </c>
      <c r="B400" s="58" t="s">
        <v>344</v>
      </c>
      <c r="C400" s="82" t="str">
        <f>LEFT([PAPEL],LEN([PAPEL])-(LEN([PAPEL])-4))</f>
        <v>IGTA</v>
      </c>
      <c r="D400" s="16">
        <v>4</v>
      </c>
      <c r="E400" s="5">
        <v>1232002000</v>
      </c>
      <c r="F400" s="21">
        <v>176611578</v>
      </c>
      <c r="G400" s="85">
        <v>0.25</v>
      </c>
      <c r="H400" s="16"/>
      <c r="J400" s="18"/>
      <c r="K400" s="86"/>
      <c r="L400" s="86"/>
      <c r="M400" s="54">
        <v>4015694000</v>
      </c>
      <c r="N400" s="54">
        <v>913048000</v>
      </c>
      <c r="O400" s="54">
        <v>252524000</v>
      </c>
      <c r="P400" s="5">
        <v>2313491000</v>
      </c>
      <c r="Q400" s="5">
        <v>184632000</v>
      </c>
      <c r="R400" s="5">
        <f>IF(Tabela3[[#This Row],[Ativo || Passivo]]&gt;0,Tabela3[[#This Row],[Ativo || Passivo]]-Tabela3[[#This Row],[Patrimônio Líquido]],0)</f>
        <v>1702203000</v>
      </c>
      <c r="S400" s="5">
        <f>Tabela3[[#This Row],[Cotação]]*Tabela3[[#This Row],[Total Ações]]</f>
        <v>3639964622.5799999</v>
      </c>
      <c r="T400" s="119">
        <f>IF(Tabela3[[#This Row],[Passivo Circulante]]&gt;0,Tabela3[[#This Row],[Ativo Circulante]]/Tabela3[[#This Row],[Passivo Circulante]],0)</f>
        <v>3.6156880138125485</v>
      </c>
      <c r="U40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0" s="18">
        <f>IF(Tabela3[[#This Row],[Lucro Líquido]]&gt;0,Tabela3[[#This Row],[Lucro Líquido]]/Tabela3[[#This Row],[Patrimônio Líquido]],0)/Tabela3[[#This Row],[Ref]]*4</f>
        <v>7.9806664473732553E-2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0" s="18">
        <f>IF(Tabela3[[#This Row],[Dívida]]&gt;0,Tabela3[[#This Row],[Dívida]]/Tabela3[[#This Row],[Patrimônio Líquido]],0)</f>
        <v>0.7357724754494398</v>
      </c>
      <c r="Y400" s="18">
        <f>SUMPRODUCT(N([Dívida / PL]&gt;0),N(RIGHT([PAPEL],LEN([PAPEL])-(LEN([PAPEL])-1))="3"),[Dívida / PL])/SUMPRODUCT(N([Dívida / PL]&gt;0),N(RIGHT([PAPEL],LEN([PAPEL])-(LEN([PAPEL])-1))="3"))</f>
        <v>2.2435702141443779</v>
      </c>
      <c r="Z400" s="5">
        <f>Tabela3[[#This Row],[Capital Social]]*20%</f>
        <v>246400400</v>
      </c>
      <c r="AA400" s="5">
        <f>IF(([Lucro Líquido]*5%)&gt;[Teto R. Legal],[Teto R. Legal],[Lucro Líquido]*5%)</f>
        <v>9231600</v>
      </c>
      <c r="AB400" s="5">
        <f>IF([Lucro Líquido]&lt;0,0,[Lucro Líquido]-[Reserva Legal])</f>
        <v>175400400</v>
      </c>
      <c r="AC400" s="5">
        <f>Tabela3[[#This Row],[Lucro Distribuir]]*[%Div]</f>
        <v>43850100</v>
      </c>
      <c r="AD400" s="56">
        <f>SUMPRODUCT(N([Nome]=Tabela3[[#This Row],[Nome]]),[Ações])</f>
        <v>176611578</v>
      </c>
      <c r="AE400" s="5">
        <f>[Capital Social]/[Total Ações]</f>
        <v>6.975771429888928</v>
      </c>
      <c r="AF400" s="76">
        <f>Tabela3[[#This Row],[Lucro Líquido]]/Tabela3[[#This Row],[Total Ações]]</f>
        <v>1.0454127758260561</v>
      </c>
      <c r="AG40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40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400" s="5">
        <f>[Div Base]*[Ações]</f>
        <v>43850100</v>
      </c>
      <c r="AL400" s="5">
        <f>SUMPRODUCT(N([Nome]=Tabela3[[#This Row],[Nome]]),[Div Base]*[Ações])</f>
        <v>43850100</v>
      </c>
      <c r="AM400" s="5">
        <f>[Patrimônio Líquido]/[Total Ações]</f>
        <v>13.099316739019228</v>
      </c>
      <c r="AN400" s="52">
        <f>MAX(Tabela3[[#This Row],[Cotação 1]:[Cotação 5]])</f>
        <v>20.61</v>
      </c>
      <c r="AO400" s="53">
        <f>[Cotação]/[VPA]</f>
        <v>1.5733645052347296</v>
      </c>
      <c r="AP400" s="37">
        <f>IF(Tabela3[[#This Row],[Lucro/Ação]]&gt;0,Tabela3[[#This Row],[Cotação]]/(Tabela3[[#This Row],[Lucro/Ação]]/[Ref]*4),0)</f>
        <v>19.714700715910567</v>
      </c>
      <c r="AQ400" s="76">
        <f>[Lucro Distribuir]/[Total Ações]</f>
        <v>0.99314213703475318</v>
      </c>
      <c r="AR400" s="76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400" s="16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1.2046847853405545E-2</v>
      </c>
      <c r="AU400" s="18">
        <f>((1+Tabela3[[#This Row],[% Yield]])^(1/(3*Tabela3[[#This Row],[Ref]])))^(12)-1</f>
        <v>1.2046847853406151E-2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47">
        <f>SUMPRODUCT(N(Tabela1[Código]=Tabela3[[#This Row],[PAPEL]]),Tabela1[Fechamento])</f>
        <v>0</v>
      </c>
      <c r="AY400" s="54">
        <f>SUMPRODUCT(N(Tabela17[Código]=Tabela3[[#This Row],[PAPEL]]),Tabela17[Fechamento])</f>
        <v>20.61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0</v>
      </c>
      <c r="BB400" s="7">
        <f>SUMPRODUCT(N(Tabela17683[Código]=Tabela3[[#This Row],[PAPEL]]),Tabela17683[Fechamento])</f>
        <v>0</v>
      </c>
    </row>
    <row r="401" spans="1:54" ht="11.25" customHeight="1">
      <c r="A401" s="4" t="s">
        <v>719</v>
      </c>
      <c r="B401" s="57" t="s">
        <v>727</v>
      </c>
      <c r="C401" s="15" t="str">
        <f>LEFT([PAPEL],LEN([PAPEL])-(LEN([PAPEL])-4))</f>
        <v>QUAL</v>
      </c>
      <c r="D401" s="15">
        <v>3</v>
      </c>
      <c r="E401" s="6">
        <v>1875873805.45</v>
      </c>
      <c r="F401" s="8">
        <v>266602637</v>
      </c>
      <c r="G401" s="85">
        <v>0.25</v>
      </c>
      <c r="H401" s="15"/>
      <c r="I401" s="19"/>
      <c r="J401" s="19"/>
      <c r="K401" s="87"/>
      <c r="L401" s="87"/>
      <c r="M401" s="55"/>
      <c r="N401" s="55"/>
      <c r="O401" s="55"/>
      <c r="P401" s="91">
        <v>2050249000</v>
      </c>
      <c r="Q401" s="92">
        <v>19889000</v>
      </c>
      <c r="R401" s="92">
        <f>IF(Tabela3[[#This Row],[Ativo || Passivo]]&gt;0,Tabela3[[#This Row],[Ativo || Passivo]]-Tabela3[[#This Row],[Patrimônio Líquido]],0)</f>
        <v>0</v>
      </c>
      <c r="S401" s="92">
        <f>Tabela3[[#This Row],[Cotação]]*Tabela3[[#This Row],[Total Ações]]</f>
        <v>5593323324.2600002</v>
      </c>
      <c r="T401" s="40">
        <f>IF(Tabela3[[#This Row],[Passivo Circulante]]&gt;0,Tabela3[[#This Row],[Ativo Circulante]]/Tabela3[[#This Row],[Passivo Circulante]],0)</f>
        <v>0</v>
      </c>
      <c r="U40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1" s="19">
        <f>IF(Tabela3[[#This Row],[Lucro Líquido]]&gt;0,Tabela3[[#This Row],[Lucro Líquido]]/Tabela3[[#This Row],[Patrimônio Líquido]],0)/Tabela3[[#This Row],[Ref]]*4</f>
        <v>1.2934363907343286E-2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1" s="19">
        <f>IF(Tabela3[[#This Row],[Dívida]]&gt;0,Tabela3[[#This Row],[Dívida]]/Tabela3[[#This Row],[Patrimônio Líquido]],0)</f>
        <v>0</v>
      </c>
      <c r="Y401" s="19">
        <f>SUMPRODUCT(N([Dívida / PL]&gt;0),N(RIGHT([PAPEL],LEN([PAPEL])-(LEN([PAPEL])-1))="3"),[Dívida / PL])/SUMPRODUCT(N([Dívida / PL]&gt;0),N(RIGHT([PAPEL],LEN([PAPEL])-(LEN([PAPEL])-1))="3"))</f>
        <v>2.2435702141443779</v>
      </c>
      <c r="Z401" s="13">
        <f>Tabela3[[#This Row],[Capital Social]]*20%</f>
        <v>375174761.09000003</v>
      </c>
      <c r="AA401" s="13">
        <f>IF(([Lucro Líquido]*5%)&gt;[Teto R. Legal],[Teto R. Legal],[Lucro Líquido]*5%)</f>
        <v>994450</v>
      </c>
      <c r="AB401" s="13">
        <f>IF([Lucro Líquido]&lt;0,0,[Lucro Líquido]-[Reserva Legal])</f>
        <v>18894550</v>
      </c>
      <c r="AC401" s="13">
        <f>Tabela3[[#This Row],[Lucro Distribuir]]*[%Div]</f>
        <v>4723637.5</v>
      </c>
      <c r="AD401" s="56">
        <f>SUMPRODUCT(N([Nome]=Tabela3[[#This Row],[Nome]]),[Ações])</f>
        <v>266602637</v>
      </c>
      <c r="AE401" s="6">
        <f>[Capital Social]/[Total Ações]</f>
        <v>7.0362162451153853</v>
      </c>
      <c r="AF401" s="77">
        <f>Tabela3[[#This Row],[Lucro Líquido]]/Tabela3[[#This Row],[Total Ações]]</f>
        <v>7.4601662698482604E-2</v>
      </c>
      <c r="AG4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4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401" s="13">
        <f>[Div Base]*[Ações]</f>
        <v>4723637.5</v>
      </c>
      <c r="AL401" s="13">
        <f>SUMPRODUCT(N([Nome]=Tabela3[[#This Row],[Nome]]),[Div Base]*[Ações])</f>
        <v>4723637.5</v>
      </c>
      <c r="AM401" s="6">
        <f>[Patrimônio Líquido]/[Total Ações]</f>
        <v>7.6902802728091544</v>
      </c>
      <c r="AN401" s="48">
        <f>MAX(Tabela3[[#This Row],[Cotação 1]:[Cotação 5]])</f>
        <v>20.98</v>
      </c>
      <c r="AO401" s="44">
        <f>[Cotação]/[VPA]</f>
        <v>2.728119035424478</v>
      </c>
      <c r="AP401" s="40">
        <f>IF(Tabela3[[#This Row],[Lucro/Ação]]&gt;0,Tabela3[[#This Row],[Cotação]]/(Tabela3[[#This Row],[Lucro/Ação]]/[Ref]*4),0)</f>
        <v>210.92023194705621</v>
      </c>
      <c r="AQ401" s="77">
        <f>[Lucro Distribuir]/[Total Ações]</f>
        <v>7.0871579563558482E-2</v>
      </c>
      <c r="AR401" s="77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8.4451357916537752E-4</v>
      </c>
      <c r="AU401" s="42">
        <f>((1+Tabela3[[#This Row],[% Yield]])^(1/(3*Tabela3[[#This Row],[Ref]])))^(12)-1</f>
        <v>1.1261765654169142E-3</v>
      </c>
      <c r="AV401" s="14">
        <f>IF([Cotação]&gt;0,($BH$1/Tabela3[[#This Row],[Cotação]]-MOD($BH$1/Tabela3[[#This Row],[Cotação]],100)),)</f>
        <v>0</v>
      </c>
      <c r="AW401" s="17">
        <f>Tabela3[[#This Row],[Ativos]]*[Lucro]</f>
        <v>0</v>
      </c>
      <c r="AX401" s="17">
        <f>SUMPRODUCT(N(Tabela1[Código]=Tabela3[[#This Row],[PAPEL]]),Tabela1[Fechamento])</f>
        <v>0</v>
      </c>
      <c r="AY401" s="17">
        <f>SUMPRODUCT(N(Tabela17[Código]=Tabela3[[#This Row],[PAPEL]]),Tabela17[Fechamento])</f>
        <v>0</v>
      </c>
      <c r="AZ401" s="17">
        <f>SUMPRODUCT(N(Tabela176[Código]=Tabela3[[#This Row],[PAPEL]]),Tabela176[Fechamento])</f>
        <v>20.98</v>
      </c>
      <c r="BA401" s="1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t="11.25" customHeight="1">
      <c r="A402" s="4" t="s">
        <v>12</v>
      </c>
      <c r="B402" s="57" t="s">
        <v>91</v>
      </c>
      <c r="C402" s="14" t="str">
        <f>LEFT([PAPEL],LEN([PAPEL])-(LEN([PAPEL])-4))</f>
        <v>CEBR</v>
      </c>
      <c r="D402" s="15">
        <v>3</v>
      </c>
      <c r="E402" s="6">
        <v>342056165.62</v>
      </c>
      <c r="F402" s="8">
        <v>1313002</v>
      </c>
      <c r="G402" s="85">
        <v>0.25</v>
      </c>
      <c r="H402" s="15"/>
      <c r="I402" s="19">
        <v>0.1</v>
      </c>
      <c r="J402" s="19"/>
      <c r="K402" s="87"/>
      <c r="L402" s="87"/>
      <c r="M402" s="13">
        <v>821792000</v>
      </c>
      <c r="N402" s="13">
        <v>37012000</v>
      </c>
      <c r="O402" s="13">
        <v>35888000</v>
      </c>
      <c r="P402" s="88">
        <v>465994000</v>
      </c>
      <c r="Q402" s="88">
        <v>17904000</v>
      </c>
      <c r="R402" s="88">
        <f>IF(Tabela3[[#This Row],[Ativo || Passivo]]&gt;0,Tabela3[[#This Row],[Ativo || Passivo]]-Tabela3[[#This Row],[Patrimônio Líquido]],0)</f>
        <v>355798000</v>
      </c>
      <c r="S402" s="13">
        <f>Tabela3[[#This Row],[Cotação]]*Tabela3[[#This Row],[Total Ações]]</f>
        <v>192852618</v>
      </c>
      <c r="T402" s="121">
        <f>IF(Tabela3[[#This Row],[Passivo Circulante]]&gt;0,Tabela3[[#This Row],[Ativo Circulante]]/Tabela3[[#This Row],[Passivo Circulante]],0)</f>
        <v>1.0313196611680784</v>
      </c>
      <c r="U40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2" s="19">
        <f>IF(Tabela3[[#This Row],[Lucro Líquido]]&gt;0,Tabela3[[#This Row],[Lucro Líquido]]/Tabela3[[#This Row],[Patrimônio Líquido]],0)/Tabela3[[#This Row],[Ref]]*4</f>
        <v>5.1228127400781982E-2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2" s="19">
        <f>IF(Tabela3[[#This Row],[Dívida]]&gt;0,Tabela3[[#This Row],[Dívida]]/Tabela3[[#This Row],[Patrimônio Líquido]],0)</f>
        <v>0.7635248522513165</v>
      </c>
      <c r="Y402" s="19">
        <f>SUMPRODUCT(N([Dívida / PL]&gt;0),N(RIGHT([PAPEL],LEN([PAPEL])-(LEN([PAPEL])-1))="3"),[Dívida / PL])/SUMPRODUCT(N([Dívida / PL]&gt;0),N(RIGHT([PAPEL],LEN([PAPEL])-(LEN([PAPEL])-1))="3"))</f>
        <v>2.2435702141443779</v>
      </c>
      <c r="Z402" s="6">
        <f>Tabela3[[#This Row],[Capital Social]]*20%</f>
        <v>68411233.123999998</v>
      </c>
      <c r="AA402" s="6">
        <f>IF(([Lucro Líquido]*5%)&gt;[Teto R. Legal],[Teto R. Legal],[Lucro Líquido]*5%)</f>
        <v>895200</v>
      </c>
      <c r="AB402" s="88">
        <f>IF([Lucro Líquido]&lt;0,0,[Lucro Líquido]-[Reserva Legal])</f>
        <v>17008800</v>
      </c>
      <c r="AC402" s="88">
        <f>Tabela3[[#This Row],[Lucro Distribuir]]*[%Div]</f>
        <v>4252200</v>
      </c>
      <c r="AD402" s="56">
        <f>SUMPRODUCT(N([Nome]=Tabela3[[#This Row],[Nome]]),[Ações])</f>
        <v>9183458</v>
      </c>
      <c r="AE402" s="6">
        <f>[Capital Social]/[Total Ações]</f>
        <v>37.246989709105222</v>
      </c>
      <c r="AF402" s="77">
        <f>Tabela3[[#This Row],[Lucro Líquido]]/Tabela3[[#This Row],[Total Ações]]</f>
        <v>1.9495924084369962</v>
      </c>
      <c r="AG4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4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4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402" s="6">
        <f>[Div Base]*[Ações]</f>
        <v>4890537.1982034566</v>
      </c>
      <c r="AL402" s="6">
        <f>SUMPRODUCT(N([Nome]=Tabela3[[#This Row],[Nome]]),[Div Base]*[Ações])</f>
        <v>4890537.1982034566</v>
      </c>
      <c r="AM402" s="6">
        <f>[Patrimônio Líquido]/[Total Ações]</f>
        <v>50.742759426786726</v>
      </c>
      <c r="AN402" s="48">
        <f>MAX(Tabela3[[#This Row],[Cotação 1]:[Cotação 5]])</f>
        <v>21</v>
      </c>
      <c r="AO402" s="44">
        <f>[Cotação]/[VPA]</f>
        <v>0.41385214831092249</v>
      </c>
      <c r="AP402" s="40">
        <f>IF(Tabela3[[#This Row],[Lucro/Ação]]&gt;0,Tabela3[[#This Row],[Cotação]]/(Tabela3[[#This Row],[Lucro/Ação]]/[Ref]*4),0)</f>
        <v>8.0786116789544238</v>
      </c>
      <c r="AQ402" s="77">
        <f>[Lucro Distribuir]/[Total Ações]</f>
        <v>1.8521127880151464</v>
      </c>
      <c r="AR402" s="77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402" s="15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0.1773666176624058</v>
      </c>
      <c r="AU402" s="19">
        <f>((1+Tabela3[[#This Row],[% Yield]])^(1/(3*Tabela3[[#This Row],[Ref]])))^(12)-1</f>
        <v>0.24322277422071825</v>
      </c>
      <c r="AV402" s="14">
        <f>IF([Cotação]&gt;0,($BH$1/Tabela3[[#This Row],[Cotação]]-MOD($BH$1/Tabela3[[#This Row],[Cotação]],100)),)</f>
        <v>0</v>
      </c>
      <c r="AW402" s="17">
        <f>Tabela3[[#This Row],[Ativos]]*[Lucro]</f>
        <v>0</v>
      </c>
      <c r="AX402" s="5">
        <f>SUMPRODUCT(N(Tabela1[Código]=Tabela3[[#This Row],[PAPEL]]),Tabela1[Fechamento])</f>
        <v>21</v>
      </c>
      <c r="AY402" s="5">
        <f>SUMPRODUCT(N(Tabela17[Código]=Tabela3[[#This Row],[PAPEL]]),Tabela17[Fechamento])</f>
        <v>0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customHeight="1">
      <c r="A403" s="4" t="s">
        <v>12</v>
      </c>
      <c r="B403" s="57" t="s">
        <v>482</v>
      </c>
      <c r="C403" s="15" t="str">
        <f>LEFT([PAPEL],LEN([PAPEL])-(LEN([PAPEL])-4))</f>
        <v>EKTR</v>
      </c>
      <c r="D403" s="15">
        <v>4</v>
      </c>
      <c r="E403" s="6">
        <v>952491950.13999999</v>
      </c>
      <c r="F403" s="8">
        <v>91880972</v>
      </c>
      <c r="G403" s="80">
        <v>0.25</v>
      </c>
      <c r="H403" s="15"/>
      <c r="I403" s="19"/>
      <c r="J403" s="19"/>
      <c r="K403" s="87"/>
      <c r="L403" s="87"/>
      <c r="M403" s="55">
        <v>4601380000</v>
      </c>
      <c r="N403" s="55">
        <v>1223769000</v>
      </c>
      <c r="O403" s="55">
        <v>808162000</v>
      </c>
      <c r="P403" s="91">
        <v>2052755000</v>
      </c>
      <c r="Q403" s="91">
        <v>323694000</v>
      </c>
      <c r="R403" s="91">
        <f>IF(Tabela3[[#This Row],[Ativo || Passivo]]&gt;0,Tabela3[[#This Row],[Ativo || Passivo]]-Tabela3[[#This Row],[Patrimônio Líquido]],0)</f>
        <v>2548625000</v>
      </c>
      <c r="S403" s="91">
        <f>Tabela3[[#This Row],[Cotação]]*Tabela3[[#This Row],[Total Ações]]</f>
        <v>4068944565</v>
      </c>
      <c r="T403" s="36">
        <f>IF(Tabela3[[#This Row],[Passivo Circulante]]&gt;0,Tabela3[[#This Row],[Ativo Circulante]]/Tabela3[[#This Row],[Passivo Circulante]],0)</f>
        <v>1.5142619920263511</v>
      </c>
      <c r="U403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3" s="19">
        <f>IF(Tabela3[[#This Row],[Lucro Líquido]]&gt;0,Tabela3[[#This Row],[Lucro Líquido]]/Tabela3[[#This Row],[Patrimônio Líquido]],0)/Tabela3[[#This Row],[Ref]]*4</f>
        <v>0.15768759545099148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3" s="19">
        <f>IF(Tabela3[[#This Row],[Dívida]]&gt;0,Tabela3[[#This Row],[Dívida]]/Tabela3[[#This Row],[Patrimônio Líquido]],0)</f>
        <v>1.2415631675480026</v>
      </c>
      <c r="Y403" s="19">
        <f>SUMPRODUCT(N([Dívida / PL]&gt;0),N(RIGHT([PAPEL],LEN([PAPEL])-(LEN([PAPEL])-1))="3"),[Dívida / PL])/SUMPRODUCT(N([Dívida / PL]&gt;0),N(RIGHT([PAPEL],LEN([PAPEL])-(LEN([PAPEL])-1))="3"))</f>
        <v>2.2435702141443779</v>
      </c>
      <c r="Z403" s="13">
        <f>Tabela3[[#This Row],[Capital Social]]*20%</f>
        <v>190498390.028</v>
      </c>
      <c r="AA403" s="13">
        <f>IF(([Lucro Líquido]*5%)&gt;[Teto R. Legal],[Teto R. Legal],[Lucro Líquido]*5%)</f>
        <v>16184700</v>
      </c>
      <c r="AB403" s="13">
        <f>IF([Lucro Líquido]&lt;0,0,[Lucro Líquido]-[Reserva Legal])</f>
        <v>307509300</v>
      </c>
      <c r="AC403" s="13">
        <f>Tabela3[[#This Row],[Lucro Distribuir]]*[%Div]</f>
        <v>76877325</v>
      </c>
      <c r="AD403" s="56">
        <f>SUMPRODUCT(N([Nome]=Tabela3[[#This Row],[Nome]]),[Ações])</f>
        <v>193759265</v>
      </c>
      <c r="AE403" s="6">
        <f>[Capital Social]/[Total Ações]</f>
        <v>4.9158524117027387</v>
      </c>
      <c r="AF403" s="77">
        <f>Tabela3[[#This Row],[Lucro Líquido]]/Tabela3[[#This Row],[Total Ações]]</f>
        <v>1.6705988227195225</v>
      </c>
      <c r="AG40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40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403" s="13">
        <f>[Div Base]*[Ações]</f>
        <v>35321093.059303932</v>
      </c>
      <c r="AL403" s="13">
        <f>SUMPRODUCT(N([Nome]=Tabela3[[#This Row],[Nome]]),[Div Base]*[Ações])</f>
        <v>78401807.747173041</v>
      </c>
      <c r="AM403" s="6">
        <f>[Patrimônio Líquido]/[Total Ações]</f>
        <v>10.594357900769287</v>
      </c>
      <c r="AN403" s="48">
        <f>MAX(Tabela3[[#This Row],[Cotação 1]:[Cotação 5]])</f>
        <v>21</v>
      </c>
      <c r="AO403" s="44">
        <f>[Cotação]/[VPA]</f>
        <v>1.982187141183434</v>
      </c>
      <c r="AP403" s="40">
        <f>IF(Tabela3[[#This Row],[Lucro/Ação]]&gt;0,Tabela3[[#This Row],[Cotação]]/(Tabela3[[#This Row],[Lucro/Ação]]/[Ref]*4),0)</f>
        <v>12.570342870118075</v>
      </c>
      <c r="AQ403" s="77">
        <f>[Lucro Distribuir]/[Total Ações]</f>
        <v>1.5870688815835465</v>
      </c>
      <c r="AR403" s="77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1.8305823020111349E-2</v>
      </c>
      <c r="AU403" s="42">
        <f>((1+Tabela3[[#This Row],[% Yield]])^(1/(3*Tabela3[[#This Row],[Ref]])))^(12)-1</f>
        <v>1.8305823020112744E-2</v>
      </c>
      <c r="AV403" s="14">
        <f>IF([Cotação]&gt;0,($BH$1/Tabela3[[#This Row],[Cotação]]-MOD($BH$1/Tabela3[[#This Row],[Cotação]],100)),)</f>
        <v>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21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customHeight="1">
      <c r="A404" s="4" t="s">
        <v>37</v>
      </c>
      <c r="B404" s="57" t="s">
        <v>36</v>
      </c>
      <c r="C404" s="14" t="str">
        <f>LEFT([PAPEL],LEN([PAPEL])-(LEN([PAPEL])-4))</f>
        <v>SBSP</v>
      </c>
      <c r="D404" s="15">
        <v>3</v>
      </c>
      <c r="E404" s="6">
        <v>6203688565.2299995</v>
      </c>
      <c r="F404" s="8">
        <v>683509869</v>
      </c>
      <c r="G404" s="80">
        <v>0.25</v>
      </c>
      <c r="H404" s="19"/>
      <c r="I404" s="19"/>
      <c r="J404" s="19"/>
      <c r="K404" s="87"/>
      <c r="L404" s="87"/>
      <c r="M404" s="55"/>
      <c r="N404" s="55"/>
      <c r="O404" s="55"/>
      <c r="P404" s="6">
        <v>12509395000</v>
      </c>
      <c r="Q404" s="6">
        <v>1332834000</v>
      </c>
      <c r="R404" s="6">
        <f>IF(Tabela3[[#This Row],[Ativo || Passivo]]&gt;0,Tabela3[[#This Row],[Ativo || Passivo]]-Tabela3[[#This Row],[Patrimônio Líquido]],0)</f>
        <v>0</v>
      </c>
      <c r="S404" s="6">
        <f>Tabela3[[#This Row],[Cotação]]*Tabela3[[#This Row],[Total Ações]]</f>
        <v>14387882742.450001</v>
      </c>
      <c r="T404" s="121">
        <f>IF(Tabela3[[#This Row],[Passivo Circulante]]&gt;0,Tabela3[[#This Row],[Ativo Circulante]]/Tabela3[[#This Row],[Passivo Circulante]],0)</f>
        <v>0</v>
      </c>
      <c r="U40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4" s="19">
        <f>IF(Tabela3[[#This Row],[Lucro Líquido]]&gt;0,Tabela3[[#This Row],[Lucro Líquido]]/Tabela3[[#This Row],[Patrimônio Líquido]],0)/Tabela3[[#This Row],[Ref]]*4</f>
        <v>0.14206218606095658</v>
      </c>
      <c r="W40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4" s="19">
        <f>IF(Tabela3[[#This Row],[Dívida]]&gt;0,Tabela3[[#This Row],[Dívida]]/Tabela3[[#This Row],[Patrimônio Líquido]],0)</f>
        <v>0</v>
      </c>
      <c r="Y404" s="19">
        <f>SUMPRODUCT(N([Dívida / PL]&gt;0),N(RIGHT([PAPEL],LEN([PAPEL])-(LEN([PAPEL])-1))="3"),[Dívida / PL])/SUMPRODUCT(N([Dívida / PL]&gt;0),N(RIGHT([PAPEL],LEN([PAPEL])-(LEN([PAPEL])-1))="3"))</f>
        <v>2.2435702141443779</v>
      </c>
      <c r="Z404" s="6">
        <f>Tabela3[[#This Row],[Capital Social]]*20%</f>
        <v>1240737713.046</v>
      </c>
      <c r="AA404" s="6">
        <f>IF(([Lucro Líquido]*5%)&gt;[Teto R. Legal],[Teto R. Legal],[Lucro Líquido]*5%)</f>
        <v>66641700</v>
      </c>
      <c r="AB404" s="6">
        <f>IF([Lucro Líquido]&lt;0,0,[Lucro Líquido]-[Reserva Legal])</f>
        <v>1266192300</v>
      </c>
      <c r="AC404" s="6">
        <f>Tabela3[[#This Row],[Lucro Distribuir]]*[%Div]</f>
        <v>316548075</v>
      </c>
      <c r="AD404" s="21">
        <f>SUMPRODUCT(N([Nome]=Tabela3[[#This Row],[Nome]]),[Ações])</f>
        <v>683509869</v>
      </c>
      <c r="AE404" s="6">
        <f>[Capital Social]/[Total Ações]</f>
        <v>9.0762238361038197</v>
      </c>
      <c r="AF404" s="77">
        <f>Tabela3[[#This Row],[Lucro Líquido]]/Tabela3[[#This Row],[Total Ações]]</f>
        <v>1.9499850118477222</v>
      </c>
      <c r="AG4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04" s="6">
        <f>[Div Base]*[Ações]</f>
        <v>316548075</v>
      </c>
      <c r="AL404" s="6">
        <f>SUMPRODUCT(N([Nome]=Tabela3[[#This Row],[Nome]]),[Div Base]*[Ações])</f>
        <v>316548075</v>
      </c>
      <c r="AM404" s="6">
        <f>[Patrimônio Líquido]/[Total Ações]</f>
        <v>18.301703555943828</v>
      </c>
      <c r="AN404" s="48">
        <f>MAX(Tabela3[[#This Row],[Cotação 1]:[Cotação 5]])</f>
        <v>21.05</v>
      </c>
      <c r="AO404" s="44">
        <f>[Cotação]/[VPA]</f>
        <v>1.1501661545142672</v>
      </c>
      <c r="AP404" s="40">
        <f>IF(Tabela3[[#This Row],[Lucro/Ação]]&gt;0,Tabela3[[#This Row],[Cotação]]/(Tabela3[[#This Row],[Lucro/Ação]]/[Ref]*4),0)</f>
        <v>8.0962160755484174</v>
      </c>
      <c r="AQ404" s="77">
        <f>[Lucro Distribuir]/[Total Ações]</f>
        <v>1.852485761255336</v>
      </c>
      <c r="AR404" s="77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04" s="15" t="str">
        <f>IF(AND([% A.A.]&gt;=5%,SUMPRODUCT(N([Nome]=Tabela3[[#This Row],[Nome]]),[PL])&gt;0,[Rentabilidade s/ PL]&gt;=[Rentabilidade s/ PL Média]),"Sim","Não")</f>
        <v>Não</v>
      </c>
      <c r="AT404" s="42">
        <f>IF([Cotação]&gt;0,Tabela3[[#This Row],[Lucro]]/Tabela3[[#This Row],[Cotação]],0)</f>
        <v>2.2001018542224894E-2</v>
      </c>
      <c r="AU404" s="19">
        <f>((1+Tabela3[[#This Row],[% Yield]])^(1/(3*Tabela3[[#This Row],[Ref]])))^(12)-1</f>
        <v>2.9441735769458299E-2</v>
      </c>
      <c r="AV404" s="14">
        <f>IF([Cotação]&gt;0,($BH$1/Tabela3[[#This Row],[Cotação]]-MOD($BH$1/Tabela3[[#This Row],[Cotação]],100)),)</f>
        <v>0</v>
      </c>
      <c r="AW404" s="17">
        <f>Tabela3[[#This Row],[Ativos]]*[Lucro]</f>
        <v>0</v>
      </c>
      <c r="AX404" s="5">
        <f>SUMPRODUCT(N(Tabela1[Código]=Tabela3[[#This Row],[PAPEL]]),Tabela1[Fechamento])</f>
        <v>21.05</v>
      </c>
      <c r="AY404" s="5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0</v>
      </c>
      <c r="BB404" s="7">
        <f>SUMPRODUCT(N(Tabela17683[Código]=Tabela3[[#This Row],[PAPEL]]),Tabela17683[Fechamento])</f>
        <v>0</v>
      </c>
    </row>
    <row r="405" spans="1:54" ht="11.25" customHeight="1">
      <c r="A405" s="3" t="s">
        <v>767</v>
      </c>
      <c r="B405" s="58" t="s">
        <v>766</v>
      </c>
      <c r="C405" s="16" t="str">
        <f>LEFT([PAPEL],LEN([PAPEL])-(LEN([PAPEL])-4))</f>
        <v>CRUZ</v>
      </c>
      <c r="D405" s="16">
        <v>4</v>
      </c>
      <c r="E405" s="5">
        <v>854755740.32000005</v>
      </c>
      <c r="F405" s="56">
        <v>1528450500</v>
      </c>
      <c r="G405" s="80">
        <v>0.25</v>
      </c>
      <c r="H405" s="86"/>
      <c r="J405" s="18"/>
      <c r="K405" s="16"/>
      <c r="L405" s="86"/>
      <c r="M405" s="54">
        <v>6386762000</v>
      </c>
      <c r="N405" s="54">
        <v>4562775000</v>
      </c>
      <c r="O405" s="54">
        <v>3281657000</v>
      </c>
      <c r="P405" s="90">
        <v>2440374000</v>
      </c>
      <c r="Q405" s="73">
        <v>1694282000</v>
      </c>
      <c r="R405" s="73">
        <f>IF(Tabela3[[#This Row],[Ativo || Passivo]]&gt;0,Tabela3[[#This Row],[Ativo || Passivo]]-Tabela3[[#This Row],[Patrimônio Líquido]],0)</f>
        <v>3946388000</v>
      </c>
      <c r="S405" s="73">
        <f>Tabela3[[#This Row],[Cotação]]*Tabela3[[#This Row],[Total Ações]]</f>
        <v>32617133670</v>
      </c>
      <c r="T405" s="37">
        <f>IF(Tabela3[[#This Row],[Passivo Circulante]]&gt;0,Tabela3[[#This Row],[Ativo Circulante]]/Tabela3[[#This Row],[Passivo Circulante]],0)</f>
        <v>1.3903875389780225</v>
      </c>
      <c r="U4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5" s="18">
        <f>IF(Tabela3[[#This Row],[Lucro Líquido]]&gt;0,Tabela3[[#This Row],[Lucro Líquido]]/Tabela3[[#This Row],[Patrimônio Líquido]],0)/Tabela3[[#This Row],[Ref]]*4</f>
        <v>0.69427145183484174</v>
      </c>
      <c r="W4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5" s="18">
        <f>IF(Tabela3[[#This Row],[Dívida]]&gt;0,Tabela3[[#This Row],[Dívida]]/Tabela3[[#This Row],[Patrimônio Líquido]],0)</f>
        <v>1.6171242604617162</v>
      </c>
      <c r="Y405" s="18">
        <f>SUMPRODUCT(N([Dívida / PL]&gt;0),N(RIGHT([PAPEL],LEN([PAPEL])-(LEN([PAPEL])-1))="3"),[Dívida / PL])/SUMPRODUCT(N([Dívida / PL]&gt;0),N(RIGHT([PAPEL],LEN([PAPEL])-(LEN([PAPEL])-1))="3"))</f>
        <v>2.2435702141443779</v>
      </c>
      <c r="Z405" s="7">
        <f>Tabela3[[#This Row],[Capital Social]]*20%</f>
        <v>170951148.06400001</v>
      </c>
      <c r="AA405" s="47">
        <f>IF(([Lucro Líquido]*5%)&gt;[Teto R. Legal],[Teto R. Legal],[Lucro Líquido]*5%)</f>
        <v>84714100</v>
      </c>
      <c r="AB405" s="47">
        <f>IF([Lucro Líquido]&lt;0,0,[Lucro Líquido]-[Reserva Legal])</f>
        <v>1609567900</v>
      </c>
      <c r="AC405" s="47">
        <f>Tabela3[[#This Row],[Lucro Distribuir]]*[%Div]</f>
        <v>402391975</v>
      </c>
      <c r="AD405" s="56">
        <f>SUMPRODUCT(N([Nome]=Tabela3[[#This Row],[Nome]]),[Ações])</f>
        <v>1528450500</v>
      </c>
      <c r="AE405" s="84">
        <f>[Capital Social]/[Total Ações]</f>
        <v>0.55923024024657653</v>
      </c>
      <c r="AF405" s="84">
        <f>Tabela3[[#This Row],[Lucro Líquido]]/Tabela3[[#This Row],[Total Ações]]</f>
        <v>1.1084964805860575</v>
      </c>
      <c r="AG4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4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405" s="7">
        <f>[Div Base]*[Ações]</f>
        <v>402391974.99999994</v>
      </c>
      <c r="AL405" s="7">
        <f>SUMPRODUCT(N([Nome]=Tabela3[[#This Row],[Nome]]),[Div Base]*[Ações])</f>
        <v>402391974.99999994</v>
      </c>
      <c r="AM405" s="5">
        <f>[Patrimônio Líquido]/[Total Ações]</f>
        <v>1.5966326681825811</v>
      </c>
      <c r="AN405" s="52">
        <f>MAX(Tabela3[[#This Row],[Cotação 1]:[Cotação 5]])</f>
        <v>21.34</v>
      </c>
      <c r="AO405" s="53">
        <f>[Cotação]/[VPA]</f>
        <v>13.365629067511781</v>
      </c>
      <c r="AP405" s="37">
        <f>IF(Tabela3[[#This Row],[Lucro/Ação]]&gt;0,Tabela3[[#This Row],[Cotação]]/(Tabela3[[#This Row],[Lucro/Ação]]/[Ref]*4),0)</f>
        <v>19.251301536580097</v>
      </c>
      <c r="AQ405" s="84">
        <f>[Lucro Distribuir]/[Total Ações]</f>
        <v>1.0530716565567546</v>
      </c>
      <c r="AR405" s="84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405" s="10" t="str">
        <f>IF(AND([% A.A.]&gt;=5%,SUMPRODUCT(N([Nome]=Tabela3[[#This Row],[Nome]]),[PL])&gt;0,[Rentabilidade s/ PL]&gt;=[Rentabilidade s/ PL Média]),"Sim","Não")</f>
        <v>Não</v>
      </c>
      <c r="AT405" s="22">
        <f>IF([Cotação]&gt;0,Tabela3[[#This Row],[Lucro]]/Tabela3[[#This Row],[Cotação]],0)</f>
        <v>1.2336828216456826E-2</v>
      </c>
      <c r="AU405" s="22">
        <f>((1+Tabela3[[#This Row],[% Yield]])^(1/(3*Tabela3[[#This Row],[Ref]])))^(12)-1</f>
        <v>1.2336828216457985E-2</v>
      </c>
      <c r="AV405" s="10">
        <f>IF([Cotação]&gt;0,($BH$1/Tabela3[[#This Row],[Cotação]]-MOD($BH$1/Tabela3[[#This Row],[Cotação]],100)),)</f>
        <v>0</v>
      </c>
      <c r="AW405" s="7">
        <f>Tabela3[[#This Row],[Ativos]]*[Lucro]</f>
        <v>0</v>
      </c>
      <c r="AX405" s="7">
        <f>SUMPRODUCT(N(Tabela1[Código]=Tabela3[[#This Row],[PAPEL]]),Tabela1[Fechamento])</f>
        <v>0</v>
      </c>
      <c r="AY405" s="7">
        <f>SUMPRODUCT(N(Tabela17[Código]=Tabela3[[#This Row],[PAPEL]]),Tabela17[Fechamento])</f>
        <v>0</v>
      </c>
      <c r="AZ405" s="7">
        <f>SUMPRODUCT(N(Tabela176[Código]=Tabela3[[#This Row],[PAPEL]]),Tabela176[Fechamento])</f>
        <v>21.34</v>
      </c>
      <c r="BA405" s="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>
      <c r="A406" s="3" t="s">
        <v>855</v>
      </c>
      <c r="B406" s="58" t="s">
        <v>866</v>
      </c>
      <c r="C406" s="16" t="str">
        <f>LEFT([PAPEL],LEN([PAPEL])-(LEN([PAPEL])-4))</f>
        <v>VVAR</v>
      </c>
      <c r="D406" s="16">
        <v>4</v>
      </c>
      <c r="E406" s="5"/>
      <c r="F406" s="56"/>
      <c r="G406" s="80">
        <v>0.25</v>
      </c>
      <c r="H406" s="86"/>
      <c r="J406" s="18"/>
      <c r="K406" s="16">
        <v>1</v>
      </c>
      <c r="L406" s="86">
        <v>2</v>
      </c>
      <c r="M406" s="54">
        <v>13300516000</v>
      </c>
      <c r="N406" s="54">
        <v>8853593000</v>
      </c>
      <c r="O406" s="54">
        <v>7717457000</v>
      </c>
      <c r="P406" s="90">
        <v>3950803000</v>
      </c>
      <c r="Q406" s="92">
        <v>1159542000</v>
      </c>
      <c r="R406" s="92">
        <f>IF(Tabela3[[#This Row],[Ativo || Passivo]]&gt;0,Tabela3[[#This Row],[Ativo || Passivo]]-Tabela3[[#This Row],[Patrimônio Líquido]],0)</f>
        <v>9349713000</v>
      </c>
      <c r="S406" s="92">
        <f>Tabela3[[#This Row],[Cotação]]*Tabela3[[#This Row],[Total Ações]]</f>
        <v>29132253320.080002</v>
      </c>
      <c r="T406" s="40">
        <f>IF(Tabela3[[#This Row],[Passivo Circulante]]&gt;0,Tabela3[[#This Row],[Ativo Circulante]]/Tabela3[[#This Row],[Passivo Circulante]],0)</f>
        <v>1.1472163693299491</v>
      </c>
      <c r="U40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6" s="19">
        <f>IF(Tabela3[[#This Row],[Lucro Líquido]]&gt;0,Tabela3[[#This Row],[Lucro Líquido]]/Tabela3[[#This Row],[Patrimônio Líquido]],0)/Tabela3[[#This Row],[Ref]]*4</f>
        <v>0.29349527172071094</v>
      </c>
      <c r="W40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6" s="19">
        <f>IF(Tabela3[[#This Row],[Dívida]]&gt;0,Tabela3[[#This Row],[Dívida]]/Tabela3[[#This Row],[Patrimônio Líquido]],0)</f>
        <v>2.3665348538006072</v>
      </c>
      <c r="Y406" s="19">
        <f>SUMPRODUCT(N([Dívida / PL]&gt;0),N(RIGHT([PAPEL],LEN([PAPEL])-(LEN([PAPEL])-1))="3"),[Dívida / PL])/SUMPRODUCT(N([Dívida / PL]&gt;0),N(RIGHT([PAPEL],LEN([PAPEL])-(LEN([PAPEL])-1))="3"))</f>
        <v>2.2435702141443779</v>
      </c>
      <c r="Z406" s="7">
        <f>Tabela3[[#This Row],[Capital Social]]*20%</f>
        <v>0</v>
      </c>
      <c r="AA406" s="47">
        <f>IF(([Lucro Líquido]*5%)&gt;[Teto R. Legal],[Teto R. Legal],[Lucro Líquido]*5%)</f>
        <v>0</v>
      </c>
      <c r="AB406" s="47">
        <f>IF([Lucro Líquido]&lt;0,0,[Lucro Líquido]-[Reserva Legal])</f>
        <v>1159542000</v>
      </c>
      <c r="AC406" s="47">
        <f>Tabela3[[#This Row],[Lucro Distribuir]]*[%Div]</f>
        <v>289885500</v>
      </c>
      <c r="AD406" s="56">
        <f>SUMPRODUCT(N([Nome]=Tabela3[[#This Row],[Nome]]),[Ações])</f>
        <v>1290751144</v>
      </c>
      <c r="AE406" s="84">
        <f>[Capital Social]/[Total Ações]</f>
        <v>0</v>
      </c>
      <c r="AF406" s="84">
        <f>Tabela3[[#This Row],[Lucro Líquido]]/Tabela3[[#This Row],[Total Ações]]</f>
        <v>0.89834667618934916</v>
      </c>
      <c r="AG40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6" s="7">
        <f>[Div Base]*[Ações]</f>
        <v>0</v>
      </c>
      <c r="AL406" s="7">
        <f>SUMPRODUCT(N([Nome]=Tabela3[[#This Row],[Nome]]),[Div Base]*[Ações])</f>
        <v>275391225</v>
      </c>
      <c r="AM406" s="5">
        <f>[Patrimônio Líquido]/[Total Ações]</f>
        <v>3.0608557027937833</v>
      </c>
      <c r="AN406" s="52">
        <f>MAX(Tabela3[[#This Row],[Cotação 1]:[Cotação 5]])</f>
        <v>22.57</v>
      </c>
      <c r="AO406" s="53">
        <f>[Cotação]/[VPA]</f>
        <v>7.3737549860319538</v>
      </c>
      <c r="AP406" s="37">
        <f>IF(Tabela3[[#This Row],[Lucro/Ação]]&gt;0,Tabela3[[#This Row],[Cotação]]/(Tabela3[[#This Row],[Lucro/Ação]]/[Ref]*4),0)</f>
        <v>25.12393110390137</v>
      </c>
      <c r="AQ406" s="84">
        <f>[Lucro Distribuir]/[Total Ações]</f>
        <v>0.89834667618934916</v>
      </c>
      <c r="AR406" s="84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2.8359415453474136E-2</v>
      </c>
      <c r="AU406" s="22">
        <f>((1+Tabela3[[#This Row],[% Yield]])^(1/(3*Tabela3[[#This Row],[Ref]])))^(12)-1</f>
        <v>2.8359415453474091E-2</v>
      </c>
      <c r="AV406" s="10">
        <f>IF([Cotação]&gt;0,($BH$1/Tabela3[[#This Row],[Cotação]]-MOD($BH$1/Tabela3[[#This Row],[Cotação]],100)),)</f>
        <v>0</v>
      </c>
      <c r="AW406" s="7">
        <f>Tabela3[[#This Row],[Ativos]]*[Lucro]</f>
        <v>0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22.57</v>
      </c>
      <c r="BB406" s="7">
        <f>SUMPRODUCT(N(Tabela17683[Código]=Tabela3[[#This Row],[PAPEL]]),Tabela17683[Fechamento])</f>
        <v>0</v>
      </c>
    </row>
    <row r="407" spans="1:54" ht="11.25" customHeight="1">
      <c r="A407" s="4" t="s">
        <v>12</v>
      </c>
      <c r="B407" s="57" t="s">
        <v>86</v>
      </c>
      <c r="C407" s="83" t="str">
        <f>LEFT([PAPEL],LEN([PAPEL])-(LEN([PAPEL])-4))</f>
        <v>CESP</v>
      </c>
      <c r="D407" s="15">
        <v>3</v>
      </c>
      <c r="E407" s="6">
        <v>5975433454.4300003</v>
      </c>
      <c r="F407" s="8">
        <v>7702726</v>
      </c>
      <c r="G407" s="80">
        <v>0.25</v>
      </c>
      <c r="H407" s="15"/>
      <c r="I407" s="19">
        <v>0.1</v>
      </c>
      <c r="J407" s="19"/>
      <c r="K407" s="87"/>
      <c r="L407" s="87"/>
      <c r="M407" s="13">
        <v>16942307000</v>
      </c>
      <c r="N407" s="13">
        <v>1594817000</v>
      </c>
      <c r="O407" s="13">
        <v>1283878000</v>
      </c>
      <c r="P407" s="88">
        <v>10479149000</v>
      </c>
      <c r="Q407" s="88">
        <v>795212000</v>
      </c>
      <c r="R407" s="88">
        <f>IF(Tabela3[[#This Row],[Ativo || Passivo]]&gt;0,Tabela3[[#This Row],[Ativo || Passivo]]-Tabela3[[#This Row],[Patrimônio Líquido]],0)</f>
        <v>6463158000</v>
      </c>
      <c r="S407" s="13">
        <f>Tabela3[[#This Row],[Cotação]]*Tabela3[[#This Row],[Total Ações]]</f>
        <v>7417935543.4499998</v>
      </c>
      <c r="T407" s="121">
        <f>IF(Tabela3[[#This Row],[Passivo Circulante]]&gt;0,Tabela3[[#This Row],[Ativo Circulante]]/Tabela3[[#This Row],[Passivo Circulante]],0)</f>
        <v>1.2421873417879268</v>
      </c>
      <c r="U40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7" s="19">
        <f>IF(Tabela3[[#This Row],[Lucro Líquido]]&gt;0,Tabela3[[#This Row],[Lucro Líquido]]/Tabela3[[#This Row],[Patrimônio Líquido]],0)/Tabela3[[#This Row],[Ref]]*4</f>
        <v>0.10118022624419852</v>
      </c>
      <c r="W40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7" s="19">
        <f>IF(Tabela3[[#This Row],[Dívida]]&gt;0,Tabela3[[#This Row],[Dívida]]/Tabela3[[#This Row],[Patrimônio Líquido]],0)</f>
        <v>0.61676363223769415</v>
      </c>
      <c r="Y407" s="19">
        <f>SUMPRODUCT(N([Dívida / PL]&gt;0),N(RIGHT([PAPEL],LEN([PAPEL])-(LEN([PAPEL])-1))="3"),[Dívida / PL])/SUMPRODUCT(N([Dívida / PL]&gt;0),N(RIGHT([PAPEL],LEN([PAPEL])-(LEN([PAPEL])-1))="3"))</f>
        <v>2.2435702141443779</v>
      </c>
      <c r="Z407" s="13">
        <f>Tabela3[[#This Row],[Capital Social]]*20%</f>
        <v>1195086690.8860002</v>
      </c>
      <c r="AA407" s="13">
        <f>IF(([Lucro Líquido]*5%)&gt;[Teto R. Legal],[Teto R. Legal],[Lucro Líquido]*5%)</f>
        <v>39760600</v>
      </c>
      <c r="AB407" s="88">
        <f>IF([Lucro Líquido]&lt;0,0,[Lucro Líquido]-[Reserva Legal])</f>
        <v>755451400</v>
      </c>
      <c r="AC407" s="88">
        <f>Tabela3[[#This Row],[Lucro Distribuir]]*[%Div]</f>
        <v>188862850</v>
      </c>
      <c r="AD407" s="56">
        <f>SUMPRODUCT(N([Nome]=Tabela3[[#This Row],[Nome]]),[Ações])</f>
        <v>327502673</v>
      </c>
      <c r="AE407" s="6">
        <f>[Capital Social]/[Total Ações]</f>
        <v>18.245449417843378</v>
      </c>
      <c r="AF407" s="77">
        <f>Tabela3[[#This Row],[Lucro Líquido]]/Tabela3[[#This Row],[Total Ações]]</f>
        <v>2.4281084264616064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407" s="13">
        <f>[Div Base]*[Ações]</f>
        <v>14053969.761250706</v>
      </c>
      <c r="AL407" s="13">
        <f>SUMPRODUCT(N([Nome]=Tabela3[[#This Row],[Nome]]),[Div Base]*[Ações])</f>
        <v>188862850</v>
      </c>
      <c r="AM407" s="6">
        <f>[Patrimônio Líquido]/[Total Ações]</f>
        <v>31.99714037143141</v>
      </c>
      <c r="AN407" s="48">
        <f>MAX(Tabela3[[#This Row],[Cotação 1]:[Cotação 5]])</f>
        <v>22.65</v>
      </c>
      <c r="AO407" s="44">
        <f>[Cotação]/[VPA]</f>
        <v>0.7078757581794094</v>
      </c>
      <c r="AP407" s="40">
        <f>IF(Tabela3[[#This Row],[Lucro/Ação]]&gt;0,Tabela3[[#This Row],[Cotação]]/(Tabela3[[#This Row],[Lucro/Ação]]/[Ref]*4),0)</f>
        <v>6.9961867496812165</v>
      </c>
      <c r="AQ407" s="77">
        <f>[Lucro Distribuir]/[Total Ações]</f>
        <v>2.3067030051385262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407" s="14" t="str">
        <f>IF(AND([% A.A.]&gt;=5%,SUMPRODUCT(N([Nome]=Tabela3[[#This Row],[Nome]]),[PL])&gt;0,[Rentabilidade s/ PL]&gt;=[Rentabilidade s/ PL Média]),"Sim","Não")</f>
        <v>Não</v>
      </c>
      <c r="AT407" s="42">
        <f>IF([Cotação]&gt;0,Tabela3[[#This Row],[Lucro]]/Tabela3[[#This Row],[Cotação]],0)</f>
        <v>8.0553860564429938E-2</v>
      </c>
      <c r="AU407" s="19">
        <f>((1+Tabela3[[#This Row],[% Yield]])^(1/(3*Tabela3[[#This Row],[Ref]])))^(12)-1</f>
        <v>0.10882214879336694</v>
      </c>
      <c r="AV407" s="14">
        <f>IF([Cotação]&gt;0,($BH$1/Tabela3[[#This Row],[Cotação]]-MOD($BH$1/Tabela3[[#This Row],[Cotação]],100)),)</f>
        <v>0</v>
      </c>
      <c r="AW407" s="17">
        <f>Tabela3[[#This Row],[Ativos]]*[Lucro]</f>
        <v>0</v>
      </c>
      <c r="AX407" s="47">
        <f>SUMPRODUCT(N(Tabela1[Código]=Tabela3[[#This Row],[PAPEL]]),Tabela1[Fechamento])</f>
        <v>22.65</v>
      </c>
      <c r="AY407" s="47">
        <f>SUMPRODUCT(N(Tabela17[Código]=Tabela3[[#This Row],[PAPEL]]),Tabela17[Fechamento])</f>
        <v>0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t="11.25" customHeight="1">
      <c r="A408" s="4" t="s">
        <v>12</v>
      </c>
      <c r="B408" s="57" t="s">
        <v>87</v>
      </c>
      <c r="C408" s="14" t="str">
        <f>LEFT([PAPEL],LEN([PAPEL])-(LEN([PAPEL])-4))</f>
        <v>CESP</v>
      </c>
      <c r="D408" s="15">
        <v>3</v>
      </c>
      <c r="E408" s="6">
        <v>5975433454.4300003</v>
      </c>
      <c r="F408" s="8">
        <v>210632389</v>
      </c>
      <c r="G408" s="85">
        <v>0.25</v>
      </c>
      <c r="H408" s="19"/>
      <c r="I408" s="19"/>
      <c r="J408" s="19"/>
      <c r="K408" s="87"/>
      <c r="L408" s="87"/>
      <c r="M408" s="13">
        <v>16942307000</v>
      </c>
      <c r="N408" s="13">
        <v>1594817000</v>
      </c>
      <c r="O408" s="13">
        <v>1283878000</v>
      </c>
      <c r="P408" s="88">
        <v>10479149000</v>
      </c>
      <c r="Q408" s="88">
        <v>795212000</v>
      </c>
      <c r="R408" s="88">
        <f>IF(Tabela3[[#This Row],[Ativo || Passivo]]&gt;0,Tabela3[[#This Row],[Ativo || Passivo]]-Tabela3[[#This Row],[Patrimônio Líquido]],0)</f>
        <v>6463158000</v>
      </c>
      <c r="S408" s="88">
        <f>Tabela3[[#This Row],[Cotação]]*Tabela3[[#This Row],[Total Ações]]</f>
        <v>7453960837.4800005</v>
      </c>
      <c r="T408" s="121">
        <f>IF(Tabela3[[#This Row],[Passivo Circulante]]&gt;0,Tabela3[[#This Row],[Ativo Circulante]]/Tabela3[[#This Row],[Passivo Circulante]],0)</f>
        <v>1.2421873417879268</v>
      </c>
      <c r="U40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8" s="19">
        <f>IF(Tabela3[[#This Row],[Lucro Líquido]]&gt;0,Tabela3[[#This Row],[Lucro Líquido]]/Tabela3[[#This Row],[Patrimônio Líquido]],0)/Tabela3[[#This Row],[Ref]]*4</f>
        <v>0.10118022624419852</v>
      </c>
      <c r="W4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8" s="19">
        <f>IF(Tabela3[[#This Row],[Dívida]]&gt;0,Tabela3[[#This Row],[Dívida]]/Tabela3[[#This Row],[Patrimônio Líquido]],0)</f>
        <v>0.61676363223769415</v>
      </c>
      <c r="Y408" s="19">
        <f>SUMPRODUCT(N([Dívida / PL]&gt;0),N(RIGHT([PAPEL],LEN([PAPEL])-(LEN([PAPEL])-1))="3"),[Dívida / PL])/SUMPRODUCT(N([Dívida / PL]&gt;0),N(RIGHT([PAPEL],LEN([PAPEL])-(LEN([PAPEL])-1))="3"))</f>
        <v>2.2435702141443779</v>
      </c>
      <c r="Z408" s="6">
        <f>Tabela3[[#This Row],[Capital Social]]*20%</f>
        <v>1195086690.8860002</v>
      </c>
      <c r="AA408" s="6">
        <f>IF(([Lucro Líquido]*5%)&gt;[Teto R. Legal],[Teto R. Legal],[Lucro Líquido]*5%)</f>
        <v>39760600</v>
      </c>
      <c r="AB408" s="88">
        <f>IF([Lucro Líquido]&lt;0,0,[Lucro Líquido]-[Reserva Legal])</f>
        <v>755451400</v>
      </c>
      <c r="AC408" s="88">
        <f>Tabela3[[#This Row],[Lucro Distribuir]]*[%Div]</f>
        <v>188862850</v>
      </c>
      <c r="AD408" s="56">
        <f>SUMPRODUCT(N([Nome]=Tabela3[[#This Row],[Nome]]),[Ações])</f>
        <v>327502673</v>
      </c>
      <c r="AE408" s="6">
        <f>[Capital Social]/[Total Ações]</f>
        <v>18.245449417843378</v>
      </c>
      <c r="AF408" s="77">
        <f>Tabela3[[#This Row],[Lucro Líquido]]/Tabela3[[#This Row],[Total Ações]]</f>
        <v>2.4281084264616064</v>
      </c>
      <c r="AG4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4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4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408" s="6">
        <f>[Div Base]*[Ações]</f>
        <v>115135766.62069507</v>
      </c>
      <c r="AL408" s="6">
        <f>SUMPRODUCT(N([Nome]=Tabela3[[#This Row],[Nome]]),[Div Base]*[Ações])</f>
        <v>188862850</v>
      </c>
      <c r="AM408" s="6">
        <f>[Patrimônio Líquido]/[Total Ações]</f>
        <v>31.99714037143141</v>
      </c>
      <c r="AN408" s="48">
        <f>MAX(Tabela3[[#This Row],[Cotação 1]:[Cotação 5]])</f>
        <v>22.76</v>
      </c>
      <c r="AO408" s="44">
        <f>[Cotação]/[VPA]</f>
        <v>0.71131356539352586</v>
      </c>
      <c r="AP408" s="40">
        <f>IF(Tabela3[[#This Row],[Lucro/Ação]]&gt;0,Tabela3[[#This Row],[Cotação]]/(Tabela3[[#This Row],[Lucro/Ação]]/[Ref]*4),0)</f>
        <v>7.030163815573709</v>
      </c>
      <c r="AQ408" s="77">
        <f>[Lucro Distribuir]/[Total Ações]</f>
        <v>2.3067030051385262</v>
      </c>
      <c r="AR408" s="77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408" s="15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2.4016673042793337E-2</v>
      </c>
      <c r="AU408" s="19">
        <f>((1+Tabela3[[#This Row],[% Yield]])^(1/(3*Tabela3[[#This Row],[Ref]])))^(12)-1</f>
        <v>3.2149731300105122E-2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5">
        <f>SUMPRODUCT(N(Tabela1[Código]=Tabela3[[#This Row],[PAPEL]]),Tabela1[Fechamento])</f>
        <v>22.76</v>
      </c>
      <c r="AY408" s="5">
        <f>SUMPRODUCT(N(Tabela17[Código]=Tabela3[[#This Row],[PAPEL]]),Tabela17[Fechamento])</f>
        <v>0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customHeight="1">
      <c r="A409" s="3" t="s">
        <v>1276</v>
      </c>
      <c r="B409" s="57" t="s">
        <v>1245</v>
      </c>
      <c r="C409" s="16" t="str">
        <f>LEFT([PAPEL],LEN([PAPEL])-(LEN([PAPEL])-4))</f>
        <v>LEVE</v>
      </c>
      <c r="D409" s="16">
        <v>4</v>
      </c>
      <c r="E409" s="5">
        <v>966254684</v>
      </c>
      <c r="F409" s="56">
        <v>128308500</v>
      </c>
      <c r="G409" s="80">
        <v>0.25</v>
      </c>
      <c r="H409" s="86"/>
      <c r="J409" s="18"/>
      <c r="K409" s="16"/>
      <c r="L409" s="86"/>
      <c r="M409" s="54">
        <v>2272504000</v>
      </c>
      <c r="N409" s="54">
        <v>850287000</v>
      </c>
      <c r="O409" s="54">
        <v>279790000</v>
      </c>
      <c r="P409" s="90">
        <v>1375668000</v>
      </c>
      <c r="Q409" s="73">
        <v>201482000</v>
      </c>
      <c r="R409" s="73">
        <f>IF(Tabela3[[#This Row],[Ativo || Passivo]]&gt;0,Tabela3[[#This Row],[Ativo || Passivo]]-Tabela3[[#This Row],[Patrimônio Líquido]],0)</f>
        <v>896836000</v>
      </c>
      <c r="S409" s="73">
        <f>Tabela3[[#This Row],[Cotação]]*Tabela3[[#This Row],[Total Ações]]</f>
        <v>2933132310</v>
      </c>
      <c r="T409" s="37">
        <f>IF(Tabela3[[#This Row],[Passivo Circulante]]&gt;0,Tabela3[[#This Row],[Ativo Circulante]]/Tabela3[[#This Row],[Passivo Circulante]],0)</f>
        <v>3.0390185496265056</v>
      </c>
      <c r="U40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09" s="18">
        <f>IF(Tabela3[[#This Row],[Lucro Líquido]]&gt;0,Tabela3[[#This Row],[Lucro Líquido]]/Tabela3[[#This Row],[Patrimônio Líquido]],0)/Tabela3[[#This Row],[Ref]]*4</f>
        <v>0.14646121011755744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09" s="18">
        <f>IF(Tabela3[[#This Row],[Dívida]]&gt;0,Tabela3[[#This Row],[Dívida]]/Tabela3[[#This Row],[Patrimônio Líquido]],0)</f>
        <v>0.65192764533303094</v>
      </c>
      <c r="Y409" s="18">
        <f>SUMPRODUCT(N([Dívida / PL]&gt;0),N(RIGHT([PAPEL],LEN([PAPEL])-(LEN([PAPEL])-1))="3"),[Dívida / PL])/SUMPRODUCT(N([Dívida / PL]&gt;0),N(RIGHT([PAPEL],LEN([PAPEL])-(LEN([PAPEL])-1))="3"))</f>
        <v>2.2435702141443779</v>
      </c>
      <c r="Z409" s="7">
        <f>Tabela3[[#This Row],[Capital Social]]*20%</f>
        <v>193250936.80000001</v>
      </c>
      <c r="AA409" s="47">
        <f>IF(([Lucro Líquido]*5%)&gt;[Teto R. Legal],[Teto R. Legal],[Lucro Líquido]*5%)</f>
        <v>10074100</v>
      </c>
      <c r="AB409" s="47">
        <f>IF([Lucro Líquido]&lt;0,0,[Lucro Líquido]-[Reserva Legal])</f>
        <v>191407900</v>
      </c>
      <c r="AC409" s="47">
        <f>Tabela3[[#This Row],[Lucro Distribuir]]*[%Div]</f>
        <v>47851975</v>
      </c>
      <c r="AD409" s="56">
        <f>SUMPRODUCT(N([Nome]=Tabela3[[#This Row],[Nome]]),[Ações])</f>
        <v>128308500</v>
      </c>
      <c r="AE409" s="84">
        <f>[Capital Social]/[Total Ações]</f>
        <v>7.5307145200824577</v>
      </c>
      <c r="AF409" s="84">
        <f>Tabela3[[#This Row],[Lucro Líquido]]/Tabela3[[#This Row],[Total Ações]]</f>
        <v>1.5702934723732254</v>
      </c>
      <c r="AG4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0.37294469968864102</v>
      </c>
      <c r="AH4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0.37294469968864102</v>
      </c>
      <c r="AK409" s="7">
        <f>[Div Base]*[Ações]</f>
        <v>47851975</v>
      </c>
      <c r="AL409" s="113">
        <f>SUMPRODUCT(N([Nome]=Tabela3[[#This Row],[Nome]]),[Div Base]*[Ações])</f>
        <v>47851975</v>
      </c>
      <c r="AM409" s="5">
        <f>[Patrimônio Líquido]/[Total Ações]</f>
        <v>10.721565601655385</v>
      </c>
      <c r="AN409" s="52">
        <f>MAX(Tabela3[[#This Row],[Cotação 1]:[Cotação 5]])</f>
        <v>22.86</v>
      </c>
      <c r="AO409" s="53">
        <f>[Cotação]/[VPA]</f>
        <v>2.1321512966791407</v>
      </c>
      <c r="AP409" s="37">
        <f>IF(Tabela3[[#This Row],[Lucro/Ação]]&gt;0,Tabela3[[#This Row],[Cotação]]/(Tabela3[[#This Row],[Lucro/Ação]]/[Ref]*4),0)</f>
        <v>14.557788338412365</v>
      </c>
      <c r="AQ409" s="84">
        <f>[Lucro Distribuir]/[Total Ações]</f>
        <v>1.4917787987545641</v>
      </c>
      <c r="AR409" s="84">
        <f>IF([Unit ON]&gt;0,SUMPRODUCT(N([Nome]=Tabela3[[#This Row],[Nome]]),N(RIGHT([PAPEL],1)="3"),[Div Base])*[Unit ON]+SUMPRODUCT(N([Nome]=Tabela3[[#This Row],[Nome]]),N(RIGHT([PAPEL],1)="4"),[Div Base])*[Unit PN],[Div Base])</f>
        <v>0.37294469968864102</v>
      </c>
      <c r="AS409" s="10" t="str">
        <f>IF(AND([% A.A.]&gt;=5%,SUMPRODUCT(N([Nome]=Tabela3[[#This Row],[Nome]]),[PL])&gt;0,[Rentabilidade s/ PL]&gt;=[Rentabilidade s/ PL Média]),"Sim","Não")</f>
        <v>Não</v>
      </c>
      <c r="AT409" s="22">
        <f>IF([Cotação]&gt;0,Tabela3[[#This Row],[Lucro]]/Tabela3[[#This Row],[Cotação]],0)</f>
        <v>1.6314291324962427E-2</v>
      </c>
      <c r="AU409" s="22">
        <f>((1+Tabela3[[#This Row],[% Yield]])^(1/(3*Tabela3[[#This Row],[Ref]])))^(12)-1</f>
        <v>1.6314291324962094E-2</v>
      </c>
      <c r="AV409" s="10">
        <f>IF([Cotação]&gt;0,($BH$1/Tabela3[[#This Row],[Cotação]]-MOD($BH$1/Tabela3[[#This Row],[Cotação]],100)),)</f>
        <v>0</v>
      </c>
      <c r="AW409" s="7">
        <f>Tabela3[[#This Row],[Ativos]]*[Lucro]</f>
        <v>0</v>
      </c>
      <c r="AX409" s="7">
        <f>SUMPRODUCT(N(Tabela1[Código]=Tabela3[[#This Row],[PAPEL]]),Tabela1[Fechamento])</f>
        <v>0</v>
      </c>
      <c r="AY409" s="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22.86</v>
      </c>
    </row>
    <row r="410" spans="1:54" ht="11.25" customHeight="1">
      <c r="A410" s="4" t="s">
        <v>12</v>
      </c>
      <c r="B410" s="57" t="s">
        <v>450</v>
      </c>
      <c r="C410" s="15" t="str">
        <f>LEFT([PAPEL],LEN([PAPEL])-(LEN([PAPEL])-4))</f>
        <v>ELET</v>
      </c>
      <c r="D410" s="15">
        <v>3</v>
      </c>
      <c r="E410" s="6">
        <v>31305331463.740002</v>
      </c>
      <c r="F410" s="8">
        <v>146920</v>
      </c>
      <c r="G410" s="85">
        <v>0.25</v>
      </c>
      <c r="H410" s="15"/>
      <c r="I410" s="19">
        <v>0.08</v>
      </c>
      <c r="J410" s="19"/>
      <c r="K410" s="87"/>
      <c r="L410" s="87"/>
      <c r="M410" s="55"/>
      <c r="N410" s="55"/>
      <c r="O410" s="55"/>
      <c r="P410" s="88">
        <v>65493746000</v>
      </c>
      <c r="Q410" s="88">
        <v>-787071000</v>
      </c>
      <c r="R410" s="88">
        <f>IF(Tabela3[[#This Row],[Ativo || Passivo]]&gt;0,Tabela3[[#This Row],[Ativo || Passivo]]-Tabela3[[#This Row],[Patrimônio Líquido]],0)</f>
        <v>0</v>
      </c>
      <c r="S410" s="88">
        <f>Tabela3[[#This Row],[Cotação]]*Tabela3[[#This Row],[Total Ações]]</f>
        <v>31124110641.000004</v>
      </c>
      <c r="T410" s="121">
        <f>IF(Tabela3[[#This Row],[Passivo Circulante]]&gt;0,Tabela3[[#This Row],[Ativo Circulante]]/Tabela3[[#This Row],[Passivo Circulante]],0)</f>
        <v>0</v>
      </c>
      <c r="U4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0" s="19">
        <f>IF(Tabela3[[#This Row],[Lucro Líquido]]&gt;0,Tabela3[[#This Row],[Lucro Líquido]]/Tabela3[[#This Row],[Patrimônio Líquido]],0)/Tabela3[[#This Row],[Ref]]*4</f>
        <v>0</v>
      </c>
      <c r="W4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0" s="19">
        <f>IF(Tabela3[[#This Row],[Dívida]]&gt;0,Tabela3[[#This Row],[Dívida]]/Tabela3[[#This Row],[Patrimônio Líquido]],0)</f>
        <v>0</v>
      </c>
      <c r="Y410" s="19">
        <f>SUMPRODUCT(N([Dívida / PL]&gt;0),N(RIGHT([PAPEL],LEN([PAPEL])-(LEN([PAPEL])-1))="3"),[Dívida / PL])/SUMPRODUCT(N([Dívida / PL]&gt;0),N(RIGHT([PAPEL],LEN([PAPEL])-(LEN([PAPEL])-1))="3"))</f>
        <v>2.2435702141443779</v>
      </c>
      <c r="Z410" s="6">
        <f>Tabela3[[#This Row],[Capital Social]]*20%</f>
        <v>6261066292.7480011</v>
      </c>
      <c r="AA410" s="6">
        <f>IF(([Lucro Líquido]*5%)&gt;[Teto R. Legal],[Teto R. Legal],[Lucro Líquido]*5%)</f>
        <v>-39353550</v>
      </c>
      <c r="AB410" s="88">
        <f>IF([Lucro Líquido]&lt;0,0,[Lucro Líquido]-[Reserva Legal])</f>
        <v>0</v>
      </c>
      <c r="AC410" s="88">
        <f>Tabela3[[#This Row],[Lucro Distribuir]]*[%Div]</f>
        <v>0</v>
      </c>
      <c r="AD410" s="56">
        <f>SUMPRODUCT(N([Nome]=Tabela3[[#This Row],[Nome]]),[Ações])</f>
        <v>1352634100</v>
      </c>
      <c r="AE410" s="6">
        <f>[Capital Social]/[Total Ações]</f>
        <v>23.143976234031069</v>
      </c>
      <c r="AF410" s="77">
        <f>Tabela3[[#This Row],[Lucro Líquido]]/Tabela3[[#This Row],[Total Ações]]</f>
        <v>-0.58188019953067871</v>
      </c>
      <c r="AG4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0" s="6">
        <f>[Div Base]*[Ações]</f>
        <v>0</v>
      </c>
      <c r="AL410" s="6">
        <f>SUMPRODUCT(N([Nome]=Tabela3[[#This Row],[Nome]]),[Div Base]*[Ações])</f>
        <v>0</v>
      </c>
      <c r="AM410" s="6">
        <f>[Patrimônio Líquido]/[Total Ações]</f>
        <v>48.419410689113931</v>
      </c>
      <c r="AN410" s="11">
        <f>MAX(Tabela3[[#This Row],[Cotação 1]:[Cotação 5]])</f>
        <v>23.01</v>
      </c>
      <c r="AO410" s="9">
        <f>[Cotação]/[VPA]</f>
        <v>0.47522263638729723</v>
      </c>
      <c r="AP410" s="36">
        <f>IF(Tabela3[[#This Row],[Lucro/Ação]]&gt;0,Tabela3[[#This Row],[Cotação]]/(Tabela3[[#This Row],[Lucro/Ação]]/[Ref]*4),0)</f>
        <v>0</v>
      </c>
      <c r="AQ410" s="77">
        <f>[Lucro Distribuir]/[Total Ações]</f>
        <v>0</v>
      </c>
      <c r="AR41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0" s="14" t="str">
        <f>IF(AND([% A.A.]&gt;=5%,SUMPRODUCT(N([Nome]=Tabela3[[#This Row],[Nome]]),[PL])&gt;0,[Rentabilidade s/ PL]&gt;=[Rentabilidade s/ PL Média]),"Sim","Não")</f>
        <v>Não</v>
      </c>
      <c r="AT410" s="19">
        <f>IF([Cotação]&gt;0,Tabela3[[#This Row],[Lucro]]/Tabela3[[#This Row],[Cotação]],0)</f>
        <v>0</v>
      </c>
      <c r="AU410" s="19">
        <f>((1+Tabela3[[#This Row],[% Yield]])^(1/(3*Tabela3[[#This Row],[Ref]])))^(12)-1</f>
        <v>0</v>
      </c>
      <c r="AV410" s="10">
        <f>IF([Cotação]&gt;0,($BH$1/Tabela3[[#This Row],[Cotação]]-MOD($BH$1/Tabela3[[#This Row],[Cotação]],100)),)</f>
        <v>0</v>
      </c>
      <c r="AW410" s="5">
        <f>Tabela3[[#This Row],[Ativos]]*[Lucro]</f>
        <v>0</v>
      </c>
      <c r="AX410" s="5">
        <f>SUMPRODUCT(N(Tabela1[Código]=Tabela3[[#This Row],[PAPEL]]),Tabela1[Fechamento])</f>
        <v>0</v>
      </c>
      <c r="AY410" s="5">
        <f>SUMPRODUCT(N(Tabela17[Código]=Tabela3[[#This Row],[PAPEL]]),Tabela17[Fechamento])</f>
        <v>23.01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0</v>
      </c>
    </row>
    <row r="411" spans="1:54" ht="11.25" customHeight="1">
      <c r="A411" s="4" t="s">
        <v>12</v>
      </c>
      <c r="B411" s="60" t="s">
        <v>154</v>
      </c>
      <c r="C411" s="14" t="str">
        <f>LEFT([PAPEL],LEN([PAPEL])-(LEN([PAPEL])-4))</f>
        <v>TRPL</v>
      </c>
      <c r="D411" s="15">
        <v>3</v>
      </c>
      <c r="E411" s="6">
        <v>2000000000</v>
      </c>
      <c r="F411" s="8">
        <v>88177132</v>
      </c>
      <c r="G411" s="80">
        <v>0.25</v>
      </c>
      <c r="H411" s="15"/>
      <c r="I411" s="19">
        <v>0.1</v>
      </c>
      <c r="J411" s="19"/>
      <c r="K411" s="87"/>
      <c r="L411" s="87"/>
      <c r="M411" s="55"/>
      <c r="N411" s="55"/>
      <c r="O411" s="55"/>
      <c r="P411" s="88">
        <v>4953037000</v>
      </c>
      <c r="Q411" s="88">
        <v>-126863000</v>
      </c>
      <c r="R411" s="88">
        <f>IF(Tabela3[[#This Row],[Ativo || Passivo]]&gt;0,Tabela3[[#This Row],[Ativo || Passivo]]-Tabela3[[#This Row],[Patrimônio Líquido]],0)</f>
        <v>0</v>
      </c>
      <c r="S411" s="88">
        <f>Tabela3[[#This Row],[Cotação]]*Tabela3[[#This Row],[Total Ações]]</f>
        <v>3601286318.3499999</v>
      </c>
      <c r="T411" s="121">
        <f>IF(Tabela3[[#This Row],[Passivo Circulante]]&gt;0,Tabela3[[#This Row],[Ativo Circulante]]/Tabela3[[#This Row],[Passivo Circulante]],0)</f>
        <v>0</v>
      </c>
      <c r="U41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1" s="19">
        <f>IF(Tabela3[[#This Row],[Lucro Líquido]]&gt;0,Tabela3[[#This Row],[Lucro Líquido]]/Tabela3[[#This Row],[Patrimônio Líquido]],0)/Tabela3[[#This Row],[Ref]]*4</f>
        <v>0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1" s="19">
        <f>IF(Tabela3[[#This Row],[Dívida]]&gt;0,Tabela3[[#This Row],[Dívida]]/Tabela3[[#This Row],[Patrimônio Líquido]],0)</f>
        <v>0</v>
      </c>
      <c r="Y411" s="19">
        <f>SUMPRODUCT(N([Dívida / PL]&gt;0),N(RIGHT([PAPEL],LEN([PAPEL])-(LEN([PAPEL])-1))="3"),[Dívida / PL])/SUMPRODUCT(N([Dívida / PL]&gt;0),N(RIGHT([PAPEL],LEN([PAPEL])-(LEN([PAPEL])-1))="3"))</f>
        <v>2.2435702141443779</v>
      </c>
      <c r="Z411" s="6">
        <f>Tabela3[[#This Row],[Capital Social]]*20%</f>
        <v>400000000</v>
      </c>
      <c r="AA411" s="6">
        <f>IF(([Lucro Líquido]*5%)&gt;[Teto R. Legal],[Teto R. Legal],[Lucro Líquido]*5%)</f>
        <v>-6343150</v>
      </c>
      <c r="AB411" s="88">
        <f>IF([Lucro Líquido]&lt;0,0,[Lucro Líquido]-[Reserva Legal])</f>
        <v>0</v>
      </c>
      <c r="AC411" s="88">
        <f>Tabela3[[#This Row],[Lucro Distribuir]]*[%Div]</f>
        <v>0</v>
      </c>
      <c r="AD411" s="56">
        <f>SUMPRODUCT(N([Nome]=Tabela3[[#This Row],[Nome]]),[Ações])</f>
        <v>152661565</v>
      </c>
      <c r="AE411" s="6">
        <f>[Capital Social]/[Total Ações]</f>
        <v>13.100874473545453</v>
      </c>
      <c r="AF411" s="77">
        <f>Tabela3[[#This Row],[Lucro Líquido]]/Tabela3[[#This Row],[Total Ações]]</f>
        <v>-0.83100811916869843</v>
      </c>
      <c r="AG4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1" s="6">
        <f>[Div Base]*[Ações]</f>
        <v>0</v>
      </c>
      <c r="AL411" s="6">
        <f>SUMPRODUCT(N([Nome]=Tabela3[[#This Row],[Nome]]),[Div Base]*[Ações])</f>
        <v>0</v>
      </c>
      <c r="AM411" s="6">
        <f>[Patrimônio Líquido]/[Total Ações]</f>
        <v>32.444557999913073</v>
      </c>
      <c r="AN411" s="48">
        <f>MAX(Tabela3[[#This Row],[Cotação 1]:[Cotação 5]])</f>
        <v>23.59</v>
      </c>
      <c r="AO411" s="44">
        <f>[Cotação]/[VPA]</f>
        <v>0.72708649629510147</v>
      </c>
      <c r="AP411" s="40">
        <f>IF(Tabela3[[#This Row],[Lucro/Ação]]&gt;0,Tabela3[[#This Row],[Cotação]]/(Tabela3[[#This Row],[Lucro/Ação]]/[Ref]*4),0)</f>
        <v>0</v>
      </c>
      <c r="AQ411" s="77">
        <f>[Lucro Distribuir]/[Total Ações]</f>
        <v>0</v>
      </c>
      <c r="AR41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0</v>
      </c>
      <c r="AU411" s="19">
        <f>((1+Tabela3[[#This Row],[% Yield]])^(1/(3*Tabela3[[#This Row],[Ref]])))^(12)-1</f>
        <v>0</v>
      </c>
      <c r="AV411" s="14">
        <f>IF([Cotação]&gt;0,($BH$1/Tabela3[[#This Row],[Cotação]]-MOD($BH$1/Tabela3[[#This Row],[Cotação]],100)),)</f>
        <v>0</v>
      </c>
      <c r="AW411" s="17">
        <f>Tabela3[[#This Row],[Ativos]]*[Lucro]</f>
        <v>0</v>
      </c>
      <c r="AX411" s="5">
        <f>SUMPRODUCT(N(Tabela1[Código]=Tabela3[[#This Row],[PAPEL]]),Tabela1[Fechamento])</f>
        <v>23.59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>
      <c r="A412" s="3" t="s">
        <v>1276</v>
      </c>
      <c r="B412" s="57" t="s">
        <v>1274</v>
      </c>
      <c r="C412" s="16" t="str">
        <f>LEFT([PAPEL],LEN([PAPEL])-(LEN([PAPEL])-4))</f>
        <v>MYPK</v>
      </c>
      <c r="D412" s="16">
        <v>4</v>
      </c>
      <c r="E412" s="5">
        <v>700000000</v>
      </c>
      <c r="F412" s="56">
        <v>94863372</v>
      </c>
      <c r="G412" s="80">
        <v>0.37</v>
      </c>
      <c r="H412" s="86"/>
      <c r="J412" s="18"/>
      <c r="K412" s="16"/>
      <c r="L412" s="86"/>
      <c r="M412" s="54">
        <v>3358493000</v>
      </c>
      <c r="N412" s="54">
        <v>640518000</v>
      </c>
      <c r="O412" s="54">
        <v>408872000</v>
      </c>
      <c r="P412" s="90">
        <v>1221081000</v>
      </c>
      <c r="Q412" s="73">
        <v>170329000</v>
      </c>
      <c r="R412" s="73">
        <f>IF(Tabela3[[#This Row],[Ativo || Passivo]]&gt;0,Tabela3[[#This Row],[Ativo || Passivo]]-Tabela3[[#This Row],[Patrimônio Líquido]],0)</f>
        <v>2137412000</v>
      </c>
      <c r="S412" s="73">
        <f>Tabela3[[#This Row],[Cotação]]*Tabela3[[#This Row],[Total Ações]]</f>
        <v>2253953718.7200003</v>
      </c>
      <c r="T412" s="37">
        <f>IF(Tabela3[[#This Row],[Passivo Circulante]]&gt;0,Tabela3[[#This Row],[Ativo Circulante]]/Tabela3[[#This Row],[Passivo Circulante]],0)</f>
        <v>1.5665489444129215</v>
      </c>
      <c r="U41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2" s="18">
        <f>IF(Tabela3[[#This Row],[Lucro Líquido]]&gt;0,Tabela3[[#This Row],[Lucro Líquido]]/Tabela3[[#This Row],[Patrimônio Líquido]],0)/Tabela3[[#This Row],[Ref]]*4</f>
        <v>0.13949033684088116</v>
      </c>
      <c r="W4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2" s="18">
        <f>IF(Tabela3[[#This Row],[Dívida]]&gt;0,Tabela3[[#This Row],[Dívida]]/Tabela3[[#This Row],[Patrimônio Líquido]],0)</f>
        <v>1.7504260569118675</v>
      </c>
      <c r="Y412" s="18">
        <f>SUMPRODUCT(N([Dívida / PL]&gt;0),N(RIGHT([PAPEL],LEN([PAPEL])-(LEN([PAPEL])-1))="3"),[Dívida / PL])/SUMPRODUCT(N([Dívida / PL]&gt;0),N(RIGHT([PAPEL],LEN([PAPEL])-(LEN([PAPEL])-1))="3"))</f>
        <v>2.2435702141443779</v>
      </c>
      <c r="Z412" s="7">
        <f>Tabela3[[#This Row],[Capital Social]]*20%</f>
        <v>140000000</v>
      </c>
      <c r="AA412" s="47">
        <f>IF(([Lucro Líquido]*5%)&gt;[Teto R. Legal],[Teto R. Legal],[Lucro Líquido]*5%)</f>
        <v>8516450</v>
      </c>
      <c r="AB412" s="47">
        <f>IF([Lucro Líquido]&lt;0,0,[Lucro Líquido]-[Reserva Legal])</f>
        <v>161812550</v>
      </c>
      <c r="AC412" s="47">
        <f>Tabela3[[#This Row],[Lucro Distribuir]]*[%Div]</f>
        <v>59870643.5</v>
      </c>
      <c r="AD412" s="56">
        <f>SUMPRODUCT(N([Nome]=Tabela3[[#This Row],[Nome]]),[Ações])</f>
        <v>94863372</v>
      </c>
      <c r="AE412" s="84">
        <f>[Capital Social]/[Total Ações]</f>
        <v>7.3790335009385917</v>
      </c>
      <c r="AF412" s="84">
        <f>Tabela3[[#This Row],[Lucro Líquido]]/Tabela3[[#This Row],[Total Ações]]</f>
        <v>1.7955191388305278</v>
      </c>
      <c r="AG41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41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412" s="7">
        <f>[Div Base]*[Ações]</f>
        <v>59870643.499999993</v>
      </c>
      <c r="AL412" s="113">
        <f>SUMPRODUCT(N([Nome]=Tabela3[[#This Row],[Nome]]),[Div Base]*[Ações])</f>
        <v>59870643.499999993</v>
      </c>
      <c r="AM412" s="5">
        <f>[Patrimônio Líquido]/[Total Ações]</f>
        <v>12.871996580513709</v>
      </c>
      <c r="AN412" s="52">
        <f>MAX(Tabela3[[#This Row],[Cotação 1]:[Cotação 5]])</f>
        <v>23.76</v>
      </c>
      <c r="AO412" s="53">
        <f>[Cotação]/[VPA]</f>
        <v>1.8458674884958493</v>
      </c>
      <c r="AP412" s="37">
        <f>IF(Tabela3[[#This Row],[Lucro/Ação]]&gt;0,Tabela3[[#This Row],[Cotação]]/(Tabela3[[#This Row],[Lucro/Ação]]/[Ref]*4),0)</f>
        <v>13.232941652449083</v>
      </c>
      <c r="AQ412" s="84">
        <f>[Lucro Distribuir]/[Total Ações]</f>
        <v>1.7057431818890014</v>
      </c>
      <c r="AR412" s="84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412" s="10" t="str">
        <f>IF(AND([% A.A.]&gt;=5%,SUMPRODUCT(N([Nome]=Tabela3[[#This Row],[Nome]]),[PL])&gt;0,[Rentabilidade s/ PL]&gt;=[Rentabilidade s/ PL Média]),"Sim","Não")</f>
        <v>Não</v>
      </c>
      <c r="AT412" s="22">
        <f>IF([Cotação]&gt;0,Tabela3[[#This Row],[Lucro]]/Tabela3[[#This Row],[Cotação]],0)</f>
        <v>2.656249904456778E-2</v>
      </c>
      <c r="AU412" s="22">
        <f>((1+Tabela3[[#This Row],[% Yield]])^(1/(3*Tabela3[[#This Row],[Ref]])))^(12)-1</f>
        <v>2.6562499044568533E-2</v>
      </c>
      <c r="AV412" s="10">
        <f>IF([Cotação]&gt;0,($BH$1/Tabela3[[#This Row],[Cotação]]-MOD($BH$1/Tabela3[[#This Row],[Cotação]],100)),)</f>
        <v>0</v>
      </c>
      <c r="AW412" s="7">
        <f>Tabela3[[#This Row],[Ativos]]*[Lucro]</f>
        <v>0</v>
      </c>
      <c r="AX412" s="7">
        <f>SUMPRODUCT(N(Tabela1[Código]=Tabela3[[#This Row],[PAPEL]]),Tabela1[Fechamento])</f>
        <v>0</v>
      </c>
      <c r="AY412" s="7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23.76</v>
      </c>
    </row>
    <row r="413" spans="1:54" ht="11.25" customHeight="1">
      <c r="A413" s="4" t="s">
        <v>26</v>
      </c>
      <c r="B413" s="57" t="s">
        <v>25</v>
      </c>
      <c r="C413" s="81" t="str">
        <f>LEFT([PAPEL],LEN([PAPEL])-(LEN([PAPEL])-4))</f>
        <v>BBSE</v>
      </c>
      <c r="D413" s="15">
        <v>4</v>
      </c>
      <c r="E413" s="6">
        <v>5646767124.9300003</v>
      </c>
      <c r="F413" s="8">
        <v>2000000000</v>
      </c>
      <c r="G413" s="85">
        <v>0.25</v>
      </c>
      <c r="H413" s="15"/>
      <c r="I413" s="19"/>
      <c r="J413" s="19"/>
      <c r="K413" s="87"/>
      <c r="L413" s="87"/>
      <c r="M413" s="55">
        <v>7289465000</v>
      </c>
      <c r="N413" s="55">
        <v>1265436000</v>
      </c>
      <c r="O413" s="55">
        <v>348192000</v>
      </c>
      <c r="P413" s="6">
        <v>6941273000</v>
      </c>
      <c r="Q413" s="6">
        <v>2473752000</v>
      </c>
      <c r="R413" s="6">
        <f>IF(Tabela3[[#This Row],[Ativo || Passivo]]&gt;0,Tabela3[[#This Row],[Ativo || Passivo]]-Tabela3[[#This Row],[Patrimônio Líquido]],0)</f>
        <v>348192000</v>
      </c>
      <c r="S413" s="6">
        <f>Tabela3[[#This Row],[Cotação]]*Tabela3[[#This Row],[Total Ações]]</f>
        <v>47600000000</v>
      </c>
      <c r="T413" s="121">
        <f>IF(Tabela3[[#This Row],[Passivo Circulante]]&gt;0,Tabela3[[#This Row],[Ativo Circulante]]/Tabela3[[#This Row],[Passivo Circulante]],0)</f>
        <v>3.634305210918114</v>
      </c>
      <c r="U41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3" s="19">
        <f>IF(Tabela3[[#This Row],[Lucro Líquido]]&gt;0,Tabela3[[#This Row],[Lucro Líquido]]/Tabela3[[#This Row],[Patrimônio Líquido]],0)/Tabela3[[#This Row],[Ref]]*4</f>
        <v>0.35638304385953412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3" s="19">
        <f>IF(Tabela3[[#This Row],[Dívida]]&gt;0,Tabela3[[#This Row],[Dívida]]/Tabela3[[#This Row],[Patrimônio Líquido]],0)</f>
        <v>5.0162556637665744E-2</v>
      </c>
      <c r="Y413" s="19">
        <f>SUMPRODUCT(N([Dívida / PL]&gt;0),N(RIGHT([PAPEL],LEN([PAPEL])-(LEN([PAPEL])-1))="3"),[Dívida / PL])/SUMPRODUCT(N([Dívida / PL]&gt;0),N(RIGHT([PAPEL],LEN([PAPEL])-(LEN([PAPEL])-1))="3"))</f>
        <v>2.2435702141443779</v>
      </c>
      <c r="Z413" s="6">
        <f>Tabela3[[#This Row],[Capital Social]]*20%</f>
        <v>1129353424.9860001</v>
      </c>
      <c r="AA413" s="6">
        <f>IF(([Lucro Líquido]*5%)&gt;[Teto R. Legal],[Teto R. Legal],[Lucro Líquido]*5%)</f>
        <v>123687600</v>
      </c>
      <c r="AB413" s="6">
        <f>IF([Lucro Líquido]&lt;0,0,[Lucro Líquido]-[Reserva Legal])</f>
        <v>2350064400</v>
      </c>
      <c r="AC413" s="6">
        <f>Tabela3[[#This Row],[Lucro Distribuir]]*[%Div]</f>
        <v>587516100</v>
      </c>
      <c r="AD413" s="21">
        <f>SUMPRODUCT(N([Nome]=Tabela3[[#This Row],[Nome]]),[Ações])</f>
        <v>2000000000</v>
      </c>
      <c r="AE413" s="6">
        <f>[Capital Social]/[Total Ações]</f>
        <v>2.8233835624650001</v>
      </c>
      <c r="AF413" s="77">
        <f>Tabela3[[#This Row],[Lucro Líquido]]/Tabela3[[#This Row],[Total Ações]]</f>
        <v>1.2368760000000001</v>
      </c>
      <c r="AG4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13" s="6">
        <f>[Div Base]*[Ações]</f>
        <v>587516100</v>
      </c>
      <c r="AL413" s="6">
        <f>SUMPRODUCT(N([Nome]=Tabela3[[#This Row],[Nome]]),[Div Base]*[Ações])</f>
        <v>587516100</v>
      </c>
      <c r="AM413" s="6">
        <f>[Patrimônio Líquido]/[Total Ações]</f>
        <v>3.4706364999999999</v>
      </c>
      <c r="AN413" s="48">
        <f>MAX(Tabela3[[#This Row],[Cotação 1]:[Cotação 5]])</f>
        <v>23.8</v>
      </c>
      <c r="AO413" s="44">
        <f>[Cotação]/[VPA]</f>
        <v>6.857531752460968</v>
      </c>
      <c r="AP413" s="40">
        <f>IF(Tabela3[[#This Row],[Lucro/Ação]]&gt;0,Tabela3[[#This Row],[Cotação]]/(Tabela3[[#This Row],[Lucro/Ação]]/[Ref]*4),0)</f>
        <v>19.242025878099341</v>
      </c>
      <c r="AQ413" s="77">
        <f>[Lucro Distribuir]/[Total Ações]</f>
        <v>1.1750322</v>
      </c>
      <c r="AR413" s="77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1.2342775210084034E-2</v>
      </c>
      <c r="AU413" s="19">
        <f>((1+Tabela3[[#This Row],[% Yield]])^(1/(3*Tabela3[[#This Row],[Ref]])))^(12)-1</f>
        <v>1.2342775210085088E-2</v>
      </c>
      <c r="AV413" s="14">
        <f>IF([Cotação]&gt;0,($BH$1/Tabela3[[#This Row],[Cotação]]-MOD($BH$1/Tabela3[[#This Row],[Cotação]],100)),)</f>
        <v>0</v>
      </c>
      <c r="AW413" s="17">
        <f>Tabela3[[#This Row],[Ativos]]*[Lucro]</f>
        <v>0</v>
      </c>
      <c r="AX413" s="13">
        <f>SUMPRODUCT(N(Tabela1[Código]=Tabela3[[#This Row],[PAPEL]]),Tabela1[Fechamento])</f>
        <v>0</v>
      </c>
      <c r="AY413" s="13">
        <f>SUMPRODUCT(N(Tabela17[Código]=Tabela3[[#This Row],[PAPEL]]),Tabela17[Fechamento])</f>
        <v>23.8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customHeight="1">
      <c r="A414" s="3" t="s">
        <v>974</v>
      </c>
      <c r="B414" s="58" t="s">
        <v>981</v>
      </c>
      <c r="C414" s="16" t="str">
        <f>LEFT([PAPEL],LEN([PAPEL])-(LEN([PAPEL])-4))</f>
        <v>SLED</v>
      </c>
      <c r="D414" s="16">
        <v>3</v>
      </c>
      <c r="E414" s="5">
        <v>279901000</v>
      </c>
      <c r="F414" s="56">
        <v>9622313</v>
      </c>
      <c r="G414" s="80">
        <v>0.25</v>
      </c>
      <c r="H414" s="86"/>
      <c r="J414" s="18"/>
      <c r="K414" s="16"/>
      <c r="L414" s="86"/>
      <c r="M414" s="54"/>
      <c r="N414" s="54"/>
      <c r="O414" s="54"/>
      <c r="P414" s="90">
        <v>509456000</v>
      </c>
      <c r="Q414" s="73">
        <v>1040000</v>
      </c>
      <c r="R414" s="73">
        <f>IF(Tabela3[[#This Row],[Ativo || Passivo]]&gt;0,Tabela3[[#This Row],[Ativo || Passivo]]-Tabela3[[#This Row],[Patrimônio Líquido]],0)</f>
        <v>0</v>
      </c>
      <c r="S414" s="73">
        <f>Tabela3[[#This Row],[Cotação]]*Tabela3[[#This Row],[Total Ações]]</f>
        <v>686306952</v>
      </c>
      <c r="T414" s="37">
        <f>IF(Tabela3[[#This Row],[Passivo Circulante]]&gt;0,Tabela3[[#This Row],[Ativo Circulante]]/Tabela3[[#This Row],[Passivo Circulante]],0)</f>
        <v>0</v>
      </c>
      <c r="U41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4" s="18">
        <f>IF(Tabela3[[#This Row],[Lucro Líquido]]&gt;0,Tabela3[[#This Row],[Lucro Líquido]]/Tabela3[[#This Row],[Patrimônio Líquido]],0)/Tabela3[[#This Row],[Ref]]*4</f>
        <v>2.7218575630999862E-3</v>
      </c>
      <c r="W4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4" s="18">
        <f>IF(Tabela3[[#This Row],[Dívida]]&gt;0,Tabela3[[#This Row],[Dívida]]/Tabela3[[#This Row],[Patrimônio Líquido]],0)</f>
        <v>0</v>
      </c>
      <c r="Y414" s="18">
        <f>SUMPRODUCT(N([Dívida / PL]&gt;0),N(RIGHT([PAPEL],LEN([PAPEL])-(LEN([PAPEL])-1))="3"),[Dívida / PL])/SUMPRODUCT(N([Dívida / PL]&gt;0),N(RIGHT([PAPEL],LEN([PAPEL])-(LEN([PAPEL])-1))="3"))</f>
        <v>2.2435702141443779</v>
      </c>
      <c r="Z414" s="7">
        <f>Tabela3[[#This Row],[Capital Social]]*20%</f>
        <v>55980200</v>
      </c>
      <c r="AA414" s="47">
        <f>IF(([Lucro Líquido]*5%)&gt;[Teto R. Legal],[Teto R. Legal],[Lucro Líquido]*5%)</f>
        <v>52000</v>
      </c>
      <c r="AB414" s="47">
        <f>IF([Lucro Líquido]&lt;0,0,[Lucro Líquido]-[Reserva Legal])</f>
        <v>988000</v>
      </c>
      <c r="AC414" s="47">
        <f>Tabela3[[#This Row],[Lucro Distribuir]]*[%Div]</f>
        <v>247000</v>
      </c>
      <c r="AD414" s="56">
        <f>SUMPRODUCT(N([Nome]=Tabela3[[#This Row],[Nome]]),[Ações])</f>
        <v>28596123</v>
      </c>
      <c r="AE414" s="84">
        <f>[Capital Social]/[Total Ações]</f>
        <v>9.7880751177353655</v>
      </c>
      <c r="AF414" s="84">
        <f>Tabela3[[#This Row],[Lucro Líquido]]/Tabela3[[#This Row],[Total Ações]]</f>
        <v>3.6368566466160462E-2</v>
      </c>
      <c r="AG41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1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14" s="7">
        <f>[Div Base]*[Ações]</f>
        <v>83113.060850941227</v>
      </c>
      <c r="AL414" s="113">
        <f>SUMPRODUCT(N([Nome]=Tabela3[[#This Row],[Nome]]),[Div Base]*[Ações])</f>
        <v>247000</v>
      </c>
      <c r="AM414" s="5">
        <f>[Patrimônio Líquido]/[Total Ações]</f>
        <v>17.815561920754082</v>
      </c>
      <c r="AN414" s="52">
        <f>MAX(Tabela3[[#This Row],[Cotação 1]:[Cotação 5]])</f>
        <v>24</v>
      </c>
      <c r="AO414" s="53">
        <f>[Cotação]/[VPA]</f>
        <v>1.3471368518576678</v>
      </c>
      <c r="AP414" s="37">
        <f>IF(Tabela3[[#This Row],[Lucro/Ação]]&gt;0,Tabela3[[#This Row],[Cotação]]/(Tabela3[[#This Row],[Lucro/Ação]]/[Ref]*4),0)</f>
        <v>494.9328980769231</v>
      </c>
      <c r="AQ414" s="84">
        <f>[Lucro Distribuir]/[Total Ações]</f>
        <v>3.4550138142852439E-2</v>
      </c>
      <c r="AR414" s="84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14" s="10" t="str">
        <f>IF(AND([% A.A.]&gt;=5%,SUMPRODUCT(N([Nome]=Tabela3[[#This Row],[Nome]]),[PL])&gt;0,[Rentabilidade s/ PL]&gt;=[Rentabilidade s/ PL Média]),"Sim","Não")</f>
        <v>Não</v>
      </c>
      <c r="AT414" s="22">
        <f>IF([Cotação]&gt;0,Tabela3[[#This Row],[Lucro]]/Tabela3[[#This Row],[Cotação]],0)</f>
        <v>3.5989727232137956E-4</v>
      </c>
      <c r="AU414" s="22">
        <f>((1+Tabela3[[#This Row],[% Yield]])^(1/(3*Tabela3[[#This Row],[Ref]])))^(12)-1</f>
        <v>4.7989181102470191E-4</v>
      </c>
      <c r="AV414" s="10">
        <f>IF([Cotação]&gt;0,($BH$1/Tabela3[[#This Row],[Cotação]]-MOD($BH$1/Tabela3[[#This Row],[Cotação]],100)),)</f>
        <v>0</v>
      </c>
      <c r="AW414" s="7">
        <f>Tabela3[[#This Row],[Ativos]]*[Lucro]</f>
        <v>0</v>
      </c>
      <c r="AX414" s="7">
        <f>SUMPRODUCT(N(Tabela1[Código]=Tabela3[[#This Row],[PAPEL]]),Tabela1[Fechamento])</f>
        <v>0</v>
      </c>
      <c r="AY414" s="7">
        <f>SUMPRODUCT(N(Tabela17[Código]=Tabela3[[#This Row],[PAPEL]]),Tabela17[Fechamento])</f>
        <v>0</v>
      </c>
      <c r="AZ414" s="7">
        <f>SUMPRODUCT(N(Tabela176[Código]=Tabela3[[#This Row],[PAPEL]]),Tabela176[Fechamento])</f>
        <v>0</v>
      </c>
      <c r="BA414" s="7">
        <f>SUMPRODUCT(N(Tabela1768[Código]=Tabela3[[#This Row],[PAPEL]]),Tabela1768[Fechamento])</f>
        <v>24</v>
      </c>
      <c r="BB414" s="7">
        <f>SUMPRODUCT(N(Tabela17683[Código]=Tabela3[[#This Row],[PAPEL]]),Tabela17683[Fechamento])</f>
        <v>0</v>
      </c>
    </row>
    <row r="415" spans="1:54" ht="11.25" customHeight="1">
      <c r="A415" s="4" t="s">
        <v>12</v>
      </c>
      <c r="B415" s="57" t="s">
        <v>467</v>
      </c>
      <c r="C415" s="15" t="str">
        <f>LEFT([PAPEL],LEN([PAPEL])-(LEN([PAPEL])-4))</f>
        <v>CEPE</v>
      </c>
      <c r="D415" s="15">
        <v>3</v>
      </c>
      <c r="E415" s="6">
        <v>590173759.38999999</v>
      </c>
      <c r="F415" s="8">
        <v>66302693</v>
      </c>
      <c r="G415" s="85">
        <v>0.25</v>
      </c>
      <c r="H415" s="15"/>
      <c r="I415" s="19"/>
      <c r="J415" s="19"/>
      <c r="K415" s="87"/>
      <c r="L415" s="87"/>
      <c r="M415" s="55"/>
      <c r="N415" s="55"/>
      <c r="O415" s="55"/>
      <c r="P415" s="88">
        <v>3707916000</v>
      </c>
      <c r="Q415" s="88">
        <v>63180000</v>
      </c>
      <c r="R415" s="88">
        <f>IF(Tabela3[[#This Row],[Ativo || Passivo]]&gt;0,Tabela3[[#This Row],[Ativo || Passivo]]-Tabela3[[#This Row],[Patrimônio Líquido]],0)</f>
        <v>0</v>
      </c>
      <c r="S415" s="88">
        <f>Tabela3[[#This Row],[Cotação]]*Tabela3[[#This Row],[Total Ações]]</f>
        <v>1830241877.6400001</v>
      </c>
      <c r="T415" s="121">
        <f>IF(Tabela3[[#This Row],[Passivo Circulante]]&gt;0,Tabela3[[#This Row],[Ativo Circulante]]/Tabela3[[#This Row],[Passivo Circulante]],0)</f>
        <v>0</v>
      </c>
      <c r="U415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5" s="19">
        <f>IF(Tabela3[[#This Row],[Lucro Líquido]]&gt;0,Tabela3[[#This Row],[Lucro Líquido]]/Tabela3[[#This Row],[Patrimônio Líquido]],0)/Tabela3[[#This Row],[Ref]]*4</f>
        <v>2.2718961270967303E-2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2.2435702141443779</v>
      </c>
      <c r="Z415" s="13">
        <f>Tabela3[[#This Row],[Capital Social]]*20%</f>
        <v>118034751.87800001</v>
      </c>
      <c r="AA415" s="13">
        <f>IF(([Lucro Líquido]*5%)&gt;[Teto R. Legal],[Teto R. Legal],[Lucro Líquido]*5%)</f>
        <v>3159000</v>
      </c>
      <c r="AB415" s="13">
        <f>IF([Lucro Líquido]&lt;0,0,[Lucro Líquido]-[Reserva Legal])</f>
        <v>60021000</v>
      </c>
      <c r="AC415" s="13">
        <f>Tabela3[[#This Row],[Lucro Distribuir]]*[%Div]</f>
        <v>15005250</v>
      </c>
      <c r="AD415" s="56">
        <f>SUMPRODUCT(N([Nome]=Tabela3[[#This Row],[Nome]]),[Ações])</f>
        <v>74612388</v>
      </c>
      <c r="AE415" s="6">
        <f>[Capital Social]/[Total Ações]</f>
        <v>7.9098628955556283</v>
      </c>
      <c r="AF415" s="77">
        <f>Tabela3[[#This Row],[Lucro Líquido]]/Tabela3[[#This Row],[Total Ações]]</f>
        <v>0.84677627527482435</v>
      </c>
      <c r="AG4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4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415" s="13">
        <f>[Div Base]*[Ações]</f>
        <v>12919218.189796571</v>
      </c>
      <c r="AL415" s="13">
        <f>SUMPRODUCT(N([Nome]=Tabela3[[#This Row],[Nome]]),[Div Base]*[Ações])</f>
        <v>13668149.085004007</v>
      </c>
      <c r="AM415" s="6">
        <f>[Patrimônio Líquido]/[Total Ações]</f>
        <v>49.69571540854583</v>
      </c>
      <c r="AN415" s="48">
        <f>MAX(Tabela3[[#This Row],[Cotação 1]:[Cotação 5]])</f>
        <v>24.53</v>
      </c>
      <c r="AO415" s="44">
        <f>[Cotação]/[VPA]</f>
        <v>0.49360392135096914</v>
      </c>
      <c r="AP415" s="40">
        <f>IF(Tabela3[[#This Row],[Lucro/Ação]]&gt;0,Tabela3[[#This Row],[Cotação]]/(Tabela3[[#This Row],[Lucro/Ação]]/[Ref]*4),0)</f>
        <v>21.726518015669516</v>
      </c>
      <c r="AQ415" s="77">
        <f>[Lucro Distribuir]/[Total Ações]</f>
        <v>0.80443746151108309</v>
      </c>
      <c r="AR415" s="77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7.9434198239867731E-3</v>
      </c>
      <c r="AU415" s="42">
        <f>((1+Tabela3[[#This Row],[% Yield]])^(1/(3*Tabela3[[#This Row],[Ref]])))^(12)-1</f>
        <v>1.0605223521953366E-2</v>
      </c>
      <c r="AV415" s="14">
        <f>IF([Cotação]&gt;0,($BH$1/Tabela3[[#This Row],[Cotação]]-MOD($BH$1/Tabela3[[#This Row],[Cotação]],100)),)</f>
        <v>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24.53</v>
      </c>
      <c r="AZ415" s="7">
        <f>SUMPRODUCT(N(Tabela176[Código]=Tabela3[[#This Row],[PAPEL]]),Tabela176[Fechamento])</f>
        <v>0</v>
      </c>
      <c r="BA415" s="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customHeight="1">
      <c r="A416" s="4" t="s">
        <v>19</v>
      </c>
      <c r="B416" s="57" t="s">
        <v>663</v>
      </c>
      <c r="C416" s="15" t="str">
        <f>LEFT([PAPEL],LEN([PAPEL])-(LEN([PAPEL])-4))</f>
        <v>FIBR</v>
      </c>
      <c r="D416" s="15">
        <v>4</v>
      </c>
      <c r="E416" s="6">
        <v>9740777179.5900002</v>
      </c>
      <c r="F416" s="8">
        <v>553934646</v>
      </c>
      <c r="G416" s="85">
        <v>0.25</v>
      </c>
      <c r="H416" s="15"/>
      <c r="I416" s="19"/>
      <c r="J416" s="19"/>
      <c r="K416" s="87"/>
      <c r="L416" s="87"/>
      <c r="M416" s="55"/>
      <c r="N416" s="55"/>
      <c r="O416" s="55"/>
      <c r="P416" s="91">
        <v>14444899000</v>
      </c>
      <c r="Q416" s="92">
        <v>-706422000</v>
      </c>
      <c r="R416" s="92">
        <f>IF(Tabela3[[#This Row],[Ativo || Passivo]]&gt;0,Tabela3[[#This Row],[Ativo || Passivo]]-Tabela3[[#This Row],[Patrimônio Líquido]],0)</f>
        <v>0</v>
      </c>
      <c r="S416" s="92">
        <f>Tabela3[[#This Row],[Cotação]]*Tabela3[[#This Row],[Total Ações]]</f>
        <v>13765275953.1</v>
      </c>
      <c r="T416" s="40">
        <f>IF(Tabela3[[#This Row],[Passivo Circulante]]&gt;0,Tabela3[[#This Row],[Ativo Circulante]]/Tabela3[[#This Row],[Passivo Circulante]],0)</f>
        <v>0</v>
      </c>
      <c r="U416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6" s="19">
        <f>IF(Tabela3[[#This Row],[Lucro Líquido]]&gt;0,Tabela3[[#This Row],[Lucro Líquido]]/Tabela3[[#This Row],[Patrimônio Líquido]],0)/Tabela3[[#This Row],[Ref]]*4</f>
        <v>0</v>
      </c>
      <c r="W41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6" s="19">
        <f>IF(Tabela3[[#This Row],[Dívida]]&gt;0,Tabela3[[#This Row],[Dívida]]/Tabela3[[#This Row],[Patrimônio Líquido]],0)</f>
        <v>0</v>
      </c>
      <c r="Y416" s="19">
        <f>SUMPRODUCT(N([Dívida / PL]&gt;0),N(RIGHT([PAPEL],LEN([PAPEL])-(LEN([PAPEL])-1))="3"),[Dívida / PL])/SUMPRODUCT(N([Dívida / PL]&gt;0),N(RIGHT([PAPEL],LEN([PAPEL])-(LEN([PAPEL])-1))="3"))</f>
        <v>2.2435702141443779</v>
      </c>
      <c r="Z416" s="13">
        <f>Tabela3[[#This Row],[Capital Social]]*20%</f>
        <v>1948155435.9180002</v>
      </c>
      <c r="AA416" s="13">
        <f>IF(([Lucro Líquido]*5%)&gt;[Teto R. Legal],[Teto R. Legal],[Lucro Líquido]*5%)</f>
        <v>-35321100</v>
      </c>
      <c r="AB416" s="13">
        <f>IF([Lucro Líquido]&lt;0,0,[Lucro Líquido]-[Reserva Legal])</f>
        <v>0</v>
      </c>
      <c r="AC416" s="13">
        <f>Tabela3[[#This Row],[Lucro Distribuir]]*[%Div]</f>
        <v>0</v>
      </c>
      <c r="AD416" s="56">
        <f>SUMPRODUCT(N([Nome]=Tabela3[[#This Row],[Nome]]),[Ações])</f>
        <v>553934646</v>
      </c>
      <c r="AE416" s="6">
        <f>[Capital Social]/[Total Ações]</f>
        <v>17.584704711880399</v>
      </c>
      <c r="AF416" s="77">
        <f>Tabela3[[#This Row],[Lucro Líquido]]/Tabela3[[#This Row],[Total Ações]]</f>
        <v>-1.2752804055516687</v>
      </c>
      <c r="AG4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6" s="13">
        <f>[Div Base]*[Ações]</f>
        <v>0</v>
      </c>
      <c r="AL416" s="13">
        <f>SUMPRODUCT(N([Nome]=Tabela3[[#This Row],[Nome]]),[Div Base]*[Ações])</f>
        <v>0</v>
      </c>
      <c r="AM416" s="6">
        <f>[Patrimônio Líquido]/[Total Ações]</f>
        <v>26.076901136817501</v>
      </c>
      <c r="AN416" s="48">
        <f>MAX(Tabela3[[#This Row],[Cotação 1]:[Cotação 5]])</f>
        <v>24.85</v>
      </c>
      <c r="AO416" s="44">
        <f>[Cotação]/[VPA]</f>
        <v>0.95295065428287185</v>
      </c>
      <c r="AP416" s="40">
        <f>IF(Tabela3[[#This Row],[Lucro/Ação]]&gt;0,Tabela3[[#This Row],[Cotação]]/(Tabela3[[#This Row],[Lucro/Ação]]/[Ref]*4),0)</f>
        <v>0</v>
      </c>
      <c r="AQ416" s="77">
        <f>[Lucro Distribuir]/[Total Ações]</f>
        <v>0</v>
      </c>
      <c r="AR41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6" s="14" t="str">
        <f>IF(AND([% A.A.]&gt;=5%,SUMPRODUCT(N([Nome]=Tabela3[[#This Row],[Nome]]),[PL])&gt;0,[Rentabilidade s/ PL]&gt;=[Rentabilidade s/ PL Média]),"Sim","Não")</f>
        <v>Não</v>
      </c>
      <c r="AT416" s="42">
        <f>IF([Cotação]&gt;0,Tabela3[[#This Row],[Lucro]]/Tabela3[[#This Row],[Cotação]],0)</f>
        <v>0</v>
      </c>
      <c r="AU416" s="42">
        <f>((1+Tabela3[[#This Row],[% Yield]])^(1/(3*Tabela3[[#This Row],[Ref]])))^(12)-1</f>
        <v>0</v>
      </c>
      <c r="AV416" s="14">
        <f>IF([Cotação]&gt;0,($BH$1/Tabela3[[#This Row],[Cotação]]-MOD($BH$1/Tabela3[[#This Row],[Cotação]],100)),)</f>
        <v>0</v>
      </c>
      <c r="AW416" s="17">
        <f>Tabela3[[#This Row],[Ativos]]*[Lucro]</f>
        <v>0</v>
      </c>
      <c r="AX416" s="17">
        <f>SUMPRODUCT(N(Tabela1[Código]=Tabela3[[#This Row],[PAPEL]]),Tabela1[Fechamento])</f>
        <v>0</v>
      </c>
      <c r="AY416" s="17">
        <f>SUMPRODUCT(N(Tabela17[Código]=Tabela3[[#This Row],[PAPEL]]),Tabela17[Fechamento])</f>
        <v>0</v>
      </c>
      <c r="AZ416" s="17">
        <f>SUMPRODUCT(N(Tabela176[Código]=Tabela3[[#This Row],[PAPEL]]),Tabela176[Fechamento])</f>
        <v>24.85</v>
      </c>
      <c r="BA416" s="17">
        <f>SUMPRODUCT(N(Tabela1768[Código]=Tabela3[[#This Row],[PAPEL]]),Tabela1768[Fechamento])</f>
        <v>0</v>
      </c>
      <c r="BB416" s="7">
        <f>SUMPRODUCT(N(Tabela17683[Código]=Tabela3[[#This Row],[PAPEL]]),Tabela17683[Fechamento])</f>
        <v>0</v>
      </c>
    </row>
    <row r="417" spans="1:54" ht="11.25" customHeight="1">
      <c r="A417" s="3" t="s">
        <v>1201</v>
      </c>
      <c r="B417" s="57" t="s">
        <v>1194</v>
      </c>
      <c r="C417" s="16" t="str">
        <f>LEFT([PAPEL],LEN([PAPEL])-(LEN([PAPEL])-4))</f>
        <v>EALT</v>
      </c>
      <c r="D417" s="16">
        <v>3</v>
      </c>
      <c r="E417" s="5">
        <v>8594000</v>
      </c>
      <c r="F417" s="56">
        <v>1275000</v>
      </c>
      <c r="G417" s="80">
        <v>0.25</v>
      </c>
      <c r="H417" s="86"/>
      <c r="J417" s="18">
        <v>0.1</v>
      </c>
      <c r="K417" s="16"/>
      <c r="L417" s="86"/>
      <c r="M417" s="54"/>
      <c r="N417" s="54"/>
      <c r="O417" s="54"/>
      <c r="P417" s="90">
        <v>70672000</v>
      </c>
      <c r="Q417" s="73">
        <v>8076000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55957500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7" s="18">
        <f>IF(Tabela3[[#This Row],[Lucro Líquido]]&gt;0,Tabela3[[#This Row],[Lucro Líquido]]/Tabela3[[#This Row],[Patrimônio Líquido]],0)/Tabela3[[#This Row],[Ref]]*4</f>
        <v>0.15236585918043921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2.2435702141443779</v>
      </c>
      <c r="Z417" s="7">
        <f>Tabela3[[#This Row],[Capital Social]]*20%</f>
        <v>1718800</v>
      </c>
      <c r="AA417" s="47">
        <f>IF(([Lucro Líquido]*5%)&gt;[Teto R. Legal],[Teto R. Legal],[Lucro Líquido]*5%)</f>
        <v>403800</v>
      </c>
      <c r="AB417" s="47">
        <f>IF([Lucro Líquido]&lt;0,0,[Lucro Líquido]-[Reserva Legal])</f>
        <v>7672200</v>
      </c>
      <c r="AC417" s="47">
        <f>Tabela3[[#This Row],[Lucro Distribuir]]*[%Div]</f>
        <v>1918050</v>
      </c>
      <c r="AD417" s="56">
        <f>SUMPRODUCT(N([Nome]=Tabela3[[#This Row],[Nome]]),[Ações])</f>
        <v>2250000</v>
      </c>
      <c r="AE417" s="84">
        <f>[Capital Social]/[Total Ações]</f>
        <v>3.8195555555555556</v>
      </c>
      <c r="AF417" s="84">
        <f>Tabela3[[#This Row],[Lucro Líquido]]/Tabela3[[#This Row],[Total Ações]]</f>
        <v>3.5893333333333333</v>
      </c>
      <c r="AG41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41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417" s="7">
        <f>[Div Base]*[Ações]</f>
        <v>1158385.3214622471</v>
      </c>
      <c r="AL417" s="113">
        <f>SUMPRODUCT(N([Nome]=Tabela3[[#This Row],[Nome]]),[Div Base]*[Ações])</f>
        <v>1963679.9288622441</v>
      </c>
      <c r="AM417" s="5">
        <f>[Patrimônio Líquido]/[Total Ações]</f>
        <v>31.409777777777776</v>
      </c>
      <c r="AN417" s="52">
        <f>MAX(Tabela3[[#This Row],[Cotação 1]:[Cotação 5]])</f>
        <v>24.87</v>
      </c>
      <c r="AO417" s="53">
        <f>[Cotação]/[VPA]</f>
        <v>0.79179165723341638</v>
      </c>
      <c r="AP417" s="37">
        <f>IF(Tabela3[[#This Row],[Lucro/Ação]]&gt;0,Tabela3[[#This Row],[Cotação]]/(Tabela3[[#This Row],[Lucro/Ação]]/[Ref]*4),0)</f>
        <v>5.1966474739970288</v>
      </c>
      <c r="AQ417" s="84">
        <f>[Lucro Distribuir]/[Total Ações]</f>
        <v>3.4098666666666668</v>
      </c>
      <c r="AR417" s="84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3.6531463893414287E-2</v>
      </c>
      <c r="AU417" s="22">
        <f>((1+Tabela3[[#This Row],[% Yield]])^(1/(3*Tabela3[[#This Row],[Ref]])))^(12)-1</f>
        <v>4.9002813107495991E-2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24.87</v>
      </c>
    </row>
    <row r="418" spans="1:54" ht="11.25" customHeight="1">
      <c r="A418" s="4" t="s">
        <v>325</v>
      </c>
      <c r="B418" s="115" t="s">
        <v>605</v>
      </c>
      <c r="C418" s="15" t="str">
        <f>LEFT([PAPEL],LEN([PAPEL])-(LEN([PAPEL])-4))</f>
        <v>MGEL</v>
      </c>
      <c r="D418" s="15">
        <v>3</v>
      </c>
      <c r="E418" s="6">
        <v>171272996.66999999</v>
      </c>
      <c r="F418" s="8">
        <v>6201730</v>
      </c>
      <c r="G418" s="85">
        <v>0.25</v>
      </c>
      <c r="H418" s="9"/>
      <c r="I418" s="19"/>
      <c r="J418" s="19"/>
      <c r="K418" s="87"/>
      <c r="L418" s="87"/>
      <c r="M418" s="55"/>
      <c r="N418" s="55"/>
      <c r="O418" s="55"/>
      <c r="P418" s="91">
        <v>-64885000</v>
      </c>
      <c r="Q418" s="92">
        <v>-32917000</v>
      </c>
      <c r="R418" s="92">
        <f>IF(Tabela3[[#This Row],[Ativo || Passivo]]&gt;0,Tabela3[[#This Row],[Ativo || Passivo]]-Tabela3[[#This Row],[Patrimônio Líquido]],0)</f>
        <v>0</v>
      </c>
      <c r="S418" s="92">
        <f>Tabela3[[#This Row],[Cotação]]*Tabela3[[#This Row],[Total Ações]]</f>
        <v>433740950</v>
      </c>
      <c r="T418" s="40">
        <f>IF(Tabela3[[#This Row],[Passivo Circulante]]&gt;0,Tabela3[[#This Row],[Ativo Circulante]]/Tabela3[[#This Row],[Passivo Circulante]],0)</f>
        <v>0</v>
      </c>
      <c r="U41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8" s="19">
        <f>IF(Tabela3[[#This Row],[Lucro Líquido]]&gt;0,Tabela3[[#This Row],[Lucro Líquido]]/Tabela3[[#This Row],[Patrimônio Líquido]],0)/Tabela3[[#This Row],[Ref]]*4</f>
        <v>0</v>
      </c>
      <c r="W4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8" s="19">
        <f>IF(Tabela3[[#This Row],[Dívida]]&gt;0,Tabela3[[#This Row],[Dívida]]/Tabela3[[#This Row],[Patrimônio Líquido]],0)</f>
        <v>0</v>
      </c>
      <c r="Y418" s="19">
        <f>SUMPRODUCT(N([Dívida / PL]&gt;0),N(RIGHT([PAPEL],LEN([PAPEL])-(LEN([PAPEL])-1))="3"),[Dívida / PL])/SUMPRODUCT(N([Dívida / PL]&gt;0),N(RIGHT([PAPEL],LEN([PAPEL])-(LEN([PAPEL])-1))="3"))</f>
        <v>2.2435702141443779</v>
      </c>
      <c r="Z418" s="13">
        <f>Tabela3[[#This Row],[Capital Social]]*20%</f>
        <v>34254599.333999999</v>
      </c>
      <c r="AA418" s="13">
        <f>IF(([Lucro Líquido]*5%)&gt;[Teto R. Legal],[Teto R. Legal],[Lucro Líquido]*5%)</f>
        <v>-1645850</v>
      </c>
      <c r="AB418" s="13">
        <f>IF([Lucro Líquido]&lt;0,0,[Lucro Líquido]-[Reserva Legal])</f>
        <v>0</v>
      </c>
      <c r="AC418" s="13">
        <f>Tabela3[[#This Row],[Lucro Distribuir]]*[%Div]</f>
        <v>0</v>
      </c>
      <c r="AD418" s="56">
        <f>SUMPRODUCT(N([Nome]=Tabela3[[#This Row],[Nome]]),[Ações])</f>
        <v>17349638</v>
      </c>
      <c r="AE418" s="6">
        <f>[Capital Social]/[Total Ações]</f>
        <v>9.871848431073893</v>
      </c>
      <c r="AF418" s="77">
        <f>Tabela3[[#This Row],[Lucro Líquido]]/Tabela3[[#This Row],[Total Ações]]</f>
        <v>-1.8972730151487887</v>
      </c>
      <c r="AG4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13">
        <f>[Div Base]*[Ações]</f>
        <v>0</v>
      </c>
      <c r="AL418" s="13">
        <f>SUMPRODUCT(N([Nome]=Tabela3[[#This Row],[Nome]]),[Div Base]*[Ações])</f>
        <v>0</v>
      </c>
      <c r="AM418" s="6">
        <f>[Patrimônio Líquido]/[Total Ações]</f>
        <v>-3.7398474826967569</v>
      </c>
      <c r="AN418" s="48">
        <f>MAX(Tabela3[[#This Row],[Cotação 1]:[Cotação 5]])</f>
        <v>25</v>
      </c>
      <c r="AO418" s="44">
        <f>[Cotação]/[VPA]</f>
        <v>-6.684764583493874</v>
      </c>
      <c r="AP418" s="40">
        <f>IF(Tabela3[[#This Row],[Lucro/Ação]]&gt;0,Tabela3[[#This Row],[Cotação]]/(Tabela3[[#This Row],[Lucro/Ação]]/[Ref]*4),0)</f>
        <v>0</v>
      </c>
      <c r="AQ418" s="77">
        <f>[Lucro Distribuir]/[Total Ações]</f>
        <v>0</v>
      </c>
      <c r="AR41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4" t="str">
        <f>IF(AND([% A.A.]&gt;=5%,SUMPRODUCT(N([Nome]=Tabela3[[#This Row],[Nome]]),[PL])&gt;0,[Rentabilidade s/ PL]&gt;=[Rentabilidade s/ PL Média]),"Sim","Não")</f>
        <v>Não</v>
      </c>
      <c r="AT418" s="42">
        <f>IF([Cotação]&gt;0,Tabela3[[#This Row],[Lucro]]/Tabela3[[#This Row],[Cotação]],0)</f>
        <v>0</v>
      </c>
      <c r="AU418" s="42">
        <f>((1+Tabela3[[#This Row],[% Yield]])^(1/(3*Tabela3[[#This Row],[Ref]])))^(12)-1</f>
        <v>0</v>
      </c>
      <c r="AV418" s="14">
        <f>IF([Cotação]&gt;0,($BH$1/Tabela3[[#This Row],[Cotação]]-MOD($BH$1/Tabela3[[#This Row],[Cotação]],100)),)</f>
        <v>0</v>
      </c>
      <c r="AW418" s="17">
        <f>Tabela3[[#This Row],[Ativos]]*[Lucro]</f>
        <v>0</v>
      </c>
      <c r="AX418" s="17">
        <f>SUMPRODUCT(N(Tabela1[Código]=Tabela3[[#This Row],[PAPEL]]),Tabela1[Fechamento])</f>
        <v>0</v>
      </c>
      <c r="AY418" s="17">
        <f>SUMPRODUCT(N(Tabela17[Código]=Tabela3[[#This Row],[PAPEL]]),Tabela17[Fechamento])</f>
        <v>0</v>
      </c>
      <c r="AZ418" s="17">
        <f>SUMPRODUCT(N(Tabela176[Código]=Tabela3[[#This Row],[PAPEL]]),Tabela176[Fechamento])</f>
        <v>25</v>
      </c>
      <c r="BA418" s="17">
        <f>SUMPRODUCT(N(Tabela1768[Código]=Tabela3[[#This Row],[PAPEL]]),Tabela1768[Fechamento])</f>
        <v>0</v>
      </c>
      <c r="BB418" s="7">
        <f>SUMPRODUCT(N(Tabela17683[Código]=Tabela3[[#This Row],[PAPEL]]),Tabela17683[Fechamento])</f>
        <v>0</v>
      </c>
    </row>
    <row r="419" spans="1:54" ht="11.25" customHeight="1">
      <c r="A419" s="3" t="s">
        <v>769</v>
      </c>
      <c r="B419" s="58" t="s">
        <v>774</v>
      </c>
      <c r="C419" s="16" t="str">
        <f>LEFT([PAPEL],LEN([PAPEL])-(LEN([PAPEL])-4))</f>
        <v>BTOW</v>
      </c>
      <c r="D419" s="16">
        <v>4</v>
      </c>
      <c r="E419" s="5">
        <v>1198991738.6400001</v>
      </c>
      <c r="F419" s="56">
        <v>158999202</v>
      </c>
      <c r="G419" s="80">
        <v>0.25</v>
      </c>
      <c r="H419" s="86"/>
      <c r="J419" s="18"/>
      <c r="K419" s="16"/>
      <c r="L419" s="86"/>
      <c r="M419" s="54">
        <v>5393176000</v>
      </c>
      <c r="N419" s="54">
        <v>2904778000</v>
      </c>
      <c r="O419" s="54">
        <v>2291621000</v>
      </c>
      <c r="P419" s="90">
        <v>829673000</v>
      </c>
      <c r="Q419" s="73">
        <v>-167568000</v>
      </c>
      <c r="R419" s="73">
        <f>IF(Tabela3[[#This Row],[Ativo || Passivo]]&gt;0,Tabela3[[#This Row],[Ativo || Passivo]]-Tabela3[[#This Row],[Patrimônio Líquido]],0)</f>
        <v>4563503000</v>
      </c>
      <c r="S419" s="73">
        <f>Tabela3[[#This Row],[Cotação]]*Tabela3[[#This Row],[Total Ações]]</f>
        <v>3986109994.1399999</v>
      </c>
      <c r="T419" s="37">
        <f>IF(Tabela3[[#This Row],[Passivo Circulante]]&gt;0,Tabela3[[#This Row],[Ativo Circulante]]/Tabela3[[#This Row],[Passivo Circulante]],0)</f>
        <v>1.267564750017564</v>
      </c>
      <c r="U41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19" s="18">
        <f>IF(Tabela3[[#This Row],[Lucro Líquido]]&gt;0,Tabela3[[#This Row],[Lucro Líquido]]/Tabela3[[#This Row],[Patrimônio Líquido]],0)/Tabela3[[#This Row],[Ref]]*4</f>
        <v>0</v>
      </c>
      <c r="W4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19" s="18">
        <f>IF(Tabela3[[#This Row],[Dívida]]&gt;0,Tabela3[[#This Row],[Dívida]]/Tabela3[[#This Row],[Patrimônio Líquido]],0)</f>
        <v>5.5003633961813874</v>
      </c>
      <c r="Y419" s="18">
        <f>SUMPRODUCT(N([Dívida / PL]&gt;0),N(RIGHT([PAPEL],LEN([PAPEL])-(LEN([PAPEL])-1))="3"),[Dívida / PL])/SUMPRODUCT(N([Dívida / PL]&gt;0),N(RIGHT([PAPEL],LEN([PAPEL])-(LEN([PAPEL])-1))="3"))</f>
        <v>2.2435702141443779</v>
      </c>
      <c r="Z419" s="7">
        <f>Tabela3[[#This Row],[Capital Social]]*20%</f>
        <v>239798347.72800004</v>
      </c>
      <c r="AA419" s="47">
        <f>IF(([Lucro Líquido]*5%)&gt;[Teto R. Legal],[Teto R. Legal],[Lucro Líquido]*5%)</f>
        <v>-8378400</v>
      </c>
      <c r="AB419" s="47">
        <f>IF([Lucro Líquido]&lt;0,0,[Lucro Líquido]-[Reserva Legal])</f>
        <v>0</v>
      </c>
      <c r="AC419" s="47">
        <f>Tabela3[[#This Row],[Lucro Distribuir]]*[%Div]</f>
        <v>0</v>
      </c>
      <c r="AD419" s="56">
        <f>SUMPRODUCT(N([Nome]=Tabela3[[#This Row],[Nome]]),[Ações])</f>
        <v>158999202</v>
      </c>
      <c r="AE419" s="84">
        <f>[Capital Social]/[Total Ações]</f>
        <v>7.5408663915181169</v>
      </c>
      <c r="AF419" s="84">
        <f>Tabela3[[#This Row],[Lucro Líquido]]/Tabela3[[#This Row],[Total Ações]]</f>
        <v>-1.0538920817979955</v>
      </c>
      <c r="AG4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7">
        <f>[Div Base]*[Ações]</f>
        <v>0</v>
      </c>
      <c r="AL419" s="7">
        <f>SUMPRODUCT(N([Nome]=Tabela3[[#This Row],[Nome]]),[Div Base]*[Ações])</f>
        <v>0</v>
      </c>
      <c r="AM419" s="5">
        <f>[Patrimônio Líquido]/[Total Ações]</f>
        <v>5.2180953713214233</v>
      </c>
      <c r="AN419" s="52">
        <f>MAX(Tabela3[[#This Row],[Cotação 1]:[Cotação 5]])</f>
        <v>25.07</v>
      </c>
      <c r="AO419" s="53">
        <f>[Cotação]/[VPA]</f>
        <v>4.8044349932322739</v>
      </c>
      <c r="AP419" s="37">
        <f>IF(Tabela3[[#This Row],[Lucro/Ação]]&gt;0,Tabela3[[#This Row],[Cotação]]/(Tabela3[[#This Row],[Lucro/Ação]]/[Ref]*4),0)</f>
        <v>0</v>
      </c>
      <c r="AQ419" s="84">
        <f>[Lucro Distribuir]/[Total Ações]</f>
        <v>0</v>
      </c>
      <c r="AR419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9" s="10" t="str">
        <f>IF(AND([% A.A.]&gt;=5%,SUMPRODUCT(N([Nome]=Tabela3[[#This Row],[Nome]]),[PL])&gt;0,[Rentabilidade s/ PL]&gt;=[Rentabilidade s/ PL Média]),"Sim","Não")</f>
        <v>Não</v>
      </c>
      <c r="AT419" s="22">
        <f>IF([Cotação]&gt;0,Tabela3[[#This Row],[Lucro]]/Tabela3[[#This Row],[Cotação]],0)</f>
        <v>0</v>
      </c>
      <c r="AU419" s="22">
        <f>((1+Tabela3[[#This Row],[% Yield]])^(1/(3*Tabela3[[#This Row],[Ref]])))^(12)-1</f>
        <v>0</v>
      </c>
      <c r="AV419" s="10">
        <f>IF([Cotação]&gt;0,($BH$1/Tabela3[[#This Row],[Cotação]]-MOD($BH$1/Tabela3[[#This Row],[Cotação]],100)),)</f>
        <v>0</v>
      </c>
      <c r="AW419" s="7">
        <f>Tabela3[[#This Row],[Ativos]]*[Lucro]</f>
        <v>0</v>
      </c>
      <c r="AX419" s="7">
        <f>SUMPRODUCT(N(Tabela1[Código]=Tabela3[[#This Row],[PAPEL]]),Tabela1[Fechamento])</f>
        <v>0</v>
      </c>
      <c r="AY419" s="7">
        <f>SUMPRODUCT(N(Tabela17[Código]=Tabela3[[#This Row],[PAPEL]]),Tabela17[Fechamento])</f>
        <v>0</v>
      </c>
      <c r="AZ419" s="7">
        <f>SUMPRODUCT(N(Tabela176[Código]=Tabela3[[#This Row],[PAPEL]]),Tabela176[Fechamento])</f>
        <v>25.07</v>
      </c>
      <c r="BA419" s="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t="11.25" customHeight="1">
      <c r="A420" s="4" t="s">
        <v>14</v>
      </c>
      <c r="B420" s="57" t="s">
        <v>205</v>
      </c>
      <c r="C420" s="14" t="str">
        <f>LEFT([PAPEL],LEN([PAPEL])-(LEN([PAPEL])-4))</f>
        <v>BNBR</v>
      </c>
      <c r="D420" s="15">
        <v>4</v>
      </c>
      <c r="E420" s="6">
        <v>2437000000</v>
      </c>
      <c r="F420" s="8">
        <v>48484775</v>
      </c>
      <c r="G420" s="80">
        <v>0.25</v>
      </c>
      <c r="H420" s="15"/>
      <c r="I420" s="19"/>
      <c r="J420" s="19"/>
      <c r="K420" s="87"/>
      <c r="L420" s="87"/>
      <c r="M420" s="55">
        <v>33817503000</v>
      </c>
      <c r="N420" s="55">
        <v>15349319000</v>
      </c>
      <c r="O420" s="55">
        <v>13285888000</v>
      </c>
      <c r="P420" s="6">
        <v>3039830000</v>
      </c>
      <c r="Q420" s="6">
        <v>360357000</v>
      </c>
      <c r="R420" s="6">
        <f>IF(Tabela3[[#This Row],[Ativo || Passivo]]&gt;0,Tabela3[[#This Row],[Ativo || Passivo]]-Tabela3[[#This Row],[Patrimônio Líquido]],0)</f>
        <v>30777673000</v>
      </c>
      <c r="S420" s="6">
        <f>Tabela3[[#This Row],[Cotação]]*Tabela3[[#This Row],[Total Ações]]</f>
        <v>2182007677.0799999</v>
      </c>
      <c r="T420" s="121">
        <f>IF(Tabela3[[#This Row],[Passivo Circulante]]&gt;0,Tabela3[[#This Row],[Ativo Circulante]]/Tabela3[[#This Row],[Passivo Circulante]],0)</f>
        <v>1.1553099800329492</v>
      </c>
      <c r="U42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0" s="19">
        <f>IF(Tabela3[[#This Row],[Lucro Líquido]]&gt;0,Tabela3[[#This Row],[Lucro Líquido]]/Tabela3[[#This Row],[Patrimônio Líquido]],0)/Tabela3[[#This Row],[Ref]]*4</f>
        <v>0.11854511600977687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0" s="19">
        <f>IF(Tabela3[[#This Row],[Dívida]]&gt;0,Tabela3[[#This Row],[Dívida]]/Tabela3[[#This Row],[Patrimônio Líquido]],0)</f>
        <v>10.124800728988134</v>
      </c>
      <c r="Y420" s="19">
        <f>SUMPRODUCT(N([Dívida / PL]&gt;0),N(RIGHT([PAPEL],LEN([PAPEL])-(LEN([PAPEL])-1))="3"),[Dívida / PL])/SUMPRODUCT(N([Dívida / PL]&gt;0),N(RIGHT([PAPEL],LEN([PAPEL])-(LEN([PAPEL])-1))="3"))</f>
        <v>2.2435702141443779</v>
      </c>
      <c r="Z420" s="6">
        <f>Tabela3[[#This Row],[Capital Social]]*20%</f>
        <v>487400000</v>
      </c>
      <c r="AA420" s="6">
        <f>IF(([Lucro Líquido]*5%)&gt;[Teto R. Legal],[Teto R. Legal],[Lucro Líquido]*5%)</f>
        <v>18017850</v>
      </c>
      <c r="AB420" s="6">
        <f>IF([Lucro Líquido]&lt;0,0,[Lucro Líquido]-[Reserva Legal])</f>
        <v>342339150</v>
      </c>
      <c r="AC420" s="6">
        <f>Tabela3[[#This Row],[Lucro Distribuir]]*[%Div]</f>
        <v>85584787.5</v>
      </c>
      <c r="AD420" s="21">
        <f>SUMPRODUCT(N([Nome]=Tabela3[[#This Row],[Nome]]),[Ações])</f>
        <v>87001901</v>
      </c>
      <c r="AE420" s="6">
        <f>[Capital Social]/[Total Ações]</f>
        <v>28.010882198999308</v>
      </c>
      <c r="AF420" s="77">
        <f>Tabela3[[#This Row],[Lucro Líquido]]/Tabela3[[#This Row],[Total Ações]]</f>
        <v>4.1419439789022539</v>
      </c>
      <c r="AG4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4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420" s="6">
        <f>[Div Base]*[Ações]</f>
        <v>47695040.196424127</v>
      </c>
      <c r="AL420" s="6">
        <f>SUMPRODUCT(N([Nome]=Tabela3[[#This Row],[Nome]]),[Div Base]*[Ações])</f>
        <v>85584787.5</v>
      </c>
      <c r="AM420" s="6">
        <f>[Patrimônio Líquido]/[Total Ações]</f>
        <v>34.939811257687346</v>
      </c>
      <c r="AN420" s="48">
        <f>MAX(Tabela3[[#This Row],[Cotação 1]:[Cotação 5]])</f>
        <v>25.08</v>
      </c>
      <c r="AO420" s="44">
        <f>[Cotação]/[VPA]</f>
        <v>0.71780582370724677</v>
      </c>
      <c r="AP420" s="40">
        <f>IF(Tabela3[[#This Row],[Lucro/Ação]]&gt;0,Tabela3[[#This Row],[Cotação]]/(Tabela3[[#This Row],[Lucro/Ação]]/[Ref]*4),0)</f>
        <v>6.0551277679634365</v>
      </c>
      <c r="AQ420" s="77">
        <f>[Lucro Distribuir]/[Total Ações]</f>
        <v>3.9348467799571414</v>
      </c>
      <c r="AR420" s="77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420" s="15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3.9222954345665285E-2</v>
      </c>
      <c r="AU420" s="19">
        <f>((1+Tabela3[[#This Row],[% Yield]])^(1/(3*Tabela3[[#This Row],[Ref]])))^(12)-1</f>
        <v>3.9222954345664807E-2</v>
      </c>
      <c r="AV420" s="14">
        <f>IF([Cotação]&gt;0,($BH$1/Tabela3[[#This Row],[Cotação]]-MOD($BH$1/Tabela3[[#This Row],[Cotação]],100)),)</f>
        <v>0</v>
      </c>
      <c r="AW420" s="17">
        <f>Tabela3[[#This Row],[Ativos]]*[Lucro]</f>
        <v>0</v>
      </c>
      <c r="AX420" s="5">
        <f>SUMPRODUCT(N(Tabela1[Código]=Tabela3[[#This Row],[PAPEL]]),Tabela1[Fechamento])</f>
        <v>25.08</v>
      </c>
      <c r="AY420" s="5">
        <f>SUMPRODUCT(N(Tabela17[Código]=Tabela3[[#This Row],[PAPEL]]),Tabela17[Fechamento])</f>
        <v>0</v>
      </c>
      <c r="AZ420" s="7">
        <f>SUMPRODUCT(N(Tabela176[Código]=Tabela3[[#This Row],[PAPEL]]),Tabela176[Fechamento])</f>
        <v>0</v>
      </c>
      <c r="BA420" s="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customHeight="1">
      <c r="A421" s="4" t="s">
        <v>365</v>
      </c>
      <c r="B421" s="57" t="s">
        <v>367</v>
      </c>
      <c r="C421" s="81" t="str">
        <f>LEFT([PAPEL],LEN([PAPEL])-(LEN([PAPEL])-4))</f>
        <v>CTIP</v>
      </c>
      <c r="D421" s="15">
        <v>3</v>
      </c>
      <c r="E421" s="6">
        <v>588599499.64999998</v>
      </c>
      <c r="F421" s="38">
        <v>260498279</v>
      </c>
      <c r="G421" s="85">
        <v>0.25</v>
      </c>
      <c r="H421" s="15"/>
      <c r="I421" s="19"/>
      <c r="J421" s="19"/>
      <c r="K421" s="87"/>
      <c r="L421" s="87"/>
      <c r="M421" s="55"/>
      <c r="N421" s="55"/>
      <c r="O421" s="55"/>
      <c r="P421" s="6">
        <v>1632971000</v>
      </c>
      <c r="Q421" s="6">
        <v>264743000</v>
      </c>
      <c r="R421" s="6">
        <f>IF(Tabela3[[#This Row],[Ativo || Passivo]]&gt;0,Tabela3[[#This Row],[Ativo || Passivo]]-Tabela3[[#This Row],[Patrimônio Líquido]],0)</f>
        <v>0</v>
      </c>
      <c r="S421" s="6">
        <f>Tabela3[[#This Row],[Cotação]]*Tabela3[[#This Row],[Total Ações]]</f>
        <v>6572371579.1700001</v>
      </c>
      <c r="T421" s="121">
        <f>IF(Tabela3[[#This Row],[Passivo Circulante]]&gt;0,Tabela3[[#This Row],[Ativo Circulante]]/Tabela3[[#This Row],[Passivo Circulante]],0)</f>
        <v>0</v>
      </c>
      <c r="U42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1" s="19">
        <f>IF(Tabela3[[#This Row],[Lucro Líquido]]&gt;0,Tabela3[[#This Row],[Lucro Líquido]]/Tabela3[[#This Row],[Patrimônio Líquido]],0)/Tabela3[[#This Row],[Ref]]*4</f>
        <v>0.21616468796241126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2.2435702141443779</v>
      </c>
      <c r="Z421" s="6">
        <f>Tabela3[[#This Row],[Capital Social]]*20%</f>
        <v>117719899.93000001</v>
      </c>
      <c r="AA421" s="6">
        <f>IF(([Lucro Líquido]*5%)&gt;[Teto R. Legal],[Teto R. Legal],[Lucro Líquido]*5%)</f>
        <v>13237150</v>
      </c>
      <c r="AB421" s="6">
        <f>IF([Lucro Líquido]&lt;0,0,[Lucro Líquido]-[Reserva Legal])</f>
        <v>251505850</v>
      </c>
      <c r="AC421" s="6">
        <f>Tabela3[[#This Row],[Lucro Distribuir]]*[%Div]</f>
        <v>62876462.5</v>
      </c>
      <c r="AD421" s="56">
        <f>SUMPRODUCT(N([Nome]=Tabela3[[#This Row],[Nome]]),[Ações])</f>
        <v>260498279</v>
      </c>
      <c r="AE421" s="6">
        <f>[Capital Social]/[Total Ações]</f>
        <v>2.2595139665010993</v>
      </c>
      <c r="AF421" s="77">
        <f>Tabela3[[#This Row],[Lucro Líquido]]/Tabela3[[#This Row],[Total Ações]]</f>
        <v>1.0162946220462363</v>
      </c>
      <c r="AG42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42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421" s="6">
        <f>[Div Base]*[Ações]</f>
        <v>62876462.5</v>
      </c>
      <c r="AL421" s="6">
        <f>SUMPRODUCT(N([Nome]=Tabela3[[#This Row],[Nome]]),[Div Base]*[Ações])</f>
        <v>62876462.5</v>
      </c>
      <c r="AM421" s="6">
        <f>[Patrimônio Líquido]/[Total Ações]</f>
        <v>6.2686441010998006</v>
      </c>
      <c r="AN421" s="48">
        <f>MAX(Tabela3[[#This Row],[Cotação 1]:[Cotação 5]])</f>
        <v>25.23</v>
      </c>
      <c r="AO421" s="44">
        <f>[Cotação]/[VPA]</f>
        <v>4.02479381395628</v>
      </c>
      <c r="AP421" s="40">
        <f>IF(Tabela3[[#This Row],[Lucro/Ação]]&gt;0,Tabela3[[#This Row],[Cotação]]/(Tabela3[[#This Row],[Lucro/Ação]]/[Ref]*4),0)</f>
        <v>18.619108661522684</v>
      </c>
      <c r="AQ421" s="77">
        <f>[Lucro Distribuir]/[Total Ações]</f>
        <v>0.96547989094392439</v>
      </c>
      <c r="AR421" s="77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421" s="15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9.5667844921118149E-3</v>
      </c>
      <c r="AU421" s="19">
        <f>((1+Tabela3[[#This Row],[% Yield]])^(1/(3*Tabela3[[#This Row],[Ref]])))^(12)-1</f>
        <v>1.277600811457047E-2</v>
      </c>
      <c r="AV421" s="14">
        <f>IF([Cotação]&gt;0,($BH$1/Tabela3[[#This Row],[Cotação]]-MOD($BH$1/Tabela3[[#This Row],[Cotação]],100)),)</f>
        <v>0</v>
      </c>
      <c r="AW421" s="17">
        <f>Tabela3[[#This Row],[Ativos]]*[Lucro]</f>
        <v>0</v>
      </c>
      <c r="AX421" s="13">
        <f>SUMPRODUCT(N(Tabela1[Código]=Tabela3[[#This Row],[PAPEL]]),Tabela1[Fechamento])</f>
        <v>0</v>
      </c>
      <c r="AY421" s="55">
        <f>SUMPRODUCT(N(Tabela17[Código]=Tabela3[[#This Row],[PAPEL]]),Tabela17[Fechamento])</f>
        <v>25.23</v>
      </c>
      <c r="AZ421" s="7">
        <f>SUMPRODUCT(N(Tabela176[Código]=Tabela3[[#This Row],[PAPEL]]),Tabela176[Fechamento])</f>
        <v>0</v>
      </c>
      <c r="BA421" s="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customHeight="1">
      <c r="A422" s="3" t="s">
        <v>876</v>
      </c>
      <c r="B422" s="58" t="s">
        <v>939</v>
      </c>
      <c r="C422" s="16" t="str">
        <f>LEFT([PAPEL],LEN([PAPEL])-(LEN([PAPEL])-4))</f>
        <v>WMBY</v>
      </c>
      <c r="D422" s="16">
        <v>3</v>
      </c>
      <c r="E422" s="5">
        <v>250000000</v>
      </c>
      <c r="F422" s="56">
        <v>24000000</v>
      </c>
      <c r="G422" s="80">
        <v>0.33</v>
      </c>
      <c r="H422" s="86"/>
      <c r="J422" s="18"/>
      <c r="K422" s="16"/>
      <c r="L422" s="86"/>
      <c r="M422" s="54"/>
      <c r="N422" s="54"/>
      <c r="O422" s="54"/>
      <c r="P422" s="90">
        <v>333205000</v>
      </c>
      <c r="Q422" s="73">
        <v>-10896000</v>
      </c>
      <c r="R422" s="73">
        <f>IF(Tabela3[[#This Row],[Ativo || Passivo]]&gt;0,Tabela3[[#This Row],[Ativo || Passivo]]-Tabela3[[#This Row],[Patrimônio Líquido]],0)</f>
        <v>0</v>
      </c>
      <c r="S422" s="73">
        <f>Tabela3[[#This Row],[Cotação]]*Tabela3[[#This Row],[Total Ações]]</f>
        <v>609360000</v>
      </c>
      <c r="T422" s="37">
        <f>IF(Tabela3[[#This Row],[Passivo Circulante]]&gt;0,Tabela3[[#This Row],[Ativo Circulante]]/Tabela3[[#This Row],[Passivo Circulante]],0)</f>
        <v>0</v>
      </c>
      <c r="U42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2" s="18">
        <f>IF(Tabela3[[#This Row],[Lucro Líquido]]&gt;0,Tabela3[[#This Row],[Lucro Líquido]]/Tabela3[[#This Row],[Patrimônio Líquido]],0)/Tabela3[[#This Row],[Ref]]*4</f>
        <v>0</v>
      </c>
      <c r="W42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2" s="18">
        <f>IF(Tabela3[[#This Row],[Dívida]]&gt;0,Tabela3[[#This Row],[Dívida]]/Tabela3[[#This Row],[Patrimônio Líquido]],0)</f>
        <v>0</v>
      </c>
      <c r="Y422" s="18">
        <f>SUMPRODUCT(N([Dívida / PL]&gt;0),N(RIGHT([PAPEL],LEN([PAPEL])-(LEN([PAPEL])-1))="3"),[Dívida / PL])/SUMPRODUCT(N([Dívida / PL]&gt;0),N(RIGHT([PAPEL],LEN([PAPEL])-(LEN([PAPEL])-1))="3"))</f>
        <v>2.2435702141443779</v>
      </c>
      <c r="Z422" s="7">
        <f>Tabela3[[#This Row],[Capital Social]]*20%</f>
        <v>50000000</v>
      </c>
      <c r="AA422" s="47">
        <f>IF(([Lucro Líquido]*5%)&gt;[Teto R. Legal],[Teto R. Legal],[Lucro Líquido]*5%)</f>
        <v>-544800</v>
      </c>
      <c r="AB422" s="47">
        <f>IF([Lucro Líquido]&lt;0,0,[Lucro Líquido]-[Reserva Legal])</f>
        <v>0</v>
      </c>
      <c r="AC422" s="47">
        <f>Tabela3[[#This Row],[Lucro Distribuir]]*[%Div]</f>
        <v>0</v>
      </c>
      <c r="AD422" s="56">
        <f>SUMPRODUCT(N([Nome]=Tabela3[[#This Row],[Nome]]),[Ações])</f>
        <v>24000000</v>
      </c>
      <c r="AE422" s="84">
        <f>[Capital Social]/[Total Ações]</f>
        <v>10.416666666666666</v>
      </c>
      <c r="AF422" s="84">
        <f>Tabela3[[#This Row],[Lucro Líquido]]/Tabela3[[#This Row],[Total Ações]]</f>
        <v>-0.45400000000000001</v>
      </c>
      <c r="AG42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2" s="7">
        <f>[Div Base]*[Ações]</f>
        <v>0</v>
      </c>
      <c r="AL422" s="7">
        <f>SUMPRODUCT(N([Nome]=Tabela3[[#This Row],[Nome]]),[Div Base]*[Ações])</f>
        <v>0</v>
      </c>
      <c r="AM422" s="5">
        <f>[Patrimônio Líquido]/[Total Ações]</f>
        <v>13.883541666666666</v>
      </c>
      <c r="AN422" s="52">
        <f>MAX(Tabela3[[#This Row],[Cotação 1]:[Cotação 5]])</f>
        <v>25.39</v>
      </c>
      <c r="AO422" s="53">
        <f>[Cotação]/[VPA]</f>
        <v>1.8287840818715206</v>
      </c>
      <c r="AP422" s="37">
        <f>IF(Tabela3[[#This Row],[Lucro/Ação]]&gt;0,Tabela3[[#This Row],[Cotação]]/(Tabela3[[#This Row],[Lucro/Ação]]/[Ref]*4),0)</f>
        <v>0</v>
      </c>
      <c r="AQ422" s="84">
        <f>[Lucro Distribuir]/[Total Ações]</f>
        <v>0</v>
      </c>
      <c r="AR422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2" s="10" t="str">
        <f>IF(AND([% A.A.]&gt;=5%,SUMPRODUCT(N([Nome]=Tabela3[[#This Row],[Nome]]),[PL])&gt;0,[Rentabilidade s/ PL]&gt;=[Rentabilidade s/ PL Média]),"Sim","Não")</f>
        <v>Não</v>
      </c>
      <c r="AT422" s="22">
        <f>IF([Cotação]&gt;0,Tabela3[[#This Row],[Lucro]]/Tabela3[[#This Row],[Cotação]],0)</f>
        <v>0</v>
      </c>
      <c r="AU422" s="22">
        <f>((1+Tabela3[[#This Row],[% Yield]])^(1/(3*Tabela3[[#This Row],[Ref]])))^(12)-1</f>
        <v>0</v>
      </c>
      <c r="AV422" s="10">
        <f>IF([Cotação]&gt;0,($BH$1/Tabela3[[#This Row],[Cotação]]-MOD($BH$1/Tabela3[[#This Row],[Cotação]],100)),)</f>
        <v>0</v>
      </c>
      <c r="AW422" s="7">
        <f>Tabela3[[#This Row],[Ativos]]*[Lucro]</f>
        <v>0</v>
      </c>
      <c r="AX422" s="7">
        <f>SUMPRODUCT(N(Tabela1[Código]=Tabela3[[#This Row],[PAPEL]]),Tabela1[Fechamento])</f>
        <v>0</v>
      </c>
      <c r="AY422" s="7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25.39</v>
      </c>
      <c r="BB422" s="7">
        <f>SUMPRODUCT(N(Tabela17683[Código]=Tabela3[[#This Row],[PAPEL]]),Tabela17683[Fechamento])</f>
        <v>0</v>
      </c>
    </row>
    <row r="423" spans="1:54" ht="11.25" customHeight="1">
      <c r="A423" s="3" t="s">
        <v>1131</v>
      </c>
      <c r="B423" s="57" t="s">
        <v>1121</v>
      </c>
      <c r="C423" s="16" t="str">
        <f>LEFT([PAPEL],LEN([PAPEL])-(LEN([PAPEL])-4))</f>
        <v>MILS</v>
      </c>
      <c r="D423" s="16">
        <v>4</v>
      </c>
      <c r="E423" s="5">
        <v>553232000</v>
      </c>
      <c r="F423" s="56">
        <v>127490508</v>
      </c>
      <c r="G423" s="80">
        <v>0.25</v>
      </c>
      <c r="H423" s="18"/>
      <c r="J423" s="18"/>
      <c r="K423" s="16"/>
      <c r="L423" s="86"/>
      <c r="M423" s="54">
        <v>1801245000</v>
      </c>
      <c r="N423" s="54">
        <v>319464000</v>
      </c>
      <c r="O423" s="54">
        <v>254983000</v>
      </c>
      <c r="P423" s="90">
        <v>1016513000</v>
      </c>
      <c r="Q423" s="73">
        <v>172592000</v>
      </c>
      <c r="R423" s="73">
        <f>IF(Tabela3[[#This Row],[Ativo || Passivo]]&gt;0,Tabela3[[#This Row],[Ativo || Passivo]]-Tabela3[[#This Row],[Patrimônio Líquido]],0)</f>
        <v>784732000</v>
      </c>
      <c r="S423" s="73">
        <f>Tabela3[[#This Row],[Cotação]]*Tabela3[[#This Row],[Total Ações]]</f>
        <v>3248458143.8400002</v>
      </c>
      <c r="T423" s="37">
        <f>IF(Tabela3[[#This Row],[Passivo Circulante]]&gt;0,Tabela3[[#This Row],[Ativo Circulante]]/Tabela3[[#This Row],[Passivo Circulante]],0)</f>
        <v>1.2528835255683712</v>
      </c>
      <c r="U42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3" s="18">
        <f>IF(Tabela3[[#This Row],[Lucro Líquido]]&gt;0,Tabela3[[#This Row],[Lucro Líquido]]/Tabela3[[#This Row],[Patrimônio Líquido]],0)/Tabela3[[#This Row],[Ref]]*4</f>
        <v>0.16978828603274135</v>
      </c>
      <c r="W42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3" s="18">
        <f>IF(Tabela3[[#This Row],[Dívida]]&gt;0,Tabela3[[#This Row],[Dívida]]/Tabela3[[#This Row],[Patrimônio Líquido]],0)</f>
        <v>0.77198422450081794</v>
      </c>
      <c r="Y423" s="18">
        <f>SUMPRODUCT(N([Dívida / PL]&gt;0),N(RIGHT([PAPEL],LEN([PAPEL])-(LEN([PAPEL])-1))="3"),[Dívida / PL])/SUMPRODUCT(N([Dívida / PL]&gt;0),N(RIGHT([PAPEL],LEN([PAPEL])-(LEN([PAPEL])-1))="3"))</f>
        <v>2.2435702141443779</v>
      </c>
      <c r="Z423" s="7">
        <f>Tabela3[[#This Row],[Capital Social]]*20%</f>
        <v>110646400</v>
      </c>
      <c r="AA423" s="47">
        <f>IF(([Lucro Líquido]*5%)&gt;[Teto R. Legal],[Teto R. Legal],[Lucro Líquido]*5%)</f>
        <v>8629600</v>
      </c>
      <c r="AB423" s="47">
        <f>IF([Lucro Líquido]&lt;0,0,[Lucro Líquido]-[Reserva Legal])</f>
        <v>163962400</v>
      </c>
      <c r="AC423" s="47">
        <f>Tabela3[[#This Row],[Lucro Distribuir]]*[%Div]</f>
        <v>40990600</v>
      </c>
      <c r="AD423" s="56">
        <f>SUMPRODUCT(N([Nome]=Tabela3[[#This Row],[Nome]]),[Ações])</f>
        <v>127490508</v>
      </c>
      <c r="AE423" s="84">
        <f>[Capital Social]/[Total Ações]</f>
        <v>4.3393975651897163</v>
      </c>
      <c r="AF423" s="84">
        <f>Tabela3[[#This Row],[Lucro Líquido]]/Tabela3[[#This Row],[Total Ações]]</f>
        <v>1.3537635288111018</v>
      </c>
      <c r="AG42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42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423" s="7">
        <f>[Div Base]*[Ações]</f>
        <v>40990600</v>
      </c>
      <c r="AL423" s="113">
        <f>SUMPRODUCT(N([Nome]=Tabela3[[#This Row],[Nome]]),[Div Base]*[Ações])</f>
        <v>40990600</v>
      </c>
      <c r="AM423" s="5">
        <f>[Patrimônio Líquido]/[Total Ações]</f>
        <v>7.9732445649993018</v>
      </c>
      <c r="AN423" s="52">
        <f>MAX(Tabela3[[#This Row],[Cotação 1]:[Cotação 5]])</f>
        <v>25.48</v>
      </c>
      <c r="AO423" s="53">
        <f>[Cotação]/[VPA]</f>
        <v>3.1956877519913665</v>
      </c>
      <c r="AP423" s="37">
        <f>IF(Tabela3[[#This Row],[Lucro/Ação]]&gt;0,Tabela3[[#This Row],[Cotação]]/(Tabela3[[#This Row],[Lucro/Ação]]/[Ref]*4),0)</f>
        <v>18.821603225178453</v>
      </c>
      <c r="AQ423" s="84">
        <f>[Lucro Distribuir]/[Total Ações]</f>
        <v>1.2860753523705466</v>
      </c>
      <c r="AR423" s="84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423" s="10" t="str">
        <f>IF(AND([% A.A.]&gt;=5%,SUMPRODUCT(N([Nome]=Tabela3[[#This Row],[Nome]]),[PL])&gt;0,[Rentabilidade s/ PL]&gt;=[Rentabilidade s/ PL Média]),"Sim","Não")</f>
        <v>Não</v>
      </c>
      <c r="AT423" s="22">
        <f>IF([Cotação]&gt;0,Tabela3[[#This Row],[Lucro]]/Tabela3[[#This Row],[Cotação]],0)</f>
        <v>1.2618478732050104E-2</v>
      </c>
      <c r="AU423" s="22">
        <f>((1+Tabela3[[#This Row],[% Yield]])^(1/(3*Tabela3[[#This Row],[Ref]])))^(12)-1</f>
        <v>1.2618478732049576E-2</v>
      </c>
      <c r="AV423" s="10">
        <f>IF([Cotação]&gt;0,($BH$1/Tabela3[[#This Row],[Cotação]]-MOD($BH$1/Tabela3[[#This Row],[Cotação]],100)),)</f>
        <v>0</v>
      </c>
      <c r="AW423" s="7">
        <f>Tabela3[[#This Row],[Ativos]]*[Lucro]</f>
        <v>0</v>
      </c>
      <c r="AX423" s="7">
        <f>SUMPRODUCT(N(Tabela1[Código]=Tabela3[[#This Row],[PAPEL]]),Tabela1[Fechamento])</f>
        <v>0</v>
      </c>
      <c r="AY423" s="7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25.48</v>
      </c>
    </row>
    <row r="424" spans="1:54" ht="11.25" customHeight="1">
      <c r="A424" s="4" t="s">
        <v>325</v>
      </c>
      <c r="B424" s="57" t="s">
        <v>601</v>
      </c>
      <c r="C424" s="15" t="str">
        <f>LEFT([PAPEL],LEN([PAPEL])-(LEN([PAPEL])-4))</f>
        <v>FBMC</v>
      </c>
      <c r="D424" s="15">
        <v>4</v>
      </c>
      <c r="E424" s="5">
        <v>23748768.84</v>
      </c>
      <c r="F424" s="8">
        <v>461354</v>
      </c>
      <c r="G424" s="85">
        <v>0.25</v>
      </c>
      <c r="H424" s="9"/>
      <c r="I424" s="19">
        <v>0.08</v>
      </c>
      <c r="J424" s="19"/>
      <c r="K424" s="87"/>
      <c r="L424" s="87"/>
      <c r="M424" s="54">
        <v>73833000</v>
      </c>
      <c r="N424" s="54">
        <v>31994000</v>
      </c>
      <c r="O424" s="54">
        <v>23570000</v>
      </c>
      <c r="P424" s="90">
        <v>19470000</v>
      </c>
      <c r="Q424" s="73">
        <v>-2316000</v>
      </c>
      <c r="R424" s="73">
        <f>IF(Tabela3[[#This Row],[Ativo || Passivo]]&gt;0,Tabela3[[#This Row],[Ativo || Passivo]]-Tabela3[[#This Row],[Patrimônio Líquido]],0)</f>
        <v>54363000</v>
      </c>
      <c r="S424" s="73">
        <f>Tabela3[[#This Row],[Cotação]]*Tabela3[[#This Row],[Total Ações]]</f>
        <v>18518841.859999999</v>
      </c>
      <c r="T424" s="37">
        <f>IF(Tabela3[[#This Row],[Passivo Circulante]]&gt;0,Tabela3[[#This Row],[Ativo Circulante]]/Tabela3[[#This Row],[Passivo Circulante]],0)</f>
        <v>1.3574034789987273</v>
      </c>
      <c r="U42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4" s="18">
        <f>IF(Tabela3[[#This Row],[Lucro Líquido]]&gt;0,Tabela3[[#This Row],[Lucro Líquido]]/Tabela3[[#This Row],[Patrimônio Líquido]],0)/Tabela3[[#This Row],[Ref]]*4</f>
        <v>0</v>
      </c>
      <c r="W42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4" s="18">
        <f>IF(Tabela3[[#This Row],[Dívida]]&gt;0,Tabela3[[#This Row],[Dívida]]/Tabela3[[#This Row],[Patrimônio Líquido]],0)</f>
        <v>2.7921417565485362</v>
      </c>
      <c r="Y424" s="18">
        <f>SUMPRODUCT(N([Dívida / PL]&gt;0),N(RIGHT([PAPEL],LEN([PAPEL])-(LEN([PAPEL])-1))="3"),[Dívida / PL])/SUMPRODUCT(N([Dívida / PL]&gt;0),N(RIGHT([PAPEL],LEN([PAPEL])-(LEN([PAPEL])-1))="3"))</f>
        <v>2.2435702141443779</v>
      </c>
      <c r="Z424" s="13">
        <f>Tabela3[[#This Row],[Capital Social]]*20%</f>
        <v>4749753.7680000002</v>
      </c>
      <c r="AA424" s="13">
        <f>IF(([Lucro Líquido]*5%)&gt;[Teto R. Legal],[Teto R. Legal],[Lucro Líquido]*5%)</f>
        <v>-115800</v>
      </c>
      <c r="AB424" s="13">
        <f>IF([Lucro Líquido]&lt;0,0,[Lucro Líquido]-[Reserva Legal])</f>
        <v>0</v>
      </c>
      <c r="AC424" s="13">
        <f>Tabela3[[#This Row],[Lucro Distribuir]]*[%Div]</f>
        <v>0</v>
      </c>
      <c r="AD424" s="56">
        <f>SUMPRODUCT(N([Nome]=Tabela3[[#This Row],[Nome]]),[Ações])</f>
        <v>726514</v>
      </c>
      <c r="AE424" s="6">
        <f>[Capital Social]/[Total Ações]</f>
        <v>32.688659599126787</v>
      </c>
      <c r="AF424" s="77">
        <f>Tabela3[[#This Row],[Lucro Líquido]]/Tabela3[[#This Row],[Total Ações]]</f>
        <v>-3.1878256991606495</v>
      </c>
      <c r="AG42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4" s="13">
        <f>[Div Base]*[Ações]</f>
        <v>0</v>
      </c>
      <c r="AL424" s="13">
        <f>SUMPRODUCT(N([Nome]=Tabela3[[#This Row],[Nome]]),[Div Base]*[Ações])</f>
        <v>0</v>
      </c>
      <c r="AM424" s="6">
        <f>[Patrimônio Líquido]/[Total Ações]</f>
        <v>26.799208274031884</v>
      </c>
      <c r="AN424" s="48">
        <f>MAX(Tabela3[[#This Row],[Cotação 1]:[Cotação 5]])</f>
        <v>25.49</v>
      </c>
      <c r="AO424" s="44">
        <f>[Cotação]/[VPA]</f>
        <v>0.9511475017976373</v>
      </c>
      <c r="AP424" s="40">
        <f>IF(Tabela3[[#This Row],[Lucro/Ação]]&gt;0,Tabela3[[#This Row],[Cotação]]/(Tabela3[[#This Row],[Lucro/Ação]]/[Ref]*4),0)</f>
        <v>0</v>
      </c>
      <c r="AQ424" s="77">
        <f>[Lucro Distribuir]/[Total Ações]</f>
        <v>0</v>
      </c>
      <c r="AR424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4" s="14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0</v>
      </c>
      <c r="AU424" s="42">
        <f>((1+Tabela3[[#This Row],[% Yield]])^(1/(3*Tabela3[[#This Row],[Ref]])))^(12)-1</f>
        <v>0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17">
        <f>SUMPRODUCT(N(Tabela1[Código]=Tabela3[[#This Row],[PAPEL]]),Tabela1[Fechamento])</f>
        <v>0</v>
      </c>
      <c r="AY424" s="17">
        <f>SUMPRODUCT(N(Tabela17[Código]=Tabela3[[#This Row],[PAPEL]]),Tabela17[Fechamento])</f>
        <v>0</v>
      </c>
      <c r="AZ424" s="17">
        <f>SUMPRODUCT(N(Tabela176[Código]=Tabela3[[#This Row],[PAPEL]]),Tabela176[Fechamento])</f>
        <v>25.49</v>
      </c>
      <c r="BA424" s="1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customHeight="1">
      <c r="A425" s="3" t="s">
        <v>996</v>
      </c>
      <c r="B425" s="58" t="s">
        <v>997</v>
      </c>
      <c r="C425" s="16" t="str">
        <f>LEFT([PAPEL],LEN([PAPEL])-(LEN([PAPEL])-4))</f>
        <v>ARZZ</v>
      </c>
      <c r="D425" s="16">
        <v>3</v>
      </c>
      <c r="E425" s="5">
        <v>156000000</v>
      </c>
      <c r="F425" s="56">
        <v>88637034</v>
      </c>
      <c r="G425" s="80">
        <v>0.25</v>
      </c>
      <c r="H425" s="86"/>
      <c r="J425" s="18"/>
      <c r="K425" s="16"/>
      <c r="L425" s="86"/>
      <c r="M425" s="54"/>
      <c r="N425" s="54"/>
      <c r="O425" s="54"/>
      <c r="P425" s="90">
        <v>490719000</v>
      </c>
      <c r="Q425" s="73">
        <v>77810000</v>
      </c>
      <c r="R425" s="73">
        <f>IF(Tabela3[[#This Row],[Ativo || Passivo]]&gt;0,Tabela3[[#This Row],[Ativo || Passivo]]-Tabela3[[#This Row],[Patrimônio Líquido]],0)</f>
        <v>0</v>
      </c>
      <c r="S425" s="73">
        <f>Tabela3[[#This Row],[Cotação]]*Tabela3[[#This Row],[Total Ações]]</f>
        <v>2274426292.4400001</v>
      </c>
      <c r="T425" s="37">
        <f>IF(Tabela3[[#This Row],[Passivo Circulante]]&gt;0,Tabela3[[#This Row],[Ativo Circulante]]/Tabela3[[#This Row],[Passivo Circulante]],0)</f>
        <v>0</v>
      </c>
      <c r="U42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5" s="18">
        <f>IF(Tabela3[[#This Row],[Lucro Líquido]]&gt;0,Tabela3[[#This Row],[Lucro Líquido]]/Tabela3[[#This Row],[Patrimônio Líquido]],0)/Tabela3[[#This Row],[Ref]]*4</f>
        <v>0.21141766808839002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2.2435702141443779</v>
      </c>
      <c r="Z425" s="7">
        <f>Tabela3[[#This Row],[Capital Social]]*20%</f>
        <v>31200000</v>
      </c>
      <c r="AA425" s="47">
        <f>IF(([Lucro Líquido]*5%)&gt;[Teto R. Legal],[Teto R. Legal],[Lucro Líquido]*5%)</f>
        <v>3890500</v>
      </c>
      <c r="AB425" s="47">
        <f>IF([Lucro Líquido]&lt;0,0,[Lucro Líquido]-[Reserva Legal])</f>
        <v>73919500</v>
      </c>
      <c r="AC425" s="47">
        <f>Tabela3[[#This Row],[Lucro Distribuir]]*[%Div]</f>
        <v>18479875</v>
      </c>
      <c r="AD425" s="56">
        <f>SUMPRODUCT(N([Nome]=Tabela3[[#This Row],[Nome]]),[Ações])</f>
        <v>88637034</v>
      </c>
      <c r="AE425" s="84">
        <f>[Capital Social]/[Total Ações]</f>
        <v>1.7599866890852869</v>
      </c>
      <c r="AF425" s="84">
        <f>Tabela3[[#This Row],[Lucro Líquido]]/Tabela3[[#This Row],[Total Ações]]</f>
        <v>0.87784977101106521</v>
      </c>
      <c r="AG42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42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425" s="7">
        <f>[Div Base]*[Ações]</f>
        <v>18479875</v>
      </c>
      <c r="AL425" s="113">
        <f>SUMPRODUCT(N([Nome]=Tabela3[[#This Row],[Nome]]),[Div Base]*[Ações])</f>
        <v>18479875</v>
      </c>
      <c r="AM425" s="5">
        <f>[Patrimônio Líquido]/[Total Ações]</f>
        <v>5.5362750518028392</v>
      </c>
      <c r="AN425" s="52">
        <f>MAX(Tabela3[[#This Row],[Cotação 1]:[Cotação 5]])</f>
        <v>25.66</v>
      </c>
      <c r="AO425" s="53">
        <f>[Cotação]/[VPA]</f>
        <v>4.6348853263069083</v>
      </c>
      <c r="AP425" s="37">
        <f>IF(Tabela3[[#This Row],[Lucro/Ação]]&gt;0,Tabela3[[#This Row],[Cotação]]/(Tabela3[[#This Row],[Lucro/Ação]]/[Ref]*4),0)</f>
        <v>21.922885481686158</v>
      </c>
      <c r="AQ425" s="84">
        <f>[Lucro Distribuir]/[Total Ações]</f>
        <v>0.83395728246051193</v>
      </c>
      <c r="AR425" s="84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425" s="10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8.1250709514858917E-3</v>
      </c>
      <c r="AU425" s="22">
        <f>((1+Tabela3[[#This Row],[% Yield]])^(1/(3*Tabela3[[#This Row],[Ref]])))^(12)-1</f>
        <v>1.0848071931260916E-2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7">
        <f>SUMPRODUCT(N(Tabela1[Código]=Tabela3[[#This Row],[PAPEL]]),Tabela1[Fechamento])</f>
        <v>0</v>
      </c>
      <c r="AY425" s="7">
        <f>SUMPRODUCT(N(Tabela17[Código]=Tabela3[[#This Row],[PAPEL]]),Tabela17[Fechamento])</f>
        <v>0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25.66</v>
      </c>
      <c r="BB425" s="7">
        <f>SUMPRODUCT(N(Tabela17683[Código]=Tabela3[[#This Row],[PAPEL]]),Tabela17683[Fechamento])</f>
        <v>0</v>
      </c>
    </row>
    <row r="426" spans="1:54" ht="11.25" customHeight="1">
      <c r="A426" s="3" t="s">
        <v>1019</v>
      </c>
      <c r="B426" s="58" t="s">
        <v>1032</v>
      </c>
      <c r="C426" s="16" t="str">
        <f>LEFT([PAPEL],LEN([PAPEL])-(LEN([PAPEL])-4))</f>
        <v>EZTC</v>
      </c>
      <c r="D426" s="16">
        <v>3</v>
      </c>
      <c r="E426" s="5">
        <v>1050000000</v>
      </c>
      <c r="F426" s="56">
        <v>146724120</v>
      </c>
      <c r="G426" s="80">
        <v>0.25</v>
      </c>
      <c r="H426" s="86"/>
      <c r="J426" s="18"/>
      <c r="K426" s="16"/>
      <c r="L426" s="86"/>
      <c r="M426" s="54">
        <v>2332089000</v>
      </c>
      <c r="N426" s="54">
        <v>239746000</v>
      </c>
      <c r="O426" s="54">
        <v>247157000</v>
      </c>
      <c r="P426" s="90">
        <v>2081158000</v>
      </c>
      <c r="Q426" s="73">
        <v>426497000</v>
      </c>
      <c r="R426" s="73">
        <f>IF(Tabela3[[#This Row],[Ativo || Passivo]]&gt;0,Tabela3[[#This Row],[Ativo || Passivo]]-Tabela3[[#This Row],[Patrimônio Líquido]],0)</f>
        <v>250931000</v>
      </c>
      <c r="S426" s="73">
        <f>Tabela3[[#This Row],[Cotação]]*Tabela3[[#This Row],[Total Ações]]</f>
        <v>3801621949.1999998</v>
      </c>
      <c r="T426" s="37">
        <f>IF(Tabela3[[#This Row],[Passivo Circulante]]&gt;0,Tabela3[[#This Row],[Ativo Circulante]]/Tabela3[[#This Row],[Passivo Circulante]],0)</f>
        <v>0.97001501070169971</v>
      </c>
      <c r="U42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6" s="18">
        <f>IF(Tabela3[[#This Row],[Lucro Líquido]]&gt;0,Tabela3[[#This Row],[Lucro Líquido]]/Tabela3[[#This Row],[Patrimônio Líquido]],0)/Tabela3[[#This Row],[Ref]]*4</f>
        <v>0.27324338981791224</v>
      </c>
      <c r="W42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6" s="18">
        <f>IF(Tabela3[[#This Row],[Dívida]]&gt;0,Tabela3[[#This Row],[Dívida]]/Tabela3[[#This Row],[Patrimônio Líquido]],0)</f>
        <v>0.12057277727111541</v>
      </c>
      <c r="Y426" s="18">
        <f>SUMPRODUCT(N([Dívida / PL]&gt;0),N(RIGHT([PAPEL],LEN([PAPEL])-(LEN([PAPEL])-1))="3"),[Dívida / PL])/SUMPRODUCT(N([Dívida / PL]&gt;0),N(RIGHT([PAPEL],LEN([PAPEL])-(LEN([PAPEL])-1))="3"))</f>
        <v>2.2435702141443779</v>
      </c>
      <c r="Z426" s="7">
        <f>Tabela3[[#This Row],[Capital Social]]*20%</f>
        <v>210000000</v>
      </c>
      <c r="AA426" s="47">
        <f>IF(([Lucro Líquido]*5%)&gt;[Teto R. Legal],[Teto R. Legal],[Lucro Líquido]*5%)</f>
        <v>21324850</v>
      </c>
      <c r="AB426" s="47">
        <f>IF([Lucro Líquido]&lt;0,0,[Lucro Líquido]-[Reserva Legal])</f>
        <v>405172150</v>
      </c>
      <c r="AC426" s="47">
        <f>Tabela3[[#This Row],[Lucro Distribuir]]*[%Div]</f>
        <v>101293037.5</v>
      </c>
      <c r="AD426" s="56">
        <f>SUMPRODUCT(N([Nome]=Tabela3[[#This Row],[Nome]]),[Ações])</f>
        <v>146724120</v>
      </c>
      <c r="AE426" s="84">
        <f>[Capital Social]/[Total Ações]</f>
        <v>7.156287596068049</v>
      </c>
      <c r="AF426" s="84">
        <f>Tabela3[[#This Row],[Lucro Líquido]]/Tabela3[[#This Row],[Total Ações]]</f>
        <v>2.9067954198668904</v>
      </c>
      <c r="AG42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42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426" s="7">
        <f>[Div Base]*[Ações]</f>
        <v>101293037.5</v>
      </c>
      <c r="AL426" s="113">
        <f>SUMPRODUCT(N([Nome]=Tabela3[[#This Row],[Nome]]),[Div Base]*[Ações])</f>
        <v>101293037.5</v>
      </c>
      <c r="AM426" s="5">
        <f>[Patrimônio Líquido]/[Total Ações]</f>
        <v>14.184157315102656</v>
      </c>
      <c r="AN426" s="52">
        <f>MAX(Tabela3[[#This Row],[Cotação 1]:[Cotação 5]])</f>
        <v>25.91</v>
      </c>
      <c r="AO426" s="53">
        <f>[Cotação]/[VPA]</f>
        <v>1.8266858879527648</v>
      </c>
      <c r="AP426" s="37">
        <f>IF(Tabela3[[#This Row],[Lucro/Ação]]&gt;0,Tabela3[[#This Row],[Cotação]]/(Tabela3[[#This Row],[Lucro/Ação]]/[Ref]*4),0)</f>
        <v>6.6851969929448503</v>
      </c>
      <c r="AQ426" s="84">
        <f>[Lucro Distribuir]/[Total Ações]</f>
        <v>2.7614556488735458</v>
      </c>
      <c r="AR426" s="84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426" s="10" t="str">
        <f>IF(AND([% A.A.]&gt;=5%,SUMPRODUCT(N([Nome]=Tabela3[[#This Row],[Nome]]),[PL])&gt;0,[Rentabilidade s/ PL]&gt;=[Rentabilidade s/ PL Média]),"Sim","Não")</f>
        <v>Não</v>
      </c>
      <c r="AT426" s="22">
        <f>IF([Cotação]&gt;0,Tabela3[[#This Row],[Lucro]]/Tabela3[[#This Row],[Cotação]],0)</f>
        <v>2.6644689780717348E-2</v>
      </c>
      <c r="AU426" s="22">
        <f>((1+Tabela3[[#This Row],[% Yield]])^(1/(3*Tabela3[[#This Row],[Ref]])))^(12)-1</f>
        <v>3.5683093469229599E-2</v>
      </c>
      <c r="AV426" s="10">
        <f>IF([Cotação]&gt;0,($BH$1/Tabela3[[#This Row],[Cotação]]-MOD($BH$1/Tabela3[[#This Row],[Cotação]],100)),)</f>
        <v>0</v>
      </c>
      <c r="AW426" s="7">
        <f>Tabela3[[#This Row],[Ativos]]*[Lucro]</f>
        <v>0</v>
      </c>
      <c r="AX426" s="7">
        <f>SUMPRODUCT(N(Tabela1[Código]=Tabela3[[#This Row],[PAPEL]]),Tabela1[Fechamento])</f>
        <v>0</v>
      </c>
      <c r="AY426" s="7">
        <f>SUMPRODUCT(N(Tabela17[Código]=Tabela3[[#This Row],[PAPEL]]),Tabela17[Fechamento])</f>
        <v>0</v>
      </c>
      <c r="AZ426" s="7">
        <f>SUMPRODUCT(N(Tabela176[Código]=Tabela3[[#This Row],[PAPEL]]),Tabela176[Fechamento])</f>
        <v>0</v>
      </c>
      <c r="BA426" s="7">
        <f>SUMPRODUCT(N(Tabela1768[Código]=Tabela3[[#This Row],[PAPEL]]),Tabela1768[Fechamento])</f>
        <v>25.91</v>
      </c>
      <c r="BB426" s="7">
        <f>SUMPRODUCT(N(Tabela17683[Código]=Tabela3[[#This Row],[PAPEL]]),Tabela17683[Fechamento])</f>
        <v>0</v>
      </c>
    </row>
    <row r="427" spans="1:54" ht="11.25" customHeight="1">
      <c r="A427" s="4" t="s">
        <v>12</v>
      </c>
      <c r="B427" s="57" t="s">
        <v>100</v>
      </c>
      <c r="C427" s="14" t="str">
        <f>LEFT([PAPEL],LEN([PAPEL])-(LEN([PAPEL])-4))</f>
        <v>CPLE</v>
      </c>
      <c r="D427" s="15">
        <v>3</v>
      </c>
      <c r="E427" s="6">
        <v>6910000000</v>
      </c>
      <c r="F427" s="8">
        <v>128242593</v>
      </c>
      <c r="G427" s="85">
        <v>0.25</v>
      </c>
      <c r="H427" s="15"/>
      <c r="I427" s="19"/>
      <c r="J427" s="19">
        <v>0.1</v>
      </c>
      <c r="K427" s="87"/>
      <c r="L427" s="87"/>
      <c r="M427" s="13">
        <v>14184888000</v>
      </c>
      <c r="N427" s="13">
        <v>1725572000</v>
      </c>
      <c r="O427" s="13">
        <v>626089000</v>
      </c>
      <c r="P427" s="89">
        <v>12828375000</v>
      </c>
      <c r="Q427" s="89">
        <v>898498000</v>
      </c>
      <c r="R427" s="72">
        <f>IF(Tabela3[[#This Row],[Ativo || Passivo]]&gt;0,Tabela3[[#This Row],[Ativo || Passivo]]-Tabela3[[#This Row],[Patrimônio Líquido]],0)</f>
        <v>1356513000</v>
      </c>
      <c r="S427" s="72">
        <f>Tabela3[[#This Row],[Cotação]]*Tabela3[[#This Row],[Total Ações]]</f>
        <v>7202609470</v>
      </c>
      <c r="T427" s="119">
        <f>IF(Tabela3[[#This Row],[Passivo Circulante]]&gt;0,Tabela3[[#This Row],[Ativo Circulante]]/Tabela3[[#This Row],[Passivo Circulante]],0)</f>
        <v>2.7561129487980143</v>
      </c>
      <c r="U427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7" s="18">
        <f>IF(Tabela3[[#This Row],[Lucro Líquido]]&gt;0,Tabela3[[#This Row],[Lucro Líquido]]/Tabela3[[#This Row],[Patrimônio Líquido]],0)/Tabela3[[#This Row],[Ref]]*4</f>
        <v>9.3386522714945061E-2</v>
      </c>
      <c r="W42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7" s="18">
        <f>IF(Tabela3[[#This Row],[Dívida]]&gt;0,Tabela3[[#This Row],[Dívida]]/Tabela3[[#This Row],[Patrimônio Líquido]],0)</f>
        <v>0.10574316700283551</v>
      </c>
      <c r="Y427" s="18">
        <f>SUMPRODUCT(N([Dívida / PL]&gt;0),N(RIGHT([PAPEL],LEN([PAPEL])-(LEN([PAPEL])-1))="3"),[Dívida / PL])/SUMPRODUCT(N([Dívida / PL]&gt;0),N(RIGHT([PAPEL],LEN([PAPEL])-(LEN([PAPEL])-1))="3"))</f>
        <v>2.2435702141443779</v>
      </c>
      <c r="Z427" s="6">
        <f>Tabela3[[#This Row],[Capital Social]]*20%</f>
        <v>1382000000</v>
      </c>
      <c r="AA427" s="6">
        <f>IF(([Lucro Líquido]*5%)&gt;[Teto R. Legal],[Teto R. Legal],[Lucro Líquido]*5%)</f>
        <v>44924900</v>
      </c>
      <c r="AB427" s="88">
        <f>IF([Lucro Líquido]&lt;0,0,[Lucro Líquido]-[Reserva Legal])</f>
        <v>853573100</v>
      </c>
      <c r="AC427" s="88">
        <f>Tabela3[[#This Row],[Lucro Distribuir]]*[%Div]</f>
        <v>213393275</v>
      </c>
      <c r="AD427" s="56">
        <f>SUMPRODUCT(N([Nome]=Tabela3[[#This Row],[Nome]]),[Ações])</f>
        <v>273655375</v>
      </c>
      <c r="AE427" s="6">
        <f>[Capital Social]/[Total Ações]</f>
        <v>25.250737355332415</v>
      </c>
      <c r="AF427" s="77">
        <f>Tabela3[[#This Row],[Lucro Líquido]]/Tabela3[[#This Row],[Total Ações]]</f>
        <v>3.2833193939640322</v>
      </c>
      <c r="AG42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42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42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427" s="6">
        <f>[Div Base]*[Ações]</f>
        <v>99689454.565333068</v>
      </c>
      <c r="AL427" s="6">
        <f>SUMPRODUCT(N([Nome]=Tabela3[[#This Row],[Nome]]),[Div Base]*[Ações])</f>
        <v>213393275.00000003</v>
      </c>
      <c r="AM427" s="6">
        <f>[Patrimônio Líquido]/[Total Ações]</f>
        <v>46.877847730927996</v>
      </c>
      <c r="AN427" s="48">
        <f>MAX(Tabela3[[#This Row],[Cotação 1]:[Cotação 5]])</f>
        <v>26.32</v>
      </c>
      <c r="AO427" s="44">
        <f>[Cotação]/[VPA]</f>
        <v>0.56145922379101021</v>
      </c>
      <c r="AP427" s="40">
        <f>IF(Tabela3[[#This Row],[Lucro/Ação]]&gt;0,Tabela3[[#This Row],[Cotação]]/(Tabela3[[#This Row],[Lucro/Ação]]/[Ref]*4),0)</f>
        <v>6.0122082659059899</v>
      </c>
      <c r="AQ427" s="77">
        <f>[Lucro Distribuir]/[Total Ações]</f>
        <v>3.1191534242658308</v>
      </c>
      <c r="AR427" s="77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2.9534596657455971E-2</v>
      </c>
      <c r="AU427" s="19">
        <f>((1+Tabela3[[#This Row],[% Yield]])^(1/(3*Tabela3[[#This Row],[Ref]])))^(12)-1</f>
        <v>3.9572048142195726E-2</v>
      </c>
      <c r="AV427" s="14">
        <f>IF([Cotação]&gt;0,($BH$1/Tabela3[[#This Row],[Cotação]]-MOD($BH$1/Tabela3[[#This Row],[Cotação]],100)),)</f>
        <v>0</v>
      </c>
      <c r="AW427" s="17">
        <f>Tabela3[[#This Row],[Ativos]]*[Lucro]</f>
        <v>0</v>
      </c>
      <c r="AX427" s="5">
        <f>SUMPRODUCT(N(Tabela1[Código]=Tabela3[[#This Row],[PAPEL]]),Tabela1[Fechamento])</f>
        <v>26.32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customHeight="1">
      <c r="A428" s="3" t="s">
        <v>974</v>
      </c>
      <c r="B428" s="58" t="s">
        <v>975</v>
      </c>
      <c r="C428" s="16" t="str">
        <f>LEFT([PAPEL],LEN([PAPEL])-(LEN([PAPEL])-4))</f>
        <v>ABRE</v>
      </c>
      <c r="D428" s="16">
        <v>4</v>
      </c>
      <c r="E428" s="5">
        <v>852449068.54999995</v>
      </c>
      <c r="F428" s="56"/>
      <c r="G428" s="80">
        <v>0.25</v>
      </c>
      <c r="H428" s="86"/>
      <c r="J428" s="18"/>
      <c r="K428" s="16">
        <v>1</v>
      </c>
      <c r="L428" s="86">
        <v>2</v>
      </c>
      <c r="M428" s="54">
        <v>1629667000</v>
      </c>
      <c r="N428" s="54">
        <v>132016000</v>
      </c>
      <c r="O428" s="54">
        <v>48059000</v>
      </c>
      <c r="P428" s="90">
        <v>1576691000</v>
      </c>
      <c r="Q428" s="73">
        <v>72705000</v>
      </c>
      <c r="R428" s="73">
        <f>IF(Tabela3[[#This Row],[Ativo || Passivo]]&gt;0,Tabela3[[#This Row],[Ativo || Passivo]]-Tabela3[[#This Row],[Patrimônio Líquido]],0)</f>
        <v>52976000</v>
      </c>
      <c r="S428" s="73">
        <f>Tabela3[[#This Row],[Cotação]]*Tabela3[[#This Row],[Total Ações]]</f>
        <v>6899814562.9099998</v>
      </c>
      <c r="T428" s="37">
        <f>IF(Tabela3[[#This Row],[Passivo Circulante]]&gt;0,Tabela3[[#This Row],[Ativo Circulante]]/Tabela3[[#This Row],[Passivo Circulante]],0)</f>
        <v>2.7469568655194658</v>
      </c>
      <c r="U428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8" s="18">
        <f>IF(Tabela3[[#This Row],[Lucro Líquido]]&gt;0,Tabela3[[#This Row],[Lucro Líquido]]/Tabela3[[#This Row],[Patrimônio Líquido]],0)/Tabela3[[#This Row],[Ref]]*4</f>
        <v>4.6112396151179909E-2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8" s="18">
        <f>IF(Tabela3[[#This Row],[Dívida]]&gt;0,Tabela3[[#This Row],[Dívida]]/Tabela3[[#This Row],[Patrimônio Líquido]],0)</f>
        <v>3.3599481445635196E-2</v>
      </c>
      <c r="Y428" s="18">
        <f>SUMPRODUCT(N([Dívida / PL]&gt;0),N(RIGHT([PAPEL],LEN([PAPEL])-(LEN([PAPEL])-1))="3"),[Dívida / PL])/SUMPRODUCT(N([Dívida / PL]&gt;0),N(RIGHT([PAPEL],LEN([PAPEL])-(LEN([PAPEL])-1))="3"))</f>
        <v>2.2435702141443779</v>
      </c>
      <c r="Z428" s="7">
        <f>Tabela3[[#This Row],[Capital Social]]*20%</f>
        <v>170489813.71000001</v>
      </c>
      <c r="AA428" s="47">
        <f>IF(([Lucro Líquido]*5%)&gt;[Teto R. Legal],[Teto R. Legal],[Lucro Líquido]*5%)</f>
        <v>3635250</v>
      </c>
      <c r="AB428" s="47">
        <f>IF([Lucro Líquido]&lt;0,0,[Lucro Líquido]-[Reserva Legal])</f>
        <v>69069750</v>
      </c>
      <c r="AC428" s="47">
        <f>Tabela3[[#This Row],[Lucro Distribuir]]*[%Div]</f>
        <v>17267437.5</v>
      </c>
      <c r="AD428" s="56">
        <f>SUMPRODUCT(N([Nome]=Tabela3[[#This Row],[Nome]]),[Ações])</f>
        <v>261257651</v>
      </c>
      <c r="AE428" s="84">
        <f>[Capital Social]/[Total Ações]</f>
        <v>3.2628673850780352</v>
      </c>
      <c r="AF428" s="84">
        <f>Tabela3[[#This Row],[Lucro Líquido]]/Tabela3[[#This Row],[Total Ações]]</f>
        <v>0.27828850072605149</v>
      </c>
      <c r="AG428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8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8" s="7">
        <f>[Div Base]*[Ações]</f>
        <v>0</v>
      </c>
      <c r="AL428" s="113">
        <f>SUMPRODUCT(N([Nome]=Tabela3[[#This Row],[Nome]]),[Div Base]*[Ações])</f>
        <v>17267437.5</v>
      </c>
      <c r="AM428" s="5">
        <f>[Patrimônio Líquido]/[Total Ações]</f>
        <v>6.0350041193626138</v>
      </c>
      <c r="AN428" s="52">
        <f>MAX(Tabela3[[#This Row],[Cotação 1]:[Cotação 5]])</f>
        <v>26.41</v>
      </c>
      <c r="AO428" s="53">
        <f>[Cotação]/[VPA]</f>
        <v>4.3761362010121196</v>
      </c>
      <c r="AP428" s="37">
        <f>IF(Tabela3[[#This Row],[Lucro/Ação]]&gt;0,Tabela3[[#This Row],[Cotação]]/(Tabela3[[#This Row],[Lucro/Ação]]/[Ref]*4),0)</f>
        <v>94.901513828622512</v>
      </c>
      <c r="AQ428" s="84">
        <f>[Lucro Distribuir]/[Total Ações]</f>
        <v>0.26437407568974891</v>
      </c>
      <c r="AR428" s="84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7.507783292969015E-3</v>
      </c>
      <c r="AU428" s="22">
        <f>((1+Tabela3[[#This Row],[% Yield]])^(1/(3*Tabela3[[#This Row],[Ref]])))^(12)-1</f>
        <v>7.5077832929708599E-3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26.41</v>
      </c>
      <c r="BB428" s="7">
        <f>SUMPRODUCT(N(Tabela17683[Código]=Tabela3[[#This Row],[PAPEL]]),Tabela17683[Fechamento])</f>
        <v>0</v>
      </c>
    </row>
    <row r="429" spans="1:54" ht="11.25" customHeight="1">
      <c r="A429" s="4" t="s">
        <v>319</v>
      </c>
      <c r="B429" s="57" t="s">
        <v>320</v>
      </c>
      <c r="C429" s="81" t="str">
        <f>LEFT([PAPEL],LEN([PAPEL])-(LEN([PAPEL])-4))</f>
        <v>VALE</v>
      </c>
      <c r="D429" s="15">
        <v>4</v>
      </c>
      <c r="E429" s="6">
        <v>75000000000</v>
      </c>
      <c r="F429" s="8">
        <v>2108579618</v>
      </c>
      <c r="G429" s="80">
        <v>0.25</v>
      </c>
      <c r="H429" s="9">
        <v>0.03</v>
      </c>
      <c r="I429" s="19">
        <v>0.06</v>
      </c>
      <c r="J429" s="19"/>
      <c r="K429" s="87"/>
      <c r="L429" s="87"/>
      <c r="M429" s="55">
        <v>260068064000</v>
      </c>
      <c r="N429" s="55">
        <v>38161479000</v>
      </c>
      <c r="O429" s="55">
        <v>18269775000</v>
      </c>
      <c r="P429" s="6">
        <v>148345907000</v>
      </c>
      <c r="Q429" s="5">
        <v>115091000</v>
      </c>
      <c r="R429" s="5">
        <f>IF(Tabela3[[#This Row],[Ativo || Passivo]]&gt;0,Tabela3[[#This Row],[Ativo || Passivo]]-Tabela3[[#This Row],[Patrimônio Líquido]],0)</f>
        <v>111722157000</v>
      </c>
      <c r="S429" s="5">
        <f>Tabela3[[#This Row],[Cotação]]*Tabela3[[#This Row],[Total Ações]]</f>
        <v>142931701224</v>
      </c>
      <c r="T429" s="119">
        <f>IF(Tabela3[[#This Row],[Passivo Circulante]]&gt;0,Tabela3[[#This Row],[Ativo Circulante]]/Tabela3[[#This Row],[Passivo Circulante]],0)</f>
        <v>2.0887766269699544</v>
      </c>
      <c r="U42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29" s="18">
        <f>IF(Tabela3[[#This Row],[Lucro Líquido]]&gt;0,Tabela3[[#This Row],[Lucro Líquido]]/Tabela3[[#This Row],[Patrimônio Líquido]],0)/Tabela3[[#This Row],[Ref]]*4</f>
        <v>7.758286179071998E-4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29" s="18">
        <f>IF(Tabela3[[#This Row],[Dívida]]&gt;0,Tabela3[[#This Row],[Dívida]]/Tabela3[[#This Row],[Patrimônio Líquido]],0)</f>
        <v>0.75311924177321588</v>
      </c>
      <c r="Y429" s="18">
        <f>SUMPRODUCT(N([Dívida / PL]&gt;0),N(RIGHT([PAPEL],LEN([PAPEL])-(LEN([PAPEL])-1))="3"),[Dívida / PL])/SUMPRODUCT(N([Dívida / PL]&gt;0),N(RIGHT([PAPEL],LEN([PAPEL])-(LEN([PAPEL])-1))="3"))</f>
        <v>2.2435702141443779</v>
      </c>
      <c r="Z429" s="6">
        <f>Tabela3[[#This Row],[Capital Social]]*20%</f>
        <v>15000000000</v>
      </c>
      <c r="AA429" s="6">
        <f>IF(([Lucro Líquido]*5%)&gt;[Teto R. Legal],[Teto R. Legal],[Lucro Líquido]*5%)</f>
        <v>5754550</v>
      </c>
      <c r="AB429" s="6">
        <f>IF([Lucro Líquido]&lt;0,0,[Lucro Líquido]-[Reserva Legal])</f>
        <v>109336450</v>
      </c>
      <c r="AC429" s="6">
        <f>Tabela3[[#This Row],[Lucro Distribuir]]*[%Div]</f>
        <v>27334112.5</v>
      </c>
      <c r="AD429" s="56">
        <f>SUMPRODUCT(N([Nome]=Tabela3[[#This Row],[Nome]]),[Ações])</f>
        <v>5365304100</v>
      </c>
      <c r="AE429" s="6">
        <f>[Capital Social]/[Total Ações]</f>
        <v>13.97870439440702</v>
      </c>
      <c r="AF429" s="77">
        <f>Tabela3[[#This Row],[Lucro Líquido]]/Tabela3[[#This Row],[Total Ações]]</f>
        <v>2.1450974232755979E-2</v>
      </c>
      <c r="AG4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4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4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429" s="6">
        <f>[Div Base]*[Ações]</f>
        <v>1749010774.1363077</v>
      </c>
      <c r="AL429" s="6">
        <f>SUMPRODUCT(N([Nome]=Tabela3[[#This Row],[Nome]]),[Div Base]*[Ações])</f>
        <v>1749010774.1363077</v>
      </c>
      <c r="AM429" s="6">
        <f>[Patrimônio Líquido]/[Total Ações]</f>
        <v>27.649114427642601</v>
      </c>
      <c r="AN429" s="48">
        <f>MAX(Tabela3[[#This Row],[Cotação 1]:[Cotação 5]])</f>
        <v>26.64</v>
      </c>
      <c r="AO429" s="44">
        <f>[Cotação]/[VPA]</f>
        <v>0.9635028300713413</v>
      </c>
      <c r="AP429" s="40">
        <f>IF(Tabela3[[#This Row],[Lucro/Ação]]&gt;0,Tabela3[[#This Row],[Cotação]]/(Tabela3[[#This Row],[Lucro/Ação]]/[Ref]*4),0)</f>
        <v>1241.9016363051846</v>
      </c>
      <c r="AQ429" s="77">
        <f>[Lucro Distribuir]/[Total Ações]</f>
        <v>2.0378425521118178E-2</v>
      </c>
      <c r="AR429" s="77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429" s="15" t="str">
        <f>IF(AND([% A.A.]&gt;=5%,SUMPRODUCT(N([Nome]=Tabela3[[#This Row],[Nome]]),[PL])&gt;0,[Rentabilidade s/ PL]&gt;=[Rentabilidade s/ PL Média]),"Sim","Não")</f>
        <v>Não</v>
      </c>
      <c r="AT429" s="42">
        <f>IF([Cotação]&gt;0,Tabela3[[#This Row],[Lucro]]/Tabela3[[#This Row],[Cotação]],0)</f>
        <v>3.1136390121219142E-2</v>
      </c>
      <c r="AU429" s="19">
        <f>((1+Tabela3[[#This Row],[% Yield]])^(1/(3*Tabela3[[#This Row],[Ref]])))^(12)-1</f>
        <v>3.1136390121218493E-2</v>
      </c>
      <c r="AV429" s="14">
        <f>IF([Cotação]&gt;0,($BH$1/Tabela3[[#This Row],[Cotação]]-MOD($BH$1/Tabela3[[#This Row],[Cotação]],100)),)</f>
        <v>0</v>
      </c>
      <c r="AW429" s="17">
        <f>Tabela3[[#This Row],[Ativos]]*[Lucro]</f>
        <v>0</v>
      </c>
      <c r="AX429" s="13">
        <f>SUMPRODUCT(N(Tabela1[Código]=Tabela3[[#This Row],[PAPEL]]),Tabela1[Fechamento])</f>
        <v>0</v>
      </c>
      <c r="AY429" s="55">
        <f>SUMPRODUCT(N(Tabela17[Código]=Tabela3[[#This Row],[PAPEL]]),Tabela17[Fechamento])</f>
        <v>26.64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0</v>
      </c>
    </row>
    <row r="430" spans="1:54" ht="11.25" customHeight="1">
      <c r="A430" s="4" t="s">
        <v>14</v>
      </c>
      <c r="B430" s="57" t="s">
        <v>209</v>
      </c>
      <c r="C430" s="15" t="str">
        <f>LEFT([PAPEL],LEN([PAPEL])-(LEN([PAPEL])-4))</f>
        <v>BSLI</v>
      </c>
      <c r="D430" s="16">
        <v>4</v>
      </c>
      <c r="E430" s="5">
        <v>860500000</v>
      </c>
      <c r="F430" s="56">
        <v>28014650</v>
      </c>
      <c r="G430" s="85">
        <v>0.25</v>
      </c>
      <c r="H430" s="16"/>
      <c r="J430" s="18"/>
      <c r="K430" s="86"/>
      <c r="L430" s="86"/>
      <c r="M430" s="54">
        <v>10946423000</v>
      </c>
      <c r="N430" s="54">
        <v>5144506000</v>
      </c>
      <c r="O430" s="54">
        <v>6669209000</v>
      </c>
      <c r="P430" s="5">
        <v>1006087000</v>
      </c>
      <c r="Q430" s="6">
        <v>168982000</v>
      </c>
      <c r="R430" s="5">
        <f>IF(Tabela3[[#This Row],[Ativo || Passivo]]&gt;0,Tabela3[[#This Row],[Ativo || Passivo]]-Tabela3[[#This Row],[Patrimônio Líquido]],0)</f>
        <v>9940336000</v>
      </c>
      <c r="S430" s="5">
        <f>Tabela3[[#This Row],[Cotação]]*Tabela3[[#This Row],[Total Ações]]</f>
        <v>971149387.5</v>
      </c>
      <c r="T430" s="119">
        <f>IF(Tabela3[[#This Row],[Passivo Circulante]]&gt;0,Tabela3[[#This Row],[Ativo Circulante]]/Tabela3[[#This Row],[Passivo Circulante]],0)</f>
        <v>0.77138173357590079</v>
      </c>
      <c r="U43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0" s="18">
        <f>IF(Tabela3[[#This Row],[Lucro Líquido]]&gt;0,Tabela3[[#This Row],[Lucro Líquido]]/Tabela3[[#This Row],[Patrimônio Líquido]],0)/Tabela3[[#This Row],[Ref]]*4</f>
        <v>0.16795962973381029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0" s="18">
        <f>IF(Tabela3[[#This Row],[Dívida]]&gt;0,Tabela3[[#This Row],[Dívida]]/Tabela3[[#This Row],[Patrimônio Líquido]],0)</f>
        <v>9.8801952515040945</v>
      </c>
      <c r="Y430" s="18">
        <f>SUMPRODUCT(N([Dívida / PL]&gt;0),N(RIGHT([PAPEL],LEN([PAPEL])-(LEN([PAPEL])-1))="3"),[Dívida / PL])/SUMPRODUCT(N([Dívida / PL]&gt;0),N(RIGHT([PAPEL],LEN([PAPEL])-(LEN([PAPEL])-1))="3"))</f>
        <v>2.2435702141443779</v>
      </c>
      <c r="Z430" s="5">
        <f>Tabela3[[#This Row],[Capital Social]]*20%</f>
        <v>172100000</v>
      </c>
      <c r="AA430" s="5">
        <f>IF(([Lucro Líquido]*5%)&gt;[Teto R. Legal],[Teto R. Legal],[Lucro Líquido]*5%)</f>
        <v>8449100</v>
      </c>
      <c r="AB430" s="5">
        <f>IF([Lucro Líquido]&lt;0,0,[Lucro Líquido]-[Reserva Legal])</f>
        <v>160532900</v>
      </c>
      <c r="AC430" s="5">
        <f>Tabela3[[#This Row],[Lucro Distribuir]]*[%Div]</f>
        <v>40133225</v>
      </c>
      <c r="AD430" s="21">
        <f>SUMPRODUCT(N([Nome]=Tabela3[[#This Row],[Nome]]),[Ações])</f>
        <v>36304650</v>
      </c>
      <c r="AE430" s="5">
        <f>[Capital Social]/[Total Ações]</f>
        <v>23.702197927813653</v>
      </c>
      <c r="AF430" s="76">
        <f>Tabela3[[#This Row],[Lucro Líquido]]/Tabela3[[#This Row],[Total Ações]]</f>
        <v>4.6545552704681077</v>
      </c>
      <c r="AG43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43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430" s="5">
        <f>[Div Base]*[Ações]</f>
        <v>30005424.528313592</v>
      </c>
      <c r="AL430" s="5">
        <f>SUMPRODUCT(N([Nome]=Tabela3[[#This Row],[Nome]]),[Div Base]*[Ações])</f>
        <v>39772438.096161902</v>
      </c>
      <c r="AM430" s="5">
        <f>[Patrimônio Líquido]/[Total Ações]</f>
        <v>27.712345388262936</v>
      </c>
      <c r="AN430" s="52">
        <f>MAX(Tabela3[[#This Row],[Cotação 1]:[Cotação 5]])</f>
        <v>26.75</v>
      </c>
      <c r="AO430" s="53">
        <f>[Cotação]/[VPA]</f>
        <v>0.96527376608583548</v>
      </c>
      <c r="AP430" s="37">
        <f>IF(Tabela3[[#This Row],[Lucro/Ação]]&gt;0,Tabela3[[#This Row],[Cotação]]/(Tabela3[[#This Row],[Lucro/Ação]]/[Ref]*4),0)</f>
        <v>5.7470581925885602</v>
      </c>
      <c r="AQ430" s="76">
        <f>[Lucro Distribuir]/[Total Ações]</f>
        <v>4.4218275069447026</v>
      </c>
      <c r="AR430" s="76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430" s="16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4.003969755852687E-2</v>
      </c>
      <c r="AU430" s="18">
        <f>((1+Tabela3[[#This Row],[% Yield]])^(1/(3*Tabela3[[#This Row],[Ref]])))^(12)-1</f>
        <v>4.0039697558527099E-2</v>
      </c>
      <c r="AV430" s="10">
        <f>IF([Cotação]&gt;0,($BH$1/Tabela3[[#This Row],[Cotação]]-MOD($BH$1/Tabela3[[#This Row],[Cotação]],100)),)</f>
        <v>0</v>
      </c>
      <c r="AW430" s="7">
        <f>Tabela3[[#This Row],[Ativos]]*[Lucro]</f>
        <v>0</v>
      </c>
      <c r="AX430" s="5">
        <f>SUMPRODUCT(N(Tabela1[Código]=Tabela3[[#This Row],[PAPEL]]),Tabela1[Fechamento])</f>
        <v>26.75</v>
      </c>
      <c r="AY430" s="5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0</v>
      </c>
      <c r="BB430" s="7">
        <f>SUMPRODUCT(N(Tabela17683[Código]=Tabela3[[#This Row],[PAPEL]]),Tabela17683[Fechamento])</f>
        <v>0</v>
      </c>
    </row>
    <row r="431" spans="1:54" ht="11.25" customHeight="1">
      <c r="A431" s="3" t="s">
        <v>910</v>
      </c>
      <c r="B431" s="58" t="s">
        <v>874</v>
      </c>
      <c r="C431" s="16" t="str">
        <f>LEFT([PAPEL],LEN([PAPEL])-(LEN([PAPEL])-4))</f>
        <v>HGTX</v>
      </c>
      <c r="D431" s="16">
        <v>4</v>
      </c>
      <c r="E431" s="5">
        <v>239435255.55000001</v>
      </c>
      <c r="F431" s="56">
        <v>164611187</v>
      </c>
      <c r="G431" s="80">
        <v>0.25</v>
      </c>
      <c r="H431" s="86"/>
      <c r="J431" s="18"/>
      <c r="K431" s="16"/>
      <c r="L431" s="86"/>
      <c r="M431" s="54">
        <v>1301038000</v>
      </c>
      <c r="N431" s="54">
        <v>929174000</v>
      </c>
      <c r="O431" s="54">
        <v>314773000</v>
      </c>
      <c r="P431" s="90">
        <v>907258000</v>
      </c>
      <c r="Q431" s="73">
        <v>318172000</v>
      </c>
      <c r="R431" s="73">
        <f>IF(Tabela3[[#This Row],[Ativo || Passivo]]&gt;0,Tabela3[[#This Row],[Ativo || Passivo]]-Tabela3[[#This Row],[Patrimônio Líquido]],0)</f>
        <v>393780000</v>
      </c>
      <c r="S431" s="73">
        <f>Tabela3[[#This Row],[Cotação]]*Tabela3[[#This Row],[Total Ações]]</f>
        <v>4444502049</v>
      </c>
      <c r="T431" s="37">
        <f>IF(Tabela3[[#This Row],[Passivo Circulante]]&gt;0,Tabela3[[#This Row],[Ativo Circulante]]/Tabela3[[#This Row],[Passivo Circulante]],0)</f>
        <v>2.9518859622648703</v>
      </c>
      <c r="U43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1" s="18">
        <f>IF(Tabela3[[#This Row],[Lucro Líquido]]&gt;0,Tabela3[[#This Row],[Lucro Líquido]]/Tabela3[[#This Row],[Patrimônio Líquido]],0)/Tabela3[[#This Row],[Ref]]*4</f>
        <v>0.35069627382729057</v>
      </c>
      <c r="W43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1" s="18">
        <f>IF(Tabela3[[#This Row],[Dívida]]&gt;0,Tabela3[[#This Row],[Dívida]]/Tabela3[[#This Row],[Patrimônio Líquido]],0)</f>
        <v>0.43403309753124247</v>
      </c>
      <c r="Y431" s="18">
        <f>SUMPRODUCT(N([Dívida / PL]&gt;0),N(RIGHT([PAPEL],LEN([PAPEL])-(LEN([PAPEL])-1))="3"),[Dívida / PL])/SUMPRODUCT(N([Dívida / PL]&gt;0),N(RIGHT([PAPEL],LEN([PAPEL])-(LEN([PAPEL])-1))="3"))</f>
        <v>2.2435702141443779</v>
      </c>
      <c r="Z431" s="7">
        <f>Tabela3[[#This Row],[Capital Social]]*20%</f>
        <v>47887051.110000007</v>
      </c>
      <c r="AA431" s="47">
        <f>IF(([Lucro Líquido]*5%)&gt;[Teto R. Legal],[Teto R. Legal],[Lucro Líquido]*5%)</f>
        <v>15908600</v>
      </c>
      <c r="AB431" s="47">
        <f>IF([Lucro Líquido]&lt;0,0,[Lucro Líquido]-[Reserva Legal])</f>
        <v>302263400</v>
      </c>
      <c r="AC431" s="47">
        <f>Tabela3[[#This Row],[Lucro Distribuir]]*[%Div]</f>
        <v>75565850</v>
      </c>
      <c r="AD431" s="56">
        <f>SUMPRODUCT(N([Nome]=Tabela3[[#This Row],[Nome]]),[Ações])</f>
        <v>164611187</v>
      </c>
      <c r="AE431" s="84">
        <f>[Capital Social]/[Total Ações]</f>
        <v>1.454550325003124</v>
      </c>
      <c r="AF431" s="84">
        <f>Tabela3[[#This Row],[Lucro Líquido]]/Tabela3[[#This Row],[Total Ações]]</f>
        <v>1.9328698480255779</v>
      </c>
      <c r="AG43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43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431" s="7">
        <f>[Div Base]*[Ações]</f>
        <v>75565850</v>
      </c>
      <c r="AL431" s="7">
        <f>SUMPRODUCT(N([Nome]=Tabela3[[#This Row],[Nome]]),[Div Base]*[Ações])</f>
        <v>75565850</v>
      </c>
      <c r="AM431" s="5">
        <f>[Patrimônio Líquido]/[Total Ações]</f>
        <v>5.5115209150396325</v>
      </c>
      <c r="AN431" s="52">
        <f>MAX(Tabela3[[#This Row],[Cotação 1]:[Cotação 5]])</f>
        <v>27</v>
      </c>
      <c r="AO431" s="53">
        <f>[Cotação]/[VPA]</f>
        <v>4.8988292734811925</v>
      </c>
      <c r="AP431" s="37">
        <f>IF(Tabela3[[#This Row],[Lucro/Ação]]&gt;0,Tabela3[[#This Row],[Cotação]]/(Tabela3[[#This Row],[Lucro/Ação]]/[Ref]*4),0)</f>
        <v>13.968866050438129</v>
      </c>
      <c r="AQ431" s="84">
        <f>[Lucro Distribuir]/[Total Ações]</f>
        <v>1.836226355624299</v>
      </c>
      <c r="AR431" s="84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1.7002095885410178E-2</v>
      </c>
      <c r="AU431" s="22">
        <f>((1+Tabela3[[#This Row],[% Yield]])^(1/(3*Tabela3[[#This Row],[Ref]])))^(12)-1</f>
        <v>1.7002095885410684E-2</v>
      </c>
      <c r="AV431" s="10">
        <f>IF([Cotação]&gt;0,($BH$1/Tabela3[[#This Row],[Cotação]]-MOD($BH$1/Tabela3[[#This Row],[Cotação]],100)),)</f>
        <v>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27</v>
      </c>
      <c r="BB431" s="7">
        <f>SUMPRODUCT(N(Tabela17683[Código]=Tabela3[[#This Row],[PAPEL]]),Tabela17683[Fechamento])</f>
        <v>0</v>
      </c>
    </row>
    <row r="432" spans="1:54" ht="11.25" customHeight="1">
      <c r="A432" s="4" t="s">
        <v>19</v>
      </c>
      <c r="B432" s="57" t="s">
        <v>660</v>
      </c>
      <c r="C432" s="15" t="str">
        <f>LEFT([PAPEL],LEN([PAPEL])-(LEN([PAPEL])-4))</f>
        <v>MSPA</v>
      </c>
      <c r="D432" s="15">
        <v>3</v>
      </c>
      <c r="E432" s="6">
        <v>36152545</v>
      </c>
      <c r="F432" s="8">
        <v>773504</v>
      </c>
      <c r="G432" s="85">
        <v>0.25</v>
      </c>
      <c r="H432" s="15"/>
      <c r="I432" s="19"/>
      <c r="J432" s="19">
        <v>0.1</v>
      </c>
      <c r="K432" s="87"/>
      <c r="L432" s="87"/>
      <c r="M432" s="55"/>
      <c r="N432" s="55"/>
      <c r="O432" s="55"/>
      <c r="P432" s="91">
        <v>808776000</v>
      </c>
      <c r="Q432" s="92">
        <v>-24517000</v>
      </c>
      <c r="R432" s="92">
        <f>IF(Tabela3[[#This Row],[Ativo || Passivo]]&gt;0,Tabela3[[#This Row],[Ativo || Passivo]]-Tabela3[[#This Row],[Patrimônio Líquido]],0)</f>
        <v>0</v>
      </c>
      <c r="S432" s="92">
        <f>Tabela3[[#This Row],[Cotação]]*Tabela3[[#This Row],[Total Ações]]</f>
        <v>172933623</v>
      </c>
      <c r="T432" s="40">
        <f>IF(Tabela3[[#This Row],[Passivo Circulante]]&gt;0,Tabela3[[#This Row],[Ativo Circulante]]/Tabela3[[#This Row],[Passivo Circulante]],0)</f>
        <v>0</v>
      </c>
      <c r="U432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2" s="19">
        <f>IF(Tabela3[[#This Row],[Lucro Líquido]]&gt;0,Tabela3[[#This Row],[Lucro Líquido]]/Tabela3[[#This Row],[Patrimônio Líquido]],0)/Tabela3[[#This Row],[Ref]]*4</f>
        <v>0</v>
      </c>
      <c r="W43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2" s="19">
        <f>IF(Tabela3[[#This Row],[Dívida]]&gt;0,Tabela3[[#This Row],[Dívida]]/Tabela3[[#This Row],[Patrimônio Líquido]],0)</f>
        <v>0</v>
      </c>
      <c r="Y432" s="19">
        <f>SUMPRODUCT(N([Dívida / PL]&gt;0),N(RIGHT([PAPEL],LEN([PAPEL])-(LEN([PAPEL])-1))="3"),[Dívida / PL])/SUMPRODUCT(N([Dívida / PL]&gt;0),N(RIGHT([PAPEL],LEN([PAPEL])-(LEN([PAPEL])-1))="3"))</f>
        <v>2.2435702141443779</v>
      </c>
      <c r="Z432" s="13">
        <f>Tabela3[[#This Row],[Capital Social]]*20%</f>
        <v>7230509</v>
      </c>
      <c r="AA432" s="13">
        <f>IF(([Lucro Líquido]*5%)&gt;[Teto R. Legal],[Teto R. Legal],[Lucro Líquido]*5%)</f>
        <v>-1225850</v>
      </c>
      <c r="AB432" s="13">
        <f>IF([Lucro Líquido]&lt;0,0,[Lucro Líquido]-[Reserva Legal])</f>
        <v>0</v>
      </c>
      <c r="AC432" s="13">
        <f>Tabela3[[#This Row],[Lucro Distribuir]]*[%Div]</f>
        <v>0</v>
      </c>
      <c r="AD432" s="56">
        <f>SUMPRODUCT(N([Nome]=Tabela3[[#This Row],[Nome]]),[Ações])</f>
        <v>6404949</v>
      </c>
      <c r="AE432" s="6">
        <f>[Capital Social]/[Total Ações]</f>
        <v>5.6444703931288132</v>
      </c>
      <c r="AF432" s="77">
        <f>Tabela3[[#This Row],[Lucro Líquido]]/Tabela3[[#This Row],[Total Ações]]</f>
        <v>-3.8278212675854251</v>
      </c>
      <c r="AG4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13">
        <f>[Div Base]*[Ações]</f>
        <v>0</v>
      </c>
      <c r="AL432" s="13">
        <f>SUMPRODUCT(N([Nome]=Tabela3[[#This Row],[Nome]]),[Div Base]*[Ações])</f>
        <v>0</v>
      </c>
      <c r="AM432" s="6">
        <f>[Patrimônio Líquido]/[Total Ações]</f>
        <v>126.27360498889219</v>
      </c>
      <c r="AN432" s="48">
        <f>MAX(Tabela3[[#This Row],[Cotação 1]:[Cotação 5]])</f>
        <v>27</v>
      </c>
      <c r="AO432" s="44">
        <f>[Cotação]/[VPA]</f>
        <v>0.21382140790527909</v>
      </c>
      <c r="AP432" s="40">
        <f>IF(Tabela3[[#This Row],[Lucro/Ação]]&gt;0,Tabela3[[#This Row],[Cotação]]/(Tabela3[[#This Row],[Lucro/Ação]]/[Ref]*4),0)</f>
        <v>0</v>
      </c>
      <c r="AQ432" s="77">
        <f>[Lucro Distribuir]/[Total Ações]</f>
        <v>0</v>
      </c>
      <c r="AR43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4" t="str">
        <f>IF(AND([% A.A.]&gt;=5%,SUMPRODUCT(N([Nome]=Tabela3[[#This Row],[Nome]]),[PL])&gt;0,[Rentabilidade s/ PL]&gt;=[Rentabilidade s/ PL Média]),"Sim","Não")</f>
        <v>Não</v>
      </c>
      <c r="AT432" s="42">
        <f>IF([Cotação]&gt;0,Tabela3[[#This Row],[Lucro]]/Tabela3[[#This Row],[Cotação]],0)</f>
        <v>0</v>
      </c>
      <c r="AU432" s="42">
        <f>((1+Tabela3[[#This Row],[% Yield]])^(1/(3*Tabela3[[#This Row],[Ref]])))^(12)-1</f>
        <v>0</v>
      </c>
      <c r="AV432" s="14">
        <f>IF([Cotação]&gt;0,($BH$1/Tabela3[[#This Row],[Cotação]]-MOD($BH$1/Tabela3[[#This Row],[Cotação]],100)),)</f>
        <v>0</v>
      </c>
      <c r="AW432" s="17">
        <f>Tabela3[[#This Row],[Ativos]]*[Lucro]</f>
        <v>0</v>
      </c>
      <c r="AX432" s="17">
        <f>SUMPRODUCT(N(Tabela1[Código]=Tabela3[[#This Row],[PAPEL]]),Tabela1[Fechamento])</f>
        <v>0</v>
      </c>
      <c r="AY432" s="17">
        <f>SUMPRODUCT(N(Tabela17[Código]=Tabela3[[#This Row],[PAPEL]]),Tabela17[Fechamento])</f>
        <v>0</v>
      </c>
      <c r="AZ432" s="17">
        <f>SUMPRODUCT(N(Tabela176[Código]=Tabela3[[#This Row],[PAPEL]]),Tabela176[Fechamento])</f>
        <v>27</v>
      </c>
      <c r="BA432" s="17">
        <f>SUMPRODUCT(N(Tabela1768[Código]=Tabela3[[#This Row],[PAPEL]]),Tabela1768[Fechamento])</f>
        <v>0</v>
      </c>
      <c r="BB432" s="7">
        <f>SUMPRODUCT(N(Tabela17683[Código]=Tabela3[[#This Row],[PAPEL]]),Tabela17683[Fechamento])</f>
        <v>0</v>
      </c>
    </row>
    <row r="433" spans="1:54" ht="11.25" customHeight="1">
      <c r="A433" s="4" t="s">
        <v>14</v>
      </c>
      <c r="B433" s="57" t="s">
        <v>206</v>
      </c>
      <c r="C433" s="14" t="str">
        <f>LEFT([PAPEL],LEN([PAPEL])-(LEN([PAPEL])-4))</f>
        <v>BNBR</v>
      </c>
      <c r="D433" s="15">
        <v>4</v>
      </c>
      <c r="E433" s="6">
        <v>2437000000</v>
      </c>
      <c r="F433" s="8">
        <v>38517126</v>
      </c>
      <c r="G433" s="85">
        <v>0.25</v>
      </c>
      <c r="H433" s="19"/>
      <c r="I433" s="19"/>
      <c r="J433" s="19"/>
      <c r="K433" s="87"/>
      <c r="L433" s="87"/>
      <c r="M433" s="55">
        <v>33817503000</v>
      </c>
      <c r="N433" s="55">
        <v>15349319000</v>
      </c>
      <c r="O433" s="55">
        <v>13285888000</v>
      </c>
      <c r="P433" s="6">
        <v>3039830000</v>
      </c>
      <c r="Q433" s="6">
        <v>360357000</v>
      </c>
      <c r="R433" s="6">
        <f>IF(Tabela3[[#This Row],[Ativo || Passivo]]&gt;0,Tabela3[[#This Row],[Ativo || Passivo]]-Tabela3[[#This Row],[Patrimônio Líquido]],0)</f>
        <v>30777673000</v>
      </c>
      <c r="S433" s="6">
        <f>Tabela3[[#This Row],[Cotação]]*Tabela3[[#This Row],[Total Ações]]</f>
        <v>2349921346.0100002</v>
      </c>
      <c r="T433" s="121">
        <f>IF(Tabela3[[#This Row],[Passivo Circulante]]&gt;0,Tabela3[[#This Row],[Ativo Circulante]]/Tabela3[[#This Row],[Passivo Circulante]],0)</f>
        <v>1.1553099800329492</v>
      </c>
      <c r="U43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3" s="19">
        <f>IF(Tabela3[[#This Row],[Lucro Líquido]]&gt;0,Tabela3[[#This Row],[Lucro Líquido]]/Tabela3[[#This Row],[Patrimônio Líquido]],0)/Tabela3[[#This Row],[Ref]]*4</f>
        <v>0.11854511600977687</v>
      </c>
      <c r="W43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3" s="19">
        <f>IF(Tabela3[[#This Row],[Dívida]]&gt;0,Tabela3[[#This Row],[Dívida]]/Tabela3[[#This Row],[Patrimônio Líquido]],0)</f>
        <v>10.124800728988134</v>
      </c>
      <c r="Y433" s="19">
        <f>SUMPRODUCT(N([Dívida / PL]&gt;0),N(RIGHT([PAPEL],LEN([PAPEL])-(LEN([PAPEL])-1))="3"),[Dívida / PL])/SUMPRODUCT(N([Dívida / PL]&gt;0),N(RIGHT([PAPEL],LEN([PAPEL])-(LEN([PAPEL])-1))="3"))</f>
        <v>2.2435702141443779</v>
      </c>
      <c r="Z433" s="6">
        <f>Tabela3[[#This Row],[Capital Social]]*20%</f>
        <v>487400000</v>
      </c>
      <c r="AA433" s="6">
        <f>IF(([Lucro Líquido]*5%)&gt;[Teto R. Legal],[Teto R. Legal],[Lucro Líquido]*5%)</f>
        <v>18017850</v>
      </c>
      <c r="AB433" s="6">
        <f>IF([Lucro Líquido]&lt;0,0,[Lucro Líquido]-[Reserva Legal])</f>
        <v>342339150</v>
      </c>
      <c r="AC433" s="6">
        <f>Tabela3[[#This Row],[Lucro Distribuir]]*[%Div]</f>
        <v>85584787.5</v>
      </c>
      <c r="AD433" s="21">
        <f>SUMPRODUCT(N([Nome]=Tabela3[[#This Row],[Nome]]),[Ações])</f>
        <v>87001901</v>
      </c>
      <c r="AE433" s="6">
        <f>[Capital Social]/[Total Ações]</f>
        <v>28.010882198999308</v>
      </c>
      <c r="AF433" s="77">
        <f>Tabela3[[#This Row],[Lucro Líquido]]/Tabela3[[#This Row],[Total Ações]]</f>
        <v>4.1419439789022539</v>
      </c>
      <c r="AG4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4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433" s="6">
        <f>[Div Base]*[Ações]</f>
        <v>37889747.303575873</v>
      </c>
      <c r="AL433" s="6">
        <f>SUMPRODUCT(N([Nome]=Tabela3[[#This Row],[Nome]]),[Div Base]*[Ações])</f>
        <v>85584787.5</v>
      </c>
      <c r="AM433" s="6">
        <f>[Patrimônio Líquido]/[Total Ações]</f>
        <v>34.939811257687346</v>
      </c>
      <c r="AN433" s="48">
        <f>MAX(Tabela3[[#This Row],[Cotação 1]:[Cotação 5]])</f>
        <v>27.01</v>
      </c>
      <c r="AO433" s="44">
        <f>[Cotação]/[VPA]</f>
        <v>0.77304367218232606</v>
      </c>
      <c r="AP433" s="40">
        <f>IF(Tabela3[[#This Row],[Lucro/Ação]]&gt;0,Tabela3[[#This Row],[Cotação]]/(Tabela3[[#This Row],[Lucro/Ação]]/[Ref]*4),0)</f>
        <v>6.5210925443657271</v>
      </c>
      <c r="AQ433" s="77">
        <f>[Lucro Distribuir]/[Total Ações]</f>
        <v>3.9348467799571414</v>
      </c>
      <c r="AR433" s="77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433" s="15" t="str">
        <f>IF(AND([% A.A.]&gt;=5%,SUMPRODUCT(N([Nome]=Tabela3[[#This Row],[Nome]]),[PL])&gt;0,[Rentabilidade s/ PL]&gt;=[Rentabilidade s/ PL Média]),"Sim","Não")</f>
        <v>Não</v>
      </c>
      <c r="AT433" s="42">
        <f>IF([Cotação]&gt;0,Tabela3[[#This Row],[Lucro]]/Tabela3[[#This Row],[Cotação]],0)</f>
        <v>3.6420277489421893E-2</v>
      </c>
      <c r="AU433" s="19">
        <f>((1+Tabela3[[#This Row],[% Yield]])^(1/(3*Tabela3[[#This Row],[Ref]])))^(12)-1</f>
        <v>3.642027748942156E-2</v>
      </c>
      <c r="AV433" s="14">
        <f>IF([Cotação]&gt;0,($BH$1/Tabela3[[#This Row],[Cotação]]-MOD($BH$1/Tabela3[[#This Row],[Cotação]],100)),)</f>
        <v>0</v>
      </c>
      <c r="AW433" s="17">
        <f>Tabela3[[#This Row],[Ativos]]*[Lucro]</f>
        <v>0</v>
      </c>
      <c r="AX433" s="5">
        <f>SUMPRODUCT(N(Tabela1[Código]=Tabela3[[#This Row],[PAPEL]]),Tabela1[Fechamento])</f>
        <v>27.01</v>
      </c>
      <c r="AY433" s="5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0</v>
      </c>
      <c r="BB433" s="7">
        <f>SUMPRODUCT(N(Tabela17683[Código]=Tabela3[[#This Row],[PAPEL]]),Tabela17683[Fechamento])</f>
        <v>0</v>
      </c>
    </row>
    <row r="434" spans="1:54" ht="11.25" customHeight="1">
      <c r="A434" s="4" t="s">
        <v>12</v>
      </c>
      <c r="B434" s="57" t="s">
        <v>88</v>
      </c>
      <c r="C434" s="14" t="str">
        <f>LEFT([PAPEL],LEN([PAPEL])-(LEN([PAPEL])-4))</f>
        <v>CEEB</v>
      </c>
      <c r="D434" s="15">
        <v>3</v>
      </c>
      <c r="E434" s="6">
        <v>542163250.52999997</v>
      </c>
      <c r="F434" s="8">
        <v>109304516</v>
      </c>
      <c r="G434" s="85">
        <v>0.25</v>
      </c>
      <c r="H434" s="15"/>
      <c r="I434" s="19"/>
      <c r="J434" s="19"/>
      <c r="K434" s="87"/>
      <c r="L434" s="87"/>
      <c r="M434" s="55">
        <v>6973082000</v>
      </c>
      <c r="N434" s="55">
        <v>1241973000</v>
      </c>
      <c r="O434" s="55">
        <v>1518506000</v>
      </c>
      <c r="P434" s="88">
        <v>2778501000</v>
      </c>
      <c r="Q434" s="88">
        <v>434008000</v>
      </c>
      <c r="R434" s="88">
        <f>IF(Tabela3[[#This Row],[Ativo || Passivo]]&gt;0,Tabela3[[#This Row],[Ativo || Passivo]]-Tabela3[[#This Row],[Patrimônio Líquido]],0)</f>
        <v>4194581000</v>
      </c>
      <c r="S434" s="88">
        <f>Tabela3[[#This Row],[Cotação]]*Tabela3[[#This Row],[Total Ações]]</f>
        <v>5137241327.4000006</v>
      </c>
      <c r="T434" s="121">
        <f>IF(Tabela3[[#This Row],[Passivo Circulante]]&gt;0,Tabela3[[#This Row],[Ativo Circulante]]/Tabela3[[#This Row],[Passivo Circulante]],0)</f>
        <v>0.81789140115350223</v>
      </c>
      <c r="U43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4" s="19">
        <f>IF(Tabela3[[#This Row],[Lucro Líquido]]&gt;0,Tabela3[[#This Row],[Lucro Líquido]]/Tabela3[[#This Row],[Patrimônio Líquido]],0)/Tabela3[[#This Row],[Ref]]*4</f>
        <v>0.20826961492305862</v>
      </c>
      <c r="W43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4" s="19">
        <f>IF(Tabela3[[#This Row],[Dívida]]&gt;0,Tabela3[[#This Row],[Dívida]]/Tabela3[[#This Row],[Patrimônio Líquido]],0)</f>
        <v>1.5096561059362585</v>
      </c>
      <c r="Y434" s="19">
        <f>SUMPRODUCT(N([Dívida / PL]&gt;0),N(RIGHT([PAPEL],LEN([PAPEL])-(LEN([PAPEL])-1))="3"),[Dívida / PL])/SUMPRODUCT(N([Dívida / PL]&gt;0),N(RIGHT([PAPEL],LEN([PAPEL])-(LEN([PAPEL])-1))="3"))</f>
        <v>2.2435702141443779</v>
      </c>
      <c r="Z434" s="6">
        <f>Tabela3[[#This Row],[Capital Social]]*20%</f>
        <v>108432650.10600001</v>
      </c>
      <c r="AA434" s="6">
        <f>IF(([Lucro Líquido]*5%)&gt;[Teto R. Legal],[Teto R. Legal],[Lucro Líquido]*5%)</f>
        <v>21700400</v>
      </c>
      <c r="AB434" s="88">
        <f>IF([Lucro Líquido]&lt;0,0,[Lucro Líquido]-[Reserva Legal])</f>
        <v>412307600</v>
      </c>
      <c r="AC434" s="88">
        <f>Tabela3[[#This Row],[Lucro Distribuir]]*[%Div]</f>
        <v>103076900</v>
      </c>
      <c r="AD434" s="56">
        <f>SUMPRODUCT(N([Nome]=Tabela3[[#This Row],[Nome]]),[Ações])</f>
        <v>188177338</v>
      </c>
      <c r="AE434" s="6">
        <f>[Capital Social]/[Total Ações]</f>
        <v>2.8811293447566997</v>
      </c>
      <c r="AF434" s="77">
        <f>Tabela3[[#This Row],[Lucro Líquido]]/Tabela3[[#This Row],[Total Ações]]</f>
        <v>2.3063776149283184</v>
      </c>
      <c r="AG4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4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4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434" s="6">
        <f>[Div Base]*[Ações]</f>
        <v>58010272.134157814</v>
      </c>
      <c r="AL434" s="6">
        <f>SUMPRODUCT(N([Nome]=Tabela3[[#This Row],[Nome]]),[Div Base]*[Ações])</f>
        <v>103017775.26084489</v>
      </c>
      <c r="AM434" s="6">
        <f>[Patrimônio Líquido]/[Total Ações]</f>
        <v>14.765332688466451</v>
      </c>
      <c r="AN434" s="48">
        <f>MAX(Tabela3[[#This Row],[Cotação 1]:[Cotação 5]])</f>
        <v>27.3</v>
      </c>
      <c r="AO434" s="44">
        <f>[Cotação]/[VPA]</f>
        <v>1.8489254916230011</v>
      </c>
      <c r="AP434" s="40">
        <f>IF(Tabela3[[#This Row],[Lucro/Ação]]&gt;0,Tabela3[[#This Row],[Cotação]]/(Tabela3[[#This Row],[Lucro/Ação]]/[Ref]*4),0)</f>
        <v>8.8775575462894682</v>
      </c>
      <c r="AQ434" s="77">
        <f>[Lucro Distribuir]/[Total Ações]</f>
        <v>2.1910587341819023</v>
      </c>
      <c r="AR434" s="77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434" s="15" t="str">
        <f>IF(AND([% A.A.]&gt;=5%,SUMPRODUCT(N([Nome]=Tabela3[[#This Row],[Nome]]),[PL])&gt;0,[Rentabilidade s/ PL]&gt;=[Rentabilidade s/ PL Média]),"Sim","Não")</f>
        <v>Não</v>
      </c>
      <c r="AT434" s="42">
        <f>IF([Cotação]&gt;0,Tabela3[[#This Row],[Lucro]]/Tabela3[[#This Row],[Cotação]],0)</f>
        <v>1.9440353161552754E-2</v>
      </c>
      <c r="AU434" s="19">
        <f>((1+Tabela3[[#This Row],[% Yield]])^(1/(3*Tabela3[[#This Row],[Ref]])))^(12)-1</f>
        <v>2.6004094825341939E-2</v>
      </c>
      <c r="AV434" s="14">
        <f>IF([Cotação]&gt;0,($BH$1/Tabela3[[#This Row],[Cotação]]-MOD($BH$1/Tabela3[[#This Row],[Cotação]],100)),)</f>
        <v>0</v>
      </c>
      <c r="AW434" s="17">
        <f>Tabela3[[#This Row],[Ativos]]*[Lucro]</f>
        <v>0</v>
      </c>
      <c r="AX434" s="5">
        <f>SUMPRODUCT(N(Tabela1[Código]=Tabela3[[#This Row],[PAPEL]]),Tabela1[Fechamento])</f>
        <v>27.3</v>
      </c>
      <c r="AY434" s="5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t="11.25" customHeight="1">
      <c r="A435" s="4" t="s">
        <v>19</v>
      </c>
      <c r="B435" s="57" t="s">
        <v>659</v>
      </c>
      <c r="C435" s="15" t="str">
        <f>LEFT([PAPEL],LEN([PAPEL])-(LEN([PAPEL])-4))</f>
        <v>MSPA</v>
      </c>
      <c r="D435" s="15">
        <v>3</v>
      </c>
      <c r="E435" s="6">
        <v>36152545</v>
      </c>
      <c r="F435" s="8">
        <v>5631445</v>
      </c>
      <c r="G435" s="85">
        <v>0.25</v>
      </c>
      <c r="H435" s="15"/>
      <c r="I435" s="19"/>
      <c r="J435" s="19"/>
      <c r="K435" s="87"/>
      <c r="L435" s="87"/>
      <c r="M435" s="55"/>
      <c r="N435" s="55"/>
      <c r="O435" s="55"/>
      <c r="P435" s="91">
        <v>808776000</v>
      </c>
      <c r="Q435" s="92">
        <v>-24517000</v>
      </c>
      <c r="R435" s="92">
        <f>IF(Tabela3[[#This Row],[Ativo || Passivo]]&gt;0,Tabela3[[#This Row],[Ativo || Passivo]]-Tabela3[[#This Row],[Patrimônio Líquido]],0)</f>
        <v>0</v>
      </c>
      <c r="S435" s="92">
        <f>Tabela3[[#This Row],[Cotação]]*Tabela3[[#This Row],[Total Ações]]</f>
        <v>174855107.70000002</v>
      </c>
      <c r="T435" s="40">
        <f>IF(Tabela3[[#This Row],[Passivo Circulante]]&gt;0,Tabela3[[#This Row],[Ativo Circulante]]/Tabela3[[#This Row],[Passivo Circulante]],0)</f>
        <v>0</v>
      </c>
      <c r="U435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5" s="19">
        <f>IF(Tabela3[[#This Row],[Lucro Líquido]]&gt;0,Tabela3[[#This Row],[Lucro Líquido]]/Tabela3[[#This Row],[Patrimônio Líquido]],0)/Tabela3[[#This Row],[Ref]]*4</f>
        <v>0</v>
      </c>
      <c r="W435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5" s="19">
        <f>IF(Tabela3[[#This Row],[Dívida]]&gt;0,Tabela3[[#This Row],[Dívida]]/Tabela3[[#This Row],[Patrimônio Líquido]],0)</f>
        <v>0</v>
      </c>
      <c r="Y435" s="19">
        <f>SUMPRODUCT(N([Dívida / PL]&gt;0),N(RIGHT([PAPEL],LEN([PAPEL])-(LEN([PAPEL])-1))="3"),[Dívida / PL])/SUMPRODUCT(N([Dívida / PL]&gt;0),N(RIGHT([PAPEL],LEN([PAPEL])-(LEN([PAPEL])-1))="3"))</f>
        <v>2.2435702141443779</v>
      </c>
      <c r="Z435" s="13">
        <f>Tabela3[[#This Row],[Capital Social]]*20%</f>
        <v>7230509</v>
      </c>
      <c r="AA435" s="13">
        <f>IF(([Lucro Líquido]*5%)&gt;[Teto R. Legal],[Teto R. Legal],[Lucro Líquido]*5%)</f>
        <v>-1225850</v>
      </c>
      <c r="AB435" s="13">
        <f>IF([Lucro Líquido]&lt;0,0,[Lucro Líquido]-[Reserva Legal])</f>
        <v>0</v>
      </c>
      <c r="AC435" s="13">
        <f>Tabela3[[#This Row],[Lucro Distribuir]]*[%Div]</f>
        <v>0</v>
      </c>
      <c r="AD435" s="56">
        <f>SUMPRODUCT(N([Nome]=Tabela3[[#This Row],[Nome]]),[Ações])</f>
        <v>6404949</v>
      </c>
      <c r="AE435" s="6">
        <f>[Capital Social]/[Total Ações]</f>
        <v>5.6444703931288132</v>
      </c>
      <c r="AF435" s="77">
        <f>Tabela3[[#This Row],[Lucro Líquido]]/Tabela3[[#This Row],[Total Ações]]</f>
        <v>-3.8278212675854251</v>
      </c>
      <c r="AG43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5" s="13">
        <f>[Div Base]*[Ações]</f>
        <v>0</v>
      </c>
      <c r="AL435" s="13">
        <f>SUMPRODUCT(N([Nome]=Tabela3[[#This Row],[Nome]]),[Div Base]*[Ações])</f>
        <v>0</v>
      </c>
      <c r="AM435" s="6">
        <f>[Patrimônio Líquido]/[Total Ações]</f>
        <v>126.27360498889219</v>
      </c>
      <c r="AN435" s="48">
        <f>MAX(Tabela3[[#This Row],[Cotação 1]:[Cotação 5]])</f>
        <v>27.3</v>
      </c>
      <c r="AO435" s="44">
        <f>[Cotação]/[VPA]</f>
        <v>0.21619720132644885</v>
      </c>
      <c r="AP435" s="40">
        <f>IF(Tabela3[[#This Row],[Lucro/Ação]]&gt;0,Tabela3[[#This Row],[Cotação]]/(Tabela3[[#This Row],[Lucro/Ação]]/[Ref]*4),0)</f>
        <v>0</v>
      </c>
      <c r="AQ435" s="77">
        <f>[Lucro Distribuir]/[Total Ações]</f>
        <v>0</v>
      </c>
      <c r="AR435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5" s="14" t="str">
        <f>IF(AND([% A.A.]&gt;=5%,SUMPRODUCT(N([Nome]=Tabela3[[#This Row],[Nome]]),[PL])&gt;0,[Rentabilidade s/ PL]&gt;=[Rentabilidade s/ PL Média]),"Sim","Não")</f>
        <v>Não</v>
      </c>
      <c r="AT435" s="42">
        <f>IF([Cotação]&gt;0,Tabela3[[#This Row],[Lucro]]/Tabela3[[#This Row],[Cotação]],0)</f>
        <v>0</v>
      </c>
      <c r="AU435" s="42">
        <f>((1+Tabela3[[#This Row],[% Yield]])^(1/(3*Tabela3[[#This Row],[Ref]])))^(12)-1</f>
        <v>0</v>
      </c>
      <c r="AV435" s="14">
        <f>IF([Cotação]&gt;0,($BH$1/Tabela3[[#This Row],[Cotação]]-MOD($BH$1/Tabela3[[#This Row],[Cotação]],100)),)</f>
        <v>0</v>
      </c>
      <c r="AW435" s="17">
        <f>Tabela3[[#This Row],[Ativos]]*[Lucro]</f>
        <v>0</v>
      </c>
      <c r="AX435" s="17">
        <f>SUMPRODUCT(N(Tabela1[Código]=Tabela3[[#This Row],[PAPEL]]),Tabela1[Fechamento])</f>
        <v>0</v>
      </c>
      <c r="AY435" s="17">
        <f>SUMPRODUCT(N(Tabela17[Código]=Tabela3[[#This Row],[PAPEL]]),Tabela17[Fechamento])</f>
        <v>0</v>
      </c>
      <c r="AZ435" s="17">
        <f>SUMPRODUCT(N(Tabela176[Código]=Tabela3[[#This Row],[PAPEL]]),Tabela176[Fechamento])</f>
        <v>27.3</v>
      </c>
      <c r="BA435" s="17">
        <f>SUMPRODUCT(N(Tabela1768[Código]=Tabela3[[#This Row],[PAPEL]]),Tabela1768[Fechamento])</f>
        <v>0</v>
      </c>
      <c r="BB435" s="7">
        <f>SUMPRODUCT(N(Tabela17683[Código]=Tabela3[[#This Row],[PAPEL]]),Tabela17683[Fechamento])</f>
        <v>0</v>
      </c>
    </row>
    <row r="436" spans="1:54" ht="11.25" customHeight="1">
      <c r="A436" s="4" t="s">
        <v>14</v>
      </c>
      <c r="B436" s="57" t="s">
        <v>193</v>
      </c>
      <c r="C436" s="14" t="str">
        <f>LEFT([PAPEL],LEN([PAPEL])-(LEN([PAPEL])-4))</f>
        <v>BBDC</v>
      </c>
      <c r="D436" s="15">
        <v>4</v>
      </c>
      <c r="E436" s="6">
        <v>38100000000</v>
      </c>
      <c r="F436" s="8">
        <v>2103636910</v>
      </c>
      <c r="G436" s="80">
        <v>0.25</v>
      </c>
      <c r="H436" s="15"/>
      <c r="I436" s="19"/>
      <c r="J436" s="19">
        <v>0.1</v>
      </c>
      <c r="K436" s="87"/>
      <c r="L436" s="87"/>
      <c r="M436" s="55">
        <v>882083756000</v>
      </c>
      <c r="N436" s="55">
        <v>520738924000</v>
      </c>
      <c r="O436" s="55">
        <v>584931445000</v>
      </c>
      <c r="P436" s="6">
        <v>70939802000</v>
      </c>
      <c r="Q436" s="6">
        <v>12011028000</v>
      </c>
      <c r="R436" s="6">
        <f>IF(Tabela3[[#This Row],[Ativo || Passivo]]&gt;0,Tabela3[[#This Row],[Ativo || Passivo]]-Tabela3[[#This Row],[Patrimônio Líquido]],0)</f>
        <v>811143954000</v>
      </c>
      <c r="S436" s="6">
        <f>Tabela3[[#This Row],[Cotação]]*Tabela3[[#This Row],[Total Ações]]</f>
        <v>115615890591.72</v>
      </c>
      <c r="T436" s="121">
        <f>IF(Tabela3[[#This Row],[Passivo Circulante]]&gt;0,Tabela3[[#This Row],[Ativo Circulante]]/Tabela3[[#This Row],[Passivo Circulante]],0)</f>
        <v>0.89025633422733841</v>
      </c>
      <c r="U43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6" s="19">
        <f>IF(Tabela3[[#This Row],[Lucro Líquido]]&gt;0,Tabela3[[#This Row],[Lucro Líquido]]/Tabela3[[#This Row],[Patrimônio Líquido]],0)/Tabela3[[#This Row],[Ref]]*4</f>
        <v>0.16931296199558044</v>
      </c>
      <c r="W43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6" s="19">
        <f>IF(Tabela3[[#This Row],[Dívida]]&gt;0,Tabela3[[#This Row],[Dívida]]/Tabela3[[#This Row],[Patrimônio Líquido]],0)</f>
        <v>11.434257372187195</v>
      </c>
      <c r="Y436" s="19">
        <f>SUMPRODUCT(N([Dívida / PL]&gt;0),N(RIGHT([PAPEL],LEN([PAPEL])-(LEN([PAPEL])-1))="3"),[Dívida / PL])/SUMPRODUCT(N([Dívida / PL]&gt;0),N(RIGHT([PAPEL],LEN([PAPEL])-(LEN([PAPEL])-1))="3"))</f>
        <v>2.2435702141443779</v>
      </c>
      <c r="Z436" s="6">
        <f>Tabela3[[#This Row],[Capital Social]]*20%</f>
        <v>7620000000</v>
      </c>
      <c r="AA436" s="6">
        <f>IF(([Lucro Líquido]*5%)&gt;[Teto R. Legal],[Teto R. Legal],[Lucro Líquido]*5%)</f>
        <v>600551400</v>
      </c>
      <c r="AB436" s="6">
        <f>IF([Lucro Líquido]&lt;0,0,[Lucro Líquido]-[Reserva Legal])</f>
        <v>11410476600</v>
      </c>
      <c r="AC436" s="6">
        <f>Tabela3[[#This Row],[Lucro Distribuir]]*[%Div]</f>
        <v>2852619150</v>
      </c>
      <c r="AD436" s="21">
        <f>SUMPRODUCT(N([Nome]=Tabela3[[#This Row],[Nome]]),[Ações])</f>
        <v>4207274039</v>
      </c>
      <c r="AE436" s="6">
        <f>[Capital Social]/[Total Ações]</f>
        <v>9.0557447997981484</v>
      </c>
      <c r="AF436" s="77">
        <f>Tabela3[[#This Row],[Lucro Líquido]]/Tabela3[[#This Row],[Total Ações]]</f>
        <v>2.8548242611871379</v>
      </c>
      <c r="AG4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4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436" s="6">
        <f>[Div Base]*[Ações]</f>
        <v>1520124749.4364569</v>
      </c>
      <c r="AL436" s="6">
        <f>SUMPRODUCT(N([Nome]=Tabela3[[#This Row],[Nome]]),[Div Base]*[Ações])</f>
        <v>2902056481.8066998</v>
      </c>
      <c r="AM436" s="6">
        <f>[Patrimônio Líquido]/[Total Ações]</f>
        <v>16.861226851974024</v>
      </c>
      <c r="AN436" s="48">
        <f>MAX(Tabela3[[#This Row],[Cotação 1]:[Cotação 5]])</f>
        <v>27.48</v>
      </c>
      <c r="AO436" s="44">
        <f>[Cotação]/[VPA]</f>
        <v>1.6297746445883792</v>
      </c>
      <c r="AP436" s="40">
        <f>IF(Tabela3[[#This Row],[Lucro/Ação]]&gt;0,Tabela3[[#This Row],[Cotação]]/(Tabela3[[#This Row],[Lucro/Ação]]/[Ref]*4),0)</f>
        <v>9.6258114286071095</v>
      </c>
      <c r="AQ436" s="77">
        <f>[Lucro Distribuir]/[Total Ações]</f>
        <v>2.7120830481277807</v>
      </c>
      <c r="AR436" s="77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436" s="15" t="str">
        <f>IF(AND([% A.A.]&gt;=5%,SUMPRODUCT(N([Nome]=Tabela3[[#This Row],[Nome]]),[PL])&gt;0,[Rentabilidade s/ PL]&gt;=[Rentabilidade s/ PL Média]),"Sim","Não")</f>
        <v>Não</v>
      </c>
      <c r="AT436" s="42">
        <f>IF([Cotação]&gt;0,Tabela3[[#This Row],[Lucro]]/Tabela3[[#This Row],[Cotação]],0)</f>
        <v>2.6296122804280574E-2</v>
      </c>
      <c r="AU436" s="19">
        <f>((1+Tabela3[[#This Row],[% Yield]])^(1/(3*Tabela3[[#This Row],[Ref]])))^(12)-1</f>
        <v>2.6296122804279731E-2</v>
      </c>
      <c r="AV436" s="14">
        <f>IF([Cotação]&gt;0,($BH$1/Tabela3[[#This Row],[Cotação]]-MOD($BH$1/Tabela3[[#This Row],[Cotação]],100)),)</f>
        <v>0</v>
      </c>
      <c r="AW436" s="17">
        <f>Tabela3[[#This Row],[Ativos]]*[Lucro]</f>
        <v>0</v>
      </c>
      <c r="AX436" s="5">
        <f>SUMPRODUCT(N(Tabela1[Código]=Tabela3[[#This Row],[PAPEL]]),Tabela1[Fechamento])</f>
        <v>27.48</v>
      </c>
      <c r="AY436" s="5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0</v>
      </c>
      <c r="BB436" s="7">
        <f>SUMPRODUCT(N(Tabela17683[Código]=Tabela3[[#This Row],[PAPEL]]),Tabela17683[Fechamento])</f>
        <v>0</v>
      </c>
    </row>
    <row r="437" spans="1:54" ht="11.25" customHeight="1">
      <c r="A437" s="3" t="s">
        <v>969</v>
      </c>
      <c r="B437" s="58" t="s">
        <v>971</v>
      </c>
      <c r="C437" s="16" t="str">
        <f>LEFT([PAPEL],LEN([PAPEL])-(LEN([PAPEL])-4))</f>
        <v>NETC</v>
      </c>
      <c r="D437" s="16">
        <v>3</v>
      </c>
      <c r="E437" s="5">
        <v>5612242940.9700003</v>
      </c>
      <c r="F437" s="56">
        <v>228503916</v>
      </c>
      <c r="G437" s="80">
        <v>0.25</v>
      </c>
      <c r="H437" s="86"/>
      <c r="J437" s="18">
        <v>0.1</v>
      </c>
      <c r="K437" s="16"/>
      <c r="L437" s="86"/>
      <c r="M437" s="54"/>
      <c r="N437" s="54"/>
      <c r="O437" s="54"/>
      <c r="P437" s="90">
        <v>5758900000</v>
      </c>
      <c r="Q437" s="73">
        <v>202336000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9534388107.8000011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7" s="18">
        <f>IF(Tabela3[[#This Row],[Lucro Líquido]]&gt;0,Tabela3[[#This Row],[Lucro Líquido]]/Tabela3[[#This Row],[Patrimônio Líquido]],0)/Tabela3[[#This Row],[Ref]]*4</f>
        <v>4.6845983318573571E-2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2.2435702141443779</v>
      </c>
      <c r="Z437" s="7">
        <f>Tabela3[[#This Row],[Capital Social]]*20%</f>
        <v>1122448588.194</v>
      </c>
      <c r="AA437" s="47">
        <f>IF(([Lucro Líquido]*5%)&gt;[Teto R. Legal],[Teto R. Legal],[Lucro Líquido]*5%)</f>
        <v>10116800</v>
      </c>
      <c r="AB437" s="47">
        <f>IF([Lucro Líquido]&lt;0,0,[Lucro Líquido]-[Reserva Legal])</f>
        <v>192219200</v>
      </c>
      <c r="AC437" s="47">
        <f>Tabela3[[#This Row],[Lucro Distribuir]]*[%Div]</f>
        <v>48054800</v>
      </c>
      <c r="AD437" s="56">
        <f>SUMPRODUCT(N([Nome]=Tabela3[[#This Row],[Nome]]),[Ações])</f>
        <v>342963601</v>
      </c>
      <c r="AE437" s="84">
        <f>[Capital Social]/[Total Ações]</f>
        <v>16.363960853589241</v>
      </c>
      <c r="AF437" s="84">
        <f>Tabela3[[#This Row],[Lucro Líquido]]/Tabela3[[#This Row],[Total Ações]]</f>
        <v>0.58996348128500087</v>
      </c>
      <c r="AG43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43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437" s="7">
        <f>[Div Base]*[Ações]</f>
        <v>34123050.246959925</v>
      </c>
      <c r="AL437" s="7">
        <f>SUMPRODUCT(N([Nome]=Tabela3[[#This Row],[Nome]]),[Div Base]*[Ações])</f>
        <v>49661727.958309345</v>
      </c>
      <c r="AM437" s="5">
        <f>[Patrimônio Líquido]/[Total Ações]</f>
        <v>16.791577832774156</v>
      </c>
      <c r="AN437" s="52">
        <f>MAX(Tabela3[[#This Row],[Cotação 1]:[Cotação 5]])</f>
        <v>27.8</v>
      </c>
      <c r="AO437" s="53">
        <f>[Cotação]/[VPA]</f>
        <v>1.655591885221136</v>
      </c>
      <c r="AP437" s="37">
        <f>IF(Tabela3[[#This Row],[Lucro/Ação]]&gt;0,Tabela3[[#This Row],[Cotação]]/(Tabela3[[#This Row],[Lucro/Ação]]/[Ref]*4),0)</f>
        <v>35.3411705324312</v>
      </c>
      <c r="AQ437" s="84">
        <f>[Lucro Distribuir]/[Total Ações]</f>
        <v>0.56046530722075083</v>
      </c>
      <c r="AR437" s="84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5.371670963442347E-3</v>
      </c>
      <c r="AU437" s="22">
        <f>((1+Tabela3[[#This Row],[% Yield]])^(1/(3*Tabela3[[#This Row],[Ref]])))^(12)-1</f>
        <v>7.1686325027322528E-3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27.8</v>
      </c>
      <c r="BB437" s="7">
        <f>SUMPRODUCT(N(Tabela17683[Código]=Tabela3[[#This Row],[PAPEL]]),Tabela17683[Fechamento])</f>
        <v>0</v>
      </c>
    </row>
    <row r="438" spans="1:54" ht="11.25" customHeight="1">
      <c r="A438" s="4" t="s">
        <v>14</v>
      </c>
      <c r="B438" s="57" t="s">
        <v>210</v>
      </c>
      <c r="C438" s="14" t="str">
        <f>LEFT([PAPEL],LEN([PAPEL])-(LEN([PAPEL])-4))</f>
        <v>BSLI</v>
      </c>
      <c r="D438" s="15">
        <v>4</v>
      </c>
      <c r="E438" s="5">
        <v>860500000</v>
      </c>
      <c r="F438" s="8">
        <v>8290000</v>
      </c>
      <c r="G438" s="80">
        <v>0.25</v>
      </c>
      <c r="H438" s="15"/>
      <c r="I438" s="19"/>
      <c r="J438" s="19">
        <v>0.1</v>
      </c>
      <c r="K438" s="87"/>
      <c r="L438" s="87"/>
      <c r="M438" s="54">
        <v>10946423000</v>
      </c>
      <c r="N438" s="54">
        <v>5144506000</v>
      </c>
      <c r="O438" s="54">
        <v>6669209000</v>
      </c>
      <c r="P438" s="5">
        <v>1006087000</v>
      </c>
      <c r="Q438" s="6">
        <v>168982000</v>
      </c>
      <c r="R438" s="5">
        <f>IF(Tabela3[[#This Row],[Ativo || Passivo]]&gt;0,Tabela3[[#This Row],[Ativo || Passivo]]-Tabela3[[#This Row],[Patrimônio Líquido]],0)</f>
        <v>9940336000</v>
      </c>
      <c r="S438" s="5">
        <f>Tabela3[[#This Row],[Cotação]]*Tabela3[[#This Row],[Total Ações]]</f>
        <v>1016530200</v>
      </c>
      <c r="T438" s="119">
        <f>IF(Tabela3[[#This Row],[Passivo Circulante]]&gt;0,Tabela3[[#This Row],[Ativo Circulante]]/Tabela3[[#This Row],[Passivo Circulante]],0)</f>
        <v>0.77138173357590079</v>
      </c>
      <c r="U43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8" s="18">
        <f>IF(Tabela3[[#This Row],[Lucro Líquido]]&gt;0,Tabela3[[#This Row],[Lucro Líquido]]/Tabela3[[#This Row],[Patrimônio Líquido]],0)/Tabela3[[#This Row],[Ref]]*4</f>
        <v>0.16795962973381029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8" s="18">
        <f>IF(Tabela3[[#This Row],[Dívida]]&gt;0,Tabela3[[#This Row],[Dívida]]/Tabela3[[#This Row],[Patrimônio Líquido]],0)</f>
        <v>9.8801952515040945</v>
      </c>
      <c r="Y438" s="18">
        <f>SUMPRODUCT(N([Dívida / PL]&gt;0),N(RIGHT([PAPEL],LEN([PAPEL])-(LEN([PAPEL])-1))="3"),[Dívida / PL])/SUMPRODUCT(N([Dívida / PL]&gt;0),N(RIGHT([PAPEL],LEN([PAPEL])-(LEN([PAPEL])-1))="3"))</f>
        <v>2.2435702141443779</v>
      </c>
      <c r="Z438" s="5">
        <f>Tabela3[[#This Row],[Capital Social]]*20%</f>
        <v>172100000</v>
      </c>
      <c r="AA438" s="5">
        <f>IF(([Lucro Líquido]*5%)&gt;[Teto R. Legal],[Teto R. Legal],[Lucro Líquido]*5%)</f>
        <v>8449100</v>
      </c>
      <c r="AB438" s="5">
        <f>IF([Lucro Líquido]&lt;0,0,[Lucro Líquido]-[Reserva Legal])</f>
        <v>160532900</v>
      </c>
      <c r="AC438" s="5">
        <f>Tabela3[[#This Row],[Lucro Distribuir]]*[%Div]</f>
        <v>40133225</v>
      </c>
      <c r="AD438" s="21">
        <f>SUMPRODUCT(N([Nome]=Tabela3[[#This Row],[Nome]]),[Ações])</f>
        <v>36304650</v>
      </c>
      <c r="AE438" s="5">
        <f>[Capital Social]/[Total Ações]</f>
        <v>23.702197927813653</v>
      </c>
      <c r="AF438" s="77">
        <f>Tabela3[[#This Row],[Lucro Líquido]]/Tabela3[[#This Row],[Total Ações]]</f>
        <v>4.6545552704681077</v>
      </c>
      <c r="AG4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43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438" s="5">
        <f>[Div Base]*[Ações]</f>
        <v>9767013.5678483117</v>
      </c>
      <c r="AL438" s="5">
        <f>SUMPRODUCT(N([Nome]=Tabela3[[#This Row],[Nome]]),[Div Base]*[Ações])</f>
        <v>39772438.096161902</v>
      </c>
      <c r="AM438" s="6">
        <f>[Patrimônio Líquido]/[Total Ações]</f>
        <v>27.712345388262936</v>
      </c>
      <c r="AN438" s="48">
        <f>MAX(Tabela3[[#This Row],[Cotação 1]:[Cotação 5]])</f>
        <v>28</v>
      </c>
      <c r="AO438" s="44">
        <f>[Cotação]/[VPA]</f>
        <v>1.0103800168375101</v>
      </c>
      <c r="AP438" s="40">
        <f>IF(Tabela3[[#This Row],[Lucro/Ação]]&gt;0,Tabela3[[#This Row],[Cotação]]/(Tabela3[[#This Row],[Lucro/Ação]]/[Ref]*4),0)</f>
        <v>6.0156123137375586</v>
      </c>
      <c r="AQ438" s="77">
        <f>[Lucro Distribuir]/[Total Ações]</f>
        <v>4.4218275069447026</v>
      </c>
      <c r="AR438" s="77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438" s="15" t="str">
        <f>IF(AND([% A.A.]&gt;=5%,SUMPRODUCT(N([Nome]=Tabela3[[#This Row],[Nome]]),[PL])&gt;0,[Rentabilidade s/ PL]&gt;=[Rentabilidade s/ PL Média]),"Sim","Não")</f>
        <v>Não</v>
      </c>
      <c r="AT438" s="42">
        <f>IF([Cotação]&gt;0,Tabela3[[#This Row],[Lucro]]/Tabela3[[#This Row],[Cotação]],0)</f>
        <v>4.207743222405786E-2</v>
      </c>
      <c r="AU438" s="19">
        <f>((1+Tabela3[[#This Row],[% Yield]])^(1/(3*Tabela3[[#This Row],[Ref]])))^(12)-1</f>
        <v>4.2077432224058908E-2</v>
      </c>
      <c r="AV438" s="14">
        <f>IF([Cotação]&gt;0,($BH$1/Tabela3[[#This Row],[Cotação]]-MOD($BH$1/Tabela3[[#This Row],[Cotação]],100)),)</f>
        <v>0</v>
      </c>
      <c r="AW438" s="17">
        <f>Tabela3[[#This Row],[Ativos]]*[Lucro]</f>
        <v>0</v>
      </c>
      <c r="AX438" s="5">
        <f>SUMPRODUCT(N(Tabela1[Código]=Tabela3[[#This Row],[PAPEL]]),Tabela1[Fechamento])</f>
        <v>28</v>
      </c>
      <c r="AY438" s="5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0</v>
      </c>
      <c r="BB438" s="7">
        <f>SUMPRODUCT(N(Tabela17683[Código]=Tabela3[[#This Row],[PAPEL]]),Tabela17683[Fechamento])</f>
        <v>0</v>
      </c>
    </row>
    <row r="439" spans="1:54" ht="11.25" customHeight="1">
      <c r="A439" s="4" t="s">
        <v>325</v>
      </c>
      <c r="B439" s="115" t="s">
        <v>610</v>
      </c>
      <c r="C439" s="15" t="str">
        <f>LEFT([PAPEL],LEN([PAPEL])-(LEN([PAPEL])-4))</f>
        <v>DUQE</v>
      </c>
      <c r="D439" s="15">
        <v>3</v>
      </c>
      <c r="E439" s="6">
        <v>45000000</v>
      </c>
      <c r="F439" s="8">
        <v>1077753</v>
      </c>
      <c r="G439" s="85">
        <v>0.25</v>
      </c>
      <c r="H439" s="9"/>
      <c r="I439" s="19"/>
      <c r="J439" s="19"/>
      <c r="K439" s="87"/>
      <c r="L439" s="87"/>
      <c r="M439" s="55"/>
      <c r="N439" s="55"/>
      <c r="O439" s="55"/>
      <c r="P439" s="91">
        <v>78931000</v>
      </c>
      <c r="Q439" s="92">
        <v>75000</v>
      </c>
      <c r="R439" s="92">
        <f>IF(Tabela3[[#This Row],[Ativo || Passivo]]&gt;0,Tabela3[[#This Row],[Ativo || Passivo]]-Tabela3[[#This Row],[Patrimônio Líquido]],0)</f>
        <v>0</v>
      </c>
      <c r="S439" s="92">
        <f>Tabela3[[#This Row],[Cotação]]*Tabela3[[#This Row],[Total Ações]]</f>
        <v>78848112</v>
      </c>
      <c r="T439" s="40">
        <f>IF(Tabela3[[#This Row],[Passivo Circulante]]&gt;0,Tabela3[[#This Row],[Ativo Circulante]]/Tabela3[[#This Row],[Passivo Circulante]],0)</f>
        <v>0</v>
      </c>
      <c r="U43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39" s="19">
        <f>IF(Tabela3[[#This Row],[Lucro Líquido]]&gt;0,Tabela3[[#This Row],[Lucro Líquido]]/Tabela3[[#This Row],[Patrimônio Líquido]],0)/Tabela3[[#This Row],[Ref]]*4</f>
        <v>1.2669293433505214E-3</v>
      </c>
      <c r="W43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39" s="19">
        <f>IF(Tabela3[[#This Row],[Dívida]]&gt;0,Tabela3[[#This Row],[Dívida]]/Tabela3[[#This Row],[Patrimônio Líquido]],0)</f>
        <v>0</v>
      </c>
      <c r="Y439" s="19">
        <f>SUMPRODUCT(N([Dívida / PL]&gt;0),N(RIGHT([PAPEL],LEN([PAPEL])-(LEN([PAPEL])-1))="3"),[Dívida / PL])/SUMPRODUCT(N([Dívida / PL]&gt;0),N(RIGHT([PAPEL],LEN([PAPEL])-(LEN([PAPEL])-1))="3"))</f>
        <v>2.2435702141443779</v>
      </c>
      <c r="Z439" s="13">
        <f>Tabela3[[#This Row],[Capital Social]]*20%</f>
        <v>9000000</v>
      </c>
      <c r="AA439" s="13">
        <f>IF(([Lucro Líquido]*5%)&gt;[Teto R. Legal],[Teto R. Legal],[Lucro Líquido]*5%)</f>
        <v>3750</v>
      </c>
      <c r="AB439" s="13">
        <f>IF([Lucro Líquido]&lt;0,0,[Lucro Líquido]-[Reserva Legal])</f>
        <v>71250</v>
      </c>
      <c r="AC439" s="13">
        <f>Tabela3[[#This Row],[Lucro Distribuir]]*[%Div]</f>
        <v>17812.5</v>
      </c>
      <c r="AD439" s="56">
        <f>SUMPRODUCT(N([Nome]=Tabela3[[#This Row],[Nome]]),[Ações])</f>
        <v>2816004</v>
      </c>
      <c r="AE439" s="6">
        <f>[Capital Social]/[Total Ações]</f>
        <v>15.980090937370827</v>
      </c>
      <c r="AF439" s="77">
        <f>Tabela3[[#This Row],[Lucro Líquido]]/Tabela3[[#This Row],[Total Ações]]</f>
        <v>2.6633484895618047E-2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439" s="13">
        <f>[Div Base]*[Ações]</f>
        <v>6605.1642168152111</v>
      </c>
      <c r="AL439" s="13">
        <f>SUMPRODUCT(N([Nome]=Tabela3[[#This Row],[Nome]]),[Div Base]*[Ações])</f>
        <v>18323.597524677756</v>
      </c>
      <c r="AM439" s="6">
        <f>[Patrimônio Líquido]/[Total Ações]</f>
        <v>28.029434617280373</v>
      </c>
      <c r="AN439" s="48">
        <f>MAX(Tabela3[[#This Row],[Cotação 1]:[Cotação 5]])</f>
        <v>28</v>
      </c>
      <c r="AO439" s="44">
        <f>[Cotação]/[VPA]</f>
        <v>0.99894986760588367</v>
      </c>
      <c r="AP439" s="40">
        <f>IF(Tabela3[[#This Row],[Lucro/Ação]]&gt;0,Tabela3[[#This Row],[Cotação]]/(Tabela3[[#This Row],[Lucro/Ação]]/[Ref]*4),0)</f>
        <v>788.48112000000003</v>
      </c>
      <c r="AQ439" s="77">
        <f>[Lucro Distribuir]/[Total Ações]</f>
        <v>2.5301810650837142E-2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439" s="14" t="str">
        <f>IF(AND([% A.A.]&gt;=5%,SUMPRODUCT(N([Nome]=Tabela3[[#This Row],[Nome]]),[PL])&gt;0,[Rentabilidade s/ PL]&gt;=[Rentabilidade s/ PL Média]),"Sim","Não")</f>
        <v>Não</v>
      </c>
      <c r="AT439" s="42">
        <f>IF([Cotação]&gt;0,Tabela3[[#This Row],[Lucro]]/Tabela3[[#This Row],[Cotação]],0)</f>
        <v>2.1888013490021802E-4</v>
      </c>
      <c r="AU439" s="42">
        <f>((1+Tabela3[[#This Row],[% Yield]])^(1/(3*Tabela3[[#This Row],[Ref]])))^(12)-1</f>
        <v>2.9185082568461418E-4</v>
      </c>
      <c r="AV439" s="14">
        <f>IF([Cotação]&gt;0,($BH$1/Tabela3[[#This Row],[Cotação]]-MOD($BH$1/Tabela3[[#This Row],[Cotação]],100)),)</f>
        <v>0</v>
      </c>
      <c r="AW439" s="17">
        <f>Tabela3[[#This Row],[Ativos]]*[Lucro]</f>
        <v>0</v>
      </c>
      <c r="AX439" s="17">
        <f>SUMPRODUCT(N(Tabela1[Código]=Tabela3[[#This Row],[PAPEL]]),Tabela1[Fechamento])</f>
        <v>0</v>
      </c>
      <c r="AY439" s="17">
        <f>SUMPRODUCT(N(Tabela17[Código]=Tabela3[[#This Row],[PAPEL]]),Tabela17[Fechamento])</f>
        <v>0</v>
      </c>
      <c r="AZ439" s="17">
        <f>SUMPRODUCT(N(Tabela176[Código]=Tabela3[[#This Row],[PAPEL]]),Tabela176[Fechamento])</f>
        <v>28</v>
      </c>
      <c r="BA439" s="17">
        <f>SUMPRODUCT(N(Tabela1768[Código]=Tabela3[[#This Row],[PAPEL]]),Tabela1768[Fechamento])</f>
        <v>0</v>
      </c>
      <c r="BB439" s="7">
        <f>SUMPRODUCT(N(Tabela17683[Código]=Tabela3[[#This Row],[PAPEL]]),Tabela17683[Fechamento])</f>
        <v>0</v>
      </c>
    </row>
    <row r="440" spans="1:54" ht="11.25" customHeight="1">
      <c r="A440" s="3" t="s">
        <v>1201</v>
      </c>
      <c r="B440" s="57" t="s">
        <v>1193</v>
      </c>
      <c r="C440" s="16" t="str">
        <f>LEFT([PAPEL],LEN([PAPEL])-(LEN([PAPEL])-4))</f>
        <v>EALT</v>
      </c>
      <c r="D440" s="16">
        <v>3</v>
      </c>
      <c r="E440" s="5">
        <v>8594000</v>
      </c>
      <c r="F440" s="56">
        <v>975000</v>
      </c>
      <c r="G440" s="80">
        <v>0.25</v>
      </c>
      <c r="H440" s="86"/>
      <c r="J440" s="18"/>
      <c r="K440" s="16"/>
      <c r="L440" s="86"/>
      <c r="M440" s="54"/>
      <c r="N440" s="54"/>
      <c r="O440" s="54"/>
      <c r="P440" s="90">
        <v>70672000</v>
      </c>
      <c r="Q440" s="73">
        <v>8076000</v>
      </c>
      <c r="R440" s="73">
        <f>IF(Tabela3[[#This Row],[Ativo || Passivo]]&gt;0,Tabela3[[#This Row],[Ativo || Passivo]]-Tabela3[[#This Row],[Patrimônio Líquido]],0)</f>
        <v>0</v>
      </c>
      <c r="S440" s="73">
        <f>Tabela3[[#This Row],[Cotação]]*Tabela3[[#This Row],[Total Ações]]</f>
        <v>63000000</v>
      </c>
      <c r="T440" s="37">
        <f>IF(Tabela3[[#This Row],[Passivo Circulante]]&gt;0,Tabela3[[#This Row],[Ativo Circulante]]/Tabela3[[#This Row],[Passivo Circulante]],0)</f>
        <v>0</v>
      </c>
      <c r="U44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0" s="18">
        <f>IF(Tabela3[[#This Row],[Lucro Líquido]]&gt;0,Tabela3[[#This Row],[Lucro Líquido]]/Tabela3[[#This Row],[Patrimônio Líquido]],0)/Tabela3[[#This Row],[Ref]]*4</f>
        <v>0.15236585918043921</v>
      </c>
      <c r="W44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0" s="18">
        <f>IF(Tabela3[[#This Row],[Dívida]]&gt;0,Tabela3[[#This Row],[Dívida]]/Tabela3[[#This Row],[Patrimônio Líquido]],0)</f>
        <v>0</v>
      </c>
      <c r="Y440" s="18">
        <f>SUMPRODUCT(N([Dívida / PL]&gt;0),N(RIGHT([PAPEL],LEN([PAPEL])-(LEN([PAPEL])-1))="3"),[Dívida / PL])/SUMPRODUCT(N([Dívida / PL]&gt;0),N(RIGHT([PAPEL],LEN([PAPEL])-(LEN([PAPEL])-1))="3"))</f>
        <v>2.2435702141443779</v>
      </c>
      <c r="Z440" s="7">
        <f>Tabela3[[#This Row],[Capital Social]]*20%</f>
        <v>1718800</v>
      </c>
      <c r="AA440" s="47">
        <f>IF(([Lucro Líquido]*5%)&gt;[Teto R. Legal],[Teto R. Legal],[Lucro Líquido]*5%)</f>
        <v>403800</v>
      </c>
      <c r="AB440" s="47">
        <f>IF([Lucro Líquido]&lt;0,0,[Lucro Líquido]-[Reserva Legal])</f>
        <v>7672200</v>
      </c>
      <c r="AC440" s="47">
        <f>Tabela3[[#This Row],[Lucro Distribuir]]*[%Div]</f>
        <v>1918050</v>
      </c>
      <c r="AD440" s="56">
        <f>SUMPRODUCT(N([Nome]=Tabela3[[#This Row],[Nome]]),[Ações])</f>
        <v>2250000</v>
      </c>
      <c r="AE440" s="84">
        <f>[Capital Social]/[Total Ações]</f>
        <v>3.8195555555555556</v>
      </c>
      <c r="AF440" s="84">
        <f>Tabela3[[#This Row],[Lucro Líquido]]/Tabela3[[#This Row],[Total Ações]]</f>
        <v>3.5893333333333333</v>
      </c>
      <c r="AG44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44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440" s="7">
        <f>[Div Base]*[Ações]</f>
        <v>805294.60739999707</v>
      </c>
      <c r="AL440" s="113">
        <f>SUMPRODUCT(N([Nome]=Tabela3[[#This Row],[Nome]]),[Div Base]*[Ações])</f>
        <v>1963679.9288622441</v>
      </c>
      <c r="AM440" s="5">
        <f>[Patrimônio Líquido]/[Total Ações]</f>
        <v>31.409777777777776</v>
      </c>
      <c r="AN440" s="52">
        <f>MAX(Tabela3[[#This Row],[Cotação 1]:[Cotação 5]])</f>
        <v>28</v>
      </c>
      <c r="AO440" s="53">
        <f>[Cotação]/[VPA]</f>
        <v>0.89144215530903337</v>
      </c>
      <c r="AP440" s="37">
        <f>IF(Tabela3[[#This Row],[Lucro/Ação]]&gt;0,Tabela3[[#This Row],[Cotação]]/(Tabela3[[#This Row],[Lucro/Ação]]/[Ref]*4),0)</f>
        <v>5.8506686478454686</v>
      </c>
      <c r="AQ440" s="84">
        <f>[Lucro Distribuir]/[Total Ações]</f>
        <v>3.4098666666666668</v>
      </c>
      <c r="AR440" s="84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440" s="10" t="str">
        <f>IF(AND([% A.A.]&gt;=5%,SUMPRODUCT(N([Nome]=Tabela3[[#This Row],[Nome]]),[PL])&gt;0,[Rentabilidade s/ PL]&gt;=[Rentabilidade s/ PL Média]),"Sim","Não")</f>
        <v>Não</v>
      </c>
      <c r="AT440" s="22">
        <f>IF([Cotação]&gt;0,Tabela3[[#This Row],[Lucro]]/Tabela3[[#This Row],[Cotação]],0)</f>
        <v>2.9497970967032858E-2</v>
      </c>
      <c r="AU440" s="22">
        <f>((1+Tabela3[[#This Row],[% Yield]])^(1/(3*Tabela3[[#This Row],[Ref]])))^(12)-1</f>
        <v>3.9522738070927987E-2</v>
      </c>
      <c r="AV440" s="10">
        <f>IF([Cotação]&gt;0,($BH$1/Tabela3[[#This Row],[Cotação]]-MOD($BH$1/Tabela3[[#This Row],[Cotação]],100)),)</f>
        <v>0</v>
      </c>
      <c r="AW440" s="7">
        <f>Tabela3[[#This Row],[Ativos]]*[Lucro]</f>
        <v>0</v>
      </c>
      <c r="AX440" s="7">
        <f>SUMPRODUCT(N(Tabela1[Código]=Tabela3[[#This Row],[PAPEL]]),Tabela1[Fechamento])</f>
        <v>0</v>
      </c>
      <c r="AY440" s="7">
        <f>SUMPRODUCT(N(Tabela17[Código]=Tabela3[[#This Row],[PAPEL]]),Tabela17[Fechamento])</f>
        <v>0</v>
      </c>
      <c r="AZ440" s="7">
        <f>SUMPRODUCT(N(Tabela176[Código]=Tabela3[[#This Row],[PAPEL]]),Tabela176[Fechamento])</f>
        <v>0</v>
      </c>
      <c r="BA440" s="7">
        <f>SUMPRODUCT(N(Tabela1768[Código]=Tabela3[[#This Row],[PAPEL]]),Tabela1768[Fechamento])</f>
        <v>0</v>
      </c>
      <c r="BB440" s="7">
        <f>SUMPRODUCT(N(Tabela17683[Código]=Tabela3[[#This Row],[PAPEL]]),Tabela17683[Fechamento])</f>
        <v>28</v>
      </c>
    </row>
    <row r="441" spans="1:54" ht="11.25" customHeight="1">
      <c r="A441" s="4" t="s">
        <v>14</v>
      </c>
      <c r="B441" s="57" t="s">
        <v>192</v>
      </c>
      <c r="C441" s="14" t="str">
        <f>LEFT([PAPEL],LEN([PAPEL])-(LEN([PAPEL])-4))</f>
        <v>BBDC</v>
      </c>
      <c r="D441" s="15">
        <v>4</v>
      </c>
      <c r="E441" s="6">
        <v>38100000000</v>
      </c>
      <c r="F441" s="8">
        <v>2103637129</v>
      </c>
      <c r="G441" s="85">
        <v>0.25</v>
      </c>
      <c r="H441" s="15"/>
      <c r="I441" s="19"/>
      <c r="J441" s="19"/>
      <c r="K441" s="87"/>
      <c r="L441" s="87"/>
      <c r="M441" s="55">
        <v>882083756000</v>
      </c>
      <c r="N441" s="55">
        <v>520738924000</v>
      </c>
      <c r="O441" s="55">
        <v>584931445000</v>
      </c>
      <c r="P441" s="6">
        <v>70939802000</v>
      </c>
      <c r="Q441" s="6">
        <v>12011028000</v>
      </c>
      <c r="R441" s="6">
        <f>IF(Tabela3[[#This Row],[Ativo || Passivo]]&gt;0,Tabela3[[#This Row],[Ativo || Passivo]]-Tabela3[[#This Row],[Patrimônio Líquido]],0)</f>
        <v>811143954000</v>
      </c>
      <c r="S441" s="6">
        <f>Tabela3[[#This Row],[Cotação]]*Tabela3[[#This Row],[Total Ações]]</f>
        <v>122599965496.46001</v>
      </c>
      <c r="T441" s="121">
        <f>IF(Tabela3[[#This Row],[Passivo Circulante]]&gt;0,Tabela3[[#This Row],[Ativo Circulante]]/Tabela3[[#This Row],[Passivo Circulante]],0)</f>
        <v>0.89025633422733841</v>
      </c>
      <c r="U44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1" s="19">
        <f>IF(Tabela3[[#This Row],[Lucro Líquido]]&gt;0,Tabela3[[#This Row],[Lucro Líquido]]/Tabela3[[#This Row],[Patrimônio Líquido]],0)/Tabela3[[#This Row],[Ref]]*4</f>
        <v>0.16931296199558044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1" s="19">
        <f>IF(Tabela3[[#This Row],[Dívida]]&gt;0,Tabela3[[#This Row],[Dívida]]/Tabela3[[#This Row],[Patrimônio Líquido]],0)</f>
        <v>11.434257372187195</v>
      </c>
      <c r="Y441" s="19">
        <f>SUMPRODUCT(N([Dívida / PL]&gt;0),N(RIGHT([PAPEL],LEN([PAPEL])-(LEN([PAPEL])-1))="3"),[Dívida / PL])/SUMPRODUCT(N([Dívida / PL]&gt;0),N(RIGHT([PAPEL],LEN([PAPEL])-(LEN([PAPEL])-1))="3"))</f>
        <v>2.2435702141443779</v>
      </c>
      <c r="Z441" s="6">
        <f>Tabela3[[#This Row],[Capital Social]]*20%</f>
        <v>7620000000</v>
      </c>
      <c r="AA441" s="6">
        <f>IF(([Lucro Líquido]*5%)&gt;[Teto R. Legal],[Teto R. Legal],[Lucro Líquido]*5%)</f>
        <v>600551400</v>
      </c>
      <c r="AB441" s="6">
        <f>IF([Lucro Líquido]&lt;0,0,[Lucro Líquido]-[Reserva Legal])</f>
        <v>11410476600</v>
      </c>
      <c r="AC441" s="6">
        <f>Tabela3[[#This Row],[Lucro Distribuir]]*[%Div]</f>
        <v>2852619150</v>
      </c>
      <c r="AD441" s="21">
        <f>SUMPRODUCT(N([Nome]=Tabela3[[#This Row],[Nome]]),[Ações])</f>
        <v>4207274039</v>
      </c>
      <c r="AE441" s="6">
        <f>[Capital Social]/[Total Ações]</f>
        <v>9.0557447997981484</v>
      </c>
      <c r="AF441" s="77">
        <f>Tabela3[[#This Row],[Lucro Líquido]]/Tabela3[[#This Row],[Total Ações]]</f>
        <v>2.8548242611871379</v>
      </c>
      <c r="AG4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4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441" s="6">
        <f>[Div Base]*[Ações]</f>
        <v>1381931732.3702428</v>
      </c>
      <c r="AL441" s="6">
        <f>SUMPRODUCT(N([Nome]=Tabela3[[#This Row],[Nome]]),[Div Base]*[Ações])</f>
        <v>2902056481.8066998</v>
      </c>
      <c r="AM441" s="6">
        <f>[Patrimônio Líquido]/[Total Ações]</f>
        <v>16.861226851974024</v>
      </c>
      <c r="AN441" s="48">
        <f>MAX(Tabela3[[#This Row],[Cotação 1]:[Cotação 5]])</f>
        <v>29.14</v>
      </c>
      <c r="AO441" s="44">
        <f>[Cotação]/[VPA]</f>
        <v>1.728225369115916</v>
      </c>
      <c r="AP441" s="40">
        <f>IF(Tabela3[[#This Row],[Lucro/Ação]]&gt;0,Tabela3[[#This Row],[Cotação]]/(Tabela3[[#This Row],[Lucro/Ação]]/[Ref]*4),0)</f>
        <v>10.207283298020785</v>
      </c>
      <c r="AQ441" s="77">
        <f>[Lucro Distribuir]/[Total Ações]</f>
        <v>2.7120830481277807</v>
      </c>
      <c r="AR441" s="77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441" s="15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2.2543752844316461E-2</v>
      </c>
      <c r="AU441" s="19">
        <f>((1+Tabela3[[#This Row],[% Yield]])^(1/(3*Tabela3[[#This Row],[Ref]])))^(12)-1</f>
        <v>2.2543752844316645E-2</v>
      </c>
      <c r="AV441" s="14">
        <f>IF([Cotação]&gt;0,($BH$1/Tabela3[[#This Row],[Cotação]]-MOD($BH$1/Tabela3[[#This Row],[Cotação]],100)),)</f>
        <v>0</v>
      </c>
      <c r="AW441" s="17">
        <f>Tabela3[[#This Row],[Ativos]]*[Lucro]</f>
        <v>0</v>
      </c>
      <c r="AX441" s="5">
        <f>SUMPRODUCT(N(Tabela1[Código]=Tabela3[[#This Row],[PAPEL]]),Tabela1[Fechamento])</f>
        <v>29.14</v>
      </c>
      <c r="AY441" s="5">
        <f>SUMPRODUCT(N(Tabela17[Código]=Tabela3[[#This Row],[PAPEL]]),Tabela17[Fechamento])</f>
        <v>0</v>
      </c>
      <c r="AZ441" s="7">
        <f>SUMPRODUCT(N(Tabela176[Código]=Tabela3[[#This Row],[PAPEL]]),Tabela176[Fechamento])</f>
        <v>0</v>
      </c>
      <c r="BA441" s="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customHeight="1">
      <c r="A442" s="4" t="s">
        <v>14</v>
      </c>
      <c r="B442" s="60" t="s">
        <v>221</v>
      </c>
      <c r="C442" s="14" t="str">
        <f>LEFT([PAPEL],LEN([PAPEL])-(LEN([PAPEL])-4))</f>
        <v>ITUB</v>
      </c>
      <c r="D442" s="15">
        <v>4</v>
      </c>
      <c r="E442" s="6">
        <v>60000000000</v>
      </c>
      <c r="F442" s="8">
        <v>2518215040</v>
      </c>
      <c r="G442" s="80">
        <v>0.25</v>
      </c>
      <c r="H442" s="15"/>
      <c r="I442" s="19"/>
      <c r="J442" s="19"/>
      <c r="K442" s="87"/>
      <c r="L442" s="87"/>
      <c r="M442" s="55">
        <v>109588100000</v>
      </c>
      <c r="N442" s="55">
        <v>15446870000</v>
      </c>
      <c r="O442" s="55">
        <v>1645489000</v>
      </c>
      <c r="P442" s="6">
        <v>89229744000</v>
      </c>
      <c r="Q442" s="6">
        <v>11661389000</v>
      </c>
      <c r="R442" s="6">
        <f>IF(Tabela3[[#This Row],[Ativo || Passivo]]&gt;0,Tabela3[[#This Row],[Ativo || Passivo]]-Tabela3[[#This Row],[Patrimônio Líquido]],0)</f>
        <v>20358356000</v>
      </c>
      <c r="S442" s="6">
        <f>Tabela3[[#This Row],[Cotação]]*Tabela3[[#This Row],[Total Ações]]</f>
        <v>146516785749.39999</v>
      </c>
      <c r="T442" s="121">
        <f>IF(Tabela3[[#This Row],[Passivo Circulante]]&gt;0,Tabela3[[#This Row],[Ativo Circulante]]/Tabela3[[#This Row],[Passivo Circulante]],0)</f>
        <v>9.387403987507664</v>
      </c>
      <c r="U44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2" s="19">
        <f>IF(Tabela3[[#This Row],[Lucro Líquido]]&gt;0,Tabela3[[#This Row],[Lucro Líquido]]/Tabela3[[#This Row],[Patrimônio Líquido]],0)/Tabela3[[#This Row],[Ref]]*4</f>
        <v>0.13068948174949377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2" s="19">
        <f>IF(Tabela3[[#This Row],[Dívida]]&gt;0,Tabela3[[#This Row],[Dívida]]/Tabela3[[#This Row],[Patrimônio Líquido]],0)</f>
        <v>0.22815661109595922</v>
      </c>
      <c r="Y442" s="19">
        <f>SUMPRODUCT(N([Dívida / PL]&gt;0),N(RIGHT([PAPEL],LEN([PAPEL])-(LEN([PAPEL])-1))="3"),[Dívida / PL])/SUMPRODUCT(N([Dívida / PL]&gt;0),N(RIGHT([PAPEL],LEN([PAPEL])-(LEN([PAPEL])-1))="3"))</f>
        <v>2.2435702141443779</v>
      </c>
      <c r="Z442" s="6">
        <f>Tabela3[[#This Row],[Capital Social]]*20%</f>
        <v>12000000000</v>
      </c>
      <c r="AA442" s="6">
        <f>IF(([Lucro Líquido]*5%)&gt;[Teto R. Legal],[Teto R. Legal],[Lucro Líquido]*5%)</f>
        <v>583069450</v>
      </c>
      <c r="AB442" s="6">
        <f>IF([Lucro Líquido]&lt;0,0,[Lucro Líquido]-[Reserva Legal])</f>
        <v>11078319550</v>
      </c>
      <c r="AC442" s="6">
        <f>Tabela3[[#This Row],[Lucro Distribuir]]*[%Div]</f>
        <v>2769579887.5</v>
      </c>
      <c r="AD442" s="21">
        <f>SUMPRODUCT(N([Nome]=Tabela3[[#This Row],[Nome]]),[Ações])</f>
        <v>5028029710</v>
      </c>
      <c r="AE442" s="6">
        <f>[Capital Social]/[Total Ações]</f>
        <v>11.933103712706583</v>
      </c>
      <c r="AF442" s="77">
        <f>Tabela3[[#This Row],[Lucro Líquido]]/Tabela3[[#This Row],[Total Ações]]</f>
        <v>2.319276072853595</v>
      </c>
      <c r="AG4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4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4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442" s="6">
        <f>[Div Base]*[Ações]</f>
        <v>1387103523.5358639</v>
      </c>
      <c r="AL442" s="6">
        <f>SUMPRODUCT(N([Nome]=Tabela3[[#This Row],[Nome]]),[Div Base]*[Ações])</f>
        <v>2769579887.5</v>
      </c>
      <c r="AM442" s="6">
        <f>[Patrimônio Líquido]/[Total Ações]</f>
        <v>17.746463156837631</v>
      </c>
      <c r="AN442" s="48">
        <f>MAX(Tabela3[[#This Row],[Cotação 1]:[Cotação 5]])</f>
        <v>29.14</v>
      </c>
      <c r="AO442" s="44">
        <f>[Cotação]/[VPA]</f>
        <v>1.6420173271975318</v>
      </c>
      <c r="AP442" s="40">
        <f>IF(Tabela3[[#This Row],[Lucro/Ação]]&gt;0,Tabela3[[#This Row],[Cotação]]/(Tabela3[[#This Row],[Lucro/Ação]]/[Ref]*4),0)</f>
        <v>12.564265350328336</v>
      </c>
      <c r="AQ442" s="77">
        <f>[Lucro Distribuir]/[Total Ações]</f>
        <v>2.2033122692109153</v>
      </c>
      <c r="AR442" s="77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442" s="15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1.890281631100648E-2</v>
      </c>
      <c r="AU442" s="19">
        <f>((1+Tabela3[[#This Row],[% Yield]])^(1/(3*Tabela3[[#This Row],[Ref]])))^(12)-1</f>
        <v>1.8902816311005655E-2</v>
      </c>
      <c r="AV442" s="14">
        <f>IF([Cotação]&gt;0,($BH$1/Tabela3[[#This Row],[Cotação]]-MOD($BH$1/Tabela3[[#This Row],[Cotação]],100)),)</f>
        <v>0</v>
      </c>
      <c r="AW442" s="17">
        <f>Tabela3[[#This Row],[Ativos]]*[Lucro]</f>
        <v>0</v>
      </c>
      <c r="AX442" s="5">
        <f>SUMPRODUCT(N(Tabela1[Código]=Tabela3[[#This Row],[PAPEL]]),Tabela1[Fechamento])</f>
        <v>29.14</v>
      </c>
      <c r="AY442" s="5">
        <f>SUMPRODUCT(N(Tabela17[Código]=Tabela3[[#This Row],[PAPEL]]),Tabela17[Fechamento])</f>
        <v>0</v>
      </c>
      <c r="AZ442" s="7">
        <f>SUMPRODUCT(N(Tabela176[Código]=Tabela3[[#This Row],[PAPEL]]),Tabela176[Fechamento])</f>
        <v>0</v>
      </c>
      <c r="BA442" s="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customHeight="1">
      <c r="A443" s="3" t="s">
        <v>969</v>
      </c>
      <c r="B443" s="58" t="s">
        <v>970</v>
      </c>
      <c r="C443" s="16" t="str">
        <f>LEFT([PAPEL],LEN([PAPEL])-(LEN([PAPEL])-4))</f>
        <v>NETC</v>
      </c>
      <c r="D443" s="16">
        <v>3</v>
      </c>
      <c r="E443" s="5">
        <v>5612242940.9700003</v>
      </c>
      <c r="F443" s="56">
        <v>114459685</v>
      </c>
      <c r="G443" s="80">
        <v>0.25</v>
      </c>
      <c r="H443" s="86"/>
      <c r="J443" s="18"/>
      <c r="K443" s="16"/>
      <c r="L443" s="86"/>
      <c r="M443" s="54"/>
      <c r="N443" s="54"/>
      <c r="O443" s="54"/>
      <c r="P443" s="90">
        <v>5758900000</v>
      </c>
      <c r="Q443" s="73">
        <v>202336000</v>
      </c>
      <c r="R443" s="73">
        <f>IF(Tabela3[[#This Row],[Ativo || Passivo]]&gt;0,Tabela3[[#This Row],[Ativo || Passivo]]-Tabela3[[#This Row],[Patrimônio Líquido]],0)</f>
        <v>0</v>
      </c>
      <c r="S443" s="73">
        <f>Tabela3[[#This Row],[Cotação]]*Tabela3[[#This Row],[Total Ações]]</f>
        <v>10196307857.73</v>
      </c>
      <c r="T443" s="37">
        <f>IF(Tabela3[[#This Row],[Passivo Circulante]]&gt;0,Tabela3[[#This Row],[Ativo Circulante]]/Tabela3[[#This Row],[Passivo Circulante]],0)</f>
        <v>0</v>
      </c>
      <c r="U44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3" s="18">
        <f>IF(Tabela3[[#This Row],[Lucro Líquido]]&gt;0,Tabela3[[#This Row],[Lucro Líquido]]/Tabela3[[#This Row],[Patrimônio Líquido]],0)/Tabela3[[#This Row],[Ref]]*4</f>
        <v>4.6845983318573571E-2</v>
      </c>
      <c r="W44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3" s="18">
        <f>IF(Tabela3[[#This Row],[Dívida]]&gt;0,Tabela3[[#This Row],[Dívida]]/Tabela3[[#This Row],[Patrimônio Líquido]],0)</f>
        <v>0</v>
      </c>
      <c r="Y443" s="18">
        <f>SUMPRODUCT(N([Dívida / PL]&gt;0),N(RIGHT([PAPEL],LEN([PAPEL])-(LEN([PAPEL])-1))="3"),[Dívida / PL])/SUMPRODUCT(N([Dívida / PL]&gt;0),N(RIGHT([PAPEL],LEN([PAPEL])-(LEN([PAPEL])-1))="3"))</f>
        <v>2.2435702141443779</v>
      </c>
      <c r="Z443" s="7">
        <f>Tabela3[[#This Row],[Capital Social]]*20%</f>
        <v>1122448588.194</v>
      </c>
      <c r="AA443" s="47">
        <f>IF(([Lucro Líquido]*5%)&gt;[Teto R. Legal],[Teto R. Legal],[Lucro Líquido]*5%)</f>
        <v>10116800</v>
      </c>
      <c r="AB443" s="47">
        <f>IF([Lucro Líquido]&lt;0,0,[Lucro Líquido]-[Reserva Legal])</f>
        <v>192219200</v>
      </c>
      <c r="AC443" s="47">
        <f>Tabela3[[#This Row],[Lucro Distribuir]]*[%Div]</f>
        <v>48054800</v>
      </c>
      <c r="AD443" s="56">
        <f>SUMPRODUCT(N([Nome]=Tabela3[[#This Row],[Nome]]),[Ações])</f>
        <v>342963601</v>
      </c>
      <c r="AE443" s="84">
        <f>[Capital Social]/[Total Ações]</f>
        <v>16.363960853589241</v>
      </c>
      <c r="AF443" s="84">
        <f>Tabela3[[#This Row],[Lucro Líquido]]/Tabela3[[#This Row],[Total Ações]]</f>
        <v>0.58996348128500087</v>
      </c>
      <c r="AG44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44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443" s="7">
        <f>[Div Base]*[Ações]</f>
        <v>15538677.711349418</v>
      </c>
      <c r="AL443" s="7">
        <f>SUMPRODUCT(N([Nome]=Tabela3[[#This Row],[Nome]]),[Div Base]*[Ações])</f>
        <v>49661727.958309345</v>
      </c>
      <c r="AM443" s="5">
        <f>[Patrimônio Líquido]/[Total Ações]</f>
        <v>16.791577832774156</v>
      </c>
      <c r="AN443" s="52">
        <f>MAX(Tabela3[[#This Row],[Cotação 1]:[Cotação 5]])</f>
        <v>29.73</v>
      </c>
      <c r="AO443" s="53">
        <f>[Cotação]/[VPA]</f>
        <v>1.7705304585476394</v>
      </c>
      <c r="AP443" s="37">
        <f>IF(Tabela3[[#This Row],[Lucro/Ação]]&gt;0,Tabela3[[#This Row],[Cotação]]/(Tabela3[[#This Row],[Lucro/Ação]]/[Ref]*4),0)</f>
        <v>37.794712227668334</v>
      </c>
      <c r="AQ443" s="84">
        <f>[Lucro Distribuir]/[Total Ações]</f>
        <v>0.56046530722075083</v>
      </c>
      <c r="AR443" s="84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443" s="10" t="str">
        <f>IF(AND([% A.A.]&gt;=5%,SUMPRODUCT(N([Nome]=Tabela3[[#This Row],[Nome]]),[PL])&gt;0,[Rentabilidade s/ PL]&gt;=[Rentabilidade s/ PL Média]),"Sim","Não")</f>
        <v>Não</v>
      </c>
      <c r="AT443" s="22">
        <f>IF([Cotação]&gt;0,Tabela3[[#This Row],[Lucro]]/Tabela3[[#This Row],[Cotação]],0)</f>
        <v>4.5663227403946859E-3</v>
      </c>
      <c r="AU443" s="22">
        <f>((1+Tabela3[[#This Row],[% Yield]])^(1/(3*Tabela3[[#This Row],[Ref]])))^(12)-1</f>
        <v>6.0930592505072934E-3</v>
      </c>
      <c r="AV443" s="10">
        <f>IF([Cotação]&gt;0,($BH$1/Tabela3[[#This Row],[Cotação]]-MOD($BH$1/Tabela3[[#This Row],[Cotação]],100)),)</f>
        <v>0</v>
      </c>
      <c r="AW443" s="7">
        <f>Tabela3[[#This Row],[Ativos]]*[Lucro]</f>
        <v>0</v>
      </c>
      <c r="AX443" s="7">
        <f>SUMPRODUCT(N(Tabela1[Código]=Tabela3[[#This Row],[PAPEL]]),Tabela1[Fechamento])</f>
        <v>0</v>
      </c>
      <c r="AY443" s="7">
        <f>SUMPRODUCT(N(Tabela17[Código]=Tabela3[[#This Row],[PAPEL]]),Tabela17[Fechamento])</f>
        <v>0</v>
      </c>
      <c r="AZ443" s="7">
        <f>SUMPRODUCT(N(Tabela176[Código]=Tabela3[[#This Row],[PAPEL]]),Tabela176[Fechamento])</f>
        <v>0</v>
      </c>
      <c r="BA443" s="7">
        <f>SUMPRODUCT(N(Tabela1768[Código]=Tabela3[[#This Row],[PAPEL]]),Tabela1768[Fechamento])</f>
        <v>29.73</v>
      </c>
      <c r="BB443" s="7">
        <f>SUMPRODUCT(N(Tabela17683[Código]=Tabela3[[#This Row],[PAPEL]]),Tabela17683[Fechamento])</f>
        <v>0</v>
      </c>
    </row>
    <row r="444" spans="1:54" ht="11.25" customHeight="1">
      <c r="A444" s="3" t="s">
        <v>259</v>
      </c>
      <c r="B444" s="58" t="s">
        <v>262</v>
      </c>
      <c r="C444" s="82" t="str">
        <f>LEFT([PAPEL],LEN([PAPEL])-(LEN([PAPEL])-4))</f>
        <v>SMTO</v>
      </c>
      <c r="D444" s="16">
        <v>3</v>
      </c>
      <c r="E444" s="5">
        <v>737200000</v>
      </c>
      <c r="F444" s="21">
        <v>113000000</v>
      </c>
      <c r="G444" s="85">
        <v>0.25</v>
      </c>
      <c r="H444" s="16"/>
      <c r="J444" s="18"/>
      <c r="K444" s="86"/>
      <c r="L444" s="86"/>
      <c r="M444" s="54"/>
      <c r="N444" s="54"/>
      <c r="O444" s="54"/>
      <c r="P444" s="5">
        <v>2075419000</v>
      </c>
      <c r="Q444" s="5">
        <v>95615000</v>
      </c>
      <c r="R444" s="5">
        <f>IF(Tabela3[[#This Row],[Ativo || Passivo]]&gt;0,Tabela3[[#This Row],[Ativo || Passivo]]-Tabela3[[#This Row],[Patrimônio Líquido]],0)</f>
        <v>0</v>
      </c>
      <c r="S444" s="5">
        <f>Tabela3[[#This Row],[Cotação]]*Tabela3[[#This Row],[Total Ações]]</f>
        <v>3362880000</v>
      </c>
      <c r="T444" s="119">
        <f>IF(Tabela3[[#This Row],[Passivo Circulante]]&gt;0,Tabela3[[#This Row],[Ativo Circulante]]/Tabela3[[#This Row],[Passivo Circulante]],0)</f>
        <v>0</v>
      </c>
      <c r="U44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4" s="18">
        <f>IF(Tabela3[[#This Row],[Lucro Líquido]]&gt;0,Tabela3[[#This Row],[Lucro Líquido]]/Tabela3[[#This Row],[Patrimônio Líquido]],0)/Tabela3[[#This Row],[Ref]]*4</f>
        <v>6.1426953625589177E-2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2.2435702141443779</v>
      </c>
      <c r="Z444" s="5">
        <f>Tabela3[[#This Row],[Capital Social]]*20%</f>
        <v>147440000</v>
      </c>
      <c r="AA444" s="5">
        <f>IF(([Lucro Líquido]*5%)&gt;[Teto R. Legal],[Teto R. Legal],[Lucro Líquido]*5%)</f>
        <v>4780750</v>
      </c>
      <c r="AB444" s="5">
        <f>IF([Lucro Líquido]&lt;0,0,[Lucro Líquido]-[Reserva Legal])</f>
        <v>90834250</v>
      </c>
      <c r="AC444" s="5">
        <f>Tabela3[[#This Row],[Lucro Distribuir]]*[%Div]</f>
        <v>22708562.5</v>
      </c>
      <c r="AD444" s="56">
        <f>SUMPRODUCT(N([Nome]=Tabela3[[#This Row],[Nome]]),[Ações])</f>
        <v>113000000</v>
      </c>
      <c r="AE444" s="5">
        <f>[Capital Social]/[Total Ações]</f>
        <v>6.5238938053097346</v>
      </c>
      <c r="AF444" s="76">
        <f>Tabela3[[#This Row],[Lucro Líquido]]/Tabela3[[#This Row],[Total Ações]]</f>
        <v>0.84615044247787607</v>
      </c>
      <c r="AG44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4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44" s="5">
        <f>[Div Base]*[Ações]</f>
        <v>22708562.5</v>
      </c>
      <c r="AL444" s="5">
        <f>SUMPRODUCT(N([Nome]=Tabela3[[#This Row],[Nome]]),[Div Base]*[Ações])</f>
        <v>22708562.5</v>
      </c>
      <c r="AM444" s="5">
        <f>[Patrimônio Líquido]/[Total Ações]</f>
        <v>18.36653982300885</v>
      </c>
      <c r="AN444" s="52">
        <f>MAX(Tabela3[[#This Row],[Cotação 1]:[Cotação 5]])</f>
        <v>29.76</v>
      </c>
      <c r="AO444" s="53">
        <f>[Cotação]/[VPA]</f>
        <v>1.6203378691242589</v>
      </c>
      <c r="AP444" s="37">
        <f>IF(Tabela3[[#This Row],[Lucro/Ação]]&gt;0,Tabela3[[#This Row],[Cotação]]/(Tabela3[[#This Row],[Lucro/Ação]]/[Ref]*4),0)</f>
        <v>26.3782879255347</v>
      </c>
      <c r="AQ444" s="76">
        <f>[Lucro Distribuir]/[Total Ações]</f>
        <v>0.8038429203539823</v>
      </c>
      <c r="AR444" s="76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44" s="16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6.7527127045865446E-3</v>
      </c>
      <c r="AU444" s="18">
        <f>((1+Tabela3[[#This Row],[% Yield]])^(1/(3*Tabela3[[#This Row],[Ref]])))^(12)-1</f>
        <v>9.0137349160106517E-3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47">
        <f>SUMPRODUCT(N(Tabela1[Código]=Tabela3[[#This Row],[PAPEL]]),Tabela1[Fechamento])</f>
        <v>0</v>
      </c>
      <c r="AY444" s="54">
        <f>SUMPRODUCT(N(Tabela17[Código]=Tabela3[[#This Row],[PAPEL]]),Tabela17[Fechamento])</f>
        <v>29.76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29.76</v>
      </c>
      <c r="BB444" s="7">
        <f>SUMPRODUCT(N(Tabela17683[Código]=Tabela3[[#This Row],[PAPEL]]),Tabela17683[Fechamento])</f>
        <v>0</v>
      </c>
    </row>
    <row r="445" spans="1:54" ht="11.25" customHeight="1">
      <c r="A445" s="3" t="s">
        <v>1276</v>
      </c>
      <c r="B445" s="57" t="s">
        <v>1249</v>
      </c>
      <c r="C445" s="16" t="str">
        <f>LEFT([PAPEL],LEN([PAPEL])-(LEN([PAPEL])-4))</f>
        <v>RSUL</v>
      </c>
      <c r="D445" s="16">
        <v>3</v>
      </c>
      <c r="E445" s="5">
        <v>9213613.5800000001</v>
      </c>
      <c r="F445" s="56">
        <v>240000</v>
      </c>
      <c r="G445" s="80">
        <v>0.25</v>
      </c>
      <c r="H445" s="86"/>
      <c r="J445" s="18">
        <v>0.1</v>
      </c>
      <c r="K445" s="16"/>
      <c r="L445" s="86"/>
      <c r="M445" s="54"/>
      <c r="N445" s="54"/>
      <c r="O445" s="54"/>
      <c r="P445" s="90">
        <v>1266000</v>
      </c>
      <c r="Q445" s="73">
        <v>-5191000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17460850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5" s="18">
        <f>IF(Tabela3[[#This Row],[Lucro Líquido]]&gt;0,Tabela3[[#This Row],[Lucro Líquido]]/Tabela3[[#This Row],[Patrimônio Líquido]],0)/Tabela3[[#This Row],[Ref]]*4</f>
        <v>0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2.2435702141443779</v>
      </c>
      <c r="Z445" s="7">
        <f>Tabela3[[#This Row],[Capital Social]]*20%</f>
        <v>1842722.716</v>
      </c>
      <c r="AA445" s="47">
        <f>IF(([Lucro Líquido]*5%)&gt;[Teto R. Legal],[Teto R. Legal],[Lucro Líquido]*5%)</f>
        <v>-259550</v>
      </c>
      <c r="AB445" s="47">
        <f>IF([Lucro Líquido]&lt;0,0,[Lucro Líquido]-[Reserva Legal])</f>
        <v>0</v>
      </c>
      <c r="AC445" s="47">
        <f>Tabela3[[#This Row],[Lucro Distribuir]]*[%Div]</f>
        <v>0</v>
      </c>
      <c r="AD445" s="56">
        <f>SUMPRODUCT(N([Nome]=Tabela3[[#This Row],[Nome]]),[Ações])</f>
        <v>583000</v>
      </c>
      <c r="AE445" s="84">
        <f>[Capital Social]/[Total Ações]</f>
        <v>15.803796878216124</v>
      </c>
      <c r="AF445" s="84">
        <f>Tabela3[[#This Row],[Lucro Líquido]]/Tabela3[[#This Row],[Total Ações]]</f>
        <v>-8.9039451114922805</v>
      </c>
      <c r="AG44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5" s="7">
        <f>[Div Base]*[Ações]</f>
        <v>0</v>
      </c>
      <c r="AL445" s="113">
        <f>SUMPRODUCT(N([Nome]=Tabela3[[#This Row],[Nome]]),[Div Base]*[Ações])</f>
        <v>0</v>
      </c>
      <c r="AM445" s="5">
        <f>[Patrimônio Líquido]/[Total Ações]</f>
        <v>2.1715265866209261</v>
      </c>
      <c r="AN445" s="52">
        <f>MAX(Tabela3[[#This Row],[Cotação 1]:[Cotação 5]])</f>
        <v>29.95</v>
      </c>
      <c r="AO445" s="53">
        <f>[Cotação]/[VPA]</f>
        <v>13.792140600315957</v>
      </c>
      <c r="AP445" s="37">
        <f>IF(Tabela3[[#This Row],[Lucro/Ação]]&gt;0,Tabela3[[#This Row],[Cotação]]/(Tabela3[[#This Row],[Lucro/Ação]]/[Ref]*4),0)</f>
        <v>0</v>
      </c>
      <c r="AQ445" s="84">
        <f>[Lucro Distribuir]/[Total Ações]</f>
        <v>0</v>
      </c>
      <c r="AR44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0</v>
      </c>
      <c r="AU445" s="22">
        <f>((1+Tabela3[[#This Row],[% Yield]])^(1/(3*Tabela3[[#This Row],[Ref]])))^(12)-1</f>
        <v>0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29.95</v>
      </c>
    </row>
    <row r="446" spans="1:54" ht="11.25" customHeight="1">
      <c r="A446" s="4" t="s">
        <v>12</v>
      </c>
      <c r="B446" s="57" t="s">
        <v>99</v>
      </c>
      <c r="C446" s="14" t="str">
        <f>LEFT([PAPEL],LEN([PAPEL])-(LEN([PAPEL])-4))</f>
        <v>CPLE</v>
      </c>
      <c r="D446" s="15">
        <v>3</v>
      </c>
      <c r="E446" s="6">
        <v>6910000000</v>
      </c>
      <c r="F446" s="8">
        <v>381702</v>
      </c>
      <c r="G446" s="80">
        <v>0.25</v>
      </c>
      <c r="H446" s="19"/>
      <c r="I446" s="19">
        <v>0.1</v>
      </c>
      <c r="J446" s="19"/>
      <c r="K446" s="87"/>
      <c r="L446" s="87"/>
      <c r="M446" s="13">
        <v>14184888000</v>
      </c>
      <c r="N446" s="13">
        <v>1725572000</v>
      </c>
      <c r="O446" s="13">
        <v>626089000</v>
      </c>
      <c r="P446" s="89">
        <v>12828375000</v>
      </c>
      <c r="Q446" s="93">
        <v>898498000</v>
      </c>
      <c r="R446" s="93">
        <f>IF(Tabela3[[#This Row],[Ativo || Passivo]]&gt;0,Tabela3[[#This Row],[Ativo || Passivo]]-Tabela3[[#This Row],[Patrimônio Líquido]],0)</f>
        <v>1356513000</v>
      </c>
      <c r="S446" s="118">
        <f>Tabela3[[#This Row],[Cotação]]*Tabela3[[#This Row],[Total Ações]]</f>
        <v>8209661250</v>
      </c>
      <c r="T446" s="122">
        <f>IF(Tabela3[[#This Row],[Passivo Circulante]]&gt;0,Tabela3[[#This Row],[Ativo Circulante]]/Tabela3[[#This Row],[Passivo Circulante]],0)</f>
        <v>2.7561129487980143</v>
      </c>
      <c r="U446" s="122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6" s="124">
        <f>IF(Tabela3[[#This Row],[Lucro Líquido]]&gt;0,Tabela3[[#This Row],[Lucro Líquido]]/Tabela3[[#This Row],[Patrimônio Líquido]],0)/Tabela3[[#This Row],[Ref]]*4</f>
        <v>9.3386522714945061E-2</v>
      </c>
      <c r="W446" s="124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6" s="124">
        <f>IF(Tabela3[[#This Row],[Dívida]]&gt;0,Tabela3[[#This Row],[Dívida]]/Tabela3[[#This Row],[Patrimônio Líquido]],0)</f>
        <v>0.10574316700283551</v>
      </c>
      <c r="Y446" s="124">
        <f>SUMPRODUCT(N([Dívida / PL]&gt;0),N(RIGHT([PAPEL],LEN([PAPEL])-(LEN([PAPEL])-1))="3"),[Dívida / PL])/SUMPRODUCT(N([Dívida / PL]&gt;0),N(RIGHT([PAPEL],LEN([PAPEL])-(LEN([PAPEL])-1))="3"))</f>
        <v>2.2435702141443779</v>
      </c>
      <c r="Z446" s="28">
        <f>Tabela3[[#This Row],[Capital Social]]*20%</f>
        <v>1382000000</v>
      </c>
      <c r="AA446" s="28">
        <f>IF(([Lucro Líquido]*5%)&gt;[Teto R. Legal],[Teto R. Legal],[Lucro Líquido]*5%)</f>
        <v>44924900</v>
      </c>
      <c r="AB446" s="89">
        <f>IF([Lucro Líquido]&lt;0,0,[Lucro Líquido]-[Reserva Legal])</f>
        <v>853573100</v>
      </c>
      <c r="AC446" s="89">
        <f>Tabela3[[#This Row],[Lucro Distribuir]]*[%Div]</f>
        <v>213393275</v>
      </c>
      <c r="AD446" s="56">
        <f>SUMPRODUCT(N([Nome]=Tabela3[[#This Row],[Nome]]),[Ações])</f>
        <v>273655375</v>
      </c>
      <c r="AE446" s="6">
        <f>[Capital Social]/[Total Ações]</f>
        <v>25.250737355332415</v>
      </c>
      <c r="AF446" s="77">
        <f>Tabela3[[#This Row],[Lucro Líquido]]/Tabela3[[#This Row],[Total Ações]]</f>
        <v>3.2833193939640322</v>
      </c>
      <c r="AG4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4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4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446" s="6">
        <f>[Div Base]*[Ações]</f>
        <v>963825.69500050927</v>
      </c>
      <c r="AL446" s="6">
        <f>SUMPRODUCT(N([Nome]=Tabela3[[#This Row],[Nome]]),[Div Base]*[Ações])</f>
        <v>213393275.00000003</v>
      </c>
      <c r="AM446" s="6">
        <f>[Patrimônio Líquido]/[Total Ações]</f>
        <v>46.877847730927996</v>
      </c>
      <c r="AN446" s="48">
        <f>MAX(Tabela3[[#This Row],[Cotação 1]:[Cotação 5]])</f>
        <v>30</v>
      </c>
      <c r="AO446" s="44">
        <f>[Cotação]/[VPA]</f>
        <v>0.63996112134233685</v>
      </c>
      <c r="AP446" s="40">
        <f>IF(Tabela3[[#This Row],[Lucro/Ação]]&gt;0,Tabela3[[#This Row],[Cotação]]/(Tabela3[[#This Row],[Lucro/Ação]]/[Ref]*4),0)</f>
        <v>6.8528209717773443</v>
      </c>
      <c r="AQ446" s="77">
        <f>[Lucro Distribuir]/[Total Ações]</f>
        <v>3.1191534242658308</v>
      </c>
      <c r="AR446" s="77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446" s="15" t="str">
        <f>IF(AND([% A.A.]&gt;=5%,SUMPRODUCT(N([Nome]=Tabela3[[#This Row],[Nome]]),[PL])&gt;0,[Rentabilidade s/ PL]&gt;=[Rentabilidade s/ PL Média]),"Sim","Não")</f>
        <v>Não</v>
      </c>
      <c r="AT446" s="42">
        <f>IF([Cotação]&gt;0,Tabela3[[#This Row],[Lucro]]/Tabela3[[#This Row],[Cotação]],0)</f>
        <v>8.416912451777471E-2</v>
      </c>
      <c r="AU446" s="19">
        <f>((1+Tabela3[[#This Row],[% Yield]])^(1/(3*Tabela3[[#This Row],[Ref]])))^(12)-1</f>
        <v>0.11377136181616954</v>
      </c>
      <c r="AV446" s="14">
        <f>IF([Cotação]&gt;0,($BH$1/Tabela3[[#This Row],[Cotação]]-MOD($BH$1/Tabela3[[#This Row],[Cotação]],100)),)</f>
        <v>0</v>
      </c>
      <c r="AW446" s="17">
        <f>Tabela3[[#This Row],[Ativos]]*[Lucro]</f>
        <v>0</v>
      </c>
      <c r="AX446" s="5">
        <f>SUMPRODUCT(N(Tabela1[Código]=Tabela3[[#This Row],[PAPEL]]),Tabela1[Fechamento])</f>
        <v>30</v>
      </c>
      <c r="AY446" s="5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0</v>
      </c>
    </row>
    <row r="447" spans="1:54" ht="11.25" customHeight="1">
      <c r="A447" s="4" t="s">
        <v>26</v>
      </c>
      <c r="B447" s="57" t="s">
        <v>240</v>
      </c>
      <c r="C447" s="81" t="str">
        <f>LEFT([PAPEL],LEN([PAPEL])-(LEN([PAPEL])-4))</f>
        <v>CSAB</v>
      </c>
      <c r="D447" s="15">
        <v>4</v>
      </c>
      <c r="E447" s="6">
        <v>100000000</v>
      </c>
      <c r="F447" s="8">
        <v>3840000</v>
      </c>
      <c r="G447" s="80">
        <v>0.25</v>
      </c>
      <c r="H447" s="15"/>
      <c r="I447" s="19"/>
      <c r="J447" s="19"/>
      <c r="K447" s="87"/>
      <c r="L447" s="87"/>
      <c r="M447" s="55">
        <v>434865000</v>
      </c>
      <c r="N447" s="55">
        <v>185359000</v>
      </c>
      <c r="O447" s="55">
        <v>76935000</v>
      </c>
      <c r="P447" s="6">
        <v>175231000</v>
      </c>
      <c r="Q447" s="6">
        <v>10607000</v>
      </c>
      <c r="R447" s="6">
        <f>IF(Tabela3[[#This Row],[Ativo || Passivo]]&gt;0,Tabela3[[#This Row],[Ativo || Passivo]]-Tabela3[[#This Row],[Patrimônio Líquido]],0)</f>
        <v>259634000</v>
      </c>
      <c r="S447" s="6">
        <f>Tabela3[[#This Row],[Cotação]]*Tabela3[[#This Row],[Total Ações]]</f>
        <v>230400000</v>
      </c>
      <c r="T447" s="121">
        <f>IF(Tabela3[[#This Row],[Passivo Circulante]]&gt;0,Tabela3[[#This Row],[Ativo Circulante]]/Tabela3[[#This Row],[Passivo Circulante]],0)</f>
        <v>2.4092935594982778</v>
      </c>
      <c r="U44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7" s="19">
        <f>IF(Tabela3[[#This Row],[Lucro Líquido]]&gt;0,Tabela3[[#This Row],[Lucro Líquido]]/Tabela3[[#This Row],[Patrimônio Líquido]],0)/Tabela3[[#This Row],[Ref]]*4</f>
        <v>6.0531526955846855E-2</v>
      </c>
      <c r="W44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7" s="19">
        <f>IF(Tabela3[[#This Row],[Dívida]]&gt;0,Tabela3[[#This Row],[Dívida]]/Tabela3[[#This Row],[Patrimônio Líquido]],0)</f>
        <v>1.481667056628108</v>
      </c>
      <c r="Y447" s="19">
        <f>SUMPRODUCT(N([Dívida / PL]&gt;0),N(RIGHT([PAPEL],LEN([PAPEL])-(LEN([PAPEL])-1))="3"),[Dívida / PL])/SUMPRODUCT(N([Dívida / PL]&gt;0),N(RIGHT([PAPEL],LEN([PAPEL])-(LEN([PAPEL])-1))="3"))</f>
        <v>2.2435702141443779</v>
      </c>
      <c r="Z447" s="6">
        <f>Tabela3[[#This Row],[Capital Social]]*20%</f>
        <v>20000000</v>
      </c>
      <c r="AA447" s="6">
        <f>IF(([Lucro Líquido]*5%)&gt;[Teto R. Legal],[Teto R. Legal],[Lucro Líquido]*5%)</f>
        <v>530350</v>
      </c>
      <c r="AB447" s="6">
        <f>IF([Lucro Líquido]&lt;0,0,[Lucro Líquido]-[Reserva Legal])</f>
        <v>10076650</v>
      </c>
      <c r="AC447" s="6">
        <f>Tabela3[[#This Row],[Lucro Distribuir]]*[%Div]</f>
        <v>2519162.5</v>
      </c>
      <c r="AD447" s="21">
        <f>SUMPRODUCT(N([Nome]=Tabela3[[#This Row],[Nome]]),[Ações])</f>
        <v>7680000</v>
      </c>
      <c r="AE447" s="6">
        <f>[Capital Social]/[Total Ações]</f>
        <v>13.020833333333334</v>
      </c>
      <c r="AF447" s="77">
        <f>Tabela3[[#This Row],[Lucro Líquido]]/Tabela3[[#This Row],[Total Ações]]</f>
        <v>1.3811197916666667</v>
      </c>
      <c r="AG4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4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447" s="6">
        <f>[Div Base]*[Ações]</f>
        <v>1259581.25</v>
      </c>
      <c r="AL447" s="6">
        <f>SUMPRODUCT(N([Nome]=Tabela3[[#This Row],[Nome]]),[Div Base]*[Ações])</f>
        <v>2519162.5</v>
      </c>
      <c r="AM447" s="6">
        <f>[Patrimônio Líquido]/[Total Ações]</f>
        <v>22.816536458333335</v>
      </c>
      <c r="AN447" s="48">
        <f>MAX(Tabela3[[#This Row],[Cotação 1]:[Cotação 5]])</f>
        <v>30</v>
      </c>
      <c r="AO447" s="44">
        <f>[Cotação]/[VPA]</f>
        <v>1.314835845255691</v>
      </c>
      <c r="AP447" s="40">
        <f>IF(Tabela3[[#This Row],[Lucro/Ação]]&gt;0,Tabela3[[#This Row],[Cotação]]/(Tabela3[[#This Row],[Lucro/Ação]]/[Ref]*4),0)</f>
        <v>21.721504666729519</v>
      </c>
      <c r="AQ447" s="77">
        <f>[Lucro Distribuir]/[Total Ações]</f>
        <v>1.3120638020833333</v>
      </c>
      <c r="AR447" s="77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447" s="15" t="str">
        <f>IF(AND([% A.A.]&gt;=5%,SUMPRODUCT(N([Nome]=Tabela3[[#This Row],[Nome]]),[PL])&gt;0,[Rentabilidade s/ PL]&gt;=[Rentabilidade s/ PL Média]),"Sim","Não")</f>
        <v>Não</v>
      </c>
      <c r="AT447" s="42">
        <f>IF([Cotação]&gt;0,Tabela3[[#This Row],[Lucro]]/Tabela3[[#This Row],[Cotação]],0)</f>
        <v>1.093386501736111E-2</v>
      </c>
      <c r="AU447" s="19">
        <f>((1+Tabela3[[#This Row],[% Yield]])^(1/(3*Tabela3[[#This Row],[Ref]])))^(12)-1</f>
        <v>1.0933865017360489E-2</v>
      </c>
      <c r="AV447" s="14">
        <f>IF([Cotação]&gt;0,($BH$1/Tabela3[[#This Row],[Cotação]]-MOD($BH$1/Tabela3[[#This Row],[Cotação]],100)),)</f>
        <v>0</v>
      </c>
      <c r="AW447" s="17">
        <f>Tabela3[[#This Row],[Ativos]]*[Lucro]</f>
        <v>0</v>
      </c>
      <c r="AX447" s="13">
        <f>SUMPRODUCT(N(Tabela1[Código]=Tabela3[[#This Row],[PAPEL]]),Tabela1[Fechamento])</f>
        <v>0</v>
      </c>
      <c r="AY447" s="13">
        <f>SUMPRODUCT(N(Tabela17[Código]=Tabela3[[#This Row],[PAPEL]]),Tabela17[Fechamento])</f>
        <v>30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</v>
      </c>
      <c r="BB447" s="7">
        <f>SUMPRODUCT(N(Tabela17683[Código]=Tabela3[[#This Row],[PAPEL]]),Tabela17683[Fechamento])</f>
        <v>0</v>
      </c>
    </row>
    <row r="448" spans="1:54" ht="11.25" customHeight="1">
      <c r="A448" s="4" t="s">
        <v>26</v>
      </c>
      <c r="B448" s="57" t="s">
        <v>241</v>
      </c>
      <c r="C448" s="81" t="str">
        <f>LEFT([PAPEL],LEN([PAPEL])-(LEN([PAPEL])-4))</f>
        <v>CSAB</v>
      </c>
      <c r="D448" s="15">
        <v>4</v>
      </c>
      <c r="E448" s="6">
        <v>100000000</v>
      </c>
      <c r="F448" s="8">
        <v>3840000</v>
      </c>
      <c r="G448" s="85">
        <v>0.25</v>
      </c>
      <c r="H448" s="15"/>
      <c r="I448" s="19"/>
      <c r="J448" s="19"/>
      <c r="K448" s="87"/>
      <c r="L448" s="87"/>
      <c r="M448" s="55">
        <v>434865000</v>
      </c>
      <c r="N448" s="55">
        <v>185359000</v>
      </c>
      <c r="O448" s="55">
        <v>76935000</v>
      </c>
      <c r="P448" s="6">
        <v>175231000</v>
      </c>
      <c r="Q448" s="6">
        <v>10607000</v>
      </c>
      <c r="R448" s="6">
        <f>IF(Tabela3[[#This Row],[Ativo || Passivo]]&gt;0,Tabela3[[#This Row],[Ativo || Passivo]]-Tabela3[[#This Row],[Patrimônio Líquido]],0)</f>
        <v>259634000</v>
      </c>
      <c r="S448" s="6">
        <f>Tabela3[[#This Row],[Cotação]]*Tabela3[[#This Row],[Total Ações]]</f>
        <v>230400000</v>
      </c>
      <c r="T448" s="121">
        <f>IF(Tabela3[[#This Row],[Passivo Circulante]]&gt;0,Tabela3[[#This Row],[Ativo Circulante]]/Tabela3[[#This Row],[Passivo Circulante]],0)</f>
        <v>2.4092935594982778</v>
      </c>
      <c r="U44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8" s="19">
        <f>IF(Tabela3[[#This Row],[Lucro Líquido]]&gt;0,Tabela3[[#This Row],[Lucro Líquido]]/Tabela3[[#This Row],[Patrimônio Líquido]],0)/Tabela3[[#This Row],[Ref]]*4</f>
        <v>6.0531526955846855E-2</v>
      </c>
      <c r="W44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8" s="19">
        <f>IF(Tabela3[[#This Row],[Dívida]]&gt;0,Tabela3[[#This Row],[Dívida]]/Tabela3[[#This Row],[Patrimônio Líquido]],0)</f>
        <v>1.481667056628108</v>
      </c>
      <c r="Y448" s="19">
        <f>SUMPRODUCT(N([Dívida / PL]&gt;0),N(RIGHT([PAPEL],LEN([PAPEL])-(LEN([PAPEL])-1))="3"),[Dívida / PL])/SUMPRODUCT(N([Dívida / PL]&gt;0),N(RIGHT([PAPEL],LEN([PAPEL])-(LEN([PAPEL])-1))="3"))</f>
        <v>2.2435702141443779</v>
      </c>
      <c r="Z448" s="6">
        <f>Tabela3[[#This Row],[Capital Social]]*20%</f>
        <v>20000000</v>
      </c>
      <c r="AA448" s="6">
        <f>IF(([Lucro Líquido]*5%)&gt;[Teto R. Legal],[Teto R. Legal],[Lucro Líquido]*5%)</f>
        <v>530350</v>
      </c>
      <c r="AB448" s="6">
        <f>IF([Lucro Líquido]&lt;0,0,[Lucro Líquido]-[Reserva Legal])</f>
        <v>10076650</v>
      </c>
      <c r="AC448" s="6">
        <f>Tabela3[[#This Row],[Lucro Distribuir]]*[%Div]</f>
        <v>2519162.5</v>
      </c>
      <c r="AD448" s="21">
        <f>SUMPRODUCT(N([Nome]=Tabela3[[#This Row],[Nome]]),[Ações])</f>
        <v>7680000</v>
      </c>
      <c r="AE448" s="6">
        <f>[Capital Social]/[Total Ações]</f>
        <v>13.020833333333334</v>
      </c>
      <c r="AF448" s="77">
        <f>Tabela3[[#This Row],[Lucro Líquido]]/Tabela3[[#This Row],[Total Ações]]</f>
        <v>1.3811197916666667</v>
      </c>
      <c r="AG4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4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448" s="6">
        <f>[Div Base]*[Ações]</f>
        <v>1259581.25</v>
      </c>
      <c r="AL448" s="6">
        <f>SUMPRODUCT(N([Nome]=Tabela3[[#This Row],[Nome]]),[Div Base]*[Ações])</f>
        <v>2519162.5</v>
      </c>
      <c r="AM448" s="6">
        <f>[Patrimônio Líquido]/[Total Ações]</f>
        <v>22.816536458333335</v>
      </c>
      <c r="AN448" s="48">
        <f>MAX(Tabela3[[#This Row],[Cotação 1]:[Cotação 5]])</f>
        <v>30</v>
      </c>
      <c r="AO448" s="44">
        <f>[Cotação]/[VPA]</f>
        <v>1.314835845255691</v>
      </c>
      <c r="AP448" s="40">
        <f>IF(Tabela3[[#This Row],[Lucro/Ação]]&gt;0,Tabela3[[#This Row],[Cotação]]/(Tabela3[[#This Row],[Lucro/Ação]]/[Ref]*4),0)</f>
        <v>21.721504666729519</v>
      </c>
      <c r="AQ448" s="77">
        <f>[Lucro Distribuir]/[Total Ações]</f>
        <v>1.3120638020833333</v>
      </c>
      <c r="AR448" s="77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448" s="15" t="str">
        <f>IF(AND([% A.A.]&gt;=5%,SUMPRODUCT(N([Nome]=Tabela3[[#This Row],[Nome]]),[PL])&gt;0,[Rentabilidade s/ PL]&gt;=[Rentabilidade s/ PL Média]),"Sim","Não")</f>
        <v>Não</v>
      </c>
      <c r="AT448" s="42">
        <f>IF([Cotação]&gt;0,Tabela3[[#This Row],[Lucro]]/Tabela3[[#This Row],[Cotação]],0)</f>
        <v>1.093386501736111E-2</v>
      </c>
      <c r="AU448" s="19">
        <f>((1+Tabela3[[#This Row],[% Yield]])^(1/(3*Tabela3[[#This Row],[Ref]])))^(12)-1</f>
        <v>1.0933865017360489E-2</v>
      </c>
      <c r="AV448" s="14">
        <f>IF([Cotação]&gt;0,($BH$1/Tabela3[[#This Row],[Cotação]]-MOD($BH$1/Tabela3[[#This Row],[Cotação]],100)),)</f>
        <v>0</v>
      </c>
      <c r="AW448" s="17">
        <f>Tabela3[[#This Row],[Ativos]]*[Lucro]</f>
        <v>0</v>
      </c>
      <c r="AX448" s="13">
        <f>SUMPRODUCT(N(Tabela1[Código]=Tabela3[[#This Row],[PAPEL]]),Tabela1[Fechamento])</f>
        <v>0</v>
      </c>
      <c r="AY448" s="13">
        <f>SUMPRODUCT(N(Tabela17[Código]=Tabela3[[#This Row],[PAPEL]]),Tabela17[Fechamento])</f>
        <v>30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</v>
      </c>
      <c r="BB448" s="7">
        <f>SUMPRODUCT(N(Tabela17683[Código]=Tabela3[[#This Row],[PAPEL]]),Tabela17683[Fechamento])</f>
        <v>0</v>
      </c>
    </row>
    <row r="449" spans="1:54" ht="11.25" customHeight="1">
      <c r="A449" s="4" t="s">
        <v>26</v>
      </c>
      <c r="B449" s="57" t="s">
        <v>677</v>
      </c>
      <c r="C449" s="15" t="str">
        <f>LEFT([PAPEL],LEN([PAPEL])-(LEN([PAPEL])-4))</f>
        <v>PEAB</v>
      </c>
      <c r="D449" s="15">
        <v>3</v>
      </c>
      <c r="E449" s="6">
        <v>400000000</v>
      </c>
      <c r="F449" s="8">
        <v>6425139</v>
      </c>
      <c r="G449" s="85">
        <v>0.25</v>
      </c>
      <c r="H449" s="15"/>
      <c r="I449" s="19"/>
      <c r="J449" s="19"/>
      <c r="K449" s="87"/>
      <c r="L449" s="87"/>
      <c r="M449" s="55"/>
      <c r="N449" s="55"/>
      <c r="O449" s="55"/>
      <c r="P449" s="91">
        <v>525856000</v>
      </c>
      <c r="Q449" s="92">
        <v>84000</v>
      </c>
      <c r="R449" s="92">
        <f>IF(Tabela3[[#This Row],[Ativo || Passivo]]&gt;0,Tabela3[[#This Row],[Ativo || Passivo]]-Tabela3[[#This Row],[Patrimônio Líquido]],0)</f>
        <v>0</v>
      </c>
      <c r="S449" s="92">
        <f>Tabela3[[#This Row],[Cotação]]*Tabela3[[#This Row],[Total Ações]]</f>
        <v>385508340</v>
      </c>
      <c r="T449" s="40">
        <f>IF(Tabela3[[#This Row],[Passivo Circulante]]&gt;0,Tabela3[[#This Row],[Ativo Circulante]]/Tabela3[[#This Row],[Passivo Circulante]],0)</f>
        <v>0</v>
      </c>
      <c r="U449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49" s="19">
        <f>IF(Tabela3[[#This Row],[Lucro Líquido]]&gt;0,Tabela3[[#This Row],[Lucro Líquido]]/Tabela3[[#This Row],[Patrimônio Líquido]],0)/Tabela3[[#This Row],[Ref]]*4</f>
        <v>2.1298606462605732E-4</v>
      </c>
      <c r="W44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49" s="19">
        <f>IF(Tabela3[[#This Row],[Dívida]]&gt;0,Tabela3[[#This Row],[Dívida]]/Tabela3[[#This Row],[Patrimônio Líquido]],0)</f>
        <v>0</v>
      </c>
      <c r="Y449" s="19">
        <f>SUMPRODUCT(N([Dívida / PL]&gt;0),N(RIGHT([PAPEL],LEN([PAPEL])-(LEN([PAPEL])-1))="3"),[Dívida / PL])/SUMPRODUCT(N([Dívida / PL]&gt;0),N(RIGHT([PAPEL],LEN([PAPEL])-(LEN([PAPEL])-1))="3"))</f>
        <v>2.2435702141443779</v>
      </c>
      <c r="Z449" s="13">
        <f>Tabela3[[#This Row],[Capital Social]]*20%</f>
        <v>80000000</v>
      </c>
      <c r="AA449" s="13">
        <f>IF(([Lucro Líquido]*5%)&gt;[Teto R. Legal],[Teto R. Legal],[Lucro Líquido]*5%)</f>
        <v>4200</v>
      </c>
      <c r="AB449" s="13">
        <f>IF([Lucro Líquido]&lt;0,0,[Lucro Líquido]-[Reserva Legal])</f>
        <v>79800</v>
      </c>
      <c r="AC449" s="13">
        <f>Tabela3[[#This Row],[Lucro Distribuir]]*[%Div]</f>
        <v>19950</v>
      </c>
      <c r="AD449" s="56">
        <f>SUMPRODUCT(N([Nome]=Tabela3[[#This Row],[Nome]]),[Ações])</f>
        <v>12850278</v>
      </c>
      <c r="AE449" s="6">
        <f>[Capital Social]/[Total Ações]</f>
        <v>31.127731244413546</v>
      </c>
      <c r="AF449" s="77">
        <f>Tabela3[[#This Row],[Lucro Líquido]]/Tabela3[[#This Row],[Total Ações]]</f>
        <v>6.5368235613268441E-3</v>
      </c>
      <c r="AG44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44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449" s="13">
        <f>[Div Base]*[Ações]</f>
        <v>9664.6398190649998</v>
      </c>
      <c r="AL449" s="13">
        <f>SUMPRODUCT(N([Nome]=Tabela3[[#This Row],[Nome]]),[Div Base]*[Ações])</f>
        <v>20295.743634600003</v>
      </c>
      <c r="AM449" s="6">
        <f>[Patrimônio Líquido]/[Total Ações]</f>
        <v>40.921760603155825</v>
      </c>
      <c r="AN449" s="48">
        <f>MAX(Tabela3[[#This Row],[Cotação 1]:[Cotação 5]])</f>
        <v>30</v>
      </c>
      <c r="AO449" s="44">
        <f>[Cotação]/[VPA]</f>
        <v>0.73310628765289354</v>
      </c>
      <c r="AP449" s="40">
        <f>IF(Tabela3[[#This Row],[Lucro/Ação]]&gt;0,Tabela3[[#This Row],[Cotação]]/(Tabela3[[#This Row],[Lucro/Ação]]/[Ref]*4),0)</f>
        <v>3442.0387500000002</v>
      </c>
      <c r="AQ449" s="77">
        <f>[Lucro Distribuir]/[Total Ações]</f>
        <v>6.2099823832605025E-3</v>
      </c>
      <c r="AR449" s="77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449" s="14" t="str">
        <f>IF(AND([% A.A.]&gt;=5%,SUMPRODUCT(N([Nome]=Tabela3[[#This Row],[Nome]]),[PL])&gt;0,[Rentabilidade s/ PL]&gt;=[Rentabilidade s/ PL Média]),"Sim","Não")</f>
        <v>Não</v>
      </c>
      <c r="AT449" s="42">
        <f>IF([Cotação]&gt;0,Tabela3[[#This Row],[Lucro]]/Tabela3[[#This Row],[Cotação]],0)</f>
        <v>5.0139718476985482E-5</v>
      </c>
      <c r="AU449" s="42">
        <f>((1+Tabela3[[#This Row],[% Yield]])^(1/(3*Tabela3[[#This Row],[Ref]])))^(12)-1</f>
        <v>6.6853516628384568E-5</v>
      </c>
      <c r="AV449" s="14">
        <f>IF([Cotação]&gt;0,($BH$1/Tabela3[[#This Row],[Cotação]]-MOD($BH$1/Tabela3[[#This Row],[Cotação]],100)),)</f>
        <v>0</v>
      </c>
      <c r="AW449" s="17">
        <f>Tabela3[[#This Row],[Ativos]]*[Lucro]</f>
        <v>0</v>
      </c>
      <c r="AX449" s="17">
        <f>SUMPRODUCT(N(Tabela1[Código]=Tabela3[[#This Row],[PAPEL]]),Tabela1[Fechamento])</f>
        <v>0</v>
      </c>
      <c r="AY449" s="17">
        <f>SUMPRODUCT(N(Tabela17[Código]=Tabela3[[#This Row],[PAPEL]]),Tabela17[Fechamento])</f>
        <v>0</v>
      </c>
      <c r="AZ449" s="17">
        <f>SUMPRODUCT(N(Tabela176[Código]=Tabela3[[#This Row],[PAPEL]]),Tabela176[Fechamento])</f>
        <v>30</v>
      </c>
      <c r="BA449" s="17">
        <f>SUMPRODUCT(N(Tabela1768[Código]=Tabela3[[#This Row],[PAPEL]]),Tabela1768[Fechamento])</f>
        <v>0</v>
      </c>
      <c r="BB449" s="7">
        <f>SUMPRODUCT(N(Tabela17683[Código]=Tabela3[[#This Row],[PAPEL]]),Tabela17683[Fechamento])</f>
        <v>0</v>
      </c>
    </row>
    <row r="450" spans="1:54" ht="11.25" customHeight="1">
      <c r="A450" s="4" t="s">
        <v>26</v>
      </c>
      <c r="B450" s="57" t="s">
        <v>678</v>
      </c>
      <c r="C450" s="15" t="str">
        <f>LEFT([PAPEL],LEN([PAPEL])-(LEN([PAPEL])-4))</f>
        <v>PEAB</v>
      </c>
      <c r="D450" s="15">
        <v>3</v>
      </c>
      <c r="E450" s="6">
        <v>400000000</v>
      </c>
      <c r="F450" s="8">
        <v>6425139</v>
      </c>
      <c r="G450" s="85">
        <v>0.25</v>
      </c>
      <c r="H450" s="15"/>
      <c r="I450" s="19"/>
      <c r="J450" s="19">
        <v>0.1</v>
      </c>
      <c r="K450" s="87"/>
      <c r="L450" s="87"/>
      <c r="M450" s="55"/>
      <c r="N450" s="55"/>
      <c r="O450" s="55"/>
      <c r="P450" s="91">
        <v>525856000</v>
      </c>
      <c r="Q450" s="92">
        <v>84000</v>
      </c>
      <c r="R450" s="92">
        <f>IF(Tabela3[[#This Row],[Ativo || Passivo]]&gt;0,Tabela3[[#This Row],[Ativo || Passivo]]-Tabela3[[#This Row],[Patrimônio Líquido]],0)</f>
        <v>0</v>
      </c>
      <c r="S450" s="92">
        <f>Tabela3[[#This Row],[Cotação]]*Tabela3[[#This Row],[Total Ações]]</f>
        <v>385636842.78000003</v>
      </c>
      <c r="T450" s="40">
        <f>IF(Tabela3[[#This Row],[Passivo Circulante]]&gt;0,Tabela3[[#This Row],[Ativo Circulante]]/Tabela3[[#This Row],[Passivo Circulante]],0)</f>
        <v>0</v>
      </c>
      <c r="U450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0" s="19">
        <f>IF(Tabela3[[#This Row],[Lucro Líquido]]&gt;0,Tabela3[[#This Row],[Lucro Líquido]]/Tabela3[[#This Row],[Patrimônio Líquido]],0)/Tabela3[[#This Row],[Ref]]*4</f>
        <v>2.1298606462605732E-4</v>
      </c>
      <c r="W45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0" s="19">
        <f>IF(Tabela3[[#This Row],[Dívida]]&gt;0,Tabela3[[#This Row],[Dívida]]/Tabela3[[#This Row],[Patrimônio Líquido]],0)</f>
        <v>0</v>
      </c>
      <c r="Y450" s="19">
        <f>SUMPRODUCT(N([Dívida / PL]&gt;0),N(RIGHT([PAPEL],LEN([PAPEL])-(LEN([PAPEL])-1))="3"),[Dívida / PL])/SUMPRODUCT(N([Dívida / PL]&gt;0),N(RIGHT([PAPEL],LEN([PAPEL])-(LEN([PAPEL])-1))="3"))</f>
        <v>2.2435702141443779</v>
      </c>
      <c r="Z450" s="13">
        <f>Tabela3[[#This Row],[Capital Social]]*20%</f>
        <v>80000000</v>
      </c>
      <c r="AA450" s="13">
        <f>IF(([Lucro Líquido]*5%)&gt;[Teto R. Legal],[Teto R. Legal],[Lucro Líquido]*5%)</f>
        <v>4200</v>
      </c>
      <c r="AB450" s="13">
        <f>IF([Lucro Líquido]&lt;0,0,[Lucro Líquido]-[Reserva Legal])</f>
        <v>79800</v>
      </c>
      <c r="AC450" s="13">
        <f>Tabela3[[#This Row],[Lucro Distribuir]]*[%Div]</f>
        <v>19950</v>
      </c>
      <c r="AD450" s="56">
        <f>SUMPRODUCT(N([Nome]=Tabela3[[#This Row],[Nome]]),[Ações])</f>
        <v>12850278</v>
      </c>
      <c r="AE450" s="6">
        <f>[Capital Social]/[Total Ações]</f>
        <v>31.127731244413546</v>
      </c>
      <c r="AF450" s="77">
        <f>Tabela3[[#This Row],[Lucro Líquido]]/Tabela3[[#This Row],[Total Ações]]</f>
        <v>6.5368235613268441E-3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450" s="13">
        <f>[Div Base]*[Ações]</f>
        <v>10631.103815535002</v>
      </c>
      <c r="AL450" s="13">
        <f>SUMPRODUCT(N([Nome]=Tabela3[[#This Row],[Nome]]),[Div Base]*[Ações])</f>
        <v>20295.743634600003</v>
      </c>
      <c r="AM450" s="6">
        <f>[Patrimônio Líquido]/[Total Ações]</f>
        <v>40.921760603155825</v>
      </c>
      <c r="AN450" s="48">
        <f>MAX(Tabela3[[#This Row],[Cotação 1]:[Cotação 5]])</f>
        <v>30.01</v>
      </c>
      <c r="AO450" s="44">
        <f>[Cotação]/[VPA]</f>
        <v>0.7333506564154445</v>
      </c>
      <c r="AP450" s="40">
        <f>IF(Tabela3[[#This Row],[Lucro/Ação]]&gt;0,Tabela3[[#This Row],[Cotação]]/(Tabela3[[#This Row],[Lucro/Ação]]/[Ref]*4),0)</f>
        <v>3443.1860962500004</v>
      </c>
      <c r="AQ450" s="77">
        <f>[Lucro Distribuir]/[Total Ações]</f>
        <v>6.2099823832605025E-3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450" s="14" t="str">
        <f>IF(AND([% A.A.]&gt;=5%,SUMPRODUCT(N([Nome]=Tabela3[[#This Row],[Nome]]),[PL])&gt;0,[Rentabilidade s/ PL]&gt;=[Rentabilidade s/ PL Média]),"Sim","Não")</f>
        <v>Não</v>
      </c>
      <c r="AT450" s="42">
        <f>IF([Cotação]&gt;0,Tabela3[[#This Row],[Lucro]]/Tabela3[[#This Row],[Cotação]],0)</f>
        <v>5.5135311962917839E-5</v>
      </c>
      <c r="AU450" s="42">
        <f>((1+Tabela3[[#This Row],[% Yield]])^(1/(3*Tabela3[[#This Row],[Ref]])))^(12)-1</f>
        <v>7.3514424809850709E-5</v>
      </c>
      <c r="AV450" s="14">
        <f>IF([Cotação]&gt;0,($BH$1/Tabela3[[#This Row],[Cotação]]-MOD($BH$1/Tabela3[[#This Row],[Cotação]],100)),)</f>
        <v>0</v>
      </c>
      <c r="AW450" s="17">
        <f>Tabela3[[#This Row],[Ativos]]*[Lucro]</f>
        <v>0</v>
      </c>
      <c r="AX450" s="17">
        <f>SUMPRODUCT(N(Tabela1[Código]=Tabela3[[#This Row],[PAPEL]]),Tabela1[Fechamento])</f>
        <v>0</v>
      </c>
      <c r="AY450" s="17">
        <f>SUMPRODUCT(N(Tabela17[Código]=Tabela3[[#This Row],[PAPEL]]),Tabela17[Fechamento])</f>
        <v>0</v>
      </c>
      <c r="AZ450" s="17">
        <f>SUMPRODUCT(N(Tabela176[Código]=Tabela3[[#This Row],[PAPEL]]),Tabela176[Fechamento])</f>
        <v>30.01</v>
      </c>
      <c r="BA450" s="1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t="11.25" customHeight="1">
      <c r="A451" s="4" t="s">
        <v>14</v>
      </c>
      <c r="B451" s="60" t="s">
        <v>80</v>
      </c>
      <c r="C451" s="14" t="str">
        <f>LEFT([PAPEL],LEN([PAPEL])-(LEN([PAPEL])-4))</f>
        <v>ITUB</v>
      </c>
      <c r="D451" s="15">
        <v>4</v>
      </c>
      <c r="E451" s="6">
        <v>60000000000</v>
      </c>
      <c r="F451" s="8">
        <v>2509814670</v>
      </c>
      <c r="G451" s="85">
        <v>0.25</v>
      </c>
      <c r="H451" s="15"/>
      <c r="I451" s="19">
        <v>0.02</v>
      </c>
      <c r="J451" s="19"/>
      <c r="K451" s="87"/>
      <c r="L451" s="87"/>
      <c r="M451" s="55">
        <v>109588100000</v>
      </c>
      <c r="N451" s="55">
        <v>15446870000</v>
      </c>
      <c r="O451" s="55">
        <v>1645489000</v>
      </c>
      <c r="P451" s="6">
        <v>89229744000</v>
      </c>
      <c r="Q451" s="6">
        <v>11661389000</v>
      </c>
      <c r="R451" s="6">
        <f>IF(Tabela3[[#This Row],[Ativo || Passivo]]&gt;0,Tabela3[[#This Row],[Ativo || Passivo]]-Tabela3[[#This Row],[Patrimônio Líquido]],0)</f>
        <v>20358356000</v>
      </c>
      <c r="S451" s="6">
        <f>Tabela3[[#This Row],[Cotação]]*Tabela3[[#This Row],[Total Ações]]</f>
        <v>154209671205.70001</v>
      </c>
      <c r="T451" s="121">
        <f>IF(Tabela3[[#This Row],[Passivo Circulante]]&gt;0,Tabela3[[#This Row],[Ativo Circulante]]/Tabela3[[#This Row],[Passivo Circulante]],0)</f>
        <v>9.387403987507664</v>
      </c>
      <c r="U451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1" s="19">
        <f>IF(Tabela3[[#This Row],[Lucro Líquido]]&gt;0,Tabela3[[#This Row],[Lucro Líquido]]/Tabela3[[#This Row],[Patrimônio Líquido]],0)/Tabela3[[#This Row],[Ref]]*4</f>
        <v>0.13068948174949377</v>
      </c>
      <c r="W45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1" s="19">
        <f>IF(Tabela3[[#This Row],[Dívida]]&gt;0,Tabela3[[#This Row],[Dívida]]/Tabela3[[#This Row],[Patrimônio Líquido]],0)</f>
        <v>0.22815661109595922</v>
      </c>
      <c r="Y451" s="19">
        <f>SUMPRODUCT(N([Dívida / PL]&gt;0),N(RIGHT([PAPEL],LEN([PAPEL])-(LEN([PAPEL])-1))="3"),[Dívida / PL])/SUMPRODUCT(N([Dívida / PL]&gt;0),N(RIGHT([PAPEL],LEN([PAPEL])-(LEN([PAPEL])-1))="3"))</f>
        <v>2.2435702141443779</v>
      </c>
      <c r="Z451" s="6">
        <f>Tabela3[[#This Row],[Capital Social]]*20%</f>
        <v>12000000000</v>
      </c>
      <c r="AA451" s="6">
        <f>IF(([Lucro Líquido]*5%)&gt;[Teto R. Legal],[Teto R. Legal],[Lucro Líquido]*5%)</f>
        <v>583069450</v>
      </c>
      <c r="AB451" s="6">
        <f>IF([Lucro Líquido]&lt;0,0,[Lucro Líquido]-[Reserva Legal])</f>
        <v>11078319550</v>
      </c>
      <c r="AC451" s="6">
        <f>Tabela3[[#This Row],[Lucro Distribuir]]*[%Div]</f>
        <v>2769579887.5</v>
      </c>
      <c r="AD451" s="21">
        <f>SUMPRODUCT(N([Nome]=Tabela3[[#This Row],[Nome]]),[Ações])</f>
        <v>5028029710</v>
      </c>
      <c r="AE451" s="6">
        <f>[Capital Social]/[Total Ações]</f>
        <v>11.933103712706583</v>
      </c>
      <c r="AF451" s="77">
        <f>Tabela3[[#This Row],[Lucro Líquido]]/Tabela3[[#This Row],[Total Ações]]</f>
        <v>2.319276072853595</v>
      </c>
      <c r="AG4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4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4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451" s="6">
        <f>[Div Base]*[Ações]</f>
        <v>1382476363.9641361</v>
      </c>
      <c r="AL451" s="6">
        <f>SUMPRODUCT(N([Nome]=Tabela3[[#This Row],[Nome]]),[Div Base]*[Ações])</f>
        <v>2769579887.5</v>
      </c>
      <c r="AM451" s="6">
        <f>[Patrimônio Líquido]/[Total Ações]</f>
        <v>17.746463156837631</v>
      </c>
      <c r="AN451" s="48">
        <f>MAX(Tabela3[[#This Row],[Cotação 1]:[Cotação 5]])</f>
        <v>30.67</v>
      </c>
      <c r="AO451" s="44">
        <f>[Cotação]/[VPA]</f>
        <v>1.7282316892638403</v>
      </c>
      <c r="AP451" s="40">
        <f>IF(Tabela3[[#This Row],[Lucro/Ação]]&gt;0,Tabela3[[#This Row],[Cotação]]/(Tabela3[[#This Row],[Lucro/Ação]]/[Ref]*4),0)</f>
        <v>13.223953956574126</v>
      </c>
      <c r="AQ451" s="77">
        <f>[Lucro Distribuir]/[Total Ações]</f>
        <v>2.2033122692109153</v>
      </c>
      <c r="AR451" s="77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451" s="15" t="str">
        <f>IF(AND([% A.A.]&gt;=5%,SUMPRODUCT(N([Nome]=Tabela3[[#This Row],[Nome]]),[PL])&gt;0,[Rentabilidade s/ PL]&gt;=[Rentabilidade s/ PL Média]),"Sim","Não")</f>
        <v>Não</v>
      </c>
      <c r="AT451" s="42">
        <f>IF([Cotação]&gt;0,Tabela3[[#This Row],[Lucro]]/Tabela3[[#This Row],[Cotação]],0)</f>
        <v>1.7959832647627284E-2</v>
      </c>
      <c r="AU451" s="19">
        <f>((1+Tabela3[[#This Row],[% Yield]])^(1/(3*Tabela3[[#This Row],[Ref]])))^(12)-1</f>
        <v>1.7959832647628016E-2</v>
      </c>
      <c r="AV451" s="14">
        <f>IF([Cotação]&gt;0,($BH$1/Tabela3[[#This Row],[Cotação]]-MOD($BH$1/Tabela3[[#This Row],[Cotação]],100)),)</f>
        <v>0</v>
      </c>
      <c r="AW451" s="17">
        <f>Tabela3[[#This Row],[Ativos]]*[Lucro]</f>
        <v>0</v>
      </c>
      <c r="AX451" s="5">
        <f>SUMPRODUCT(N(Tabela1[Código]=Tabela3[[#This Row],[PAPEL]]),Tabela1[Fechamento])</f>
        <v>30.67</v>
      </c>
      <c r="AY451" s="5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0</v>
      </c>
    </row>
    <row r="452" spans="1:54" ht="11.25" customHeight="1">
      <c r="A452" s="3" t="s">
        <v>1166</v>
      </c>
      <c r="B452" s="57" t="s">
        <v>1169</v>
      </c>
      <c r="C452" s="16" t="str">
        <f>LEFT([PAPEL],LEN([PAPEL])-(LEN([PAPEL])-4))</f>
        <v>LUXM</v>
      </c>
      <c r="D452" s="16">
        <v>3</v>
      </c>
      <c r="E452" s="5">
        <v>20000000</v>
      </c>
      <c r="F452" s="56">
        <v>975000</v>
      </c>
      <c r="G452" s="80">
        <v>0.25</v>
      </c>
      <c r="H452" s="86"/>
      <c r="J452" s="18">
        <v>0.1</v>
      </c>
      <c r="K452" s="16"/>
      <c r="L452" s="86"/>
      <c r="M452" s="54"/>
      <c r="N452" s="54"/>
      <c r="O452" s="54"/>
      <c r="P452" s="90">
        <v>87897000</v>
      </c>
      <c r="Q452" s="73">
        <v>5492000</v>
      </c>
      <c r="R452" s="73">
        <f>IF(Tabela3[[#This Row],[Ativo || Passivo]]&gt;0,Tabela3[[#This Row],[Ativo || Passivo]]-Tabela3[[#This Row],[Patrimônio Líquido]],0)</f>
        <v>0</v>
      </c>
      <c r="S452" s="73">
        <f>Tabela3[[#This Row],[Cotação]]*Tabela3[[#This Row],[Total Ações]]</f>
        <v>54232150</v>
      </c>
      <c r="T452" s="37">
        <f>IF(Tabela3[[#This Row],[Passivo Circulante]]&gt;0,Tabela3[[#This Row],[Ativo Circulante]]/Tabela3[[#This Row],[Passivo Circulante]],0)</f>
        <v>0</v>
      </c>
      <c r="U45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2" s="18">
        <f>IF(Tabela3[[#This Row],[Lucro Líquido]]&gt;0,Tabela3[[#This Row],[Lucro Líquido]]/Tabela3[[#This Row],[Patrimônio Líquido]],0)/Tabela3[[#This Row],[Ref]]*4</f>
        <v>8.330963134881357E-2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2" s="18">
        <f>IF(Tabela3[[#This Row],[Dívida]]&gt;0,Tabela3[[#This Row],[Dívida]]/Tabela3[[#This Row],[Patrimônio Líquido]],0)</f>
        <v>0</v>
      </c>
      <c r="Y452" s="18">
        <f>SUMPRODUCT(N([Dívida / PL]&gt;0),N(RIGHT([PAPEL],LEN([PAPEL])-(LEN([PAPEL])-1))="3"),[Dívida / PL])/SUMPRODUCT(N([Dívida / PL]&gt;0),N(RIGHT([PAPEL],LEN([PAPEL])-(LEN([PAPEL])-1))="3"))</f>
        <v>2.2435702141443779</v>
      </c>
      <c r="Z452" s="7">
        <f>Tabela3[[#This Row],[Capital Social]]*20%</f>
        <v>4000000</v>
      </c>
      <c r="AA452" s="47">
        <f>IF(([Lucro Líquido]*5%)&gt;[Teto R. Legal],[Teto R. Legal],[Lucro Líquido]*5%)</f>
        <v>274600</v>
      </c>
      <c r="AB452" s="47">
        <f>IF([Lucro Líquido]&lt;0,0,[Lucro Líquido]-[Reserva Legal])</f>
        <v>5217400</v>
      </c>
      <c r="AC452" s="47">
        <f>Tabela3[[#This Row],[Lucro Distribuir]]*[%Div]</f>
        <v>1304350</v>
      </c>
      <c r="AD452" s="56">
        <f>SUMPRODUCT(N([Nome]=Tabela3[[#This Row],[Nome]]),[Ações])</f>
        <v>1741000</v>
      </c>
      <c r="AE452" s="84">
        <f>[Capital Social]/[Total Ações]</f>
        <v>11.487650775416427</v>
      </c>
      <c r="AF452" s="84">
        <f>Tabela3[[#This Row],[Lucro Líquido]]/Tabela3[[#This Row],[Total Ações]]</f>
        <v>3.1545089029293512</v>
      </c>
      <c r="AG45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45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452" s="7">
        <f>[Div Base]*[Ações]</f>
        <v>778512.23436237057</v>
      </c>
      <c r="AL452" s="113">
        <f>SUMPRODUCT(N([Nome]=Tabela3[[#This Row],[Nome]]),[Div Base]*[Ações])</f>
        <v>1334540.5520357057</v>
      </c>
      <c r="AM452" s="5">
        <f>[Patrimônio Líquido]/[Total Ações]</f>
        <v>50.486502010338889</v>
      </c>
      <c r="AN452" s="52">
        <f>MAX(Tabela3[[#This Row],[Cotação 1]:[Cotação 5]])</f>
        <v>31.15</v>
      </c>
      <c r="AO452" s="53">
        <f>[Cotação]/[VPA]</f>
        <v>0.6169965982911817</v>
      </c>
      <c r="AP452" s="37">
        <f>IF(Tabela3[[#This Row],[Lucro/Ação]]&gt;0,Tabela3[[#This Row],[Cotação]]/(Tabela3[[#This Row],[Lucro/Ação]]/[Ref]*4),0)</f>
        <v>7.4060656409322636</v>
      </c>
      <c r="AQ452" s="84">
        <f>[Lucro Distribuir]/[Total Ações]</f>
        <v>2.9967834577828834</v>
      </c>
      <c r="AR452" s="84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2.563319699921375E-2</v>
      </c>
      <c r="AU452" s="22">
        <f>((1+Tabela3[[#This Row],[% Yield]])^(1/(3*Tabela3[[#This Row],[Ref]])))^(12)-1</f>
        <v>3.4322786539436878E-2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31.15</v>
      </c>
    </row>
    <row r="453" spans="1:54" ht="11.25" customHeight="1">
      <c r="A453" s="3" t="s">
        <v>1226</v>
      </c>
      <c r="B453" s="57" t="s">
        <v>1229</v>
      </c>
      <c r="C453" s="16" t="str">
        <f>LEFT([PAPEL],LEN([PAPEL])-(LEN([PAPEL])-4))</f>
        <v>WEGE</v>
      </c>
      <c r="D453" s="16">
        <v>4</v>
      </c>
      <c r="E453" s="5">
        <v>2718440437</v>
      </c>
      <c r="F453" s="56">
        <v>620905029</v>
      </c>
      <c r="G453" s="80">
        <v>0.25</v>
      </c>
      <c r="H453" s="86"/>
      <c r="J453" s="18"/>
      <c r="K453" s="16"/>
      <c r="L453" s="86"/>
      <c r="M453" s="54">
        <v>4668281000</v>
      </c>
      <c r="N453" s="54">
        <v>943803000</v>
      </c>
      <c r="O453" s="54">
        <v>99987000</v>
      </c>
      <c r="P453" s="90">
        <v>4557772000</v>
      </c>
      <c r="Q453" s="73">
        <v>843467000</v>
      </c>
      <c r="R453" s="73">
        <f>IF(Tabela3[[#This Row],[Ativo || Passivo]]&gt;0,Tabela3[[#This Row],[Ativo || Passivo]]-Tabela3[[#This Row],[Patrimônio Líquido]],0)</f>
        <v>110509000</v>
      </c>
      <c r="S453" s="73">
        <f>Tabela3[[#This Row],[Cotação]]*Tabela3[[#This Row],[Total Ações]]</f>
        <v>19601971765.529999</v>
      </c>
      <c r="T453" s="37">
        <f>IF(Tabela3[[#This Row],[Passivo Circulante]]&gt;0,Tabela3[[#This Row],[Ativo Circulante]]/Tabela3[[#This Row],[Passivo Circulante]],0)</f>
        <v>9.4392571034234454</v>
      </c>
      <c r="U45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3" s="18">
        <f>IF(Tabela3[[#This Row],[Lucro Líquido]]&gt;0,Tabela3[[#This Row],[Lucro Líquido]]/Tabela3[[#This Row],[Patrimônio Líquido]],0)/Tabela3[[#This Row],[Ref]]*4</f>
        <v>0.18506125361251066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3" s="18">
        <f>IF(Tabela3[[#This Row],[Dívida]]&gt;0,Tabela3[[#This Row],[Dívida]]/Tabela3[[#This Row],[Patrimônio Líquido]],0)</f>
        <v>2.4246276470170074E-2</v>
      </c>
      <c r="Y453" s="18">
        <f>SUMPRODUCT(N([Dívida / PL]&gt;0),N(RIGHT([PAPEL],LEN([PAPEL])-(LEN([PAPEL])-1))="3"),[Dívida / PL])/SUMPRODUCT(N([Dívida / PL]&gt;0),N(RIGHT([PAPEL],LEN([PAPEL])-(LEN([PAPEL])-1))="3"))</f>
        <v>2.2435702141443779</v>
      </c>
      <c r="Z453" s="7">
        <f>Tabela3[[#This Row],[Capital Social]]*20%</f>
        <v>543688087.39999998</v>
      </c>
      <c r="AA453" s="47">
        <f>IF(([Lucro Líquido]*5%)&gt;[Teto R. Legal],[Teto R. Legal],[Lucro Líquido]*5%)</f>
        <v>42173350</v>
      </c>
      <c r="AB453" s="47">
        <f>IF([Lucro Líquido]&lt;0,0,[Lucro Líquido]-[Reserva Legal])</f>
        <v>801293650</v>
      </c>
      <c r="AC453" s="47">
        <f>Tabela3[[#This Row],[Lucro Distribuir]]*[%Div]</f>
        <v>200323412.5</v>
      </c>
      <c r="AD453" s="56">
        <f>SUMPRODUCT(N([Nome]=Tabela3[[#This Row],[Nome]]),[Ações])</f>
        <v>620905029</v>
      </c>
      <c r="AE453" s="84">
        <f>[Capital Social]/[Total Ações]</f>
        <v>4.3781903995498155</v>
      </c>
      <c r="AF453" s="84">
        <f>Tabela3[[#This Row],[Lucro Líquido]]/Tabela3[[#This Row],[Total Ações]]</f>
        <v>1.3584476862080626</v>
      </c>
      <c r="AG45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45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453" s="7">
        <f>[Div Base]*[Ações]</f>
        <v>200323412.5</v>
      </c>
      <c r="AL453" s="113">
        <f>SUMPRODUCT(N([Nome]=Tabela3[[#This Row],[Nome]]),[Div Base]*[Ações])</f>
        <v>200323412.5</v>
      </c>
      <c r="AM453" s="5">
        <f>[Patrimônio Líquido]/[Total Ações]</f>
        <v>7.3405300120382826</v>
      </c>
      <c r="AN453" s="52">
        <f>MAX(Tabela3[[#This Row],[Cotação 1]:[Cotação 5]])</f>
        <v>31.57</v>
      </c>
      <c r="AO453" s="53">
        <f>[Cotação]/[VPA]</f>
        <v>4.3007793644636019</v>
      </c>
      <c r="AP453" s="37">
        <f>IF(Tabela3[[#This Row],[Lucro/Ação]]&gt;0,Tabela3[[#This Row],[Cotação]]/(Tabela3[[#This Row],[Lucro/Ação]]/[Ref]*4),0)</f>
        <v>23.239761325019238</v>
      </c>
      <c r="AQ453" s="84">
        <f>[Lucro Distribuir]/[Total Ações]</f>
        <v>1.2905253018976595</v>
      </c>
      <c r="AR453" s="84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1.0219554180374244E-2</v>
      </c>
      <c r="AU453" s="22">
        <f>((1+Tabela3[[#This Row],[% Yield]])^(1/(3*Tabela3[[#This Row],[Ref]])))^(12)-1</f>
        <v>1.0219554180374013E-2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31.57</v>
      </c>
    </row>
    <row r="454" spans="1:54" ht="11.25" customHeight="1">
      <c r="A454" s="3" t="s">
        <v>304</v>
      </c>
      <c r="B454" s="58" t="s">
        <v>991</v>
      </c>
      <c r="C454" s="16" t="str">
        <f>LEFT([PAPEL],LEN([PAPEL])-(LEN([PAPEL])-4))</f>
        <v>RENT</v>
      </c>
      <c r="D454" s="16">
        <v>3</v>
      </c>
      <c r="E454" s="5">
        <v>976708000</v>
      </c>
      <c r="F454" s="56">
        <v>211793400</v>
      </c>
      <c r="G454" s="80">
        <v>0.25</v>
      </c>
      <c r="H454" s="86"/>
      <c r="J454" s="18"/>
      <c r="K454" s="16"/>
      <c r="L454" s="86"/>
      <c r="M454" s="54"/>
      <c r="N454" s="54"/>
      <c r="O454" s="54"/>
      <c r="P454" s="90">
        <v>1554129000</v>
      </c>
      <c r="Q454" s="73">
        <v>294349000</v>
      </c>
      <c r="R454" s="73">
        <f>IF(Tabela3[[#This Row],[Ativo || Passivo]]&gt;0,Tabela3[[#This Row],[Ativo || Passivo]]-Tabela3[[#This Row],[Patrimônio Líquido]],0)</f>
        <v>0</v>
      </c>
      <c r="S454" s="73">
        <f>Tabela3[[#This Row],[Cotação]]*Tabela3[[#This Row],[Total Ações]]</f>
        <v>6696907308</v>
      </c>
      <c r="T454" s="37">
        <f>IF(Tabela3[[#This Row],[Passivo Circulante]]&gt;0,Tabela3[[#This Row],[Ativo Circulante]]/Tabela3[[#This Row],[Passivo Circulante]],0)</f>
        <v>0</v>
      </c>
      <c r="U45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4" s="18">
        <f>IF(Tabela3[[#This Row],[Lucro Líquido]]&gt;0,Tabela3[[#This Row],[Lucro Líquido]]/Tabela3[[#This Row],[Patrimônio Líquido]],0)/Tabela3[[#This Row],[Ref]]*4</f>
        <v>0.25253073157590739</v>
      </c>
      <c r="W45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4" s="18">
        <f>IF(Tabela3[[#This Row],[Dívida]]&gt;0,Tabela3[[#This Row],[Dívida]]/Tabela3[[#This Row],[Patrimônio Líquido]],0)</f>
        <v>0</v>
      </c>
      <c r="Y454" s="18">
        <f>SUMPRODUCT(N([Dívida / PL]&gt;0),N(RIGHT([PAPEL],LEN([PAPEL])-(LEN([PAPEL])-1))="3"),[Dívida / PL])/SUMPRODUCT(N([Dívida / PL]&gt;0),N(RIGHT([PAPEL],LEN([PAPEL])-(LEN([PAPEL])-1))="3"))</f>
        <v>2.2435702141443779</v>
      </c>
      <c r="Z454" s="7">
        <f>Tabela3[[#This Row],[Capital Social]]*20%</f>
        <v>195341600</v>
      </c>
      <c r="AA454" s="47">
        <f>IF(([Lucro Líquido]*5%)&gt;[Teto R. Legal],[Teto R. Legal],[Lucro Líquido]*5%)</f>
        <v>14717450</v>
      </c>
      <c r="AB454" s="47">
        <f>IF([Lucro Líquido]&lt;0,0,[Lucro Líquido]-[Reserva Legal])</f>
        <v>279631550</v>
      </c>
      <c r="AC454" s="47">
        <f>Tabela3[[#This Row],[Lucro Distribuir]]*[%Div]</f>
        <v>69907887.5</v>
      </c>
      <c r="AD454" s="56">
        <f>SUMPRODUCT(N([Nome]=Tabela3[[#This Row],[Nome]]),[Ações])</f>
        <v>211793400</v>
      </c>
      <c r="AE454" s="84">
        <f>[Capital Social]/[Total Ações]</f>
        <v>4.6116073494263752</v>
      </c>
      <c r="AF454" s="84">
        <f>Tabela3[[#This Row],[Lucro Líquido]]/Tabela3[[#This Row],[Total Ações]]</f>
        <v>1.3897930719276428</v>
      </c>
      <c r="AG45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5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54" s="7">
        <f>[Div Base]*[Ações]</f>
        <v>69907887.5</v>
      </c>
      <c r="AL454" s="113">
        <f>SUMPRODUCT(N([Nome]=Tabela3[[#This Row],[Nome]]),[Div Base]*[Ações])</f>
        <v>69907887.5</v>
      </c>
      <c r="AM454" s="5">
        <f>[Patrimônio Líquido]/[Total Ações]</f>
        <v>7.3379482080178136</v>
      </c>
      <c r="AN454" s="52">
        <f>MAX(Tabela3[[#This Row],[Cotação 1]:[Cotação 5]])</f>
        <v>31.62</v>
      </c>
      <c r="AO454" s="53">
        <f>[Cotação]/[VPA]</f>
        <v>4.3091064564138497</v>
      </c>
      <c r="AP454" s="37">
        <f>IF(Tabela3[[#This Row],[Lucro/Ação]]&gt;0,Tabela3[[#This Row],[Cotação]]/(Tabela3[[#This Row],[Lucro/Ação]]/[Ref]*4),0)</f>
        <v>17.063691335795262</v>
      </c>
      <c r="AQ454" s="84">
        <f>[Lucro Distribuir]/[Total Ações]</f>
        <v>1.3203034183312605</v>
      </c>
      <c r="AR454" s="84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54" s="10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1.0438831580734191E-2</v>
      </c>
      <c r="AU454" s="22">
        <f>((1+Tabela3[[#This Row],[% Yield]])^(1/(3*Tabela3[[#This Row],[Ref]])))^(12)-1</f>
        <v>1.3942601556069079E-2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7">
        <f>SUMPRODUCT(N(Tabela1[Código]=Tabela3[[#This Row],[PAPEL]]),Tabela1[Fechamento])</f>
        <v>0</v>
      </c>
      <c r="AY454" s="7">
        <f>SUMPRODUCT(N(Tabela17[Código]=Tabela3[[#This Row],[PAPEL]]),Tabela17[Fechamento])</f>
        <v>0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31.62</v>
      </c>
      <c r="BB454" s="7">
        <f>SUMPRODUCT(N(Tabela17683[Código]=Tabela3[[#This Row],[PAPEL]]),Tabela17683[Fechamento])</f>
        <v>0</v>
      </c>
    </row>
    <row r="455" spans="1:54" ht="11.25" customHeight="1">
      <c r="A455" s="3" t="s">
        <v>1131</v>
      </c>
      <c r="B455" s="57" t="s">
        <v>1122</v>
      </c>
      <c r="C455" s="16" t="str">
        <f>LEFT([PAPEL],LEN([PAPEL])-(LEN([PAPEL])-4))</f>
        <v>VLID</v>
      </c>
      <c r="D455" s="16">
        <v>3</v>
      </c>
      <c r="E455" s="5">
        <v>360000000</v>
      </c>
      <c r="F455" s="56">
        <v>55750000</v>
      </c>
      <c r="G455" s="80">
        <v>0.25</v>
      </c>
      <c r="H455" s="18"/>
      <c r="J455" s="18"/>
      <c r="K455" s="16"/>
      <c r="L455" s="86"/>
      <c r="M455" s="54"/>
      <c r="N455" s="54"/>
      <c r="O455" s="54"/>
      <c r="P455" s="90">
        <v>542670000</v>
      </c>
      <c r="Q455" s="73">
        <v>67675000</v>
      </c>
      <c r="R455" s="73">
        <f>IF(Tabela3[[#This Row],[Ativo || Passivo]]&gt;0,Tabela3[[#This Row],[Ativo || Passivo]]-Tabela3[[#This Row],[Patrimônio Líquido]],0)</f>
        <v>0</v>
      </c>
      <c r="S455" s="73">
        <f>Tabela3[[#This Row],[Cotação]]*Tabela3[[#This Row],[Total Ações]]</f>
        <v>1771735000</v>
      </c>
      <c r="T455" s="37">
        <f>IF(Tabela3[[#This Row],[Passivo Circulante]]&gt;0,Tabela3[[#This Row],[Ativo Circulante]]/Tabela3[[#This Row],[Passivo Circulante]],0)</f>
        <v>0</v>
      </c>
      <c r="U45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5" s="18">
        <f>IF(Tabela3[[#This Row],[Lucro Líquido]]&gt;0,Tabela3[[#This Row],[Lucro Líquido]]/Tabela3[[#This Row],[Patrimônio Líquido]],0)/Tabela3[[#This Row],[Ref]]*4</f>
        <v>0.16627661992248205</v>
      </c>
      <c r="W45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5" s="18">
        <f>IF(Tabela3[[#This Row],[Dívida]]&gt;0,Tabela3[[#This Row],[Dívida]]/Tabela3[[#This Row],[Patrimônio Líquido]],0)</f>
        <v>0</v>
      </c>
      <c r="Y455" s="18">
        <f>SUMPRODUCT(N([Dívida / PL]&gt;0),N(RIGHT([PAPEL],LEN([PAPEL])-(LEN([PAPEL])-1))="3"),[Dívida / PL])/SUMPRODUCT(N([Dívida / PL]&gt;0),N(RIGHT([PAPEL],LEN([PAPEL])-(LEN([PAPEL])-1))="3"))</f>
        <v>2.2435702141443779</v>
      </c>
      <c r="Z455" s="7">
        <f>Tabela3[[#This Row],[Capital Social]]*20%</f>
        <v>72000000</v>
      </c>
      <c r="AA455" s="47">
        <f>IF(([Lucro Líquido]*5%)&gt;[Teto R. Legal],[Teto R. Legal],[Lucro Líquido]*5%)</f>
        <v>3383750</v>
      </c>
      <c r="AB455" s="47">
        <f>IF([Lucro Líquido]&lt;0,0,[Lucro Líquido]-[Reserva Legal])</f>
        <v>64291250</v>
      </c>
      <c r="AC455" s="47">
        <f>Tabela3[[#This Row],[Lucro Distribuir]]*[%Div]</f>
        <v>16072812.5</v>
      </c>
      <c r="AD455" s="56">
        <f>SUMPRODUCT(N([Nome]=Tabela3[[#This Row],[Nome]]),[Ações])</f>
        <v>55750000</v>
      </c>
      <c r="AE455" s="84">
        <f>[Capital Social]/[Total Ações]</f>
        <v>6.4573991031390134</v>
      </c>
      <c r="AF455" s="84">
        <f>Tabela3[[#This Row],[Lucro Líquido]]/Tabela3[[#This Row],[Total Ações]]</f>
        <v>1.2139013452914797</v>
      </c>
      <c r="AG45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45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455" s="7">
        <f>[Div Base]*[Ações]</f>
        <v>16072812.5</v>
      </c>
      <c r="AL455" s="113">
        <f>SUMPRODUCT(N([Nome]=Tabela3[[#This Row],[Nome]]),[Div Base]*[Ações])</f>
        <v>16072812.5</v>
      </c>
      <c r="AM455" s="5">
        <f>[Patrimônio Líquido]/[Total Ações]</f>
        <v>9.7339910313901346</v>
      </c>
      <c r="AN455" s="52">
        <f>MAX(Tabela3[[#This Row],[Cotação 1]:[Cotação 5]])</f>
        <v>31.78</v>
      </c>
      <c r="AO455" s="53">
        <f>[Cotação]/[VPA]</f>
        <v>3.2648478817697679</v>
      </c>
      <c r="AP455" s="37">
        <f>IF(Tabela3[[#This Row],[Lucro/Ação]]&gt;0,Tabela3[[#This Row],[Cotação]]/(Tabela3[[#This Row],[Lucro/Ação]]/[Ref]*4),0)</f>
        <v>19.635038788326561</v>
      </c>
      <c r="AQ455" s="84">
        <f>[Lucro Distribuir]/[Total Ações]</f>
        <v>1.1532062780269059</v>
      </c>
      <c r="AR455" s="84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455" s="10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9.0717926213570322E-3</v>
      </c>
      <c r="AU455" s="22">
        <f>((1+Tabela3[[#This Row],[% Yield]])^(1/(3*Tabela3[[#This Row],[Ref]])))^(12)-1</f>
        <v>1.2113975081289308E-2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7">
        <f>SUMPRODUCT(N(Tabela1[Código]=Tabela3[[#This Row],[PAPEL]]),Tabela1[Fechamento])</f>
        <v>0</v>
      </c>
      <c r="AY455" s="7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31.78</v>
      </c>
    </row>
    <row r="456" spans="1:54" ht="11.25" customHeight="1">
      <c r="A456" s="3" t="s">
        <v>876</v>
      </c>
      <c r="B456" s="58" t="s">
        <v>925</v>
      </c>
      <c r="C456" s="16" t="str">
        <f>LEFT([PAPEL],LEN([PAPEL])-(LEN([PAPEL])-4))</f>
        <v>ECPR</v>
      </c>
      <c r="D456" s="16">
        <v>3</v>
      </c>
      <c r="E456" s="5">
        <v>74546944.540000007</v>
      </c>
      <c r="F456" s="56">
        <v>1026245</v>
      </c>
      <c r="G456" s="80">
        <v>0.33</v>
      </c>
      <c r="H456" s="86"/>
      <c r="J456" s="18"/>
      <c r="K456" s="16"/>
      <c r="L456" s="86"/>
      <c r="M456" s="54"/>
      <c r="N456" s="54"/>
      <c r="O456" s="54"/>
      <c r="P456" s="90">
        <v>231251000</v>
      </c>
      <c r="Q456" s="73">
        <v>-6051000</v>
      </c>
      <c r="R456" s="73">
        <f>IF(Tabela3[[#This Row],[Ativo || Passivo]]&gt;0,Tabela3[[#This Row],[Ativo || Passivo]]-Tabela3[[#This Row],[Patrimônio Líquido]],0)</f>
        <v>0</v>
      </c>
      <c r="S456" s="73">
        <f>Tabela3[[#This Row],[Cotação]]*Tabela3[[#This Row],[Total Ações]]</f>
        <v>60536039.039999999</v>
      </c>
      <c r="T456" s="37">
        <f>IF(Tabela3[[#This Row],[Passivo Circulante]]&gt;0,Tabela3[[#This Row],[Ativo Circulante]]/Tabela3[[#This Row],[Passivo Circulante]],0)</f>
        <v>0</v>
      </c>
      <c r="U45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6" s="18">
        <f>IF(Tabela3[[#This Row],[Lucro Líquido]]&gt;0,Tabela3[[#This Row],[Lucro Líquido]]/Tabela3[[#This Row],[Patrimônio Líquido]],0)/Tabela3[[#This Row],[Ref]]*4</f>
        <v>0</v>
      </c>
      <c r="W45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6" s="18">
        <f>IF(Tabela3[[#This Row],[Dívida]]&gt;0,Tabela3[[#This Row],[Dívida]]/Tabela3[[#This Row],[Patrimônio Líquido]],0)</f>
        <v>0</v>
      </c>
      <c r="Y456" s="18">
        <f>SUMPRODUCT(N([Dívida / PL]&gt;0),N(RIGHT([PAPEL],LEN([PAPEL])-(LEN([PAPEL])-1))="3"),[Dívida / PL])/SUMPRODUCT(N([Dívida / PL]&gt;0),N(RIGHT([PAPEL],LEN([PAPEL])-(LEN([PAPEL])-1))="3"))</f>
        <v>2.2435702141443779</v>
      </c>
      <c r="Z456" s="7">
        <f>Tabela3[[#This Row],[Capital Social]]*20%</f>
        <v>14909388.908000002</v>
      </c>
      <c r="AA456" s="47">
        <f>IF(([Lucro Líquido]*5%)&gt;[Teto R. Legal],[Teto R. Legal],[Lucro Líquido]*5%)</f>
        <v>-302550</v>
      </c>
      <c r="AB456" s="47">
        <f>IF([Lucro Líquido]&lt;0,0,[Lucro Líquido]-[Reserva Legal])</f>
        <v>0</v>
      </c>
      <c r="AC456" s="47">
        <f>Tabela3[[#This Row],[Lucro Distribuir]]*[%Div]</f>
        <v>0</v>
      </c>
      <c r="AD456" s="56">
        <f>SUMPRODUCT(N([Nome]=Tabela3[[#This Row],[Nome]]),[Ações])</f>
        <v>1900064</v>
      </c>
      <c r="AE456" s="84">
        <f>[Capital Social]/[Total Ações]</f>
        <v>39.233912405055833</v>
      </c>
      <c r="AF456" s="84">
        <f>Tabela3[[#This Row],[Lucro Líquido]]/Tabela3[[#This Row],[Total Ações]]</f>
        <v>-3.1846295703723664</v>
      </c>
      <c r="AG45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6" s="7">
        <f>[Div Base]*[Ações]</f>
        <v>0</v>
      </c>
      <c r="AL456" s="7">
        <f>SUMPRODUCT(N([Nome]=Tabela3[[#This Row],[Nome]]),[Div Base]*[Ações])</f>
        <v>0</v>
      </c>
      <c r="AM456" s="5">
        <f>[Patrimônio Líquido]/[Total Ações]</f>
        <v>121.70695302895061</v>
      </c>
      <c r="AN456" s="52">
        <f>MAX(Tabela3[[#This Row],[Cotação 1]:[Cotação 5]])</f>
        <v>31.86</v>
      </c>
      <c r="AO456" s="53">
        <f>[Cotação]/[VPA]</f>
        <v>0.26177633411314977</v>
      </c>
      <c r="AP456" s="37">
        <f>IF(Tabela3[[#This Row],[Lucro/Ação]]&gt;0,Tabela3[[#This Row],[Cotação]]/(Tabela3[[#This Row],[Lucro/Ação]]/[Ref]*4),0)</f>
        <v>0</v>
      </c>
      <c r="AQ456" s="84">
        <f>[Lucro Distribuir]/[Total Ações]</f>
        <v>0</v>
      </c>
      <c r="AR456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6" s="10" t="str">
        <f>IF(AND([% A.A.]&gt;=5%,SUMPRODUCT(N([Nome]=Tabela3[[#This Row],[Nome]]),[PL])&gt;0,[Rentabilidade s/ PL]&gt;=[Rentabilidade s/ PL Média]),"Sim","Não")</f>
        <v>Não</v>
      </c>
      <c r="AT456" s="22">
        <f>IF([Cotação]&gt;0,Tabela3[[#This Row],[Lucro]]/Tabela3[[#This Row],[Cotação]],0)</f>
        <v>0</v>
      </c>
      <c r="AU456" s="22">
        <f>((1+Tabela3[[#This Row],[% Yield]])^(1/(3*Tabela3[[#This Row],[Ref]])))^(12)-1</f>
        <v>0</v>
      </c>
      <c r="AV456" s="10">
        <f>IF([Cotação]&gt;0,($BH$1/Tabela3[[#This Row],[Cotação]]-MOD($BH$1/Tabela3[[#This Row],[Cotação]],100)),)</f>
        <v>0</v>
      </c>
      <c r="AW456" s="7">
        <f>Tabela3[[#This Row],[Ativos]]*[Lucro]</f>
        <v>0</v>
      </c>
      <c r="AX456" s="7">
        <f>SUMPRODUCT(N(Tabela1[Código]=Tabela3[[#This Row],[PAPEL]]),Tabela1[Fechamento])</f>
        <v>0</v>
      </c>
      <c r="AY456" s="7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31.86</v>
      </c>
      <c r="BB456" s="7">
        <f>SUMPRODUCT(N(Tabela17683[Código]=Tabela3[[#This Row],[PAPEL]]),Tabela17683[Fechamento])</f>
        <v>0</v>
      </c>
    </row>
    <row r="457" spans="1:54" ht="11.25" customHeight="1">
      <c r="A457" s="4" t="s">
        <v>12</v>
      </c>
      <c r="B457" s="57" t="s">
        <v>89</v>
      </c>
      <c r="C457" s="14" t="str">
        <f>LEFT([PAPEL],LEN([PAPEL])-(LEN([PAPEL])-4))</f>
        <v>CEEB</v>
      </c>
      <c r="D457" s="15">
        <v>3</v>
      </c>
      <c r="E457" s="6">
        <v>542163250.52999997</v>
      </c>
      <c r="F457" s="8">
        <v>19557556</v>
      </c>
      <c r="G457" s="80">
        <v>0.25</v>
      </c>
      <c r="H457" s="15"/>
      <c r="I457" s="19">
        <v>0.1</v>
      </c>
      <c r="J457" s="19"/>
      <c r="K457" s="87"/>
      <c r="L457" s="87"/>
      <c r="M457" s="55">
        <v>6973082000</v>
      </c>
      <c r="N457" s="55">
        <v>1241973000</v>
      </c>
      <c r="O457" s="55">
        <v>1518506000</v>
      </c>
      <c r="P457" s="88">
        <v>2778501000</v>
      </c>
      <c r="Q457" s="88">
        <v>434008000</v>
      </c>
      <c r="R457" s="88">
        <f>IF(Tabela3[[#This Row],[Ativo || Passivo]]&gt;0,Tabela3[[#This Row],[Ativo || Passivo]]-Tabela3[[#This Row],[Patrimônio Líquido]],0)</f>
        <v>4194581000</v>
      </c>
      <c r="S457" s="88">
        <f>Tabela3[[#This Row],[Cotação]]*Tabela3[[#This Row],[Total Ações]]</f>
        <v>6023556589.3799992</v>
      </c>
      <c r="T457" s="121">
        <f>IF(Tabela3[[#This Row],[Passivo Circulante]]&gt;0,Tabela3[[#This Row],[Ativo Circulante]]/Tabela3[[#This Row],[Passivo Circulante]],0)</f>
        <v>0.81789140115350223</v>
      </c>
      <c r="U45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7" s="19">
        <f>IF(Tabela3[[#This Row],[Lucro Líquido]]&gt;0,Tabela3[[#This Row],[Lucro Líquido]]/Tabela3[[#This Row],[Patrimônio Líquido]],0)/Tabela3[[#This Row],[Ref]]*4</f>
        <v>0.20826961492305862</v>
      </c>
      <c r="W45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7" s="19">
        <f>IF(Tabela3[[#This Row],[Dívida]]&gt;0,Tabela3[[#This Row],[Dívida]]/Tabela3[[#This Row],[Patrimônio Líquido]],0)</f>
        <v>1.5096561059362585</v>
      </c>
      <c r="Y457" s="19">
        <f>SUMPRODUCT(N([Dívida / PL]&gt;0),N(RIGHT([PAPEL],LEN([PAPEL])-(LEN([PAPEL])-1))="3"),[Dívida / PL])/SUMPRODUCT(N([Dívida / PL]&gt;0),N(RIGHT([PAPEL],LEN([PAPEL])-(LEN([PAPEL])-1))="3"))</f>
        <v>2.2435702141443779</v>
      </c>
      <c r="Z457" s="6">
        <f>Tabela3[[#This Row],[Capital Social]]*20%</f>
        <v>108432650.10600001</v>
      </c>
      <c r="AA457" s="6">
        <f>IF(([Lucro Líquido]*5%)&gt;[Teto R. Legal],[Teto R. Legal],[Lucro Líquido]*5%)</f>
        <v>21700400</v>
      </c>
      <c r="AB457" s="88">
        <f>IF([Lucro Líquido]&lt;0,0,[Lucro Líquido]-[Reserva Legal])</f>
        <v>412307600</v>
      </c>
      <c r="AC457" s="88">
        <f>Tabela3[[#This Row],[Lucro Distribuir]]*[%Div]</f>
        <v>103076900</v>
      </c>
      <c r="AD457" s="56">
        <f>SUMPRODUCT(N([Nome]=Tabela3[[#This Row],[Nome]]),[Ações])</f>
        <v>188177338</v>
      </c>
      <c r="AE457" s="6">
        <f>[Capital Social]/[Total Ações]</f>
        <v>2.8811293447566997</v>
      </c>
      <c r="AF457" s="77">
        <f>Tabela3[[#This Row],[Lucro Líquido]]/Tabela3[[#This Row],[Total Ações]]</f>
        <v>2.3063776149283184</v>
      </c>
      <c r="AG45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45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45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457" s="6">
        <f>[Div Base]*[Ações]</f>
        <v>10379618.22033987</v>
      </c>
      <c r="AL457" s="6">
        <f>SUMPRODUCT(N([Nome]=Tabela3[[#This Row],[Nome]]),[Div Base]*[Ações])</f>
        <v>103017775.26084489</v>
      </c>
      <c r="AM457" s="6">
        <f>[Patrimônio Líquido]/[Total Ações]</f>
        <v>14.765332688466451</v>
      </c>
      <c r="AN457" s="48">
        <f>MAX(Tabela3[[#This Row],[Cotação 1]:[Cotação 5]])</f>
        <v>32.01</v>
      </c>
      <c r="AO457" s="44">
        <f>[Cotação]/[VPA]</f>
        <v>2.1679159335843319</v>
      </c>
      <c r="AP457" s="40">
        <f>IF(Tabela3[[#This Row],[Lucro/Ação]]&gt;0,Tabela3[[#This Row],[Cotação]]/(Tabela3[[#This Row],[Lucro/Ação]]/[Ref]*4),0)</f>
        <v>10.409180111967981</v>
      </c>
      <c r="AQ457" s="77">
        <f>[Lucro Distribuir]/[Total Ações]</f>
        <v>2.1910587341819023</v>
      </c>
      <c r="AR457" s="77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457" s="15" t="str">
        <f>IF(AND([% A.A.]&gt;=5%,SUMPRODUCT(N([Nome]=Tabela3[[#This Row],[Nome]]),[PL])&gt;0,[Rentabilidade s/ PL]&gt;=[Rentabilidade s/ PL Média]),"Sim","Não")</f>
        <v>Não</v>
      </c>
      <c r="AT457" s="42">
        <f>IF([Cotação]&gt;0,Tabela3[[#This Row],[Lucro]]/Tabela3[[#This Row],[Cotação]],0)</f>
        <v>1.6579870081549212E-2</v>
      </c>
      <c r="AU457" s="19">
        <f>((1+Tabela3[[#This Row],[% Yield]])^(1/(3*Tabela3[[#This Row],[Ref]])))^(12)-1</f>
        <v>2.2167357044462044E-2</v>
      </c>
      <c r="AV457" s="14">
        <f>IF([Cotação]&gt;0,($BH$1/Tabela3[[#This Row],[Cotação]]-MOD($BH$1/Tabela3[[#This Row],[Cotação]],100)),)</f>
        <v>0</v>
      </c>
      <c r="AW457" s="17">
        <f>Tabela3[[#This Row],[Ativos]]*[Lucro]</f>
        <v>0</v>
      </c>
      <c r="AX457" s="5">
        <f>SUMPRODUCT(N(Tabela1[Código]=Tabela3[[#This Row],[PAPEL]]),Tabela1[Fechamento])</f>
        <v>32.01</v>
      </c>
      <c r="AY457" s="5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0</v>
      </c>
    </row>
    <row r="458" spans="1:54" ht="11.25" customHeight="1">
      <c r="A458" s="4" t="s">
        <v>12</v>
      </c>
      <c r="B458" s="60" t="s">
        <v>171</v>
      </c>
      <c r="C458" s="14" t="str">
        <f>LEFT([PAPEL],LEN([PAPEL])-(LEN([PAPEL])-4))</f>
        <v>TBLE</v>
      </c>
      <c r="D458" s="15">
        <v>4</v>
      </c>
      <c r="E458" s="6">
        <v>2445766091.9000001</v>
      </c>
      <c r="F458" s="8">
        <v>652742192</v>
      </c>
      <c r="G458" s="85">
        <v>0.3</v>
      </c>
      <c r="H458" s="15"/>
      <c r="I458" s="19"/>
      <c r="J458" s="19"/>
      <c r="K458" s="87"/>
      <c r="L458" s="87"/>
      <c r="M458" s="55">
        <v>10175830000</v>
      </c>
      <c r="N458" s="55">
        <v>1737799000</v>
      </c>
      <c r="O458" s="55">
        <v>1718050000</v>
      </c>
      <c r="P458" s="88">
        <v>5361373000</v>
      </c>
      <c r="Q458" s="88">
        <v>1436112000</v>
      </c>
      <c r="R458" s="88">
        <f>IF(Tabela3[[#This Row],[Ativo || Passivo]]&gt;0,Tabela3[[#This Row],[Ativo || Passivo]]-Tabela3[[#This Row],[Patrimônio Líquido]],0)</f>
        <v>4814457000</v>
      </c>
      <c r="S458" s="88">
        <f>Tabela3[[#This Row],[Cotação]]*Tabela3[[#This Row],[Total Ações]]</f>
        <v>21312032568.799999</v>
      </c>
      <c r="T458" s="121">
        <f>IF(Tabela3[[#This Row],[Passivo Circulante]]&gt;0,Tabela3[[#This Row],[Ativo Circulante]]/Tabela3[[#This Row],[Passivo Circulante]],0)</f>
        <v>1.0114950088763424</v>
      </c>
      <c r="U45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8" s="19">
        <f>IF(Tabela3[[#This Row],[Lucro Líquido]]&gt;0,Tabela3[[#This Row],[Lucro Líquido]]/Tabela3[[#This Row],[Patrimônio Líquido]],0)/Tabela3[[#This Row],[Ref]]*4</f>
        <v>0.26786272844661246</v>
      </c>
      <c r="W45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8" s="19">
        <f>IF(Tabela3[[#This Row],[Dívida]]&gt;0,Tabela3[[#This Row],[Dívida]]/Tabela3[[#This Row],[Patrimônio Líquido]],0)</f>
        <v>0.89798956349427661</v>
      </c>
      <c r="Y458" s="19">
        <f>SUMPRODUCT(N([Dívida / PL]&gt;0),N(RIGHT([PAPEL],LEN([PAPEL])-(LEN([PAPEL])-1))="3"),[Dívida / PL])/SUMPRODUCT(N([Dívida / PL]&gt;0),N(RIGHT([PAPEL],LEN([PAPEL])-(LEN([PAPEL])-1))="3"))</f>
        <v>2.2435702141443779</v>
      </c>
      <c r="Z458" s="6">
        <f>Tabela3[[#This Row],[Capital Social]]*20%</f>
        <v>489153218.38000005</v>
      </c>
      <c r="AA458" s="6">
        <f>IF(([Lucro Líquido]*5%)&gt;[Teto R. Legal],[Teto R. Legal],[Lucro Líquido]*5%)</f>
        <v>71805600</v>
      </c>
      <c r="AB458" s="88">
        <f>IF([Lucro Líquido]&lt;0,0,[Lucro Líquido]-[Reserva Legal])</f>
        <v>1364306400</v>
      </c>
      <c r="AC458" s="88">
        <f>Tabela3[[#This Row],[Lucro Distribuir]]*[%Div]</f>
        <v>409291920</v>
      </c>
      <c r="AD458" s="56">
        <f>SUMPRODUCT(N([Nome]=Tabela3[[#This Row],[Nome]]),[Ações])</f>
        <v>652742192</v>
      </c>
      <c r="AE458" s="6">
        <f>[Capital Social]/[Total Ações]</f>
        <v>3.7469097629589112</v>
      </c>
      <c r="AF458" s="77">
        <f>Tabela3[[#This Row],[Lucro Líquido]]/Tabela3[[#This Row],[Total Ações]]</f>
        <v>2.200121299957273</v>
      </c>
      <c r="AG45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5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58" s="6">
        <f>[Div Base]*[Ações]</f>
        <v>409291920</v>
      </c>
      <c r="AL458" s="6">
        <f>SUMPRODUCT(N([Nome]=Tabela3[[#This Row],[Nome]]),[Div Base]*[Ações])</f>
        <v>409291920</v>
      </c>
      <c r="AM458" s="6">
        <f>[Patrimônio Líquido]/[Total Ações]</f>
        <v>8.2136149090849635</v>
      </c>
      <c r="AN458" s="48">
        <f>MAX(Tabela3[[#This Row],[Cotação 1]:[Cotação 5]])</f>
        <v>32.65</v>
      </c>
      <c r="AO458" s="44">
        <f>[Cotação]/[VPA]</f>
        <v>3.9751072288385831</v>
      </c>
      <c r="AP458" s="40">
        <f>IF(Tabela3[[#This Row],[Lucro/Ação]]&gt;0,Tabela3[[#This Row],[Cotação]]/(Tabela3[[#This Row],[Lucro/Ação]]/[Ref]*4),0)</f>
        <v>14.840090862551111</v>
      </c>
      <c r="AQ458" s="77">
        <f>[Lucro Distribuir]/[Total Ações]</f>
        <v>2.0901152349594097</v>
      </c>
      <c r="AR458" s="77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58" s="15" t="str">
        <f>IF(AND([% A.A.]&gt;=5%,SUMPRODUCT(N([Nome]=Tabela3[[#This Row],[Nome]]),[PL])&gt;0,[Rentabilidade s/ PL]&gt;=[Rentabilidade s/ PL Média]),"Sim","Não")</f>
        <v>Não</v>
      </c>
      <c r="AT458" s="42">
        <f>IF([Cotação]&gt;0,Tabela3[[#This Row],[Lucro]]/Tabela3[[#This Row],[Cotação]],0)</f>
        <v>1.9204734165017546E-2</v>
      </c>
      <c r="AU458" s="19">
        <f>((1+Tabela3[[#This Row],[% Yield]])^(1/(3*Tabela3[[#This Row],[Ref]])))^(12)-1</f>
        <v>1.9204734165016557E-2</v>
      </c>
      <c r="AV458" s="14">
        <f>IF([Cotação]&gt;0,($BH$1/Tabela3[[#This Row],[Cotação]]-MOD($BH$1/Tabela3[[#This Row],[Cotação]],100)),)</f>
        <v>0</v>
      </c>
      <c r="AW458" s="17">
        <f>Tabela3[[#This Row],[Ativos]]*[Lucro]</f>
        <v>0</v>
      </c>
      <c r="AX458" s="5">
        <f>SUMPRODUCT(N(Tabela1[Código]=Tabela3[[#This Row],[PAPEL]]),Tabela1[Fechamento])</f>
        <v>32.65</v>
      </c>
      <c r="AY458" s="5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0</v>
      </c>
    </row>
    <row r="459" spans="1:54" ht="11.25" customHeight="1">
      <c r="A459" s="4" t="s">
        <v>26</v>
      </c>
      <c r="B459" s="57" t="s">
        <v>225</v>
      </c>
      <c r="C459" s="14" t="str">
        <f>LEFT([PAPEL],LEN([PAPEL])-(LEN([PAPEL])-4))</f>
        <v>PSSA</v>
      </c>
      <c r="D459" s="15">
        <v>4</v>
      </c>
      <c r="E459" s="6">
        <v>2782000000</v>
      </c>
      <c r="F459" s="38">
        <v>323293030</v>
      </c>
      <c r="G459" s="85">
        <v>0.25</v>
      </c>
      <c r="H459" s="15"/>
      <c r="I459" s="19"/>
      <c r="J459" s="19"/>
      <c r="K459" s="87"/>
      <c r="L459" s="87"/>
      <c r="M459" s="55">
        <v>6557961000</v>
      </c>
      <c r="N459" s="55">
        <v>1093295000</v>
      </c>
      <c r="O459" s="55">
        <v>355712000</v>
      </c>
      <c r="P459" s="6">
        <v>5889163000</v>
      </c>
      <c r="Q459" s="6">
        <v>1405207000</v>
      </c>
      <c r="R459" s="6">
        <f>IF(Tabela3[[#This Row],[Ativo || Passivo]]&gt;0,Tabela3[[#This Row],[Ativo || Passivo]]-Tabela3[[#This Row],[Patrimônio Líquido]],0)</f>
        <v>668798000</v>
      </c>
      <c r="S459" s="6">
        <f>Tabela3[[#This Row],[Cotação]]*Tabela3[[#This Row],[Total Ações]]</f>
        <v>10594312593.1</v>
      </c>
      <c r="T459" s="121">
        <f>IF(Tabela3[[#This Row],[Passivo Circulante]]&gt;0,Tabela3[[#This Row],[Ativo Circulante]]/Tabela3[[#This Row],[Passivo Circulante]],0)</f>
        <v>3.0735398299748109</v>
      </c>
      <c r="U459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59" s="19">
        <f>IF(Tabela3[[#This Row],[Lucro Líquido]]&gt;0,Tabela3[[#This Row],[Lucro Líquido]]/Tabela3[[#This Row],[Patrimônio Líquido]],0)/Tabela3[[#This Row],[Ref]]*4</f>
        <v>0.23860895003245791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59" s="19">
        <f>IF(Tabela3[[#This Row],[Dívida]]&gt;0,Tabela3[[#This Row],[Dívida]]/Tabela3[[#This Row],[Patrimônio Líquido]],0)</f>
        <v>0.11356418560668129</v>
      </c>
      <c r="Y459" s="19">
        <f>SUMPRODUCT(N([Dívida / PL]&gt;0),N(RIGHT([PAPEL],LEN([PAPEL])-(LEN([PAPEL])-1))="3"),[Dívida / PL])/SUMPRODUCT(N([Dívida / PL]&gt;0),N(RIGHT([PAPEL],LEN([PAPEL])-(LEN([PAPEL])-1))="3"))</f>
        <v>2.2435702141443779</v>
      </c>
      <c r="Z459" s="6">
        <f>Tabela3[[#This Row],[Capital Social]]*20%</f>
        <v>556400000</v>
      </c>
      <c r="AA459" s="6">
        <f>IF(([Lucro Líquido]*5%)&gt;[Teto R. Legal],[Teto R. Legal],[Lucro Líquido]*5%)</f>
        <v>70260350</v>
      </c>
      <c r="AB459" s="6">
        <f>IF([Lucro Líquido]&lt;0,0,[Lucro Líquido]-[Reserva Legal])</f>
        <v>1334946650</v>
      </c>
      <c r="AC459" s="6">
        <f>Tabela3[[#This Row],[Lucro Distribuir]]*[%Div]</f>
        <v>333736662.5</v>
      </c>
      <c r="AD459" s="56">
        <f>SUMPRODUCT(N([Nome]=Tabela3[[#This Row],[Nome]]),[Ações])</f>
        <v>323293030</v>
      </c>
      <c r="AE459" s="6">
        <f>[Capital Social]/[Total Ações]</f>
        <v>8.6051963446288955</v>
      </c>
      <c r="AF459" s="77">
        <f>Tabela3[[#This Row],[Lucro Líquido]]/Tabela3[[#This Row],[Total Ações]]</f>
        <v>4.3465428252505163</v>
      </c>
      <c r="AG4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4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459" s="6">
        <f>[Div Base]*[Ações]</f>
        <v>333736662.5</v>
      </c>
      <c r="AL459" s="6">
        <f>SUMPRODUCT(N([Nome]=Tabela3[[#This Row],[Nome]]),[Div Base]*[Ações])</f>
        <v>333736662.5</v>
      </c>
      <c r="AM459" s="6">
        <f>[Patrimônio Líquido]/[Total Ações]</f>
        <v>18.216176822618166</v>
      </c>
      <c r="AN459" s="48">
        <f>MAX(Tabela3[[#This Row],[Cotação 1]:[Cotação 5]])</f>
        <v>32.770000000000003</v>
      </c>
      <c r="AO459" s="44">
        <f>[Cotação]/[VPA]</f>
        <v>1.7989504778692662</v>
      </c>
      <c r="AP459" s="40">
        <f>IF(Tabela3[[#This Row],[Lucro/Ação]]&gt;0,Tabela3[[#This Row],[Cotação]]/(Tabela3[[#This Row],[Lucro/Ação]]/[Ref]*4),0)</f>
        <v>7.5393252332930318</v>
      </c>
      <c r="AQ459" s="77">
        <f>[Lucro Distribuir]/[Total Ações]</f>
        <v>4.129215683987991</v>
      </c>
      <c r="AR459" s="77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3.1501492859230935E-2</v>
      </c>
      <c r="AU459" s="19">
        <f>((1+Tabela3[[#This Row],[% Yield]])^(1/(3*Tabela3[[#This Row],[Ref]])))^(12)-1</f>
        <v>3.1501492859229874E-2</v>
      </c>
      <c r="AV459" s="14">
        <f>IF([Cotação]&gt;0,($BH$1/Tabela3[[#This Row],[Cotação]]-MOD($BH$1/Tabela3[[#This Row],[Cotação]],100)),)</f>
        <v>0</v>
      </c>
      <c r="AW459" s="17">
        <f>Tabela3[[#This Row],[Ativos]]*[Lucro]</f>
        <v>0</v>
      </c>
      <c r="AX459" s="5">
        <f>SUMPRODUCT(N(Tabela1[Código]=Tabela3[[#This Row],[PAPEL]]),Tabela1[Fechamento])</f>
        <v>32.770000000000003</v>
      </c>
      <c r="AY459" s="5">
        <f>SUMPRODUCT(N(Tabela17[Código]=Tabela3[[#This Row],[PAPEL]]),Tabela17[Fechamento])</f>
        <v>0</v>
      </c>
      <c r="AZ459" s="7">
        <f>SUMPRODUCT(N(Tabela176[Código]=Tabela3[[#This Row],[PAPEL]]),Tabela176[Fechamento])</f>
        <v>0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t="11.25" customHeight="1">
      <c r="A460" s="3" t="s">
        <v>259</v>
      </c>
      <c r="B460" s="58" t="s">
        <v>260</v>
      </c>
      <c r="C460" s="82" t="str">
        <f>LEFT([PAPEL],LEN([PAPEL])-(LEN([PAPEL])-4))</f>
        <v>CSAN</v>
      </c>
      <c r="D460" s="16">
        <v>4</v>
      </c>
      <c r="E460" s="5">
        <v>4691822291.1300001</v>
      </c>
      <c r="F460" s="21">
        <v>407214353</v>
      </c>
      <c r="G460" s="80">
        <v>0.25</v>
      </c>
      <c r="H460" s="16"/>
      <c r="J460" s="18"/>
      <c r="K460" s="86"/>
      <c r="L460" s="86"/>
      <c r="M460" s="54">
        <v>16842735000</v>
      </c>
      <c r="N460" s="54">
        <v>585700000</v>
      </c>
      <c r="O460" s="54">
        <v>1591725000</v>
      </c>
      <c r="P460" s="5">
        <v>9736858000</v>
      </c>
      <c r="Q460" s="6">
        <v>234150000</v>
      </c>
      <c r="R460" s="6">
        <f>IF(Tabela3[[#This Row],[Ativo || Passivo]]&gt;0,Tabela3[[#This Row],[Ativo || Passivo]]-Tabela3[[#This Row],[Patrimônio Líquido]],0)</f>
        <v>7105877000</v>
      </c>
      <c r="S460" s="6">
        <f>Tabela3[[#This Row],[Cotação]]*Tabela3[[#This Row],[Total Ações]]</f>
        <v>13723123696.1</v>
      </c>
      <c r="T460" s="121">
        <f>IF(Tabela3[[#This Row],[Passivo Circulante]]&gt;0,Tabela3[[#This Row],[Ativo Circulante]]/Tabela3[[#This Row],[Passivo Circulante]],0)</f>
        <v>0.36796557194238955</v>
      </c>
      <c r="U46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0" s="19">
        <f>IF(Tabela3[[#This Row],[Lucro Líquido]]&gt;0,Tabela3[[#This Row],[Lucro Líquido]]/Tabela3[[#This Row],[Patrimônio Líquido]],0)/Tabela3[[#This Row],[Ref]]*4</f>
        <v>2.4047798581431506E-2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0" s="19">
        <f>IF(Tabela3[[#This Row],[Dívida]]&gt;0,Tabela3[[#This Row],[Dívida]]/Tabela3[[#This Row],[Patrimônio Líquido]],0)</f>
        <v>0.72979158163752622</v>
      </c>
      <c r="Y460" s="19">
        <f>SUMPRODUCT(N([Dívida / PL]&gt;0),N(RIGHT([PAPEL],LEN([PAPEL])-(LEN([PAPEL])-1))="3"),[Dívida / PL])/SUMPRODUCT(N([Dívida / PL]&gt;0),N(RIGHT([PAPEL],LEN([PAPEL])-(LEN([PAPEL])-1))="3"))</f>
        <v>2.2435702141443779</v>
      </c>
      <c r="Z460" s="5">
        <f>Tabela3[[#This Row],[Capital Social]]*20%</f>
        <v>938364458.22600007</v>
      </c>
      <c r="AA460" s="5">
        <f>IF(([Lucro Líquido]*5%)&gt;[Teto R. Legal],[Teto R. Legal],[Lucro Líquido]*5%)</f>
        <v>11707500</v>
      </c>
      <c r="AB460" s="5">
        <f>IF([Lucro Líquido]&lt;0,0,[Lucro Líquido]-[Reserva Legal])</f>
        <v>222442500</v>
      </c>
      <c r="AC460" s="5">
        <f>Tabela3[[#This Row],[Lucro Distribuir]]*[%Div]</f>
        <v>55610625</v>
      </c>
      <c r="AD460" s="56">
        <f>SUMPRODUCT(N([Nome]=Tabela3[[#This Row],[Nome]]),[Ações])</f>
        <v>407214353</v>
      </c>
      <c r="AE460" s="5">
        <f>[Capital Social]/[Total Ações]</f>
        <v>11.521750784481803</v>
      </c>
      <c r="AF460" s="76">
        <f>Tabela3[[#This Row],[Lucro Líquido]]/Tabela3[[#This Row],[Total Ações]]</f>
        <v>0.57500429018522337</v>
      </c>
      <c r="AG46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46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460" s="5">
        <f>[Div Base]*[Ações]</f>
        <v>55610625.000000007</v>
      </c>
      <c r="AL460" s="5">
        <f>SUMPRODUCT(N([Nome]=Tabela3[[#This Row],[Nome]]),[Div Base]*[Ações])</f>
        <v>55610625.000000007</v>
      </c>
      <c r="AM460" s="5">
        <f>[Patrimônio Líquido]/[Total Ações]</f>
        <v>23.910890979817697</v>
      </c>
      <c r="AN460" s="52">
        <f>MAX(Tabela3[[#This Row],[Cotação 1]:[Cotação 5]])</f>
        <v>33.700000000000003</v>
      </c>
      <c r="AO460" s="53">
        <f>[Cotação]/[VPA]</f>
        <v>1.4093995923633682</v>
      </c>
      <c r="AP460" s="37">
        <f>IF(Tabela3[[#This Row],[Lucro/Ação]]&gt;0,Tabela3[[#This Row],[Cotação]]/(Tabela3[[#This Row],[Lucro/Ação]]/[Ref]*4),0)</f>
        <v>58.608258364723476</v>
      </c>
      <c r="AQ460" s="76">
        <f>[Lucro Distribuir]/[Total Ações]</f>
        <v>0.54625407567596229</v>
      </c>
      <c r="AR460" s="76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460" s="16" t="str">
        <f>IF(AND([% A.A.]&gt;=5%,SUMPRODUCT(N([Nome]=Tabela3[[#This Row],[Nome]]),[PL])&gt;0,[Rentabilidade s/ PL]&gt;=[Rentabilidade s/ PL Média]),"Sim","Não")</f>
        <v>Não</v>
      </c>
      <c r="AT460" s="22">
        <f>IF([Cotação]&gt;0,Tabela3[[#This Row],[Lucro]]/Tabela3[[#This Row],[Cotação]],0)</f>
        <v>4.052329938248978E-3</v>
      </c>
      <c r="AU460" s="18">
        <f>((1+Tabela3[[#This Row],[% Yield]])^(1/(3*Tabela3[[#This Row],[Ref]])))^(12)-1</f>
        <v>4.0523299382491107E-3</v>
      </c>
      <c r="AV460" s="10">
        <f>IF([Cotação]&gt;0,($BH$1/Tabela3[[#This Row],[Cotação]]-MOD($BH$1/Tabela3[[#This Row],[Cotação]],100)),)</f>
        <v>0</v>
      </c>
      <c r="AW460" s="7">
        <f>Tabela3[[#This Row],[Ativos]]*[Lucro]</f>
        <v>0</v>
      </c>
      <c r="AX460" s="47">
        <f>SUMPRODUCT(N(Tabela1[Código]=Tabela3[[#This Row],[PAPEL]]),Tabela1[Fechamento])</f>
        <v>0</v>
      </c>
      <c r="AY460" s="54">
        <f>SUMPRODUCT(N(Tabela17[Código]=Tabela3[[#This Row],[PAPEL]]),Tabela17[Fechamento])</f>
        <v>33.700000000000003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customHeight="1">
      <c r="A461" s="4" t="s">
        <v>559</v>
      </c>
      <c r="B461" s="57" t="s">
        <v>568</v>
      </c>
      <c r="C461" s="15" t="str">
        <f>LEFT([PAPEL],LEN([PAPEL])-(LEN([PAPEL])-4))</f>
        <v>TOTS</v>
      </c>
      <c r="D461" s="15">
        <v>4</v>
      </c>
      <c r="E461" s="6">
        <v>526592102.22000003</v>
      </c>
      <c r="F461" s="8">
        <v>163467071</v>
      </c>
      <c r="G461" s="85">
        <v>0.25</v>
      </c>
      <c r="H461" s="15"/>
      <c r="I461" s="19"/>
      <c r="J461" s="19"/>
      <c r="K461" s="87"/>
      <c r="L461" s="87"/>
      <c r="M461" s="55">
        <v>1724141000</v>
      </c>
      <c r="N461" s="55">
        <v>855578000</v>
      </c>
      <c r="O461" s="55">
        <v>277528000</v>
      </c>
      <c r="P461" s="91">
        <v>1067621000</v>
      </c>
      <c r="Q461" s="92">
        <v>222512000</v>
      </c>
      <c r="R461" s="92">
        <f>IF(Tabela3[[#This Row],[Ativo || Passivo]]&gt;0,Tabela3[[#This Row],[Ativo || Passivo]]-Tabela3[[#This Row],[Patrimônio Líquido]],0)</f>
        <v>656520000</v>
      </c>
      <c r="S461" s="92">
        <f>Tabela3[[#This Row],[Cotação]]*Tabela3[[#This Row],[Total Ações]]</f>
        <v>5564419096.8400002</v>
      </c>
      <c r="T461" s="40">
        <f>IF(Tabela3[[#This Row],[Passivo Circulante]]&gt;0,Tabela3[[#This Row],[Ativo Circulante]]/Tabela3[[#This Row],[Passivo Circulante]],0)</f>
        <v>3.082852901328875</v>
      </c>
      <c r="U461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1" s="19">
        <f>IF(Tabela3[[#This Row],[Lucro Líquido]]&gt;0,Tabela3[[#This Row],[Lucro Líquido]]/Tabela3[[#This Row],[Patrimônio Líquido]],0)/Tabela3[[#This Row],[Ref]]*4</f>
        <v>0.20841853054595216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1" s="19">
        <f>IF(Tabela3[[#This Row],[Dívida]]&gt;0,Tabela3[[#This Row],[Dívida]]/Tabela3[[#This Row],[Patrimônio Líquido]],0)</f>
        <v>0.61493732326359263</v>
      </c>
      <c r="Y461" s="19">
        <f>SUMPRODUCT(N([Dívida / PL]&gt;0),N(RIGHT([PAPEL],LEN([PAPEL])-(LEN([PAPEL])-1))="3"),[Dívida / PL])/SUMPRODUCT(N([Dívida / PL]&gt;0),N(RIGHT([PAPEL],LEN([PAPEL])-(LEN([PAPEL])-1))="3"))</f>
        <v>2.2435702141443779</v>
      </c>
      <c r="Z461" s="13">
        <f>Tabela3[[#This Row],[Capital Social]]*20%</f>
        <v>105318420.44400001</v>
      </c>
      <c r="AA461" s="13">
        <f>IF(([Lucro Líquido]*5%)&gt;[Teto R. Legal],[Teto R. Legal],[Lucro Líquido]*5%)</f>
        <v>11125600</v>
      </c>
      <c r="AB461" s="13">
        <f>IF([Lucro Líquido]&lt;0,0,[Lucro Líquido]-[Reserva Legal])</f>
        <v>211386400</v>
      </c>
      <c r="AC461" s="13">
        <f>Tabela3[[#This Row],[Lucro Distribuir]]*[%Div]</f>
        <v>52846600</v>
      </c>
      <c r="AD461" s="56">
        <f>SUMPRODUCT(N([Nome]=Tabela3[[#This Row],[Nome]]),[Ações])</f>
        <v>163467071</v>
      </c>
      <c r="AE461" s="6">
        <f>[Capital Social]/[Total Ações]</f>
        <v>3.2213955936116334</v>
      </c>
      <c r="AF461" s="77">
        <f>Tabela3[[#This Row],[Lucro Líquido]]/Tabela3[[#This Row],[Total Ações]]</f>
        <v>1.3612038108886162</v>
      </c>
      <c r="AG4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61" s="13">
        <f>[Div Base]*[Ações]</f>
        <v>52846600.000000007</v>
      </c>
      <c r="AL461" s="13">
        <f>SUMPRODUCT(N([Nome]=Tabela3[[#This Row],[Nome]]),[Div Base]*[Ações])</f>
        <v>52846600.000000007</v>
      </c>
      <c r="AM461" s="6">
        <f>[Patrimônio Líquido]/[Total Ações]</f>
        <v>6.5311074179582018</v>
      </c>
      <c r="AN461" s="48">
        <f>MAX(Tabela3[[#This Row],[Cotação 1]:[Cotação 5]])</f>
        <v>34.04</v>
      </c>
      <c r="AO461" s="44">
        <f>[Cotação]/[VPA]</f>
        <v>5.2119798101011501</v>
      </c>
      <c r="AP461" s="40">
        <f>IF(Tabela3[[#This Row],[Lucro/Ação]]&gt;0,Tabela3[[#This Row],[Cotação]]/(Tabela3[[#This Row],[Lucro/Ação]]/[Ref]*4),0)</f>
        <v>25.007276447292732</v>
      </c>
      <c r="AQ461" s="77">
        <f>[Lucro Distribuir]/[Total Ações]</f>
        <v>1.2931436203441855</v>
      </c>
      <c r="AR461" s="77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61" s="14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9.4972357545842056E-3</v>
      </c>
      <c r="AU461" s="42">
        <f>((1+Tabela3[[#This Row],[% Yield]])^(1/(3*Tabela3[[#This Row],[Ref]])))^(12)-1</f>
        <v>9.4972357545852759E-3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17">
        <f>SUMPRODUCT(N(Tabela1[Código]=Tabela3[[#This Row],[PAPEL]]),Tabela1[Fechamento])</f>
        <v>0</v>
      </c>
      <c r="AY461" s="17">
        <f>SUMPRODUCT(N(Tabela17[Código]=Tabela3[[#This Row],[PAPEL]]),Tabela17[Fechamento])</f>
        <v>0</v>
      </c>
      <c r="AZ461" s="17">
        <f>SUMPRODUCT(N(Tabela176[Código]=Tabela3[[#This Row],[PAPEL]]),Tabela176[Fechamento])</f>
        <v>34.04</v>
      </c>
      <c r="BA461" s="1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37</v>
      </c>
      <c r="B462" s="57" t="s">
        <v>175</v>
      </c>
      <c r="C462" s="14" t="str">
        <f>LEFT([PAPEL],LEN([PAPEL])-(LEN([PAPEL])-4))</f>
        <v>CSMG</v>
      </c>
      <c r="D462" s="15">
        <v>4</v>
      </c>
      <c r="E462" s="6">
        <v>2773985614.6599998</v>
      </c>
      <c r="F462" s="8">
        <v>119684430</v>
      </c>
      <c r="G462" s="85">
        <v>0.25</v>
      </c>
      <c r="H462" s="15"/>
      <c r="I462" s="19"/>
      <c r="J462" s="19"/>
      <c r="K462" s="87"/>
      <c r="L462" s="87"/>
      <c r="M462" s="55"/>
      <c r="N462" s="55"/>
      <c r="O462" s="55"/>
      <c r="P462" s="6">
        <v>5337359000</v>
      </c>
      <c r="Q462" s="6">
        <v>419795000</v>
      </c>
      <c r="R462" s="6">
        <f>IF(Tabela3[[#This Row],[Ativo || Passivo]]&gt;0,Tabela3[[#This Row],[Ativo || Passivo]]-Tabela3[[#This Row],[Patrimônio Líquido]],0)</f>
        <v>0</v>
      </c>
      <c r="S462" s="6">
        <f>Tabela3[[#This Row],[Cotação]]*Tabela3[[#This Row],[Total Ações]]</f>
        <v>4162624475.4000001</v>
      </c>
      <c r="T462" s="121">
        <f>IF(Tabela3[[#This Row],[Passivo Circulante]]&gt;0,Tabela3[[#This Row],[Ativo Circulante]]/Tabela3[[#This Row],[Passivo Circulante]],0)</f>
        <v>0</v>
      </c>
      <c r="U46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2" s="19">
        <f>IF(Tabela3[[#This Row],[Lucro Líquido]]&gt;0,Tabela3[[#This Row],[Lucro Líquido]]/Tabela3[[#This Row],[Patrimônio Líquido]],0)/Tabela3[[#This Row],[Ref]]*4</f>
        <v>7.8652194840182196E-2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2" s="19">
        <f>IF(Tabela3[[#This Row],[Dívida]]&gt;0,Tabela3[[#This Row],[Dívida]]/Tabela3[[#This Row],[Patrimônio Líquido]],0)</f>
        <v>0</v>
      </c>
      <c r="Y462" s="19">
        <f>SUMPRODUCT(N([Dívida / PL]&gt;0),N(RIGHT([PAPEL],LEN([PAPEL])-(LEN([PAPEL])-1))="3"),[Dívida / PL])/SUMPRODUCT(N([Dívida / PL]&gt;0),N(RIGHT([PAPEL],LEN([PAPEL])-(LEN([PAPEL])-1))="3"))</f>
        <v>2.2435702141443779</v>
      </c>
      <c r="Z462" s="6">
        <f>Tabela3[[#This Row],[Capital Social]]*20%</f>
        <v>554797122.93200004</v>
      </c>
      <c r="AA462" s="6">
        <f>IF(([Lucro Líquido]*5%)&gt;[Teto R. Legal],[Teto R. Legal],[Lucro Líquido]*5%)</f>
        <v>20989750</v>
      </c>
      <c r="AB462" s="6">
        <f>IF([Lucro Líquido]&lt;0,0,[Lucro Líquido]-[Reserva Legal])</f>
        <v>398805250</v>
      </c>
      <c r="AC462" s="6">
        <f>Tabela3[[#This Row],[Lucro Distribuir]]*[%Div]</f>
        <v>99701312.5</v>
      </c>
      <c r="AD462" s="21">
        <f>SUMPRODUCT(N([Nome]=Tabela3[[#This Row],[Nome]]),[Ações])</f>
        <v>119684430</v>
      </c>
      <c r="AE462" s="6">
        <f>[Capital Social]/[Total Ações]</f>
        <v>23.177497813708932</v>
      </c>
      <c r="AF462" s="77">
        <f>Tabela3[[#This Row],[Lucro Líquido]]/Tabela3[[#This Row],[Total Ações]]</f>
        <v>3.5075155556992668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462" s="6">
        <f>[Div Base]*[Ações]</f>
        <v>99701312.5</v>
      </c>
      <c r="AL462" s="6">
        <f>SUMPRODUCT(N([Nome]=Tabela3[[#This Row],[Nome]]),[Div Base]*[Ações])</f>
        <v>99701312.5</v>
      </c>
      <c r="AM462" s="6">
        <f>[Patrimônio Líquido]/[Total Ações]</f>
        <v>44.595266067607959</v>
      </c>
      <c r="AN462" s="48">
        <f>MAX(Tabela3[[#This Row],[Cotação 1]:[Cotação 5]])</f>
        <v>34.78</v>
      </c>
      <c r="AO462" s="44">
        <f>[Cotação]/[VPA]</f>
        <v>0.77990340829612548</v>
      </c>
      <c r="AP462" s="40">
        <f>IF(Tabela3[[#This Row],[Lucro/Ação]]&gt;0,Tabela3[[#This Row],[Cotação]]/(Tabela3[[#This Row],[Lucro/Ação]]/[Ref]*4),0)</f>
        <v>9.9158505351421535</v>
      </c>
      <c r="AQ462" s="77">
        <f>[Lucro Distribuir]/[Total Ações]</f>
        <v>3.3321397779143034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462" s="15" t="str">
        <f>IF(AND([% A.A.]&gt;=5%,SUMPRODUCT(N([Nome]=Tabela3[[#This Row],[Nome]]),[PL])&gt;0,[Rentabilidade s/ PL]&gt;=[Rentabilidade s/ PL Média]),"Sim","Não")</f>
        <v>Não</v>
      </c>
      <c r="AT462" s="42">
        <f>IF([Cotação]&gt;0,Tabela3[[#This Row],[Lucro]]/Tabela3[[#This Row],[Cotação]],0)</f>
        <v>2.395155102008556E-2</v>
      </c>
      <c r="AU462" s="19">
        <f>((1+Tabela3[[#This Row],[% Yield]])^(1/(3*Tabela3[[#This Row],[Ref]])))^(12)-1</f>
        <v>2.3951551020084727E-2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34.78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customHeight="1">
      <c r="A463" s="3" t="s">
        <v>12</v>
      </c>
      <c r="B463" s="58" t="s">
        <v>470</v>
      </c>
      <c r="C463" s="10" t="str">
        <f>LEFT([PAPEL],LEN([PAPEL])-(LEN([PAPEL])-4))</f>
        <v>COCE</v>
      </c>
      <c r="D463" s="16">
        <v>4</v>
      </c>
      <c r="E463" s="6">
        <v>442946885.76999998</v>
      </c>
      <c r="F463" s="56">
        <v>1622874</v>
      </c>
      <c r="G463" s="85">
        <v>0.25</v>
      </c>
      <c r="H463" s="16"/>
      <c r="I463" s="18">
        <v>0.1</v>
      </c>
      <c r="J463" s="18"/>
      <c r="K463" s="86"/>
      <c r="L463" s="86"/>
      <c r="M463" s="54"/>
      <c r="N463" s="54"/>
      <c r="O463" s="54"/>
      <c r="P463" s="72">
        <v>1566323000</v>
      </c>
      <c r="Q463" s="88">
        <v>156556000</v>
      </c>
      <c r="R463" s="88">
        <f>IF(Tabela3[[#This Row],[Ativo || Passivo]]&gt;0,Tabela3[[#This Row],[Ativo || Passivo]]-Tabela3[[#This Row],[Patrimônio Líquido]],0)</f>
        <v>0</v>
      </c>
      <c r="S463" s="88">
        <f>Tabela3[[#This Row],[Cotação]]*Tabela3[[#This Row],[Total Ações]]</f>
        <v>2724935465</v>
      </c>
      <c r="T463" s="121">
        <f>IF(Tabela3[[#This Row],[Passivo Circulante]]&gt;0,Tabela3[[#This Row],[Ativo Circulante]]/Tabela3[[#This Row],[Passivo Circulante]],0)</f>
        <v>0</v>
      </c>
      <c r="U463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3" s="19">
        <f>IF(Tabela3[[#This Row],[Lucro Líquido]]&gt;0,Tabela3[[#This Row],[Lucro Líquido]]/Tabela3[[#This Row],[Patrimônio Líquido]],0)/Tabela3[[#This Row],[Ref]]*4</f>
        <v>9.9951287186614765E-2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3" s="19">
        <f>IF(Tabela3[[#This Row],[Dívida]]&gt;0,Tabela3[[#This Row],[Dívida]]/Tabela3[[#This Row],[Patrimônio Líquido]],0)</f>
        <v>0</v>
      </c>
      <c r="Y463" s="19">
        <f>SUMPRODUCT(N([Dívida / PL]&gt;0),N(RIGHT([PAPEL],LEN([PAPEL])-(LEN([PAPEL])-1))="3"),[Dívida / PL])/SUMPRODUCT(N([Dívida / PL]&gt;0),N(RIGHT([PAPEL],LEN([PAPEL])-(LEN([PAPEL])-1))="3"))</f>
        <v>2.2435702141443779</v>
      </c>
      <c r="Z463" s="5">
        <f>Tabela3[[#This Row],[Capital Social]]*20%</f>
        <v>88589377.153999999</v>
      </c>
      <c r="AA463" s="5">
        <f>IF(([Lucro Líquido]*5%)&gt;[Teto R. Legal],[Teto R. Legal],[Lucro Líquido]*5%)</f>
        <v>7827800</v>
      </c>
      <c r="AB463" s="72">
        <f>IF([Lucro Líquido]&lt;0,0,[Lucro Líquido]-[Reserva Legal])</f>
        <v>148728200</v>
      </c>
      <c r="AC463" s="72">
        <f>Tabela3[[#This Row],[Lucro Distribuir]]*[%Div]</f>
        <v>37182050</v>
      </c>
      <c r="AD463" s="56">
        <f>SUMPRODUCT(N([Nome]=Tabela3[[#This Row],[Nome]]),[Ações])</f>
        <v>77855299</v>
      </c>
      <c r="AE463" s="5">
        <f>[Capital Social]/[Total Ações]</f>
        <v>5.6893607944399518</v>
      </c>
      <c r="AF463" s="76">
        <f>Tabela3[[#This Row],[Lucro Líquido]]/Tabela3[[#This Row],[Total Ações]]</f>
        <v>2.0108586314722134</v>
      </c>
      <c r="AG46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46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46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463" s="5">
        <f>[Div Base]*[Ações]</f>
        <v>775050.42028931133</v>
      </c>
      <c r="AL463" s="5">
        <f>SUMPRODUCT(N([Nome]=Tabela3[[#This Row],[Nome]]),[Div Base]*[Ações])</f>
        <v>37182050</v>
      </c>
      <c r="AM463" s="5">
        <f>[Patrimônio Líquido]/[Total Ações]</f>
        <v>20.118386546816808</v>
      </c>
      <c r="AN463" s="52">
        <f>MAX(Tabela3[[#This Row],[Cotação 1]:[Cotação 5]])</f>
        <v>35</v>
      </c>
      <c r="AO463" s="53">
        <f>[Cotação]/[VPA]</f>
        <v>1.7397021335956886</v>
      </c>
      <c r="AP463" s="37">
        <f>IF(Tabela3[[#This Row],[Lucro/Ação]]&gt;0,Tabela3[[#This Row],[Cotação]]/(Tabela3[[#This Row],[Lucro/Ação]]/[Ref]*4),0)</f>
        <v>17.405500044712436</v>
      </c>
      <c r="AQ463" s="76">
        <f>[Lucro Distribuir]/[Total Ações]</f>
        <v>1.9103156998986028</v>
      </c>
      <c r="AR463" s="76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463" s="10" t="str">
        <f>IF(AND([% A.A.]&gt;=5%,SUMPRODUCT(N([Nome]=Tabela3[[#This Row],[Nome]]),[PL])&gt;0,[Rentabilidade s/ PL]&gt;=[Rentabilidade s/ PL Média]),"Sim","Não")</f>
        <v>Não</v>
      </c>
      <c r="AT463" s="22">
        <f>IF([Cotação]&gt;0,Tabela3[[#This Row],[Lucro]]/Tabela3[[#This Row],[Cotação]],0)</f>
        <v>1.3645112142132878E-2</v>
      </c>
      <c r="AU463" s="18">
        <f>((1+Tabela3[[#This Row],[% Yield]])^(1/(3*Tabela3[[#This Row],[Ref]])))^(12)-1</f>
        <v>1.364511214213171E-2</v>
      </c>
      <c r="AV463" s="10">
        <f>IF([Cotação]&gt;0,($BH$1/Tabela3[[#This Row],[Cotação]]-MOD($BH$1/Tabela3[[#This Row],[Cotação]],100)),)</f>
        <v>0</v>
      </c>
      <c r="AW463" s="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35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customHeight="1">
      <c r="A464" s="3" t="s">
        <v>846</v>
      </c>
      <c r="B464" s="58" t="s">
        <v>840</v>
      </c>
      <c r="C464" s="16" t="str">
        <f>LEFT([PAPEL],LEN([PAPEL])-(LEN([PAPEL])-4))</f>
        <v>AHEB</v>
      </c>
      <c r="D464" s="16">
        <v>3</v>
      </c>
      <c r="E464" s="5">
        <v>199970873</v>
      </c>
      <c r="F464" s="56">
        <v>468519</v>
      </c>
      <c r="G464" s="80">
        <v>0.25</v>
      </c>
      <c r="H464" s="86"/>
      <c r="I464" s="18">
        <v>0.08</v>
      </c>
      <c r="J464" s="18"/>
      <c r="K464" s="16"/>
      <c r="L464" s="86"/>
      <c r="M464" s="54"/>
      <c r="N464" s="54"/>
      <c r="O464" s="54"/>
      <c r="P464" s="90">
        <v>68456000</v>
      </c>
      <c r="Q464" s="73">
        <v>-16033000</v>
      </c>
      <c r="R464" s="73">
        <f>IF(Tabela3[[#This Row],[Ativo || Passivo]]&gt;0,Tabela3[[#This Row],[Ativo || Passivo]]-Tabela3[[#This Row],[Patrimônio Líquido]],0)</f>
        <v>0</v>
      </c>
      <c r="S464" s="73">
        <f>Tabela3[[#This Row],[Cotação]]*Tabela3[[#This Row],[Total Ações]]</f>
        <v>243005215.22999999</v>
      </c>
      <c r="T464" s="37">
        <f>IF(Tabela3[[#This Row],[Passivo Circulante]]&gt;0,Tabela3[[#This Row],[Ativo Circulante]]/Tabela3[[#This Row],[Passivo Circulante]],0)</f>
        <v>0</v>
      </c>
      <c r="U46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4" s="18">
        <f>IF(Tabela3[[#This Row],[Lucro Líquido]]&gt;0,Tabela3[[#This Row],[Lucro Líquido]]/Tabela3[[#This Row],[Patrimônio Líquido]],0)/Tabela3[[#This Row],[Ref]]*4</f>
        <v>0</v>
      </c>
      <c r="W46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4" s="18">
        <f>IF(Tabela3[[#This Row],[Dívida]]&gt;0,Tabela3[[#This Row],[Dívida]]/Tabela3[[#This Row],[Patrimônio Líquido]],0)</f>
        <v>0</v>
      </c>
      <c r="Y464" s="18">
        <f>SUMPRODUCT(N([Dívida / PL]&gt;0),N(RIGHT([PAPEL],LEN([PAPEL])-(LEN([PAPEL])-1))="3"),[Dívida / PL])/SUMPRODUCT(N([Dívida / PL]&gt;0),N(RIGHT([PAPEL],LEN([PAPEL])-(LEN([PAPEL])-1))="3"))</f>
        <v>2.2435702141443779</v>
      </c>
      <c r="Z464" s="7">
        <f>Tabela3[[#This Row],[Capital Social]]*20%</f>
        <v>39994174.600000001</v>
      </c>
      <c r="AA464" s="47">
        <f>IF(([Lucro Líquido]*5%)&gt;[Teto R. Legal],[Teto R. Legal],[Lucro Líquido]*5%)</f>
        <v>-801650</v>
      </c>
      <c r="AB464" s="47">
        <f>IF([Lucro Líquido]&lt;0,0,[Lucro Líquido]-[Reserva Legal])</f>
        <v>0</v>
      </c>
      <c r="AC464" s="47">
        <f>Tabela3[[#This Row],[Lucro Distribuir]]*[%Div]</f>
        <v>0</v>
      </c>
      <c r="AD464" s="56">
        <f>SUMPRODUCT(N([Nome]=Tabela3[[#This Row],[Nome]]),[Ações])</f>
        <v>6941023</v>
      </c>
      <c r="AE464" s="84">
        <f>[Capital Social]/[Total Ações]</f>
        <v>28.810000053306265</v>
      </c>
      <c r="AF464" s="84">
        <f>Tabela3[[#This Row],[Lucro Líquido]]/Tabela3[[#This Row],[Total Ações]]</f>
        <v>-2.3098900551114729</v>
      </c>
      <c r="AG46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4" s="7">
        <f>[Div Base]*[Ações]</f>
        <v>0</v>
      </c>
      <c r="AL464" s="7">
        <f>SUMPRODUCT(N([Nome]=Tabela3[[#This Row],[Nome]]),[Div Base]*[Ações])</f>
        <v>0</v>
      </c>
      <c r="AM464" s="5">
        <f>[Patrimônio Líquido]/[Total Ações]</f>
        <v>9.8625231468041523</v>
      </c>
      <c r="AN464" s="52">
        <f>MAX(Tabela3[[#This Row],[Cotação 1]:[Cotação 5]])</f>
        <v>35.01</v>
      </c>
      <c r="AO464" s="53">
        <f>[Cotação]/[VPA]</f>
        <v>3.5498015547212809</v>
      </c>
      <c r="AP464" s="37">
        <f>IF(Tabela3[[#This Row],[Lucro/Ação]]&gt;0,Tabela3[[#This Row],[Cotação]]/(Tabela3[[#This Row],[Lucro/Ação]]/[Ref]*4),0)</f>
        <v>0</v>
      </c>
      <c r="AQ464" s="84">
        <f>[Lucro Distribuir]/[Total Ações]</f>
        <v>0</v>
      </c>
      <c r="AR464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4" s="10" t="str">
        <f>IF(AND([% A.A.]&gt;=5%,SUMPRODUCT(N([Nome]=Tabela3[[#This Row],[Nome]]),[PL])&gt;0,[Rentabilidade s/ PL]&gt;=[Rentabilidade s/ PL Média]),"Sim","Não")</f>
        <v>Não</v>
      </c>
      <c r="AT464" s="22">
        <f>IF([Cotação]&gt;0,Tabela3[[#This Row],[Lucro]]/Tabela3[[#This Row],[Cotação]],0)</f>
        <v>0</v>
      </c>
      <c r="AU464" s="22">
        <f>((1+Tabela3[[#This Row],[% Yield]])^(1/(3*Tabela3[[#This Row],[Ref]])))^(12)-1</f>
        <v>0</v>
      </c>
      <c r="AV464" s="10">
        <f>IF([Cotação]&gt;0,($BH$1/Tabela3[[#This Row],[Cotação]]-MOD($BH$1/Tabela3[[#This Row],[Cotação]],100)),)</f>
        <v>0</v>
      </c>
      <c r="AW464" s="7">
        <f>Tabela3[[#This Row],[Ativos]]*[Lucro]</f>
        <v>0</v>
      </c>
      <c r="AX464" s="7">
        <f>SUMPRODUCT(N(Tabela1[Código]=Tabela3[[#This Row],[PAPEL]]),Tabela1[Fechamento])</f>
        <v>0</v>
      </c>
      <c r="AY464" s="7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35.01</v>
      </c>
      <c r="BB464" s="7">
        <f>SUMPRODUCT(N(Tabela17683[Código]=Tabela3[[#This Row],[PAPEL]]),Tabela17683[Fechamento])</f>
        <v>0</v>
      </c>
    </row>
    <row r="465" spans="1:54" ht="11.25" customHeight="1">
      <c r="A465" s="3" t="s">
        <v>757</v>
      </c>
      <c r="B465" s="58" t="s">
        <v>758</v>
      </c>
      <c r="C465" s="16" t="str">
        <f>LEFT([PAPEL],LEN([PAPEL])-(LEN([PAPEL])-4))</f>
        <v>NATU</v>
      </c>
      <c r="D465" s="16">
        <v>4</v>
      </c>
      <c r="E465" s="5">
        <v>427072707.31999999</v>
      </c>
      <c r="F465" s="56">
        <v>431239264</v>
      </c>
      <c r="G465" s="80">
        <v>0.3</v>
      </c>
      <c r="H465" s="86"/>
      <c r="J465" s="18"/>
      <c r="K465" s="16"/>
      <c r="L465" s="86"/>
      <c r="M465" s="54">
        <v>5038768000</v>
      </c>
      <c r="N465" s="54">
        <v>2239016000</v>
      </c>
      <c r="O465" s="54">
        <v>1674745000</v>
      </c>
      <c r="P465" s="90">
        <v>1145637000</v>
      </c>
      <c r="Q465" s="73">
        <v>842608000</v>
      </c>
      <c r="R465" s="73">
        <f>IF(Tabela3[[#This Row],[Ativo || Passivo]]&gt;0,Tabela3[[#This Row],[Ativo || Passivo]]-Tabela3[[#This Row],[Patrimônio Líquido]],0)</f>
        <v>3893131000</v>
      </c>
      <c r="S465" s="73">
        <f>Tabela3[[#This Row],[Cotação]]*Tabela3[[#This Row],[Total Ações]]</f>
        <v>15438365651.199999</v>
      </c>
      <c r="T465" s="37">
        <f>IF(Tabela3[[#This Row],[Passivo Circulante]]&gt;0,Tabela3[[#This Row],[Ativo Circulante]]/Tabela3[[#This Row],[Passivo Circulante]],0)</f>
        <v>1.3369295027004111</v>
      </c>
      <c r="U46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5" s="18">
        <f>IF(Tabela3[[#This Row],[Lucro Líquido]]&gt;0,Tabela3[[#This Row],[Lucro Líquido]]/Tabela3[[#This Row],[Patrimônio Líquido]],0)/Tabela3[[#This Row],[Ref]]*4</f>
        <v>0.73549300520147309</v>
      </c>
      <c r="W46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5" s="18">
        <f>IF(Tabela3[[#This Row],[Dívida]]&gt;0,Tabela3[[#This Row],[Dívida]]/Tabela3[[#This Row],[Patrimônio Líquido]],0)</f>
        <v>3.3982238702136889</v>
      </c>
      <c r="Y465" s="18">
        <f>SUMPRODUCT(N([Dívida / PL]&gt;0),N(RIGHT([PAPEL],LEN([PAPEL])-(LEN([PAPEL])-1))="3"),[Dívida / PL])/SUMPRODUCT(N([Dívida / PL]&gt;0),N(RIGHT([PAPEL],LEN([PAPEL])-(LEN([PAPEL])-1))="3"))</f>
        <v>2.2435702141443779</v>
      </c>
      <c r="Z465" s="7">
        <f>Tabela3[[#This Row],[Capital Social]]*20%</f>
        <v>85414541.464000002</v>
      </c>
      <c r="AA465" s="47">
        <f>IF(([Lucro Líquido]*5%)&gt;[Teto R. Legal],[Teto R. Legal],[Lucro Líquido]*5%)</f>
        <v>42130400</v>
      </c>
      <c r="AB465" s="47">
        <f>IF([Lucro Líquido]&lt;0,0,[Lucro Líquido]-[Reserva Legal])</f>
        <v>800477600</v>
      </c>
      <c r="AC465" s="47">
        <f>Tabela3[[#This Row],[Lucro Distribuir]]*[%Div]</f>
        <v>240143280</v>
      </c>
      <c r="AD465" s="56">
        <f>SUMPRODUCT(N([Nome]=Tabela3[[#This Row],[Nome]]),[Ações])</f>
        <v>431239264</v>
      </c>
      <c r="AE465" s="84">
        <f>[Capital Social]/[Total Ações]</f>
        <v>0.99033817876101371</v>
      </c>
      <c r="AF465" s="84">
        <f>Tabela3[[#This Row],[Lucro Líquido]]/Tabela3[[#This Row],[Total Ações]]</f>
        <v>1.9539222662248121</v>
      </c>
      <c r="AG46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46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465" s="7">
        <f>[Div Base]*[Ações]</f>
        <v>240143280</v>
      </c>
      <c r="AL465" s="7">
        <f>SUMPRODUCT(N([Nome]=Tabela3[[#This Row],[Nome]]),[Div Base]*[Ações])</f>
        <v>240143280</v>
      </c>
      <c r="AM465" s="5">
        <f>[Patrimônio Líquido]/[Total Ações]</f>
        <v>2.6566157018577976</v>
      </c>
      <c r="AN465" s="52">
        <f>MAX(Tabela3[[#This Row],[Cotação 1]:[Cotação 5]])</f>
        <v>35.799999999999997</v>
      </c>
      <c r="AO465" s="53">
        <f>[Cotação]/[VPA]</f>
        <v>13.475791765803651</v>
      </c>
      <c r="AP465" s="37">
        <f>IF(Tabela3[[#This Row],[Lucro/Ação]]&gt;0,Tabela3[[#This Row],[Cotação]]/(Tabela3[[#This Row],[Lucro/Ação]]/[Ref]*4),0)</f>
        <v>18.32212090461994</v>
      </c>
      <c r="AQ465" s="84">
        <f>[Lucro Distribuir]/[Total Ações]</f>
        <v>1.8562261529135715</v>
      </c>
      <c r="AR465" s="84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465" s="10" t="str">
        <f>IF(AND([% A.A.]&gt;=5%,SUMPRODUCT(N([Nome]=Tabela3[[#This Row],[Nome]]),[PL])&gt;0,[Rentabilidade s/ PL]&gt;=[Rentabilidade s/ PL Média]),"Sim","Não")</f>
        <v>Não</v>
      </c>
      <c r="AT465" s="22">
        <f>IF([Cotação]&gt;0,Tabela3[[#This Row],[Lucro]]/Tabela3[[#This Row],[Cotação]],0)</f>
        <v>1.5554967761845572E-2</v>
      </c>
      <c r="AU465" s="22">
        <f>((1+Tabela3[[#This Row],[% Yield]])^(1/(3*Tabela3[[#This Row],[Ref]])))^(12)-1</f>
        <v>1.5554967761844285E-2</v>
      </c>
      <c r="AV465" s="10">
        <f>IF([Cotação]&gt;0,($BH$1/Tabela3[[#This Row],[Cotação]]-MOD($BH$1/Tabela3[[#This Row],[Cotação]],100)),)</f>
        <v>0</v>
      </c>
      <c r="AW465" s="7">
        <f>Tabela3[[#This Row],[Ativos]]*[Lucro]</f>
        <v>0</v>
      </c>
      <c r="AX465" s="7">
        <f>SUMPRODUCT(N(Tabela1[Código]=Tabela3[[#This Row],[PAPEL]]),Tabela1[Fechamento])</f>
        <v>0</v>
      </c>
      <c r="AY465" s="7">
        <f>SUMPRODUCT(N(Tabela17[Código]=Tabela3[[#This Row],[PAPEL]]),Tabela17[Fechamento])</f>
        <v>0</v>
      </c>
      <c r="AZ465" s="7">
        <f>SUMPRODUCT(N(Tabela176[Código]=Tabela3[[#This Row],[PAPEL]]),Tabela176[Fechamento])</f>
        <v>35.799999999999997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customHeight="1">
      <c r="A466" s="3" t="s">
        <v>335</v>
      </c>
      <c r="B466" s="57" t="s">
        <v>349</v>
      </c>
      <c r="C466" s="81" t="str">
        <f>LEFT([PAPEL],LEN([PAPEL])-(LEN([PAPEL])-4))</f>
        <v>SCAR</v>
      </c>
      <c r="D466" s="16">
        <v>4</v>
      </c>
      <c r="E466" s="5">
        <v>473911676.48000002</v>
      </c>
      <c r="F466" s="21">
        <v>57737317</v>
      </c>
      <c r="G466" s="85">
        <v>0.25</v>
      </c>
      <c r="H466" s="16"/>
      <c r="J466" s="18"/>
      <c r="K466" s="86"/>
      <c r="L466" s="86"/>
      <c r="M466" s="54">
        <v>1482246000</v>
      </c>
      <c r="N466" s="54">
        <v>461221000</v>
      </c>
      <c r="O466" s="54">
        <v>102919000</v>
      </c>
      <c r="P466" s="5">
        <v>1076696000</v>
      </c>
      <c r="Q466" s="5">
        <v>249008000</v>
      </c>
      <c r="R466" s="5">
        <f>IF(Tabela3[[#This Row],[Ativo || Passivo]]&gt;0,Tabela3[[#This Row],[Ativo || Passivo]]-Tabela3[[#This Row],[Patrimônio Líquido]],0)</f>
        <v>405550000</v>
      </c>
      <c r="S466" s="5">
        <f>Tabela3[[#This Row],[Cotação]]*Tabela3[[#This Row],[Total Ações]]</f>
        <v>2067573321.7700002</v>
      </c>
      <c r="T466" s="119">
        <f>IF(Tabela3[[#This Row],[Passivo Circulante]]&gt;0,Tabela3[[#This Row],[Ativo Circulante]]/Tabela3[[#This Row],[Passivo Circulante]],0)</f>
        <v>4.4813979925961194</v>
      </c>
      <c r="U46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6" s="18">
        <f>IF(Tabela3[[#This Row],[Lucro Líquido]]&gt;0,Tabela3[[#This Row],[Lucro Líquido]]/Tabela3[[#This Row],[Patrimônio Líquido]],0)/Tabela3[[#This Row],[Ref]]*4</f>
        <v>0.23127047931821051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6" s="18">
        <f>IF(Tabela3[[#This Row],[Dívida]]&gt;0,Tabela3[[#This Row],[Dívida]]/Tabela3[[#This Row],[Patrimônio Líquido]],0)</f>
        <v>0.37666156463848666</v>
      </c>
      <c r="Y466" s="18">
        <f>SUMPRODUCT(N([Dívida / PL]&gt;0),N(RIGHT([PAPEL],LEN([PAPEL])-(LEN([PAPEL])-1))="3"),[Dívida / PL])/SUMPRODUCT(N([Dívida / PL]&gt;0),N(RIGHT([PAPEL],LEN([PAPEL])-(LEN([PAPEL])-1))="3"))</f>
        <v>2.2435702141443779</v>
      </c>
      <c r="Z466" s="5">
        <f>Tabela3[[#This Row],[Capital Social]]*20%</f>
        <v>94782335.296000004</v>
      </c>
      <c r="AA466" s="5">
        <f>IF(([Lucro Líquido]*5%)&gt;[Teto R. Legal],[Teto R. Legal],[Lucro Líquido]*5%)</f>
        <v>12450400</v>
      </c>
      <c r="AB466" s="5">
        <f>IF([Lucro Líquido]&lt;0,0,[Lucro Líquido]-[Reserva Legal])</f>
        <v>236557600</v>
      </c>
      <c r="AC466" s="5">
        <f>Tabela3[[#This Row],[Lucro Distribuir]]*[%Div]</f>
        <v>59139400</v>
      </c>
      <c r="AD466" s="21">
        <f>SUMPRODUCT(N([Nome]=Tabela3[[#This Row],[Nome]]),[Ações])</f>
        <v>57737317</v>
      </c>
      <c r="AE466" s="5">
        <f>[Capital Social]/[Total Ações]</f>
        <v>8.2080654437060172</v>
      </c>
      <c r="AF466" s="76">
        <f>Tabela3[[#This Row],[Lucro Líquido]]/Tabela3[[#This Row],[Total Ações]]</f>
        <v>4.3127740071468859</v>
      </c>
      <c r="AG466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1.0242838266973853</v>
      </c>
      <c r="AH46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1.0242838266973853</v>
      </c>
      <c r="AK466" s="5">
        <f>[Div Base]*[Ações]</f>
        <v>59139400</v>
      </c>
      <c r="AL466" s="5">
        <f>SUMPRODUCT(N([Nome]=Tabela3[[#This Row],[Nome]]),[Div Base]*[Ações])</f>
        <v>59139400</v>
      </c>
      <c r="AM466" s="5">
        <f>[Patrimônio Líquido]/[Total Ações]</f>
        <v>18.648182076073955</v>
      </c>
      <c r="AN466" s="52">
        <f>MAX(Tabela3[[#This Row],[Cotação 1]:[Cotação 5]])</f>
        <v>35.81</v>
      </c>
      <c r="AO466" s="53">
        <f>[Cotação]/[VPA]</f>
        <v>1.9202944208671715</v>
      </c>
      <c r="AP466" s="37">
        <f>IF(Tabela3[[#This Row],[Lucro/Ação]]&gt;0,Tabela3[[#This Row],[Cotação]]/(Tabela3[[#This Row],[Lucro/Ação]]/[Ref]*4),0)</f>
        <v>8.3032405455648011</v>
      </c>
      <c r="AQ466" s="76">
        <f>[Lucro Distribuir]/[Total Ações]</f>
        <v>4.0971353067895411</v>
      </c>
      <c r="AR466" s="76">
        <f>IF([Unit ON]&gt;0,SUMPRODUCT(N([Nome]=Tabela3[[#This Row],[Nome]]),N(RIGHT([PAPEL],1)="3"),[Div Base])*[Unit ON]+SUMPRODUCT(N([Nome]=Tabela3[[#This Row],[Nome]]),N(RIGHT([PAPEL],1)="4"),[Div Base])*[Unit PN],[Div Base])</f>
        <v>1.0242838266973853</v>
      </c>
      <c r="AS466" s="16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2.8603290329443875E-2</v>
      </c>
      <c r="AU466" s="18">
        <f>((1+Tabela3[[#This Row],[% Yield]])^(1/(3*Tabela3[[#This Row],[Ref]])))^(12)-1</f>
        <v>2.8603290329443087E-2</v>
      </c>
      <c r="AV466" s="10">
        <f>IF([Cotação]&gt;0,($BH$1/Tabela3[[#This Row],[Cotação]]-MOD($BH$1/Tabela3[[#This Row],[Cotação]],100)),)</f>
        <v>0</v>
      </c>
      <c r="AW466" s="7">
        <f>Tabela3[[#This Row],[Ativos]]*[Lucro]</f>
        <v>0</v>
      </c>
      <c r="AX466" s="47">
        <f>SUMPRODUCT(N(Tabela1[Código]=Tabela3[[#This Row],[PAPEL]]),Tabela1[Fechamento])</f>
        <v>0</v>
      </c>
      <c r="AY466" s="54">
        <f>SUMPRODUCT(N(Tabela17[Código]=Tabela3[[#This Row],[PAPEL]]),Tabela17[Fechamento])</f>
        <v>35.81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</v>
      </c>
    </row>
    <row r="467" spans="1:54" ht="11.25" customHeight="1">
      <c r="A467" s="3" t="s">
        <v>1225</v>
      </c>
      <c r="B467" s="57" t="s">
        <v>1215</v>
      </c>
      <c r="C467" s="16" t="str">
        <f>LEFT([PAPEL],LEN([PAPEL])-(LEN([PAPEL])-4))</f>
        <v>KEPL</v>
      </c>
      <c r="D467" s="16">
        <v>3</v>
      </c>
      <c r="E467" s="5">
        <v>230635729.90000001</v>
      </c>
      <c r="F467" s="56">
        <v>26185106</v>
      </c>
      <c r="G467" s="80">
        <v>0.25</v>
      </c>
      <c r="H467" s="86"/>
      <c r="J467" s="18"/>
      <c r="K467" s="16"/>
      <c r="L467" s="86"/>
      <c r="M467" s="54"/>
      <c r="N467" s="54"/>
      <c r="O467" s="54"/>
      <c r="P467" s="90">
        <v>351730000</v>
      </c>
      <c r="Q467" s="73">
        <v>37050000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941092709.63999999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7" s="18">
        <f>IF(Tabela3[[#This Row],[Lucro Líquido]]&gt;0,Tabela3[[#This Row],[Lucro Líquido]]/Tabela3[[#This Row],[Patrimônio Líquido]],0)/Tabela3[[#This Row],[Ref]]*4</f>
        <v>0.14044863958149717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2.2435702141443779</v>
      </c>
      <c r="Z467" s="7">
        <f>Tabela3[[#This Row],[Capital Social]]*20%</f>
        <v>46127145.980000004</v>
      </c>
      <c r="AA467" s="47">
        <f>IF(([Lucro Líquido]*5%)&gt;[Teto R. Legal],[Teto R. Legal],[Lucro Líquido]*5%)</f>
        <v>1852500</v>
      </c>
      <c r="AB467" s="47">
        <f>IF([Lucro Líquido]&lt;0,0,[Lucro Líquido]-[Reserva Legal])</f>
        <v>35197500</v>
      </c>
      <c r="AC467" s="47">
        <f>Tabela3[[#This Row],[Lucro Distribuir]]*[%Div]</f>
        <v>8799375</v>
      </c>
      <c r="AD467" s="56">
        <f>SUMPRODUCT(N([Nome]=Tabela3[[#This Row],[Nome]]),[Ações])</f>
        <v>26185106</v>
      </c>
      <c r="AE467" s="84">
        <f>[Capital Social]/[Total Ações]</f>
        <v>8.8078975086066098</v>
      </c>
      <c r="AF467" s="84">
        <f>Tabela3[[#This Row],[Lucro Líquido]]/Tabela3[[#This Row],[Total Ações]]</f>
        <v>1.4149264853080985</v>
      </c>
      <c r="AG46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46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467" s="7">
        <f>[Div Base]*[Ações]</f>
        <v>8799375</v>
      </c>
      <c r="AL467" s="113">
        <f>SUMPRODUCT(N([Nome]=Tabela3[[#This Row],[Nome]]),[Div Base]*[Ações])</f>
        <v>8799375</v>
      </c>
      <c r="AM467" s="5">
        <f>[Patrimônio Líquido]/[Total Ações]</f>
        <v>13.432445146489</v>
      </c>
      <c r="AN467" s="52">
        <f>MAX(Tabela3[[#This Row],[Cotação 1]:[Cotação 5]])</f>
        <v>35.94</v>
      </c>
      <c r="AO467" s="53">
        <f>[Cotação]/[VPA]</f>
        <v>2.6756111495749582</v>
      </c>
      <c r="AP467" s="37">
        <f>IF(Tabela3[[#This Row],[Lucro/Ação]]&gt;0,Tabela3[[#This Row],[Cotação]]/(Tabela3[[#This Row],[Lucro/Ação]]/[Ref]*4),0)</f>
        <v>19.050459709311738</v>
      </c>
      <c r="AQ467" s="84">
        <f>[Lucro Distribuir]/[Total Ações]</f>
        <v>1.3441801610426936</v>
      </c>
      <c r="AR467" s="84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9.3501680651272515E-3</v>
      </c>
      <c r="AU467" s="22">
        <f>((1+Tabela3[[#This Row],[% Yield]])^(1/(3*Tabela3[[#This Row],[Ref]])))^(12)-1</f>
        <v>1.2486278462996214E-2</v>
      </c>
      <c r="AV467" s="10">
        <f>IF([Cotação]&gt;0,($BH$1/Tabela3[[#This Row],[Cotação]]-MOD($BH$1/Tabela3[[#This Row],[Cotação]],100)),)</f>
        <v>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35.94</v>
      </c>
    </row>
    <row r="468" spans="1:54" ht="11.25" customHeight="1">
      <c r="A468" s="3" t="s">
        <v>12</v>
      </c>
      <c r="B468" s="58" t="s">
        <v>81</v>
      </c>
      <c r="C468" s="10" t="str">
        <f>LEFT([PAPEL],LEN([PAPEL])-(LEN([PAPEL])-4))</f>
        <v>COCE</v>
      </c>
      <c r="D468" s="16">
        <v>4</v>
      </c>
      <c r="E468" s="6">
        <v>442946885.76999998</v>
      </c>
      <c r="F468" s="56">
        <v>28164488</v>
      </c>
      <c r="G468" s="85">
        <v>0.25</v>
      </c>
      <c r="H468" s="16"/>
      <c r="I468" s="18">
        <v>0.06</v>
      </c>
      <c r="J468" s="18"/>
      <c r="K468" s="86"/>
      <c r="L468" s="86"/>
      <c r="M468" s="54"/>
      <c r="N468" s="54"/>
      <c r="O468" s="54"/>
      <c r="P468" s="72">
        <v>1566323000</v>
      </c>
      <c r="Q468" s="88">
        <v>156556000</v>
      </c>
      <c r="R468" s="88">
        <f>IF(Tabela3[[#This Row],[Ativo || Passivo]]&gt;0,Tabela3[[#This Row],[Ativo || Passivo]]-Tabela3[[#This Row],[Patrimônio Líquido]],0)</f>
        <v>0</v>
      </c>
      <c r="S468" s="88">
        <f>Tabela3[[#This Row],[Cotação]]*Tabela3[[#This Row],[Total Ações]]</f>
        <v>2824590247.7200003</v>
      </c>
      <c r="T468" s="121">
        <f>IF(Tabela3[[#This Row],[Passivo Circulante]]&gt;0,Tabela3[[#This Row],[Ativo Circulante]]/Tabela3[[#This Row],[Passivo Circulante]],0)</f>
        <v>0</v>
      </c>
      <c r="U46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8" s="19">
        <f>IF(Tabela3[[#This Row],[Lucro Líquido]]&gt;0,Tabela3[[#This Row],[Lucro Líquido]]/Tabela3[[#This Row],[Patrimônio Líquido]],0)/Tabela3[[#This Row],[Ref]]*4</f>
        <v>9.9951287186614765E-2</v>
      </c>
      <c r="W46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8" s="19">
        <f>IF(Tabela3[[#This Row],[Dívida]]&gt;0,Tabela3[[#This Row],[Dívida]]/Tabela3[[#This Row],[Patrimônio Líquido]],0)</f>
        <v>0</v>
      </c>
      <c r="Y468" s="19">
        <f>SUMPRODUCT(N([Dívida / PL]&gt;0),N(RIGHT([PAPEL],LEN([PAPEL])-(LEN([PAPEL])-1))="3"),[Dívida / PL])/SUMPRODUCT(N([Dívida / PL]&gt;0),N(RIGHT([PAPEL],LEN([PAPEL])-(LEN([PAPEL])-1))="3"))</f>
        <v>2.2435702141443779</v>
      </c>
      <c r="Z468" s="5">
        <f>Tabela3[[#This Row],[Capital Social]]*20%</f>
        <v>88589377.153999999</v>
      </c>
      <c r="AA468" s="5">
        <f>IF(([Lucro Líquido]*5%)&gt;[Teto R. Legal],[Teto R. Legal],[Lucro Líquido]*5%)</f>
        <v>7827800</v>
      </c>
      <c r="AB468" s="72">
        <f>IF([Lucro Líquido]&lt;0,0,[Lucro Líquido]-[Reserva Legal])</f>
        <v>148728200</v>
      </c>
      <c r="AC468" s="72">
        <f>Tabela3[[#This Row],[Lucro Distribuir]]*[%Div]</f>
        <v>37182050</v>
      </c>
      <c r="AD468" s="56">
        <f>SUMPRODUCT(N([Nome]=Tabela3[[#This Row],[Nome]]),[Ações])</f>
        <v>77855299</v>
      </c>
      <c r="AE468" s="5">
        <f>[Capital Social]/[Total Ações]</f>
        <v>5.6893607944399518</v>
      </c>
      <c r="AF468" s="76">
        <f>Tabela3[[#This Row],[Lucro Líquido]]/Tabela3[[#This Row],[Total Ações]]</f>
        <v>2.0108586314722134</v>
      </c>
      <c r="AG46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46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46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468" s="5">
        <f>[Div Base]*[Ações]</f>
        <v>13450765.901501451</v>
      </c>
      <c r="AL468" s="5">
        <f>SUMPRODUCT(N([Nome]=Tabela3[[#This Row],[Nome]]),[Div Base]*[Ações])</f>
        <v>37182050</v>
      </c>
      <c r="AM468" s="5">
        <f>[Patrimônio Líquido]/[Total Ações]</f>
        <v>20.118386546816808</v>
      </c>
      <c r="AN468" s="52">
        <f>MAX(Tabela3[[#This Row],[Cotação 1]:[Cotação 5]])</f>
        <v>36.28</v>
      </c>
      <c r="AO468" s="53">
        <f>[Cotação]/[VPA]</f>
        <v>1.8033255259100454</v>
      </c>
      <c r="AP468" s="37">
        <f>IF(Tabela3[[#This Row],[Lucro/Ação]]&gt;0,Tabela3[[#This Row],[Cotação]]/(Tabela3[[#This Row],[Lucro/Ação]]/[Ref]*4),0)</f>
        <v>18.042044046347634</v>
      </c>
      <c r="AQ468" s="76">
        <f>[Lucro Distribuir]/[Total Ações]</f>
        <v>1.9103156998986028</v>
      </c>
      <c r="AR468" s="76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1.3163696939764352E-2</v>
      </c>
      <c r="AU468" s="18">
        <f>((1+Tabela3[[#This Row],[% Yield]])^(1/(3*Tabela3[[#This Row],[Ref]])))^(12)-1</f>
        <v>1.3163696939763936E-2</v>
      </c>
      <c r="AV468" s="10">
        <f>IF([Cotação]&gt;0,($BH$1/Tabela3[[#This Row],[Cotação]]-MOD($BH$1/Tabela3[[#This Row],[Cotação]],100)),)</f>
        <v>0</v>
      </c>
      <c r="AW468" s="7">
        <f>Tabela3[[#This Row],[Ativos]]*[Lucro]</f>
        <v>0</v>
      </c>
      <c r="AX468" s="5">
        <f>SUMPRODUCT(N(Tabela1[Código]=Tabela3[[#This Row],[PAPEL]]),Tabela1[Fechamento])</f>
        <v>36.28</v>
      </c>
      <c r="AY468" s="5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0</v>
      </c>
      <c r="BB468" s="7">
        <f>SUMPRODUCT(N(Tabela17683[Código]=Tabela3[[#This Row],[PAPEL]]),Tabela17683[Fechamento])</f>
        <v>0</v>
      </c>
    </row>
    <row r="469" spans="1:54" ht="11.25" customHeight="1">
      <c r="A469" s="3" t="s">
        <v>283</v>
      </c>
      <c r="B469" s="58" t="s">
        <v>284</v>
      </c>
      <c r="C469" s="82" t="str">
        <f>LEFT([PAPEL],LEN([PAPEL])-(LEN([PAPEL])-4))</f>
        <v>VIVT</v>
      </c>
      <c r="D469" s="16">
        <v>3</v>
      </c>
      <c r="E469" s="5">
        <v>37798109745.029999</v>
      </c>
      <c r="F469" s="56">
        <v>381587111</v>
      </c>
      <c r="G469" s="80">
        <v>0.25</v>
      </c>
      <c r="H469" s="18"/>
      <c r="J469" s="18"/>
      <c r="K469" s="86"/>
      <c r="L469" s="86"/>
      <c r="M469" s="54"/>
      <c r="N469" s="54"/>
      <c r="O469" s="54"/>
      <c r="P469" s="5">
        <v>43631075000</v>
      </c>
      <c r="Q469" s="5">
        <v>2484629000</v>
      </c>
      <c r="R469" s="5">
        <f>IF(Tabela3[[#This Row],[Ativo || Passivo]]&gt;0,Tabela3[[#This Row],[Ativo || Passivo]]-Tabela3[[#This Row],[Patrimônio Líquido]],0)</f>
        <v>0</v>
      </c>
      <c r="S469" s="5">
        <f>Tabela3[[#This Row],[Cotação]]*Tabela3[[#This Row],[Total Ações]]</f>
        <v>43166834015.5</v>
      </c>
      <c r="T469" s="119">
        <f>IF(Tabela3[[#This Row],[Passivo Circulante]]&gt;0,Tabela3[[#This Row],[Ativo Circulante]]/Tabela3[[#This Row],[Passivo Circulante]],0)</f>
        <v>0</v>
      </c>
      <c r="U469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69" s="18">
        <f>IF(Tabela3[[#This Row],[Lucro Líquido]]&gt;0,Tabela3[[#This Row],[Lucro Líquido]]/Tabela3[[#This Row],[Patrimônio Líquido]],0)/Tabela3[[#This Row],[Ref]]*4</f>
        <v>7.5928421810983721E-2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2.2435702141443779</v>
      </c>
      <c r="Z469" s="5">
        <f>Tabela3[[#This Row],[Capital Social]]*20%</f>
        <v>7559621949.0060005</v>
      </c>
      <c r="AA469" s="5">
        <f>IF(([Lucro Líquido]*5%)&gt;[Teto R. Legal],[Teto R. Legal],[Lucro Líquido]*5%)</f>
        <v>124231450</v>
      </c>
      <c r="AB469" s="5">
        <f>IF([Lucro Líquido]&lt;0,0,[Lucro Líquido]-[Reserva Legal])</f>
        <v>2360397550</v>
      </c>
      <c r="AC469" s="5">
        <f>Tabela3[[#This Row],[Lucro Distribuir]]*[%Div]</f>
        <v>590099387.5</v>
      </c>
      <c r="AD469" s="56">
        <f>SUMPRODUCT(N([Nome]=Tabela3[[#This Row],[Nome]]),[Ações])</f>
        <v>1125601930</v>
      </c>
      <c r="AE469" s="5">
        <f>[Capital Social]/[Total Ações]</f>
        <v>33.580352642989872</v>
      </c>
      <c r="AF469" s="76">
        <f>Tabela3[[#This Row],[Lucro Líquido]]/Tabela3[[#This Row],[Total Ações]]</f>
        <v>2.2073780559349254</v>
      </c>
      <c r="AG469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469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469" s="5">
        <f>[Div Base]*[Ações]</f>
        <v>193823664.74888858</v>
      </c>
      <c r="AL469" s="5">
        <f>SUMPRODUCT(N([Nome]=Tabela3[[#This Row],[Nome]]),[Div Base]*[Ações])</f>
        <v>609530700.90182471</v>
      </c>
      <c r="AM469" s="5">
        <f>[Patrimônio Líquido]/[Total Ações]</f>
        <v>38.762437978406808</v>
      </c>
      <c r="AN469" s="52">
        <f>MAX(Tabela3[[#This Row],[Cotação 1]:[Cotação 5]])</f>
        <v>38.35</v>
      </c>
      <c r="AO469" s="53">
        <f>[Cotação]/[VPA]</f>
        <v>0.9893598545417458</v>
      </c>
      <c r="AP469" s="37">
        <f>IF(Tabela3[[#This Row],[Lucro/Ação]]&gt;0,Tabela3[[#This Row],[Cotação]]/(Tabela3[[#This Row],[Lucro/Ação]]/[Ref]*4),0)</f>
        <v>13.030164870338792</v>
      </c>
      <c r="AQ469" s="76">
        <f>[Lucro Distribuir]/[Total Ações]</f>
        <v>2.0970091531381789</v>
      </c>
      <c r="AR469" s="76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469" s="16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1.3244871084074607E-2</v>
      </c>
      <c r="AU469" s="18">
        <f>((1+Tabela3[[#This Row],[% Yield]])^(1/(3*Tabela3[[#This Row],[Ref]])))^(12)-1</f>
        <v>1.7698697691121534E-2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47">
        <f>SUMPRODUCT(N(Tabela1[Código]=Tabela3[[#This Row],[PAPEL]]),Tabela1[Fechamento])</f>
        <v>0</v>
      </c>
      <c r="AY469" s="54">
        <f>SUMPRODUCT(N(Tabela17[Código]=Tabela3[[#This Row],[PAPEL]]),Tabela17[Fechamento])</f>
        <v>38.35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0</v>
      </c>
      <c r="BB469" s="7">
        <f>SUMPRODUCT(N(Tabela17683[Código]=Tabela3[[#This Row],[PAPEL]]),Tabela17683[Fechamento])</f>
        <v>0</v>
      </c>
    </row>
    <row r="470" spans="1:54" ht="11.25" customHeight="1">
      <c r="A470" s="4" t="s">
        <v>12</v>
      </c>
      <c r="B470" s="57" t="s">
        <v>451</v>
      </c>
      <c r="C470" s="14" t="str">
        <f>LEFT([PAPEL],LEN([PAPEL])-(LEN([PAPEL])-4))</f>
        <v>CLSC</v>
      </c>
      <c r="D470" s="15">
        <v>3</v>
      </c>
      <c r="E470" s="6">
        <v>1017700000</v>
      </c>
      <c r="F470" s="8">
        <v>15527137</v>
      </c>
      <c r="G470" s="85">
        <v>0.25</v>
      </c>
      <c r="H470" s="19"/>
      <c r="I470" s="19"/>
      <c r="J470" s="19"/>
      <c r="K470" s="87"/>
      <c r="L470" s="87"/>
      <c r="M470" s="13">
        <v>1938606000</v>
      </c>
      <c r="N470" s="13">
        <v>36406000</v>
      </c>
      <c r="O470" s="13">
        <v>3468000</v>
      </c>
      <c r="P470" s="88">
        <v>1927248000</v>
      </c>
      <c r="Q470" s="88">
        <v>149553000</v>
      </c>
      <c r="R470" s="88">
        <f>IF(Tabela3[[#This Row],[Ativo || Passivo]]&gt;0,Tabela3[[#This Row],[Ativo || Passivo]]-Tabela3[[#This Row],[Patrimônio Líquido]],0)</f>
        <v>11358000</v>
      </c>
      <c r="S470" s="88">
        <f>Tabela3[[#This Row],[Cotação]]*Tabela3[[#This Row],[Total Ações]]</f>
        <v>1542863640</v>
      </c>
      <c r="T470" s="121">
        <f>IF(Tabela3[[#This Row],[Passivo Circulante]]&gt;0,Tabela3[[#This Row],[Ativo Circulante]]/Tabela3[[#This Row],[Passivo Circulante]],0)</f>
        <v>10.497693194925029</v>
      </c>
      <c r="U47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0" s="19">
        <f>IF(Tabela3[[#This Row],[Lucro Líquido]]&gt;0,Tabela3[[#This Row],[Lucro Líquido]]/Tabela3[[#This Row],[Patrimônio Líquido]],0)/Tabela3[[#This Row],[Ref]]*4</f>
        <v>0.10346566710667232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0" s="19">
        <f>IF(Tabela3[[#This Row],[Dívida]]&gt;0,Tabela3[[#This Row],[Dívida]]/Tabela3[[#This Row],[Patrimônio Líquido]],0)</f>
        <v>5.8933774999377353E-3</v>
      </c>
      <c r="Y470" s="19">
        <f>SUMPRODUCT(N([Dívida / PL]&gt;0),N(RIGHT([PAPEL],LEN([PAPEL])-(LEN([PAPEL])-1))="3"),[Dívida / PL])/SUMPRODUCT(N([Dívida / PL]&gt;0),N(RIGHT([PAPEL],LEN([PAPEL])-(LEN([PAPEL])-1))="3"))</f>
        <v>2.2435702141443779</v>
      </c>
      <c r="Z470" s="6">
        <f>Tabela3[[#This Row],[Capital Social]]*20%</f>
        <v>203540000</v>
      </c>
      <c r="AA470" s="6">
        <f>IF(([Lucro Líquido]*5%)&gt;[Teto R. Legal],[Teto R. Legal],[Lucro Líquido]*5%)</f>
        <v>7477650</v>
      </c>
      <c r="AB470" s="88">
        <f>IF([Lucro Líquido]&lt;0,0,[Lucro Líquido]-[Reserva Legal])</f>
        <v>142075350</v>
      </c>
      <c r="AC470" s="88">
        <f>Tabela3[[#This Row],[Lucro Distribuir]]*[%Div]</f>
        <v>35518837.5</v>
      </c>
      <c r="AD470" s="56">
        <f>SUMPRODUCT(N([Nome]=Tabela3[[#This Row],[Nome]]),[Ações])</f>
        <v>38571591</v>
      </c>
      <c r="AE470" s="6">
        <f>[Capital Social]/[Total Ações]</f>
        <v>26.384703705895877</v>
      </c>
      <c r="AF470" s="77">
        <f>Tabela3[[#This Row],[Lucro Líquido]]/Tabela3[[#This Row],[Total Ações]]</f>
        <v>3.8772836723276467</v>
      </c>
      <c r="AG4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4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470" s="6">
        <f>[Div Base]*[Ações]</f>
        <v>14298239.757422438</v>
      </c>
      <c r="AL470" s="6">
        <f>SUMPRODUCT(N([Nome]=Tabela3[[#This Row],[Nome]]),[Div Base]*[Ações])</f>
        <v>35518837.5</v>
      </c>
      <c r="AM470" s="6">
        <f>[Patrimônio Líquido]/[Total Ações]</f>
        <v>49.965478478707297</v>
      </c>
      <c r="AN470" s="48">
        <f>MAX(Tabela3[[#This Row],[Cotação 1]:[Cotação 5]])</f>
        <v>40</v>
      </c>
      <c r="AO470" s="44">
        <f>[Cotação]/[VPA]</f>
        <v>0.80055272595950289</v>
      </c>
      <c r="AP470" s="40">
        <f>IF(Tabela3[[#This Row],[Lucro/Ação]]&gt;0,Tabela3[[#This Row],[Cotação]]/(Tabela3[[#This Row],[Lucro/Ação]]/[Ref]*4),0)</f>
        <v>7.7373755792260939</v>
      </c>
      <c r="AQ470" s="77">
        <f>[Lucro Distribuir]/[Total Ações]</f>
        <v>3.6834194887112641</v>
      </c>
      <c r="AR470" s="77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470" s="15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2.3021371804445401E-2</v>
      </c>
      <c r="AU470" s="19">
        <f>((1+Tabela3[[#This Row],[% Yield]])^(1/(3*Tabela3[[#This Row],[Ref]])))^(12)-1</f>
        <v>3.0812339723838456E-2</v>
      </c>
      <c r="AV470" s="14">
        <f>IF([Cotação]&gt;0,($BH$1/Tabela3[[#This Row],[Cotação]]-MOD($BH$1/Tabela3[[#This Row],[Cotação]],100)),)</f>
        <v>0</v>
      </c>
      <c r="AW470" s="17">
        <f>Tabela3[[#This Row],[Ativos]]*[Lucro]</f>
        <v>0</v>
      </c>
      <c r="AX470" s="5">
        <f>SUMPRODUCT(N(Tabela1[Código]=Tabela3[[#This Row],[PAPEL]]),Tabela1[Fechamento])</f>
        <v>0</v>
      </c>
      <c r="AY470" s="5">
        <f>SUMPRODUCT(N(Tabela17[Código]=Tabela3[[#This Row],[PAPEL]]),Tabela17[Fechamento])</f>
        <v>40</v>
      </c>
      <c r="AZ470" s="7">
        <f>SUMPRODUCT(N(Tabela176[Código]=Tabela3[[#This Row],[PAPEL]]),Tabela176[Fechamento])</f>
        <v>0</v>
      </c>
      <c r="BA470" s="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t="11.25" customHeight="1">
      <c r="A471" s="3" t="s">
        <v>1206</v>
      </c>
      <c r="B471" s="57" t="s">
        <v>1202</v>
      </c>
      <c r="C471" s="16" t="str">
        <f>LEFT([PAPEL],LEN([PAPEL])-(LEN([PAPEL])-4))</f>
        <v>BALM</v>
      </c>
      <c r="D471" s="16">
        <v>3</v>
      </c>
      <c r="E471" s="5">
        <v>15000000</v>
      </c>
      <c r="F471" s="56">
        <v>490000</v>
      </c>
      <c r="G471" s="80">
        <v>0.25</v>
      </c>
      <c r="H471" s="86"/>
      <c r="J471" s="18"/>
      <c r="K471" s="16"/>
      <c r="L471" s="86"/>
      <c r="M471" s="47">
        <v>109025000</v>
      </c>
      <c r="N471" s="47">
        <v>67948000</v>
      </c>
      <c r="O471" s="47">
        <v>30740000</v>
      </c>
      <c r="P471" s="90">
        <v>65926000</v>
      </c>
      <c r="Q471" s="92">
        <v>10280000</v>
      </c>
      <c r="R471" s="73">
        <f>IF(Tabela3[[#This Row],[Ativo || Passivo]]&gt;0,Tabela3[[#This Row],[Ativo || Passivo]]-Tabela3[[#This Row],[Patrimônio Líquido]],0)</f>
        <v>43099000</v>
      </c>
      <c r="S471" s="7">
        <f>Tabela3[[#This Row],[Cotação]]*Tabela3[[#This Row],[Total Ações]]</f>
        <v>39200000</v>
      </c>
      <c r="T471" s="37">
        <f>IF(Tabela3[[#This Row],[Passivo Circulante]]&gt;0,Tabela3[[#This Row],[Ativo Circulante]]/Tabela3[[#This Row],[Passivo Circulante]],0)</f>
        <v>2.2104098893949251</v>
      </c>
      <c r="U47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1" s="18">
        <f>IF(Tabela3[[#This Row],[Lucro Líquido]]&gt;0,Tabela3[[#This Row],[Lucro Líquido]]/Tabela3[[#This Row],[Patrimônio Líquido]],0)/Tabela3[[#This Row],[Ref]]*4</f>
        <v>0.20790987875294523</v>
      </c>
      <c r="W47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1" s="18">
        <f>IF(Tabela3[[#This Row],[Dívida]]&gt;0,Tabela3[[#This Row],[Dívida]]/Tabela3[[#This Row],[Patrimônio Líquido]],0)</f>
        <v>0.65374814185602037</v>
      </c>
      <c r="Y471" s="18">
        <f>SUMPRODUCT(N([Dívida / PL]&gt;0),N(RIGHT([PAPEL],LEN([PAPEL])-(LEN([PAPEL])-1))="3"),[Dívida / PL])/SUMPRODUCT(N([Dívida / PL]&gt;0),N(RIGHT([PAPEL],LEN([PAPEL])-(LEN([PAPEL])-1))="3"))</f>
        <v>2.2435702141443779</v>
      </c>
      <c r="Z471" s="7">
        <f>Tabela3[[#This Row],[Capital Social]]*20%</f>
        <v>3000000</v>
      </c>
      <c r="AA471" s="47">
        <f>IF(([Lucro Líquido]*5%)&gt;[Teto R. Legal],[Teto R. Legal],[Lucro Líquido]*5%)</f>
        <v>514000</v>
      </c>
      <c r="AB471" s="47">
        <f>IF([Lucro Líquido]&lt;0,0,[Lucro Líquido]-[Reserva Legal])</f>
        <v>9766000</v>
      </c>
      <c r="AC471" s="47">
        <f>Tabela3[[#This Row],[Lucro Distribuir]]*[%Div]</f>
        <v>2441500</v>
      </c>
      <c r="AD471" s="56">
        <f>SUMPRODUCT(N([Nome]=Tabela3[[#This Row],[Nome]]),[Ações])</f>
        <v>980000</v>
      </c>
      <c r="AE471" s="84">
        <f>[Capital Social]/[Total Ações]</f>
        <v>15.306122448979592</v>
      </c>
      <c r="AF471" s="84">
        <f>Tabela3[[#This Row],[Lucro Líquido]]/Tabela3[[#This Row],[Total Ações]]</f>
        <v>10.489795918367347</v>
      </c>
      <c r="AG47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47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471" s="7">
        <f>[Div Base]*[Ações]</f>
        <v>1220750</v>
      </c>
      <c r="AL471" s="113">
        <f>SUMPRODUCT(N([Nome]=Tabela3[[#This Row],[Nome]]),[Div Base]*[Ações])</f>
        <v>2685650</v>
      </c>
      <c r="AM471" s="5">
        <f>[Patrimônio Líquido]/[Total Ações]</f>
        <v>67.271428571428572</v>
      </c>
      <c r="AN471" s="52">
        <f>MAX(Tabela3[[#This Row],[Cotação 1]:[Cotação 5]])</f>
        <v>40</v>
      </c>
      <c r="AO471" s="53">
        <f>[Cotação]/[VPA]</f>
        <v>0.59460607347632188</v>
      </c>
      <c r="AP471" s="37">
        <f>IF(Tabela3[[#This Row],[Lucro/Ação]]&gt;0,Tabela3[[#This Row],[Cotação]]/(Tabela3[[#This Row],[Lucro/Ação]]/[Ref]*4),0)</f>
        <v>2.8599221789883265</v>
      </c>
      <c r="AQ471" s="84">
        <f>[Lucro Distribuir]/[Total Ações]</f>
        <v>9.965306122448979</v>
      </c>
      <c r="AR471" s="84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471" s="10" t="str">
        <f>IF(AND([% A.A.]&gt;=5%,SUMPRODUCT(N([Nome]=Tabela3[[#This Row],[Nome]]),[PL])&gt;0,[Rentabilidade s/ PL]&gt;=[Rentabilidade s/ PL Média]),"Sim","Não")</f>
        <v>Sim</v>
      </c>
      <c r="AT471" s="22">
        <f>IF([Cotação]&gt;0,Tabela3[[#This Row],[Lucro]]/Tabela3[[#This Row],[Cotação]],0)</f>
        <v>6.228316326530612E-2</v>
      </c>
      <c r="AU471" s="22">
        <f>((1+Tabela3[[#This Row],[% Yield]])^(1/(3*Tabela3[[#This Row],[Ref]])))^(12)-1</f>
        <v>8.3894628893714795E-2</v>
      </c>
      <c r="AV471" s="14">
        <f>IF([Cotação]&gt;0,($BH$1/Tabela3[[#This Row],[Cotação]]-MOD($BH$1/Tabela3[[#This Row],[Cotação]],100)),)</f>
        <v>0</v>
      </c>
      <c r="AW471" s="7">
        <f>Tabela3[[#This Row],[Ativos]]*[Lucro]</f>
        <v>0</v>
      </c>
      <c r="AX471" s="7">
        <f>SUMPRODUCT(N(Tabela1[Código]=Tabela3[[#This Row],[PAPEL]]),Tabela1[Fechamento])</f>
        <v>0</v>
      </c>
      <c r="AY471" s="7">
        <f>SUMPRODUCT(N(Tabela17[Código]=Tabela3[[#This Row],[PAPEL]]),Tabela17[Fechamento])</f>
        <v>0</v>
      </c>
      <c r="AZ471" s="7">
        <f>SUMPRODUCT(N(Tabela176[Código]=Tabela3[[#This Row],[PAPEL]]),Tabela176[Fechamento])</f>
        <v>0</v>
      </c>
      <c r="BA471" s="7">
        <f>SUMPRODUCT(N(Tabela1768[Código]=Tabela3[[#This Row],[PAPEL]]),Tabela1768[Fechamento])</f>
        <v>0</v>
      </c>
      <c r="BB471" s="7">
        <f>SUMPRODUCT(N(Tabela17683[Código]=Tabela3[[#This Row],[PAPEL]]),Tabela17683[Fechamento])</f>
        <v>40</v>
      </c>
    </row>
    <row r="472" spans="1:54" ht="11.25" customHeight="1">
      <c r="A472" s="4" t="s">
        <v>12</v>
      </c>
      <c r="B472" s="58" t="s">
        <v>493</v>
      </c>
      <c r="C472" s="16" t="str">
        <f>LEFT([PAPEL],LEN([PAPEL])-(LEN([PAPEL])-4))</f>
        <v>RNEW</v>
      </c>
      <c r="D472" s="16">
        <v>4</v>
      </c>
      <c r="E472" s="5"/>
      <c r="F472" s="56"/>
      <c r="G472" s="85">
        <v>0.25</v>
      </c>
      <c r="H472" s="16"/>
      <c r="J472" s="18"/>
      <c r="K472" s="86">
        <v>1</v>
      </c>
      <c r="L472" s="86">
        <v>2</v>
      </c>
      <c r="M472" s="54"/>
      <c r="N472" s="54"/>
      <c r="O472" s="54"/>
      <c r="P472" s="90">
        <v>1000600000</v>
      </c>
      <c r="Q472" s="73">
        <v>5528000</v>
      </c>
      <c r="R472" s="73">
        <f>IF(Tabela3[[#This Row],[Ativo || Passivo]]&gt;0,Tabela3[[#This Row],[Ativo || Passivo]]-Tabela3[[#This Row],[Patrimônio Líquido]],0)</f>
        <v>0</v>
      </c>
      <c r="S472" s="73">
        <f>Tabela3[[#This Row],[Cotação]]*Tabela3[[#This Row],[Total Ações]]</f>
        <v>9288686708.7000008</v>
      </c>
      <c r="T472" s="37">
        <f>IF(Tabela3[[#This Row],[Passivo Circulante]]&gt;0,Tabela3[[#This Row],[Ativo Circulante]]/Tabela3[[#This Row],[Passivo Circulante]],0)</f>
        <v>0</v>
      </c>
      <c r="U47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2" s="18">
        <f>IF(Tabela3[[#This Row],[Lucro Líquido]]&gt;0,Tabela3[[#This Row],[Lucro Líquido]]/Tabela3[[#This Row],[Patrimônio Líquido]],0)/Tabela3[[#This Row],[Ref]]*4</f>
        <v>5.5246851888866681E-3</v>
      </c>
      <c r="W47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2" s="18">
        <f>IF(Tabela3[[#This Row],[Dívida]]&gt;0,Tabela3[[#This Row],[Dívida]]/Tabela3[[#This Row],[Patrimônio Líquido]],0)</f>
        <v>0</v>
      </c>
      <c r="Y472" s="18">
        <f>SUMPRODUCT(N([Dívida / PL]&gt;0),N(RIGHT([PAPEL],LEN([PAPEL])-(LEN([PAPEL])-1))="3"),[Dívida / PL])/SUMPRODUCT(N([Dívida / PL]&gt;0),N(RIGHT([PAPEL],LEN([PAPEL])-(LEN([PAPEL])-1))="3"))</f>
        <v>2.2435702141443779</v>
      </c>
      <c r="Z472" s="47">
        <f>Tabela3[[#This Row],[Capital Social]]*20%</f>
        <v>0</v>
      </c>
      <c r="AA472" s="47">
        <f>IF(([Lucro Líquido]*5%)&gt;[Teto R. Legal],[Teto R. Legal],[Lucro Líquido]*5%)</f>
        <v>0</v>
      </c>
      <c r="AB472" s="47">
        <f>IF([Lucro Líquido]&lt;0,0,[Lucro Líquido]-[Reserva Legal])</f>
        <v>5528000</v>
      </c>
      <c r="AC472" s="47">
        <f>Tabela3[[#This Row],[Lucro Distribuir]]*[%Div]</f>
        <v>1382000</v>
      </c>
      <c r="AD472" s="56">
        <f>SUMPRODUCT(N([Nome]=Tabela3[[#This Row],[Nome]]),[Ações])</f>
        <v>230031865</v>
      </c>
      <c r="AE472" s="5">
        <f>[Capital Social]/[Total Ações]</f>
        <v>0</v>
      </c>
      <c r="AF472" s="76">
        <f>Tabela3[[#This Row],[Lucro Líquido]]/Tabela3[[#This Row],[Total Ações]]</f>
        <v>2.403145320758061E-2</v>
      </c>
      <c r="AG47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2" s="47">
        <f>[Div Base]*[Ações]</f>
        <v>0</v>
      </c>
      <c r="AL472" s="47">
        <f>SUMPRODUCT(N([Nome]=Tabela3[[#This Row],[Nome]]),[Div Base]*[Ações])</f>
        <v>1312900</v>
      </c>
      <c r="AM472" s="5">
        <f>[Patrimônio Líquido]/[Total Ações]</f>
        <v>4.3498321417339287</v>
      </c>
      <c r="AN472" s="52">
        <f>MAX(Tabela3[[#This Row],[Cotação 1]:[Cotação 5]])</f>
        <v>40.380000000000003</v>
      </c>
      <c r="AO472" s="53">
        <f>[Cotação]/[VPA]</f>
        <v>9.2831168385968432</v>
      </c>
      <c r="AP472" s="37">
        <f>IF(Tabela3[[#This Row],[Lucro/Ação]]&gt;0,Tabela3[[#This Row],[Cotação]]/(Tabela3[[#This Row],[Lucro/Ação]]/[Ref]*4),0)</f>
        <v>1680.2978850759771</v>
      </c>
      <c r="AQ472" s="76">
        <f>[Lucro Distribuir]/[Total Ações]</f>
        <v>2.403145320758061E-2</v>
      </c>
      <c r="AR472" s="76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72" s="10" t="str">
        <f>IF(AND([% A.A.]&gt;=5%,SUMPRODUCT(N([Nome]=Tabela3[[#This Row],[Nome]]),[PL])&gt;0,[Rentabilidade s/ PL]&gt;=[Rentabilidade s/ PL Média]),"Sim","Não")</f>
        <v>Não</v>
      </c>
      <c r="AT472" s="22">
        <f>IF([Cotação]&gt;0,Tabela3[[#This Row],[Lucro]]/Tabela3[[#This Row],[Cotação]],0)</f>
        <v>4.2403195667164886E-4</v>
      </c>
      <c r="AU472" s="22">
        <f>((1+Tabela3[[#This Row],[% Yield]])^(1/(3*Tabela3[[#This Row],[Ref]])))^(12)-1</f>
        <v>4.2403195667284344E-4</v>
      </c>
      <c r="AV472" s="10">
        <f>IF([Cotação]&gt;0,($BH$1/Tabela3[[#This Row],[Cotação]]-MOD($BH$1/Tabela3[[#This Row],[Cotação]],100)),)</f>
        <v>0</v>
      </c>
      <c r="AW472" s="7">
        <f>Tabela3[[#This Row],[Ativos]]*[Lucro]</f>
        <v>0</v>
      </c>
      <c r="AX472" s="7">
        <f>SUMPRODUCT(N(Tabela1[Código]=Tabela3[[#This Row],[PAPEL]]),Tabela1[Fechamento])</f>
        <v>0</v>
      </c>
      <c r="AY472" s="7">
        <f>SUMPRODUCT(N(Tabela17[Código]=Tabela3[[#This Row],[PAPEL]]),Tabela17[Fechamento])</f>
        <v>40.380000000000003</v>
      </c>
      <c r="AZ472" s="7">
        <f>SUMPRODUCT(N(Tabela176[Código]=Tabela3[[#This Row],[PAPEL]]),Tabela176[Fechamento])</f>
        <v>0</v>
      </c>
      <c r="BA472" s="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customHeight="1">
      <c r="A473" s="3" t="s">
        <v>1225</v>
      </c>
      <c r="B473" s="57" t="s">
        <v>1211</v>
      </c>
      <c r="C473" s="16" t="str">
        <f>LEFT([PAPEL],LEN([PAPEL])-(LEN([PAPEL])-4))</f>
        <v>BDLL</v>
      </c>
      <c r="D473" s="16">
        <v>3</v>
      </c>
      <c r="E473" s="5">
        <v>116800000</v>
      </c>
      <c r="F473" s="56">
        <v>992808</v>
      </c>
      <c r="G473" s="80">
        <v>0.25</v>
      </c>
      <c r="H473" s="86"/>
      <c r="I473" s="18">
        <v>0.08</v>
      </c>
      <c r="J473" s="18"/>
      <c r="K473" s="16"/>
      <c r="L473" s="86"/>
      <c r="M473" s="54"/>
      <c r="N473" s="54"/>
      <c r="O473" s="54"/>
      <c r="P473" s="90">
        <v>366268000</v>
      </c>
      <c r="Q473" s="73">
        <v>-26803000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65600000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3" s="18">
        <f>IF(Tabela3[[#This Row],[Lucro Líquido]]&gt;0,Tabela3[[#This Row],[Lucro Líquido]]/Tabela3[[#This Row],[Patrimônio Líquido]],0)/Tabela3[[#This Row],[Ref]]*4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2.2435702141443779</v>
      </c>
      <c r="Z473" s="7">
        <f>Tabela3[[#This Row],[Capital Social]]*20%</f>
        <v>23360000</v>
      </c>
      <c r="AA473" s="47">
        <f>IF(([Lucro Líquido]*5%)&gt;[Teto R. Legal],[Teto R. Legal],[Lucro Líquido]*5%)</f>
        <v>-1340150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1600000</v>
      </c>
      <c r="AE473" s="84">
        <f>[Capital Social]/[Total Ações]</f>
        <v>73</v>
      </c>
      <c r="AF473" s="84">
        <f>Tabela3[[#This Row],[Lucro Líquido]]/Tabela3[[#This Row],[Total Ações]]</f>
        <v>-16.751874999999998</v>
      </c>
      <c r="AG47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113">
        <f>SUMPRODUCT(N([Nome]=Tabela3[[#This Row],[Nome]]),[Div Base]*[Ações])</f>
        <v>0</v>
      </c>
      <c r="AM473" s="5">
        <f>[Patrimônio Líquido]/[Total Ações]</f>
        <v>228.91749999999999</v>
      </c>
      <c r="AN473" s="52">
        <f>MAX(Tabela3[[#This Row],[Cotação 1]:[Cotação 5]])</f>
        <v>41</v>
      </c>
      <c r="AO473" s="53">
        <f>[Cotação]/[VPA]</f>
        <v>0.17910382561403126</v>
      </c>
      <c r="AP473" s="37">
        <f>IF(Tabela3[[#This Row],[Lucro/Ação]]&gt;0,Tabela3[[#This Row],[Cotação]]/(Tabela3[[#This Row],[Lucro/Ação]]/[Ref]*4),0)</f>
        <v>0</v>
      </c>
      <c r="AQ473" s="84">
        <f>[Lucro Distribuir]/[Total Ações]</f>
        <v>0</v>
      </c>
      <c r="AR473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41</v>
      </c>
    </row>
    <row r="474" spans="1:54" ht="11.25" customHeight="1">
      <c r="A474" s="3" t="s">
        <v>1099</v>
      </c>
      <c r="B474" s="57" t="s">
        <v>1088</v>
      </c>
      <c r="C474" s="16" t="str">
        <f>LEFT([PAPEL],LEN([PAPEL])-(LEN([PAPEL])-4))</f>
        <v>SOND</v>
      </c>
      <c r="D474" s="16">
        <v>3</v>
      </c>
      <c r="E474" s="5">
        <v>34200000</v>
      </c>
      <c r="F474" s="56">
        <v>784600</v>
      </c>
      <c r="G474" s="80">
        <v>0.25</v>
      </c>
      <c r="H474" s="86"/>
      <c r="I474" s="18">
        <v>0.1</v>
      </c>
      <c r="J474" s="18">
        <v>0.1</v>
      </c>
      <c r="K474" s="16"/>
      <c r="L474" s="86"/>
      <c r="M474" s="54"/>
      <c r="N474" s="54"/>
      <c r="O474" s="54"/>
      <c r="P474" s="90">
        <v>89835000</v>
      </c>
      <c r="Q474" s="73">
        <v>4840000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100773900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4" s="18">
        <f>IF(Tabela3[[#This Row],[Lucro Líquido]]&gt;0,Tabela3[[#This Row],[Lucro Líquido]]/Tabela3[[#This Row],[Patrimônio Líquido]],0)/Tabela3[[#This Row],[Ref]]*4</f>
        <v>7.183540194059479E-2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2.2435702141443779</v>
      </c>
      <c r="Z474" s="7">
        <f>Tabela3[[#This Row],[Capital Social]]*20%</f>
        <v>6840000</v>
      </c>
      <c r="AA474" s="47">
        <f>IF(([Lucro Líquido]*5%)&gt;[Teto R. Legal],[Teto R. Legal],[Lucro Líquido]*5%)</f>
        <v>242000</v>
      </c>
      <c r="AB474" s="47">
        <f>IF([Lucro Líquido]&lt;0,0,[Lucro Líquido]-[Reserva Legal])</f>
        <v>4598000</v>
      </c>
      <c r="AC474" s="47">
        <f>Tabela3[[#This Row],[Lucro Distribuir]]*[%Div]</f>
        <v>1149500</v>
      </c>
      <c r="AD474" s="56">
        <f>SUMPRODUCT(N([Nome]=Tabela3[[#This Row],[Nome]]),[Ações])</f>
        <v>2457900</v>
      </c>
      <c r="AE474" s="84">
        <f>[Capital Social]/[Total Ações]</f>
        <v>13.914317099963384</v>
      </c>
      <c r="AF474" s="84">
        <f>Tabela3[[#This Row],[Lucro Líquido]]/Tabela3[[#This Row],[Total Ações]]</f>
        <v>1.9691606656088532</v>
      </c>
      <c r="AG47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7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7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74" s="7">
        <f>[Div Base]*[Ações]</f>
        <v>1091717.319663127</v>
      </c>
      <c r="AL474" s="113">
        <f>SUMPRODUCT(N([Nome]=Tabela3[[#This Row],[Nome]]),[Div Base]*[Ações])</f>
        <v>2228934.4562431341</v>
      </c>
      <c r="AM474" s="5">
        <f>[Patrimônio Líquido]/[Total Ações]</f>
        <v>36.549493470035394</v>
      </c>
      <c r="AN474" s="52">
        <f>MAX(Tabela3[[#This Row],[Cotação 1]:[Cotação 5]])</f>
        <v>41</v>
      </c>
      <c r="AO474" s="53">
        <f>[Cotação]/[VPA]</f>
        <v>1.1217665720487562</v>
      </c>
      <c r="AP474" s="37">
        <f>IF(Tabela3[[#This Row],[Lucro/Ação]]&gt;0,Tabela3[[#This Row],[Cotação]]/(Tabela3[[#This Row],[Lucro/Ação]]/[Ref]*4),0)</f>
        <v>15.615790289256198</v>
      </c>
      <c r="AQ474" s="84">
        <f>[Lucro Distribuir]/[Total Ações]</f>
        <v>1.8707026323284104</v>
      </c>
      <c r="AR474" s="84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3.3937358780398497E-2</v>
      </c>
      <c r="AU474" s="22">
        <f>((1+Tabela3[[#This Row],[% Yield]])^(1/(3*Tabela3[[#This Row],[Ref]])))^(12)-1</f>
        <v>4.5503851470041878E-2</v>
      </c>
      <c r="AV474" s="10">
        <f>IF([Cotação]&gt;0,($BH$1/Tabela3[[#This Row],[Cotação]]-MOD($BH$1/Tabela3[[#This Row],[Cotação]],100)),)</f>
        <v>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</v>
      </c>
      <c r="BB474" s="7">
        <f>SUMPRODUCT(N(Tabela17683[Código]=Tabela3[[#This Row],[PAPEL]]),Tabela17683[Fechamento])</f>
        <v>41</v>
      </c>
    </row>
    <row r="475" spans="1:54" ht="11.25" customHeight="1">
      <c r="A475" s="3" t="s">
        <v>1099</v>
      </c>
      <c r="B475" s="57" t="s">
        <v>1087</v>
      </c>
      <c r="C475" s="16" t="str">
        <f>LEFT([PAPEL],LEN([PAPEL])-(LEN([PAPEL])-4))</f>
        <v>SOND</v>
      </c>
      <c r="D475" s="16">
        <v>3</v>
      </c>
      <c r="E475" s="5">
        <v>34200000</v>
      </c>
      <c r="F475" s="56">
        <v>856000</v>
      </c>
      <c r="G475" s="80">
        <v>0.25</v>
      </c>
      <c r="H475" s="86"/>
      <c r="J475" s="18"/>
      <c r="K475" s="16"/>
      <c r="L475" s="86"/>
      <c r="M475" s="54"/>
      <c r="N475" s="54"/>
      <c r="O475" s="54"/>
      <c r="P475" s="90">
        <v>89835000</v>
      </c>
      <c r="Q475" s="73">
        <v>4840000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103231800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5" s="18">
        <f>IF(Tabela3[[#This Row],[Lucro Líquido]]&gt;0,Tabela3[[#This Row],[Lucro Líquido]]/Tabela3[[#This Row],[Patrimônio Líquido]],0)/Tabela3[[#This Row],[Ref]]*4</f>
        <v>7.183540194059479E-2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2.2435702141443779</v>
      </c>
      <c r="Z475" s="7">
        <f>Tabela3[[#This Row],[Capital Social]]*20%</f>
        <v>6840000</v>
      </c>
      <c r="AA475" s="47">
        <f>IF(([Lucro Líquido]*5%)&gt;[Teto R. Legal],[Teto R. Legal],[Lucro Líquido]*5%)</f>
        <v>242000</v>
      </c>
      <c r="AB475" s="47">
        <f>IF([Lucro Líquido]&lt;0,0,[Lucro Líquido]-[Reserva Legal])</f>
        <v>4598000</v>
      </c>
      <c r="AC475" s="47">
        <f>Tabela3[[#This Row],[Lucro Distribuir]]*[%Div]</f>
        <v>1149500</v>
      </c>
      <c r="AD475" s="56">
        <f>SUMPRODUCT(N([Nome]=Tabela3[[#This Row],[Nome]]),[Ações])</f>
        <v>2457900</v>
      </c>
      <c r="AE475" s="84">
        <f>[Capital Social]/[Total Ações]</f>
        <v>13.914317099963384</v>
      </c>
      <c r="AF475" s="84">
        <f>Tabela3[[#This Row],[Lucro Líquido]]/Tabela3[[#This Row],[Total Ações]]</f>
        <v>1.9691606656088532</v>
      </c>
      <c r="AG47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7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113">
        <f>SUMPRODUCT(N([Nome]=Tabela3[[#This Row],[Nome]]),[Div Base]*[Ações])</f>
        <v>2228934.4562431341</v>
      </c>
      <c r="AM475" s="5">
        <f>[Patrimônio Líquido]/[Total Ações]</f>
        <v>36.549493470035394</v>
      </c>
      <c r="AN475" s="52">
        <f>MAX(Tabela3[[#This Row],[Cotação 1]:[Cotação 5]])</f>
        <v>42</v>
      </c>
      <c r="AO475" s="53">
        <f>[Cotação]/[VPA]</f>
        <v>1.1491267323426282</v>
      </c>
      <c r="AP475" s="37">
        <f>IF(Tabela3[[#This Row],[Lucro/Ação]]&gt;0,Tabela3[[#This Row],[Cotação]]/(Tabela3[[#This Row],[Lucro/Ação]]/[Ref]*4),0)</f>
        <v>15.996663223140496</v>
      </c>
      <c r="AQ475" s="84">
        <f>[Lucro Distribuir]/[Total Ações]</f>
        <v>1.8707026323284104</v>
      </c>
      <c r="AR475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42</v>
      </c>
    </row>
    <row r="476" spans="1:54" ht="11.25" customHeight="1">
      <c r="A476" s="4" t="s">
        <v>14</v>
      </c>
      <c r="B476" s="57" t="s">
        <v>197</v>
      </c>
      <c r="C476" s="14" t="str">
        <f>LEFT([PAPEL],LEN([PAPEL])-(LEN([PAPEL])-4))</f>
        <v>BGIP</v>
      </c>
      <c r="D476" s="15">
        <v>4</v>
      </c>
      <c r="E476" s="6">
        <v>160000000</v>
      </c>
      <c r="F476" s="8">
        <v>5270721</v>
      </c>
      <c r="G476" s="85">
        <v>0.25</v>
      </c>
      <c r="H476" s="15"/>
      <c r="I476" s="19"/>
      <c r="J476" s="19">
        <v>0.1</v>
      </c>
      <c r="K476" s="87"/>
      <c r="L476" s="87"/>
      <c r="M476" s="55">
        <v>3378125000</v>
      </c>
      <c r="N476" s="55">
        <v>2294349000</v>
      </c>
      <c r="O476" s="55">
        <v>2281662000</v>
      </c>
      <c r="P476" s="6">
        <v>279485000</v>
      </c>
      <c r="Q476" s="6">
        <v>58340000</v>
      </c>
      <c r="R476" s="6">
        <f>IF(Tabela3[[#This Row],[Ativo || Passivo]]&gt;0,Tabela3[[#This Row],[Ativo || Passivo]]-Tabela3[[#This Row],[Patrimônio Líquido]],0)</f>
        <v>3098640000</v>
      </c>
      <c r="S476" s="6">
        <f>Tabela3[[#This Row],[Cotação]]*Tabela3[[#This Row],[Total Ações]]</f>
        <v>453282006</v>
      </c>
      <c r="T476" s="121">
        <f>IF(Tabela3[[#This Row],[Passivo Circulante]]&gt;0,Tabela3[[#This Row],[Ativo Circulante]]/Tabela3[[#This Row],[Passivo Circulante]],0)</f>
        <v>1.0055604204303705</v>
      </c>
      <c r="U47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6" s="19">
        <f>IF(Tabela3[[#This Row],[Lucro Líquido]]&gt;0,Tabela3[[#This Row],[Lucro Líquido]]/Tabela3[[#This Row],[Patrimônio Líquido]],0)/Tabela3[[#This Row],[Ref]]*4</f>
        <v>0.2087410773386765</v>
      </c>
      <c r="W47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6" s="19">
        <f>IF(Tabela3[[#This Row],[Dívida]]&gt;0,Tabela3[[#This Row],[Dívida]]/Tabela3[[#This Row],[Patrimônio Líquido]],0)</f>
        <v>11.086963522192605</v>
      </c>
      <c r="Y476" s="19">
        <f>SUMPRODUCT(N([Dívida / PL]&gt;0),N(RIGHT([PAPEL],LEN([PAPEL])-(LEN([PAPEL])-1))="3"),[Dívida / PL])/SUMPRODUCT(N([Dívida / PL]&gt;0),N(RIGHT([PAPEL],LEN([PAPEL])-(LEN([PAPEL])-1))="3"))</f>
        <v>2.2435702141443779</v>
      </c>
      <c r="Z476" s="6">
        <f>Tabela3[[#This Row],[Capital Social]]*20%</f>
        <v>32000000</v>
      </c>
      <c r="AA476" s="6">
        <f>IF(([Lucro Líquido]*5%)&gt;[Teto R. Legal],[Teto R. Legal],[Lucro Líquido]*5%)</f>
        <v>2917000</v>
      </c>
      <c r="AB476" s="6">
        <f>IF([Lucro Líquido]&lt;0,0,[Lucro Líquido]-[Reserva Legal])</f>
        <v>55423000</v>
      </c>
      <c r="AC476" s="6">
        <f>Tabela3[[#This Row],[Lucro Distribuir]]*[%Div]</f>
        <v>13855750</v>
      </c>
      <c r="AD476" s="21">
        <f>SUMPRODUCT(N([Nome]=Tabela3[[#This Row],[Nome]]),[Ações])</f>
        <v>10541442</v>
      </c>
      <c r="AE476" s="6">
        <f>[Capital Social]/[Total Ações]</f>
        <v>15.178189094053735</v>
      </c>
      <c r="AF476" s="77">
        <f>Tabela3[[#This Row],[Lucro Líquido]]/Tabela3[[#This Row],[Total Ações]]</f>
        <v>5.5343471984193435</v>
      </c>
      <c r="AG4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76" s="6">
        <f>[Div Base]*[Ações]</f>
        <v>7383554.7214084752</v>
      </c>
      <c r="AL476" s="6">
        <f>SUMPRODUCT(N([Nome]=Tabela3[[#This Row],[Nome]]),[Div Base]*[Ações])</f>
        <v>14095877.186221</v>
      </c>
      <c r="AM476" s="6">
        <f>[Patrimônio Líquido]/[Total Ações]</f>
        <v>26.512976118447551</v>
      </c>
      <c r="AN476" s="48">
        <f>MAX(Tabela3[[#This Row],[Cotação 1]:[Cotação 5]])</f>
        <v>43</v>
      </c>
      <c r="AO476" s="44">
        <f>[Cotação]/[VPA]</f>
        <v>1.6218473478004187</v>
      </c>
      <c r="AP476" s="40">
        <f>IF(Tabela3[[#This Row],[Lucro/Ação]]&gt;0,Tabela3[[#This Row],[Cotação]]/(Tabela3[[#This Row],[Lucro/Ação]]/[Ref]*4),0)</f>
        <v>7.7696607130613646</v>
      </c>
      <c r="AQ476" s="77">
        <f>[Lucro Distribuir]/[Total Ações]</f>
        <v>5.2576298384983762</v>
      </c>
      <c r="AR476" s="77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76" s="15" t="str">
        <f>IF(AND([% A.A.]&gt;=5%,SUMPRODUCT(N([Nome]=Tabela3[[#This Row],[Nome]]),[PL])&gt;0,[Rentabilidade s/ PL]&gt;=[Rentabilidade s/ PL Média]),"Sim","Não")</f>
        <v>Não</v>
      </c>
      <c r="AT476" s="42">
        <f>IF([Cotação]&gt;0,Tabela3[[#This Row],[Lucro]]/Tabela3[[#This Row],[Cotação]],0)</f>
        <v>3.257819469413694E-2</v>
      </c>
      <c r="AU476" s="19">
        <f>((1+Tabela3[[#This Row],[% Yield]])^(1/(3*Tabela3[[#This Row],[Ref]])))^(12)-1</f>
        <v>3.2578194694136808E-2</v>
      </c>
      <c r="AV476" s="14">
        <f>IF([Cotação]&gt;0,($BH$1/Tabela3[[#This Row],[Cotação]]-MOD($BH$1/Tabela3[[#This Row],[Cotação]],100)),)</f>
        <v>0</v>
      </c>
      <c r="AW476" s="17">
        <f>Tabela3[[#This Row],[Ativos]]*[Lucro]</f>
        <v>0</v>
      </c>
      <c r="AX476" s="5">
        <f>SUMPRODUCT(N(Tabela1[Código]=Tabela3[[#This Row],[PAPEL]]),Tabela1[Fechamento])</f>
        <v>43</v>
      </c>
      <c r="AY476" s="5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</v>
      </c>
      <c r="BB476" s="7">
        <f>SUMPRODUCT(N(Tabela17683[Código]=Tabela3[[#This Row],[PAPEL]]),Tabela17683[Fechamento])</f>
        <v>0</v>
      </c>
    </row>
    <row r="477" spans="1:54" ht="11.25" customHeight="1">
      <c r="A477" s="4" t="s">
        <v>14</v>
      </c>
      <c r="B477" s="57" t="s">
        <v>196</v>
      </c>
      <c r="C477" s="14" t="str">
        <f>LEFT([PAPEL],LEN([PAPEL])-(LEN([PAPEL])-4))</f>
        <v>BGIP</v>
      </c>
      <c r="D477" s="15">
        <v>4</v>
      </c>
      <c r="E477" s="6">
        <v>160000000</v>
      </c>
      <c r="F477" s="8">
        <v>5270721</v>
      </c>
      <c r="G477" s="80">
        <v>0.25</v>
      </c>
      <c r="H477" s="15"/>
      <c r="I477" s="19"/>
      <c r="J477" s="19"/>
      <c r="K477" s="87"/>
      <c r="L477" s="87"/>
      <c r="M477" s="55">
        <v>3378125000</v>
      </c>
      <c r="N477" s="55">
        <v>2294349000</v>
      </c>
      <c r="O477" s="55">
        <v>2281662000</v>
      </c>
      <c r="P477" s="6">
        <v>279485000</v>
      </c>
      <c r="Q477" s="6">
        <v>58340000</v>
      </c>
      <c r="R477" s="6">
        <f>IF(Tabela3[[#This Row],[Ativo || Passivo]]&gt;0,Tabela3[[#This Row],[Ativo || Passivo]]-Tabela3[[#This Row],[Patrimônio Líquido]],0)</f>
        <v>3098640000</v>
      </c>
      <c r="S477" s="6">
        <f>Tabela3[[#This Row],[Cotação]]*Tabela3[[#This Row],[Total Ações]]</f>
        <v>455917366.5</v>
      </c>
      <c r="T477" s="121">
        <f>IF(Tabela3[[#This Row],[Passivo Circulante]]&gt;0,Tabela3[[#This Row],[Ativo Circulante]]/Tabela3[[#This Row],[Passivo Circulante]],0)</f>
        <v>1.0055604204303705</v>
      </c>
      <c r="U47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7" s="19">
        <f>IF(Tabela3[[#This Row],[Lucro Líquido]]&gt;0,Tabela3[[#This Row],[Lucro Líquido]]/Tabela3[[#This Row],[Patrimônio Líquido]],0)/Tabela3[[#This Row],[Ref]]*4</f>
        <v>0.2087410773386765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7" s="19">
        <f>IF(Tabela3[[#This Row],[Dívida]]&gt;0,Tabela3[[#This Row],[Dívida]]/Tabela3[[#This Row],[Patrimônio Líquido]],0)</f>
        <v>11.086963522192605</v>
      </c>
      <c r="Y477" s="19">
        <f>SUMPRODUCT(N([Dívida / PL]&gt;0),N(RIGHT([PAPEL],LEN([PAPEL])-(LEN([PAPEL])-1))="3"),[Dívida / PL])/SUMPRODUCT(N([Dívida / PL]&gt;0),N(RIGHT([PAPEL],LEN([PAPEL])-(LEN([PAPEL])-1))="3"))</f>
        <v>2.2435702141443779</v>
      </c>
      <c r="Z477" s="6">
        <f>Tabela3[[#This Row],[Capital Social]]*20%</f>
        <v>32000000</v>
      </c>
      <c r="AA477" s="6">
        <f>IF(([Lucro Líquido]*5%)&gt;[Teto R. Legal],[Teto R. Legal],[Lucro Líquido]*5%)</f>
        <v>2917000</v>
      </c>
      <c r="AB477" s="6">
        <f>IF([Lucro Líquido]&lt;0,0,[Lucro Líquido]-[Reserva Legal])</f>
        <v>55423000</v>
      </c>
      <c r="AC477" s="6">
        <f>Tabela3[[#This Row],[Lucro Distribuir]]*[%Div]</f>
        <v>13855750</v>
      </c>
      <c r="AD477" s="21">
        <f>SUMPRODUCT(N([Nome]=Tabela3[[#This Row],[Nome]]),[Ações])</f>
        <v>10541442</v>
      </c>
      <c r="AE477" s="6">
        <f>[Capital Social]/[Total Ações]</f>
        <v>15.178189094053735</v>
      </c>
      <c r="AF477" s="77">
        <f>Tabela3[[#This Row],[Lucro Líquido]]/Tabela3[[#This Row],[Total Ações]]</f>
        <v>5.5343471984193435</v>
      </c>
      <c r="AG4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7" s="6">
        <f>[Div Base]*[Ações]</f>
        <v>6712322.4648125246</v>
      </c>
      <c r="AL477" s="6">
        <f>SUMPRODUCT(N([Nome]=Tabela3[[#This Row],[Nome]]),[Div Base]*[Ações])</f>
        <v>14095877.186221</v>
      </c>
      <c r="AM477" s="6">
        <f>[Patrimônio Líquido]/[Total Ações]</f>
        <v>26.512976118447551</v>
      </c>
      <c r="AN477" s="48">
        <f>MAX(Tabela3[[#This Row],[Cotação 1]:[Cotação 5]])</f>
        <v>43.25</v>
      </c>
      <c r="AO477" s="44">
        <f>[Cotação]/[VPA]</f>
        <v>1.63127669284577</v>
      </c>
      <c r="AP477" s="40">
        <f>IF(Tabela3[[#This Row],[Lucro/Ação]]&gt;0,Tabela3[[#This Row],[Cotação]]/(Tabela3[[#This Row],[Lucro/Ação]]/[Ref]*4),0)</f>
        <v>7.8148331590675353</v>
      </c>
      <c r="AQ477" s="77">
        <f>[Lucro Distribuir]/[Total Ações]</f>
        <v>5.2576298384983762</v>
      </c>
      <c r="AR477" s="77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2.9445346714216575E-2</v>
      </c>
      <c r="AU477" s="19">
        <f>((1+Tabela3[[#This Row],[% Yield]])^(1/(3*Tabela3[[#This Row],[Ref]])))^(12)-1</f>
        <v>2.9445346714217058E-2</v>
      </c>
      <c r="AV477" s="14">
        <f>IF([Cotação]&gt;0,($BH$1/Tabela3[[#This Row],[Cotação]]-MOD($BH$1/Tabela3[[#This Row],[Cotação]],100)),)</f>
        <v>0</v>
      </c>
      <c r="AW477" s="17">
        <f>Tabela3[[#This Row],[Ativos]]*[Lucro]</f>
        <v>0</v>
      </c>
      <c r="AX477" s="5">
        <f>SUMPRODUCT(N(Tabela1[Código]=Tabela3[[#This Row],[PAPEL]]),Tabela1[Fechamento])</f>
        <v>43.25</v>
      </c>
      <c r="AY477" s="5">
        <f>SUMPRODUCT(N(Tabela17[Código]=Tabela3[[#This Row],[PAPEL]]),Tabela17[Fechamento])</f>
        <v>0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t="11.25" customHeight="1">
      <c r="A478" s="3" t="s">
        <v>269</v>
      </c>
      <c r="B478" s="58" t="s">
        <v>268</v>
      </c>
      <c r="C478" s="82" t="str">
        <f>LEFT([PAPEL],LEN([PAPEL])-(LEN([PAPEL])-4))</f>
        <v>BRFS</v>
      </c>
      <c r="D478" s="16">
        <v>4</v>
      </c>
      <c r="E478" s="5">
        <v>12460471000</v>
      </c>
      <c r="F478" s="56">
        <v>872473246</v>
      </c>
      <c r="G478" s="80">
        <v>0.25</v>
      </c>
      <c r="H478" s="16"/>
      <c r="J478" s="18"/>
      <c r="K478" s="86"/>
      <c r="L478" s="86"/>
      <c r="M478" s="54">
        <v>31652197000</v>
      </c>
      <c r="N478" s="54">
        <v>10570290000</v>
      </c>
      <c r="O478" s="54">
        <v>9395238000</v>
      </c>
      <c r="P478" s="5">
        <v>14655071000</v>
      </c>
      <c r="Q478" s="5">
        <v>1062430000</v>
      </c>
      <c r="R478" s="5">
        <f>IF(Tabela3[[#This Row],[Ativo || Passivo]]&gt;0,Tabela3[[#This Row],[Ativo || Passivo]]-Tabela3[[#This Row],[Patrimônio Líquido]],0)</f>
        <v>16997126000</v>
      </c>
      <c r="S478" s="5">
        <f>Tabela3[[#This Row],[Cotação]]*Tabela3[[#This Row],[Total Ações]]</f>
        <v>38388822824</v>
      </c>
      <c r="T478" s="119">
        <f>IF(Tabela3[[#This Row],[Passivo Circulante]]&gt;0,Tabela3[[#This Row],[Ativo Circulante]]/Tabela3[[#This Row],[Passivo Circulante]],0)</f>
        <v>1.1250688912830096</v>
      </c>
      <c r="U478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8" s="18">
        <f>IF(Tabela3[[#This Row],[Lucro Líquido]]&gt;0,Tabela3[[#This Row],[Lucro Líquido]]/Tabela3[[#This Row],[Patrimônio Líquido]],0)/Tabela3[[#This Row],[Ref]]*4</f>
        <v>7.2495725199830149E-2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8" s="18">
        <f>IF(Tabela3[[#This Row],[Dívida]]&gt;0,Tabela3[[#This Row],[Dívida]]/Tabela3[[#This Row],[Patrimônio Líquido]],0)</f>
        <v>1.159811917663176</v>
      </c>
      <c r="Y478" s="18">
        <f>SUMPRODUCT(N([Dívida / PL]&gt;0),N(RIGHT([PAPEL],LEN([PAPEL])-(LEN([PAPEL])-1))="3"),[Dívida / PL])/SUMPRODUCT(N([Dívida / PL]&gt;0),N(RIGHT([PAPEL],LEN([PAPEL])-(LEN([PAPEL])-1))="3"))</f>
        <v>2.2435702141443779</v>
      </c>
      <c r="Z478" s="5">
        <f>Tabela3[[#This Row],[Capital Social]]*20%</f>
        <v>2492094200</v>
      </c>
      <c r="AA478" s="5">
        <f>IF(([Lucro Líquido]*5%)&gt;[Teto R. Legal],[Teto R. Legal],[Lucro Líquido]*5%)</f>
        <v>53121500</v>
      </c>
      <c r="AB478" s="5">
        <f>IF([Lucro Líquido]&lt;0,0,[Lucro Líquido]-[Reserva Legal])</f>
        <v>1009308500</v>
      </c>
      <c r="AC478" s="5">
        <f>Tabela3[[#This Row],[Lucro Distribuir]]*[%Div]</f>
        <v>252327125</v>
      </c>
      <c r="AD478" s="21">
        <f>SUMPRODUCT(N([Nome]=Tabela3[[#This Row],[Nome]]),[Ações])</f>
        <v>872473246</v>
      </c>
      <c r="AE478" s="5">
        <f>[Capital Social]/[Total Ações]</f>
        <v>14.28178005128194</v>
      </c>
      <c r="AF478" s="76">
        <f>Tabela3[[#This Row],[Lucro Líquido]]/Tabela3[[#This Row],[Total Ações]]</f>
        <v>1.2177221535111691</v>
      </c>
      <c r="AG478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478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478" s="5">
        <f>[Div Base]*[Ações]</f>
        <v>252327125</v>
      </c>
      <c r="AL478" s="5">
        <f>SUMPRODUCT(N([Nome]=Tabela3[[#This Row],[Nome]]),[Div Base]*[Ações])</f>
        <v>252327125</v>
      </c>
      <c r="AM478" s="5">
        <f>[Patrimônio Líquido]/[Total Ações]</f>
        <v>16.797158041451279</v>
      </c>
      <c r="AN478" s="52">
        <f>MAX(Tabela3[[#This Row],[Cotação 1]:[Cotação 5]])</f>
        <v>44</v>
      </c>
      <c r="AO478" s="53">
        <f>[Cotação]/[VPA]</f>
        <v>2.6194907431018244</v>
      </c>
      <c r="AP478" s="37">
        <f>IF(Tabela3[[#This Row],[Lucro/Ação]]&gt;0,Tabela3[[#This Row],[Cotação]]/(Tabela3[[#This Row],[Lucro/Ação]]/[Ref]*4),0)</f>
        <v>36.133037305045981</v>
      </c>
      <c r="AQ478" s="76">
        <f>[Lucro Distribuir]/[Total Ações]</f>
        <v>1.1568360458356106</v>
      </c>
      <c r="AR478" s="76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478" s="16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6.5729320786114239E-3</v>
      </c>
      <c r="AU478" s="18">
        <f>((1+Tabela3[[#This Row],[% Yield]])^(1/(3*Tabela3[[#This Row],[Ref]])))^(12)-1</f>
        <v>6.5729320786123147E-3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47">
        <f>SUMPRODUCT(N(Tabela1[Código]=Tabela3[[#This Row],[PAPEL]]),Tabela1[Fechamento])</f>
        <v>0</v>
      </c>
      <c r="AY478" s="54">
        <f>SUMPRODUCT(N(Tabela17[Código]=Tabela3[[#This Row],[PAPEL]]),Tabela17[Fechamento])</f>
        <v>44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0</v>
      </c>
    </row>
    <row r="479" spans="1:54" ht="11.25" customHeight="1">
      <c r="A479" s="3" t="s">
        <v>1099</v>
      </c>
      <c r="B479" s="57" t="s">
        <v>1089</v>
      </c>
      <c r="C479" s="16" t="str">
        <f>LEFT([PAPEL],LEN([PAPEL])-(LEN([PAPEL])-4))</f>
        <v>SOND</v>
      </c>
      <c r="D479" s="16">
        <v>3</v>
      </c>
      <c r="E479" s="5">
        <v>34200000</v>
      </c>
      <c r="F479" s="56">
        <v>817300</v>
      </c>
      <c r="G479" s="80">
        <v>0.25</v>
      </c>
      <c r="H479" s="86"/>
      <c r="I479" s="18">
        <v>0.1</v>
      </c>
      <c r="J479" s="18">
        <v>0.1</v>
      </c>
      <c r="K479" s="16"/>
      <c r="L479" s="86"/>
      <c r="M479" s="54"/>
      <c r="N479" s="54"/>
      <c r="O479" s="54"/>
      <c r="P479" s="90">
        <v>89835000</v>
      </c>
      <c r="Q479" s="73">
        <v>4840000</v>
      </c>
      <c r="R479" s="73">
        <f>IF(Tabela3[[#This Row],[Ativo || Passivo]]&gt;0,Tabela3[[#This Row],[Ativo || Passivo]]-Tabela3[[#This Row],[Patrimônio Líquido]],0)</f>
        <v>0</v>
      </c>
      <c r="S479" s="73">
        <f>Tabela3[[#This Row],[Cotação]]*Tabela3[[#This Row],[Total Ações]]</f>
        <v>108147600</v>
      </c>
      <c r="T479" s="37">
        <f>IF(Tabela3[[#This Row],[Passivo Circulante]]&gt;0,Tabela3[[#This Row],[Ativo Circulante]]/Tabela3[[#This Row],[Passivo Circulante]],0)</f>
        <v>0</v>
      </c>
      <c r="U47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79" s="18">
        <f>IF(Tabela3[[#This Row],[Lucro Líquido]]&gt;0,Tabela3[[#This Row],[Lucro Líquido]]/Tabela3[[#This Row],[Patrimônio Líquido]],0)/Tabela3[[#This Row],[Ref]]*4</f>
        <v>7.183540194059479E-2</v>
      </c>
      <c r="W47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79" s="18">
        <f>IF(Tabela3[[#This Row],[Dívida]]&gt;0,Tabela3[[#This Row],[Dívida]]/Tabela3[[#This Row],[Patrimônio Líquido]],0)</f>
        <v>0</v>
      </c>
      <c r="Y479" s="18">
        <f>SUMPRODUCT(N([Dívida / PL]&gt;0),N(RIGHT([PAPEL],LEN([PAPEL])-(LEN([PAPEL])-1))="3"),[Dívida / PL])/SUMPRODUCT(N([Dívida / PL]&gt;0),N(RIGHT([PAPEL],LEN([PAPEL])-(LEN([PAPEL])-1))="3"))</f>
        <v>2.2435702141443779</v>
      </c>
      <c r="Z479" s="7">
        <f>Tabela3[[#This Row],[Capital Social]]*20%</f>
        <v>6840000</v>
      </c>
      <c r="AA479" s="47">
        <f>IF(([Lucro Líquido]*5%)&gt;[Teto R. Legal],[Teto R. Legal],[Lucro Líquido]*5%)</f>
        <v>242000</v>
      </c>
      <c r="AB479" s="47">
        <f>IF([Lucro Líquido]&lt;0,0,[Lucro Líquido]-[Reserva Legal])</f>
        <v>4598000</v>
      </c>
      <c r="AC479" s="47">
        <f>Tabela3[[#This Row],[Lucro Distribuir]]*[%Div]</f>
        <v>1149500</v>
      </c>
      <c r="AD479" s="56">
        <f>SUMPRODUCT(N([Nome]=Tabela3[[#This Row],[Nome]]),[Ações])</f>
        <v>2457900</v>
      </c>
      <c r="AE479" s="84">
        <f>[Capital Social]/[Total Ações]</f>
        <v>13.914317099963384</v>
      </c>
      <c r="AF479" s="84">
        <f>Tabela3[[#This Row],[Lucro Líquido]]/Tabela3[[#This Row],[Total Ações]]</f>
        <v>1.9691606656088532</v>
      </c>
      <c r="AG47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7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7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79" s="7">
        <f>[Div Base]*[Ações]</f>
        <v>1137217.1365800072</v>
      </c>
      <c r="AL479" s="113">
        <f>SUMPRODUCT(N([Nome]=Tabela3[[#This Row],[Nome]]),[Div Base]*[Ações])</f>
        <v>2228934.4562431341</v>
      </c>
      <c r="AM479" s="5">
        <f>[Patrimônio Líquido]/[Total Ações]</f>
        <v>36.549493470035394</v>
      </c>
      <c r="AN479" s="52">
        <f>MAX(Tabela3[[#This Row],[Cotação 1]:[Cotação 5]])</f>
        <v>44</v>
      </c>
      <c r="AO479" s="53">
        <f>[Cotação]/[VPA]</f>
        <v>1.2038470529303724</v>
      </c>
      <c r="AP479" s="37">
        <f>IF(Tabela3[[#This Row],[Lucro/Ação]]&gt;0,Tabela3[[#This Row],[Cotação]]/(Tabela3[[#This Row],[Lucro/Ação]]/[Ref]*4),0)</f>
        <v>16.75840909090909</v>
      </c>
      <c r="AQ479" s="84">
        <f>[Lucro Distribuir]/[Total Ações]</f>
        <v>1.8707026323284104</v>
      </c>
      <c r="AR479" s="84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79" s="10" t="str">
        <f>IF(AND([% A.A.]&gt;=5%,SUMPRODUCT(N([Nome]=Tabela3[[#This Row],[Nome]]),[PL])&gt;0,[Rentabilidade s/ PL]&gt;=[Rentabilidade s/ PL Média]),"Sim","Não")</f>
        <v>Não</v>
      </c>
      <c r="AT479" s="22">
        <f>IF([Cotação]&gt;0,Tabela3[[#This Row],[Lucro]]/Tabela3[[#This Row],[Cotação]],0)</f>
        <v>3.162344795446223E-2</v>
      </c>
      <c r="AU479" s="22">
        <f>((1+Tabela3[[#This Row],[% Yield]])^(1/(3*Tabela3[[#This Row],[Ref]])))^(12)-1</f>
        <v>4.2385287449836717E-2</v>
      </c>
      <c r="AV479" s="10">
        <f>IF([Cotação]&gt;0,($BH$1/Tabela3[[#This Row],[Cotação]]-MOD($BH$1/Tabela3[[#This Row],[Cotação]],100)),)</f>
        <v>0</v>
      </c>
      <c r="AW479" s="7">
        <f>Tabela3[[#This Row],[Ativos]]*[Lucro]</f>
        <v>0</v>
      </c>
      <c r="AX479" s="7">
        <f>SUMPRODUCT(N(Tabela1[Código]=Tabela3[[#This Row],[PAPEL]]),Tabela1[Fechamento])</f>
        <v>0</v>
      </c>
      <c r="AY479" s="7">
        <f>SUMPRODUCT(N(Tabela17[Código]=Tabela3[[#This Row],[PAPEL]]),Tabela17[Fechamento])</f>
        <v>0</v>
      </c>
      <c r="AZ479" s="7">
        <f>SUMPRODUCT(N(Tabela176[Código]=Tabela3[[#This Row],[PAPEL]]),Tabela176[Fechamento])</f>
        <v>0</v>
      </c>
      <c r="BA479" s="7">
        <f>SUMPRODUCT(N(Tabela1768[Código]=Tabela3[[#This Row],[PAPEL]]),Tabela1768[Fechamento])</f>
        <v>0</v>
      </c>
      <c r="BB479" s="7">
        <f>SUMPRODUCT(N(Tabela17683[Código]=Tabela3[[#This Row],[PAPEL]]),Tabela17683[Fechamento])</f>
        <v>44</v>
      </c>
    </row>
    <row r="480" spans="1:54" ht="11.25" customHeight="1">
      <c r="A480" s="3" t="s">
        <v>283</v>
      </c>
      <c r="B480" s="58" t="s">
        <v>285</v>
      </c>
      <c r="C480" s="82" t="str">
        <f>LEFT([PAPEL],LEN([PAPEL])-(LEN([PAPEL])-4))</f>
        <v>VIVT</v>
      </c>
      <c r="D480" s="16">
        <v>3</v>
      </c>
      <c r="E480" s="5">
        <v>37798109745.029999</v>
      </c>
      <c r="F480" s="56">
        <v>744014819</v>
      </c>
      <c r="G480" s="85">
        <v>0.25</v>
      </c>
      <c r="H480" s="18"/>
      <c r="J480" s="18">
        <v>0.1</v>
      </c>
      <c r="K480" s="86"/>
      <c r="L480" s="86"/>
      <c r="M480" s="54"/>
      <c r="N480" s="54"/>
      <c r="O480" s="54"/>
      <c r="P480" s="5">
        <v>43631075000</v>
      </c>
      <c r="Q480" s="5">
        <v>2484629000</v>
      </c>
      <c r="R480" s="5">
        <f>IF(Tabela3[[#This Row],[Ativo || Passivo]]&gt;0,Tabela3[[#This Row],[Ativo || Passivo]]-Tabela3[[#This Row],[Patrimônio Líquido]],0)</f>
        <v>0</v>
      </c>
      <c r="S480" s="5">
        <f>Tabela3[[#This Row],[Cotação]]*Tabela3[[#This Row],[Total Ações]]</f>
        <v>50449478502.599998</v>
      </c>
      <c r="T480" s="119">
        <f>IF(Tabela3[[#This Row],[Passivo Circulante]]&gt;0,Tabela3[[#This Row],[Ativo Circulante]]/Tabela3[[#This Row],[Passivo Circulante]],0)</f>
        <v>0</v>
      </c>
      <c r="U480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0" s="18">
        <f>IF(Tabela3[[#This Row],[Lucro Líquido]]&gt;0,Tabela3[[#This Row],[Lucro Líquido]]/Tabela3[[#This Row],[Patrimônio Líquido]],0)/Tabela3[[#This Row],[Ref]]*4</f>
        <v>7.5928421810983721E-2</v>
      </c>
      <c r="W48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0" s="18">
        <f>IF(Tabela3[[#This Row],[Dívida]]&gt;0,Tabela3[[#This Row],[Dívida]]/Tabela3[[#This Row],[Patrimônio Líquido]],0)</f>
        <v>0</v>
      </c>
      <c r="Y480" s="18">
        <f>SUMPRODUCT(N([Dívida / PL]&gt;0),N(RIGHT([PAPEL],LEN([PAPEL])-(LEN([PAPEL])-1))="3"),[Dívida / PL])/SUMPRODUCT(N([Dívida / PL]&gt;0),N(RIGHT([PAPEL],LEN([PAPEL])-(LEN([PAPEL])-1))="3"))</f>
        <v>2.2435702141443779</v>
      </c>
      <c r="Z480" s="5">
        <f>Tabela3[[#This Row],[Capital Social]]*20%</f>
        <v>7559621949.0060005</v>
      </c>
      <c r="AA480" s="5">
        <f>IF(([Lucro Líquido]*5%)&gt;[Teto R. Legal],[Teto R. Legal],[Lucro Líquido]*5%)</f>
        <v>124231450</v>
      </c>
      <c r="AB480" s="5">
        <f>IF([Lucro Líquido]&lt;0,0,[Lucro Líquido]-[Reserva Legal])</f>
        <v>2360397550</v>
      </c>
      <c r="AC480" s="5">
        <f>Tabela3[[#This Row],[Lucro Distribuir]]*[%Div]</f>
        <v>590099387.5</v>
      </c>
      <c r="AD480" s="56">
        <f>SUMPRODUCT(N([Nome]=Tabela3[[#This Row],[Nome]]),[Ações])</f>
        <v>1125601930</v>
      </c>
      <c r="AE480" s="5">
        <f>[Capital Social]/[Total Ações]</f>
        <v>33.580352642989872</v>
      </c>
      <c r="AF480" s="76">
        <f>Tabela3[[#This Row],[Lucro Líquido]]/Tabela3[[#This Row],[Total Ações]]</f>
        <v>2.2073780559349254</v>
      </c>
      <c r="AG480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480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480" s="5">
        <f>[Div Base]*[Ações]</f>
        <v>415707036.15293616</v>
      </c>
      <c r="AL480" s="5">
        <f>SUMPRODUCT(N([Nome]=Tabela3[[#This Row],[Nome]]),[Div Base]*[Ações])</f>
        <v>609530700.90182471</v>
      </c>
      <c r="AM480" s="5">
        <f>[Patrimônio Líquido]/[Total Ações]</f>
        <v>38.762437978406808</v>
      </c>
      <c r="AN480" s="52">
        <f>MAX(Tabela3[[#This Row],[Cotação 1]:[Cotação 5]])</f>
        <v>44.82</v>
      </c>
      <c r="AO480" s="53">
        <f>[Cotação]/[VPA]</f>
        <v>1.1562740203536126</v>
      </c>
      <c r="AP480" s="37">
        <f>IF(Tabela3[[#This Row],[Lucro/Ação]]&gt;0,Tabela3[[#This Row],[Cotação]]/(Tabela3[[#This Row],[Lucro/Ação]]/[Ref]*4),0)</f>
        <v>15.228474302179521</v>
      </c>
      <c r="AQ480" s="76">
        <f>[Lucro Distribuir]/[Total Ações]</f>
        <v>2.0970091531381789</v>
      </c>
      <c r="AR480" s="76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480" s="16" t="str">
        <f>IF(AND([% A.A.]&gt;=5%,SUMPRODUCT(N([Nome]=Tabela3[[#This Row],[Nome]]),[PL])&gt;0,[Rentabilidade s/ PL]&gt;=[Rentabilidade s/ PL Média]),"Sim","Não")</f>
        <v>Não</v>
      </c>
      <c r="AT480" s="22">
        <f>IF([Cotação]&gt;0,Tabela3[[#This Row],[Lucro]]/Tabela3[[#This Row],[Cotação]],0)</f>
        <v>1.2466195614616144E-2</v>
      </c>
      <c r="AU480" s="18">
        <f>((1+Tabela3[[#This Row],[% Yield]])^(1/(3*Tabela3[[#This Row],[Ref]])))^(12)-1</f>
        <v>1.6656033650276125E-2</v>
      </c>
      <c r="AV480" s="10">
        <f>IF([Cotação]&gt;0,($BH$1/Tabela3[[#This Row],[Cotação]]-MOD($BH$1/Tabela3[[#This Row],[Cotação]],100)),)</f>
        <v>0</v>
      </c>
      <c r="AW480" s="7">
        <f>Tabela3[[#This Row],[Ativos]]*[Lucro]</f>
        <v>0</v>
      </c>
      <c r="AX480" s="47">
        <f>SUMPRODUCT(N(Tabela1[Código]=Tabela3[[#This Row],[PAPEL]]),Tabela1[Fechamento])</f>
        <v>0</v>
      </c>
      <c r="AY480" s="54">
        <f>SUMPRODUCT(N(Tabela17[Código]=Tabela3[[#This Row],[PAPEL]]),Tabela17[Fechamento])</f>
        <v>44.82</v>
      </c>
      <c r="AZ480" s="7">
        <f>SUMPRODUCT(N(Tabela176[Código]=Tabela3[[#This Row],[PAPEL]]),Tabela176[Fechamento])</f>
        <v>0</v>
      </c>
      <c r="BA480" s="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customHeight="1">
      <c r="A481" s="3" t="s">
        <v>1225</v>
      </c>
      <c r="B481" s="57" t="s">
        <v>1210</v>
      </c>
      <c r="C481" s="16" t="str">
        <f>LEFT([PAPEL],LEN([PAPEL])-(LEN([PAPEL])-4))</f>
        <v>BDLL</v>
      </c>
      <c r="D481" s="16">
        <v>3</v>
      </c>
      <c r="E481" s="5">
        <v>116800000</v>
      </c>
      <c r="F481" s="56">
        <v>607192</v>
      </c>
      <c r="G481" s="80">
        <v>0.25</v>
      </c>
      <c r="H481" s="86"/>
      <c r="J481" s="18"/>
      <c r="K481" s="16"/>
      <c r="L481" s="86"/>
      <c r="M481" s="54"/>
      <c r="N481" s="54"/>
      <c r="O481" s="54"/>
      <c r="P481" s="90">
        <v>366268000</v>
      </c>
      <c r="Q481" s="73">
        <v>-26803000</v>
      </c>
      <c r="R481" s="73">
        <f>IF(Tabela3[[#This Row],[Ativo || Passivo]]&gt;0,Tabela3[[#This Row],[Ativo || Passivo]]-Tabela3[[#This Row],[Patrimônio Líquido]],0)</f>
        <v>0</v>
      </c>
      <c r="S481" s="73">
        <f>Tabela3[[#This Row],[Cotação]]*Tabela3[[#This Row],[Total Ações]]</f>
        <v>72000000</v>
      </c>
      <c r="T481" s="37">
        <f>IF(Tabela3[[#This Row],[Passivo Circulante]]&gt;0,Tabela3[[#This Row],[Ativo Circulante]]/Tabela3[[#This Row],[Passivo Circulante]],0)</f>
        <v>0</v>
      </c>
      <c r="U48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1" s="18">
        <f>IF(Tabela3[[#This Row],[Lucro Líquido]]&gt;0,Tabela3[[#This Row],[Lucro Líquido]]/Tabela3[[#This Row],[Patrimônio Líquido]],0)/Tabela3[[#This Row],[Ref]]*4</f>
        <v>0</v>
      </c>
      <c r="W48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1" s="18">
        <f>IF(Tabela3[[#This Row],[Dívida]]&gt;0,Tabela3[[#This Row],[Dívida]]/Tabela3[[#This Row],[Patrimônio Líquido]],0)</f>
        <v>0</v>
      </c>
      <c r="Y481" s="18">
        <f>SUMPRODUCT(N([Dívida / PL]&gt;0),N(RIGHT([PAPEL],LEN([PAPEL])-(LEN([PAPEL])-1))="3"),[Dívida / PL])/SUMPRODUCT(N([Dívida / PL]&gt;0),N(RIGHT([PAPEL],LEN([PAPEL])-(LEN([PAPEL])-1))="3"))</f>
        <v>2.2435702141443779</v>
      </c>
      <c r="Z481" s="7">
        <f>Tabela3[[#This Row],[Capital Social]]*20%</f>
        <v>23360000</v>
      </c>
      <c r="AA481" s="47">
        <f>IF(([Lucro Líquido]*5%)&gt;[Teto R. Legal],[Teto R. Legal],[Lucro Líquido]*5%)</f>
        <v>-1340150</v>
      </c>
      <c r="AB481" s="47">
        <f>IF([Lucro Líquido]&lt;0,0,[Lucro Líquido]-[Reserva Legal])</f>
        <v>0</v>
      </c>
      <c r="AC481" s="47">
        <f>Tabela3[[#This Row],[Lucro Distribuir]]*[%Div]</f>
        <v>0</v>
      </c>
      <c r="AD481" s="56">
        <f>SUMPRODUCT(N([Nome]=Tabela3[[#This Row],[Nome]]),[Ações])</f>
        <v>1600000</v>
      </c>
      <c r="AE481" s="84">
        <f>[Capital Social]/[Total Ações]</f>
        <v>73</v>
      </c>
      <c r="AF481" s="84">
        <f>Tabela3[[#This Row],[Lucro Líquido]]/Tabela3[[#This Row],[Total Ações]]</f>
        <v>-16.751874999999998</v>
      </c>
      <c r="AG48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7">
        <f>[Div Base]*[Ações]</f>
        <v>0</v>
      </c>
      <c r="AL481" s="113">
        <f>SUMPRODUCT(N([Nome]=Tabela3[[#This Row],[Nome]]),[Div Base]*[Ações])</f>
        <v>0</v>
      </c>
      <c r="AM481" s="5">
        <f>[Patrimônio Líquido]/[Total Ações]</f>
        <v>228.91749999999999</v>
      </c>
      <c r="AN481" s="52">
        <f>MAX(Tabela3[[#This Row],[Cotação 1]:[Cotação 5]])</f>
        <v>45</v>
      </c>
      <c r="AO481" s="53">
        <f>[Cotação]/[VPA]</f>
        <v>0.19657736957637578</v>
      </c>
      <c r="AP481" s="37">
        <f>IF(Tabela3[[#This Row],[Lucro/Ação]]&gt;0,Tabela3[[#This Row],[Cotação]]/(Tabela3[[#This Row],[Lucro/Ação]]/[Ref]*4),0)</f>
        <v>0</v>
      </c>
      <c r="AQ481" s="84">
        <f>[Lucro Distribuir]/[Total Ações]</f>
        <v>0</v>
      </c>
      <c r="AR48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0" t="str">
        <f>IF(AND([% A.A.]&gt;=5%,SUMPRODUCT(N([Nome]=Tabela3[[#This Row],[Nome]]),[PL])&gt;0,[Rentabilidade s/ PL]&gt;=[Rentabilidade s/ PL Média]),"Sim","Não")</f>
        <v>Não</v>
      </c>
      <c r="AT481" s="22">
        <f>IF([Cotação]&gt;0,Tabela3[[#This Row],[Lucro]]/Tabela3[[#This Row],[Cotação]],0)</f>
        <v>0</v>
      </c>
      <c r="AU481" s="22">
        <f>((1+Tabela3[[#This Row],[% Yield]])^(1/(3*Tabela3[[#This Row],[Ref]])))^(12)-1</f>
        <v>0</v>
      </c>
      <c r="AV481" s="10">
        <f>IF([Cotação]&gt;0,($BH$1/Tabela3[[#This Row],[Cotação]]-MOD($BH$1/Tabela3[[#This Row],[Cotação]],100)),)</f>
        <v>0</v>
      </c>
      <c r="AW481" s="7">
        <f>Tabela3[[#This Row],[Ativos]]*[Lucro]</f>
        <v>0</v>
      </c>
      <c r="AX481" s="7">
        <f>SUMPRODUCT(N(Tabela1[Código]=Tabela3[[#This Row],[PAPEL]]),Tabela1[Fechamento])</f>
        <v>0</v>
      </c>
      <c r="AY481" s="7">
        <f>SUMPRODUCT(N(Tabela17[Código]=Tabela3[[#This Row],[PAPEL]]),Tabela17[Fechamento])</f>
        <v>0</v>
      </c>
      <c r="AZ481" s="7">
        <f>SUMPRODUCT(N(Tabela176[Código]=Tabela3[[#This Row],[PAPEL]]),Tabela176[Fechamento])</f>
        <v>0</v>
      </c>
      <c r="BA481" s="7">
        <f>SUMPRODUCT(N(Tabela1768[Código]=Tabela3[[#This Row],[PAPEL]]),Tabela1768[Fechamento])</f>
        <v>0</v>
      </c>
      <c r="BB481" s="7">
        <f>SUMPRODUCT(N(Tabela17683[Código]=Tabela3[[#This Row],[PAPEL]]),Tabela17683[Fechamento])</f>
        <v>45</v>
      </c>
    </row>
    <row r="482" spans="1:54" ht="11.25" customHeight="1">
      <c r="A482" s="4" t="s">
        <v>12</v>
      </c>
      <c r="B482" s="60" t="s">
        <v>153</v>
      </c>
      <c r="C482" s="14" t="str">
        <f>LEFT([PAPEL],LEN([PAPEL])-(LEN([PAPEL])-4))</f>
        <v>TRPL</v>
      </c>
      <c r="D482" s="15">
        <v>3</v>
      </c>
      <c r="E482" s="6">
        <v>2000000000</v>
      </c>
      <c r="F482" s="8">
        <v>64484433</v>
      </c>
      <c r="G482" s="85">
        <v>0.25</v>
      </c>
      <c r="H482" s="15"/>
      <c r="I482" s="19"/>
      <c r="J482" s="19"/>
      <c r="K482" s="87"/>
      <c r="L482" s="87"/>
      <c r="M482" s="55"/>
      <c r="N482" s="55"/>
      <c r="O482" s="55"/>
      <c r="P482" s="88">
        <v>4953037000</v>
      </c>
      <c r="Q482" s="88">
        <v>-126863000</v>
      </c>
      <c r="R482" s="88">
        <f>IF(Tabela3[[#This Row],[Ativo || Passivo]]&gt;0,Tabela3[[#This Row],[Ativo || Passivo]]-Tabela3[[#This Row],[Patrimônio Líquido]],0)</f>
        <v>0</v>
      </c>
      <c r="S482" s="88">
        <f>Tabela3[[#This Row],[Cotação]]*Tabela3[[#This Row],[Total Ações]]</f>
        <v>6976633520.5</v>
      </c>
      <c r="T482" s="121">
        <f>IF(Tabela3[[#This Row],[Passivo Circulante]]&gt;0,Tabela3[[#This Row],[Ativo Circulante]]/Tabela3[[#This Row],[Passivo Circulante]],0)</f>
        <v>0</v>
      </c>
      <c r="U482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2" s="19">
        <f>IF(Tabela3[[#This Row],[Lucro Líquido]]&gt;0,Tabela3[[#This Row],[Lucro Líquido]]/Tabela3[[#This Row],[Patrimônio Líquido]],0)/Tabela3[[#This Row],[Ref]]*4</f>
        <v>0</v>
      </c>
      <c r="W482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2" s="19">
        <f>IF(Tabela3[[#This Row],[Dívida]]&gt;0,Tabela3[[#This Row],[Dívida]]/Tabela3[[#This Row],[Patrimônio Líquido]],0)</f>
        <v>0</v>
      </c>
      <c r="Y482" s="19">
        <f>SUMPRODUCT(N([Dívida / PL]&gt;0),N(RIGHT([PAPEL],LEN([PAPEL])-(LEN([PAPEL])-1))="3"),[Dívida / PL])/SUMPRODUCT(N([Dívida / PL]&gt;0),N(RIGHT([PAPEL],LEN([PAPEL])-(LEN([PAPEL])-1))="3"))</f>
        <v>2.2435702141443779</v>
      </c>
      <c r="Z482" s="6">
        <f>Tabela3[[#This Row],[Capital Social]]*20%</f>
        <v>400000000</v>
      </c>
      <c r="AA482" s="6">
        <f>IF(([Lucro Líquido]*5%)&gt;[Teto R. Legal],[Teto R. Legal],[Lucro Líquido]*5%)</f>
        <v>-6343150</v>
      </c>
      <c r="AB482" s="88">
        <f>IF([Lucro Líquido]&lt;0,0,[Lucro Líquido]-[Reserva Legal])</f>
        <v>0</v>
      </c>
      <c r="AC482" s="88">
        <f>Tabela3[[#This Row],[Lucro Distribuir]]*[%Div]</f>
        <v>0</v>
      </c>
      <c r="AD482" s="56">
        <f>SUMPRODUCT(N([Nome]=Tabela3[[#This Row],[Nome]]),[Ações])</f>
        <v>152661565</v>
      </c>
      <c r="AE482" s="6">
        <f>[Capital Social]/[Total Ações]</f>
        <v>13.100874473545453</v>
      </c>
      <c r="AF482" s="77">
        <f>Tabela3[[#This Row],[Lucro Líquido]]/Tabela3[[#This Row],[Total Ações]]</f>
        <v>-0.83100811916869843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2" s="6">
        <f>[Div Base]*[Ações]</f>
        <v>0</v>
      </c>
      <c r="AL482" s="6">
        <f>SUMPRODUCT(N([Nome]=Tabela3[[#This Row],[Nome]]),[Div Base]*[Ações])</f>
        <v>0</v>
      </c>
      <c r="AM482" s="6">
        <f>[Patrimônio Líquido]/[Total Ações]</f>
        <v>32.444557999913073</v>
      </c>
      <c r="AN482" s="48">
        <f>MAX(Tabela3[[#This Row],[Cotação 1]:[Cotação 5]])</f>
        <v>45.7</v>
      </c>
      <c r="AO482" s="44">
        <f>[Cotação]/[VPA]</f>
        <v>1.4085567138908919</v>
      </c>
      <c r="AP482" s="40">
        <f>IF(Tabela3[[#This Row],[Lucro/Ação]]&gt;0,Tabela3[[#This Row],[Cotação]]/(Tabela3[[#This Row],[Lucro/Ação]]/[Ref]*4),0)</f>
        <v>0</v>
      </c>
      <c r="AQ482" s="77">
        <f>[Lucro Distribuir]/[Total Ações]</f>
        <v>0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2" s="15" t="str">
        <f>IF(AND([% A.A.]&gt;=5%,SUMPRODUCT(N([Nome]=Tabela3[[#This Row],[Nome]]),[PL])&gt;0,[Rentabilidade s/ PL]&gt;=[Rentabilidade s/ PL Média]),"Sim","Não")</f>
        <v>Não</v>
      </c>
      <c r="AT482" s="42">
        <f>IF([Cotação]&gt;0,Tabela3[[#This Row],[Lucro]]/Tabela3[[#This Row],[Cotação]],0)</f>
        <v>0</v>
      </c>
      <c r="AU482" s="19">
        <f>((1+Tabela3[[#This Row],[% Yield]])^(1/(3*Tabela3[[#This Row],[Ref]])))^(12)-1</f>
        <v>0</v>
      </c>
      <c r="AV482" s="14">
        <f>IF([Cotação]&gt;0,($BH$1/Tabela3[[#This Row],[Cotação]]-MOD($BH$1/Tabela3[[#This Row],[Cotação]],100)),)</f>
        <v>0</v>
      </c>
      <c r="AW482" s="17">
        <f>Tabela3[[#This Row],[Ativos]]*[Lucro]</f>
        <v>0</v>
      </c>
      <c r="AX482" s="5">
        <f>SUMPRODUCT(N(Tabela1[Código]=Tabela3[[#This Row],[PAPEL]]),Tabela1[Fechamento])</f>
        <v>45.7</v>
      </c>
      <c r="AY482" s="5">
        <f>SUMPRODUCT(N(Tabela17[Código]=Tabela3[[#This Row],[PAPEL]]),Tabela17[Fechamento])</f>
        <v>0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customHeight="1">
      <c r="A483" s="3" t="s">
        <v>335</v>
      </c>
      <c r="B483" s="58" t="s">
        <v>346</v>
      </c>
      <c r="C483" s="82" t="str">
        <f>LEFT([PAPEL],LEN([PAPEL])-(LEN([PAPEL])-4))</f>
        <v>MULT</v>
      </c>
      <c r="D483" s="16">
        <v>4</v>
      </c>
      <c r="E483" s="6">
        <v>2388062147.3800001</v>
      </c>
      <c r="F483" s="21">
        <v>178138867</v>
      </c>
      <c r="G483" s="80">
        <v>0.25</v>
      </c>
      <c r="H483" s="16"/>
      <c r="J483" s="18"/>
      <c r="K483" s="86"/>
      <c r="L483" s="86"/>
      <c r="M483" s="54">
        <v>5678320000</v>
      </c>
      <c r="N483" s="54">
        <v>471283000</v>
      </c>
      <c r="O483" s="54">
        <v>313058000</v>
      </c>
      <c r="P483" s="5">
        <v>3819988000</v>
      </c>
      <c r="Q483" s="5">
        <v>283942000</v>
      </c>
      <c r="R483" s="5">
        <f>IF(Tabela3[[#This Row],[Ativo || Passivo]]&gt;0,Tabela3[[#This Row],[Ativo || Passivo]]-Tabela3[[#This Row],[Patrimônio Líquido]],0)</f>
        <v>1858332000</v>
      </c>
      <c r="S483" s="5">
        <f>Tabela3[[#This Row],[Cotação]]*Tabela3[[#This Row],[Total Ações]]</f>
        <v>8804470896.7600002</v>
      </c>
      <c r="T483" s="119">
        <f>IF(Tabela3[[#This Row],[Passivo Circulante]]&gt;0,Tabela3[[#This Row],[Ativo Circulante]]/Tabela3[[#This Row],[Passivo Circulante]],0)</f>
        <v>1.5054175264647445</v>
      </c>
      <c r="U483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3" s="18">
        <f>IF(Tabela3[[#This Row],[Lucro Líquido]]&gt;0,Tabela3[[#This Row],[Lucro Líquido]]/Tabela3[[#This Row],[Patrimônio Líquido]],0)/Tabela3[[#This Row],[Ref]]*4</f>
        <v>7.4330599991413587E-2</v>
      </c>
      <c r="W48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3" s="18">
        <f>IF(Tabela3[[#This Row],[Dívida]]&gt;0,Tabela3[[#This Row],[Dívida]]/Tabela3[[#This Row],[Patrimônio Líquido]],0)</f>
        <v>0.48647587374620027</v>
      </c>
      <c r="Y483" s="18">
        <f>SUMPRODUCT(N([Dívida / PL]&gt;0),N(RIGHT([PAPEL],LEN([PAPEL])-(LEN([PAPEL])-1))="3"),[Dívida / PL])/SUMPRODUCT(N([Dívida / PL]&gt;0),N(RIGHT([PAPEL],LEN([PAPEL])-(LEN([PAPEL])-1))="3"))</f>
        <v>2.2435702141443779</v>
      </c>
      <c r="Z483" s="5">
        <f>Tabela3[[#This Row],[Capital Social]]*20%</f>
        <v>477612429.47600007</v>
      </c>
      <c r="AA483" s="5">
        <f>IF(([Lucro Líquido]*5%)&gt;[Teto R. Legal],[Teto R. Legal],[Lucro Líquido]*5%)</f>
        <v>14197100</v>
      </c>
      <c r="AB483" s="5">
        <f>IF([Lucro Líquido]&lt;0,0,[Lucro Líquido]-[Reserva Legal])</f>
        <v>269744900</v>
      </c>
      <c r="AC483" s="5">
        <f>Tabela3[[#This Row],[Lucro Distribuir]]*[%Div]</f>
        <v>67436225</v>
      </c>
      <c r="AD483" s="56">
        <f>SUMPRODUCT(N([Nome]=Tabela3[[#This Row],[Nome]]),[Ações])</f>
        <v>189997214</v>
      </c>
      <c r="AE483" s="5">
        <f>[Capital Social]/[Total Ações]</f>
        <v>12.568932444346263</v>
      </c>
      <c r="AF483" s="76">
        <f>Tabela3[[#This Row],[Lucro Líquido]]/Tabela3[[#This Row],[Total Ações]]</f>
        <v>1.4944534923548931</v>
      </c>
      <c r="AG48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48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483" s="5">
        <f>[Div Base]*[Ações]</f>
        <v>63227309.829169787</v>
      </c>
      <c r="AL483" s="5">
        <f>SUMPRODUCT(N([Nome]=Tabela3[[#This Row],[Nome]]),[Div Base]*[Ações])</f>
        <v>67436225</v>
      </c>
      <c r="AM483" s="5">
        <f>[Patrimônio Líquido]/[Total Ações]</f>
        <v>20.105494810044952</v>
      </c>
      <c r="AN483" s="52">
        <f>MAX(Tabela3[[#This Row],[Cotação 1]:[Cotação 5]])</f>
        <v>46.34</v>
      </c>
      <c r="AO483" s="53">
        <f>[Cotação]/[VPA]</f>
        <v>2.3048425536310586</v>
      </c>
      <c r="AP483" s="37">
        <f>IF(Tabela3[[#This Row],[Lucro/Ação]]&gt;0,Tabela3[[#This Row],[Cotação]]/(Tabela3[[#This Row],[Lucro/Ação]]/[Ref]*4),0)</f>
        <v>31.007990705003138</v>
      </c>
      <c r="AQ483" s="76">
        <f>[Lucro Distribuir]/[Total Ações]</f>
        <v>1.4197308177371486</v>
      </c>
      <c r="AR483" s="76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7.6593160214563473E-3</v>
      </c>
      <c r="AU483" s="18">
        <f>((1+Tabela3[[#This Row],[% Yield]])^(1/(3*Tabela3[[#This Row],[Ref]])))^(12)-1</f>
        <v>7.6593160214568634E-3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46.34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customHeight="1">
      <c r="A484" s="4" t="s">
        <v>559</v>
      </c>
      <c r="B484" s="57" t="s">
        <v>560</v>
      </c>
      <c r="C484" s="15" t="str">
        <f>LEFT([PAPEL],LEN([PAPEL])-(LEN([PAPEL])-4))</f>
        <v>LINX</v>
      </c>
      <c r="D484" s="15">
        <v>4</v>
      </c>
      <c r="E484" s="6">
        <v>346482097.77999997</v>
      </c>
      <c r="F484" s="8">
        <v>46556463</v>
      </c>
      <c r="G484" s="85">
        <v>0.25</v>
      </c>
      <c r="H484" s="15"/>
      <c r="I484" s="19"/>
      <c r="J484" s="19"/>
      <c r="K484" s="87"/>
      <c r="L484" s="87"/>
      <c r="M484" s="55"/>
      <c r="N484" s="55"/>
      <c r="O484" s="55"/>
      <c r="P484" s="6">
        <v>586370000</v>
      </c>
      <c r="Q484" s="92">
        <v>62410000</v>
      </c>
      <c r="R484" s="92">
        <f>IF(Tabela3[[#This Row],[Ativo || Passivo]]&gt;0,Tabela3[[#This Row],[Ativo || Passivo]]-Tabela3[[#This Row],[Patrimônio Líquido]],0)</f>
        <v>0</v>
      </c>
      <c r="S484" s="92">
        <f>Tabela3[[#This Row],[Cotação]]*Tabela3[[#This Row],[Total Ações]]</f>
        <v>2164875529.5</v>
      </c>
      <c r="T484" s="40">
        <f>IF(Tabela3[[#This Row],[Passivo Circulante]]&gt;0,Tabela3[[#This Row],[Ativo Circulante]]/Tabela3[[#This Row],[Passivo Circulante]],0)</f>
        <v>0</v>
      </c>
      <c r="U484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4" s="19">
        <f>IF(Tabela3[[#This Row],[Lucro Líquido]]&gt;0,Tabela3[[#This Row],[Lucro Líquido]]/Tabela3[[#This Row],[Patrimônio Líquido]],0)/Tabela3[[#This Row],[Ref]]*4</f>
        <v>0.10643450381158655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2.2435702141443779</v>
      </c>
      <c r="Z484" s="13">
        <f>Tabela3[[#This Row],[Capital Social]]*20%</f>
        <v>69296419.555999994</v>
      </c>
      <c r="AA484" s="13">
        <f>IF(([Lucro Líquido]*5%)&gt;[Teto R. Legal],[Teto R. Legal],[Lucro Líquido]*5%)</f>
        <v>3120500</v>
      </c>
      <c r="AB484" s="13">
        <f>IF([Lucro Líquido]&lt;0,0,[Lucro Líquido]-[Reserva Legal])</f>
        <v>59289500</v>
      </c>
      <c r="AC484" s="13">
        <f>Tabela3[[#This Row],[Lucro Distribuir]]*[%Div]</f>
        <v>14822375</v>
      </c>
      <c r="AD484" s="56">
        <f>SUMPRODUCT(N([Nome]=Tabela3[[#This Row],[Nome]]),[Ações])</f>
        <v>46556463</v>
      </c>
      <c r="AE484" s="6">
        <f>[Capital Social]/[Total Ações]</f>
        <v>7.4421911686031645</v>
      </c>
      <c r="AF484" s="77">
        <f>Tabela3[[#This Row],[Lucro Líquido]]/Tabela3[[#This Row],[Total Ações]]</f>
        <v>1.3405227970174625</v>
      </c>
      <c r="AG4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4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484" s="13">
        <f>[Div Base]*[Ações]</f>
        <v>14822375</v>
      </c>
      <c r="AL484" s="13">
        <f>SUMPRODUCT(N([Nome]=Tabela3[[#This Row],[Nome]]),[Div Base]*[Ações])</f>
        <v>14822375</v>
      </c>
      <c r="AM484" s="6">
        <f>[Patrimônio Líquido]/[Total Ações]</f>
        <v>12.594814172202042</v>
      </c>
      <c r="AN484" s="48">
        <f>MAX(Tabela3[[#This Row],[Cotação 1]:[Cotação 5]])</f>
        <v>46.5</v>
      </c>
      <c r="AO484" s="44">
        <f>[Cotação]/[VPA]</f>
        <v>3.691995718573597</v>
      </c>
      <c r="AP484" s="40">
        <f>IF(Tabela3[[#This Row],[Lucro/Ação]]&gt;0,Tabela3[[#This Row],[Cotação]]/(Tabela3[[#This Row],[Lucro/Ação]]/[Ref]*4),0)</f>
        <v>34.687959133151736</v>
      </c>
      <c r="AQ484" s="77">
        <f>[Lucro Distribuir]/[Total Ações]</f>
        <v>1.2734966571665893</v>
      </c>
      <c r="AR484" s="77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484" s="14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6.8467562213257492E-3</v>
      </c>
      <c r="AU484" s="42">
        <f>((1+Tabela3[[#This Row],[% Yield]])^(1/(3*Tabela3[[#This Row],[Ref]])))^(12)-1</f>
        <v>6.8467562213252453E-3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7">
        <f>SUMPRODUCT(N(Tabela1[Código]=Tabela3[[#This Row],[PAPEL]]),Tabela1[Fechamento])</f>
        <v>0</v>
      </c>
      <c r="AY484" s="17">
        <f>SUMPRODUCT(N(Tabela17[Código]=Tabela3[[#This Row],[PAPEL]]),Tabela17[Fechamento])</f>
        <v>0</v>
      </c>
      <c r="AZ484" s="17">
        <f>SUMPRODUCT(N(Tabela176[Código]=Tabela3[[#This Row],[PAPEL]]),Tabela176[Fechamento])</f>
        <v>46.5</v>
      </c>
      <c r="BA484" s="1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customHeight="1">
      <c r="A485" s="3" t="s">
        <v>1166</v>
      </c>
      <c r="B485" s="57" t="s">
        <v>1168</v>
      </c>
      <c r="C485" s="16" t="str">
        <f>LEFT([PAPEL],LEN([PAPEL])-(LEN([PAPEL])-4))</f>
        <v>LUXM</v>
      </c>
      <c r="D485" s="16">
        <v>3</v>
      </c>
      <c r="E485" s="5">
        <v>20000000</v>
      </c>
      <c r="F485" s="56">
        <v>766000</v>
      </c>
      <c r="G485" s="80">
        <v>0.25</v>
      </c>
      <c r="H485" s="86"/>
      <c r="J485" s="18"/>
      <c r="K485" s="16"/>
      <c r="L485" s="86"/>
      <c r="M485" s="54"/>
      <c r="N485" s="54"/>
      <c r="O485" s="54"/>
      <c r="P485" s="90">
        <v>87897000</v>
      </c>
      <c r="Q485" s="73">
        <v>5492000</v>
      </c>
      <c r="R485" s="73">
        <f>IF(Tabela3[[#This Row],[Ativo || Passivo]]&gt;0,Tabela3[[#This Row],[Ativo || Passivo]]-Tabela3[[#This Row],[Patrimônio Líquido]],0)</f>
        <v>0</v>
      </c>
      <c r="S485" s="73">
        <f>Tabela3[[#This Row],[Cotação]]*Tabela3[[#This Row],[Total Ações]]</f>
        <v>83568000</v>
      </c>
      <c r="T485" s="37">
        <f>IF(Tabela3[[#This Row],[Passivo Circulante]]&gt;0,Tabela3[[#This Row],[Ativo Circulante]]/Tabela3[[#This Row],[Passivo Circulante]],0)</f>
        <v>0</v>
      </c>
      <c r="U48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5" s="18">
        <f>IF(Tabela3[[#This Row],[Lucro Líquido]]&gt;0,Tabela3[[#This Row],[Lucro Líquido]]/Tabela3[[#This Row],[Patrimônio Líquido]],0)/Tabela3[[#This Row],[Ref]]*4</f>
        <v>8.330963134881357E-2</v>
      </c>
      <c r="W48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5" s="18">
        <f>IF(Tabela3[[#This Row],[Dívida]]&gt;0,Tabela3[[#This Row],[Dívida]]/Tabela3[[#This Row],[Patrimônio Líquido]],0)</f>
        <v>0</v>
      </c>
      <c r="Y485" s="18">
        <f>SUMPRODUCT(N([Dívida / PL]&gt;0),N(RIGHT([PAPEL],LEN([PAPEL])-(LEN([PAPEL])-1))="3"),[Dívida / PL])/SUMPRODUCT(N([Dívida / PL]&gt;0),N(RIGHT([PAPEL],LEN([PAPEL])-(LEN([PAPEL])-1))="3"))</f>
        <v>2.2435702141443779</v>
      </c>
      <c r="Z485" s="7">
        <f>Tabela3[[#This Row],[Capital Social]]*20%</f>
        <v>4000000</v>
      </c>
      <c r="AA485" s="47">
        <f>IF(([Lucro Líquido]*5%)&gt;[Teto R. Legal],[Teto R. Legal],[Lucro Líquido]*5%)</f>
        <v>274600</v>
      </c>
      <c r="AB485" s="47">
        <f>IF([Lucro Líquido]&lt;0,0,[Lucro Líquido]-[Reserva Legal])</f>
        <v>5217400</v>
      </c>
      <c r="AC485" s="47">
        <f>Tabela3[[#This Row],[Lucro Distribuir]]*[%Div]</f>
        <v>1304350</v>
      </c>
      <c r="AD485" s="56">
        <f>SUMPRODUCT(N([Nome]=Tabela3[[#This Row],[Nome]]),[Ações])</f>
        <v>1741000</v>
      </c>
      <c r="AE485" s="84">
        <f>[Capital Social]/[Total Ações]</f>
        <v>11.487650775416427</v>
      </c>
      <c r="AF485" s="84">
        <f>Tabela3[[#This Row],[Lucro Líquido]]/Tabela3[[#This Row],[Total Ações]]</f>
        <v>3.1545089029293512</v>
      </c>
      <c r="AG48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48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485" s="7">
        <f>[Div Base]*[Ações]</f>
        <v>556028.3176733352</v>
      </c>
      <c r="AL485" s="113">
        <f>SUMPRODUCT(N([Nome]=Tabela3[[#This Row],[Nome]]),[Div Base]*[Ações])</f>
        <v>1334540.5520357057</v>
      </c>
      <c r="AM485" s="5">
        <f>[Patrimônio Líquido]/[Total Ações]</f>
        <v>50.486502010338889</v>
      </c>
      <c r="AN485" s="52">
        <f>MAX(Tabela3[[#This Row],[Cotação 1]:[Cotação 5]])</f>
        <v>48</v>
      </c>
      <c r="AO485" s="53">
        <f>[Cotação]/[VPA]</f>
        <v>0.95074917232670053</v>
      </c>
      <c r="AP485" s="37">
        <f>IF(Tabela3[[#This Row],[Lucro/Ação]]&gt;0,Tabela3[[#This Row],[Cotação]]/(Tabela3[[#This Row],[Lucro/Ação]]/[Ref]*4),0)</f>
        <v>11.412235979606699</v>
      </c>
      <c r="AQ485" s="84">
        <f>[Lucro Distribuir]/[Total Ações]</f>
        <v>2.9967834577828834</v>
      </c>
      <c r="AR485" s="84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485" s="10" t="str">
        <f>IF(AND([% A.A.]&gt;=5%,SUMPRODUCT(N([Nome]=Tabela3[[#This Row],[Nome]]),[PL])&gt;0,[Rentabilidade s/ PL]&gt;=[Rentabilidade s/ PL Média]),"Sim","Não")</f>
        <v>Não</v>
      </c>
      <c r="AT485" s="22">
        <f>IF([Cotação]&gt;0,Tabela3[[#This Row],[Lucro]]/Tabela3[[#This Row],[Cotação]],0)</f>
        <v>1.5122615254387925E-2</v>
      </c>
      <c r="AU485" s="22">
        <f>((1+Tabela3[[#This Row],[% Yield]])^(1/(3*Tabela3[[#This Row],[Ref]])))^(12)-1</f>
        <v>2.0214138062082165E-2</v>
      </c>
      <c r="AV485" s="10">
        <f>IF([Cotação]&gt;0,($BH$1/Tabela3[[#This Row],[Cotação]]-MOD($BH$1/Tabela3[[#This Row],[Cotação]],100)),)</f>
        <v>0</v>
      </c>
      <c r="AW485" s="7">
        <f>Tabela3[[#This Row],[Ativos]]*[Lucro]</f>
        <v>0</v>
      </c>
      <c r="AX485" s="7">
        <f>SUMPRODUCT(N(Tabela1[Código]=Tabela3[[#This Row],[PAPEL]]),Tabela1[Fechamento])</f>
        <v>0</v>
      </c>
      <c r="AY485" s="7">
        <f>SUMPRODUCT(N(Tabela17[Código]=Tabela3[[#This Row],[PAPEL]]),Tabela17[Fechamento])</f>
        <v>0</v>
      </c>
      <c r="AZ485" s="7">
        <f>SUMPRODUCT(N(Tabela176[Código]=Tabela3[[#This Row],[PAPEL]]),Tabela176[Fechamento])</f>
        <v>0</v>
      </c>
      <c r="BA485" s="7">
        <f>SUMPRODUCT(N(Tabela1768[Código]=Tabela3[[#This Row],[PAPEL]]),Tabela1768[Fechamento])</f>
        <v>0</v>
      </c>
      <c r="BB485" s="7">
        <f>SUMPRODUCT(N(Tabela17683[Código]=Tabela3[[#This Row],[PAPEL]]),Tabela17683[Fechamento])</f>
        <v>48</v>
      </c>
    </row>
    <row r="486" spans="1:54" ht="11.25" customHeight="1">
      <c r="A486" s="4" t="s">
        <v>12</v>
      </c>
      <c r="B486" s="57" t="s">
        <v>93</v>
      </c>
      <c r="C486" s="14" t="str">
        <f>LEFT([PAPEL],LEN([PAPEL])-(LEN([PAPEL])-4))</f>
        <v>COCE</v>
      </c>
      <c r="D486" s="15">
        <v>4</v>
      </c>
      <c r="E486" s="6">
        <v>442946885.76999998</v>
      </c>
      <c r="F486" s="8">
        <v>48067937</v>
      </c>
      <c r="G486" s="80">
        <v>0.25</v>
      </c>
      <c r="H486" s="15"/>
      <c r="I486" s="19"/>
      <c r="J486" s="19"/>
      <c r="K486" s="87"/>
      <c r="L486" s="87"/>
      <c r="M486" s="55"/>
      <c r="N486" s="55"/>
      <c r="O486" s="55"/>
      <c r="P486" s="72">
        <v>1566323000</v>
      </c>
      <c r="Q486" s="88">
        <v>156556000</v>
      </c>
      <c r="R486" s="88">
        <f>IF(Tabela3[[#This Row],[Ativo || Passivo]]&gt;0,Tabela3[[#This Row],[Ativo || Passivo]]-Tabela3[[#This Row],[Patrimônio Líquido]],0)</f>
        <v>0</v>
      </c>
      <c r="S486" s="88">
        <f>Tabela3[[#This Row],[Cotação]]*Tabela3[[#This Row],[Total Ações]]</f>
        <v>3807124121.0999999</v>
      </c>
      <c r="T486" s="121">
        <f>IF(Tabela3[[#This Row],[Passivo Circulante]]&gt;0,Tabela3[[#This Row],[Ativo Circulante]]/Tabela3[[#This Row],[Passivo Circulante]],0)</f>
        <v>0</v>
      </c>
      <c r="U486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6" s="19">
        <f>IF(Tabela3[[#This Row],[Lucro Líquido]]&gt;0,Tabela3[[#This Row],[Lucro Líquido]]/Tabela3[[#This Row],[Patrimônio Líquido]],0)/Tabela3[[#This Row],[Ref]]*4</f>
        <v>9.9951287186614765E-2</v>
      </c>
      <c r="W486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6" s="19">
        <f>IF(Tabela3[[#This Row],[Dívida]]&gt;0,Tabela3[[#This Row],[Dívida]]/Tabela3[[#This Row],[Patrimônio Líquido]],0)</f>
        <v>0</v>
      </c>
      <c r="Y486" s="19">
        <f>SUMPRODUCT(N([Dívida / PL]&gt;0),N(RIGHT([PAPEL],LEN([PAPEL])-(LEN([PAPEL])-1))="3"),[Dívida / PL])/SUMPRODUCT(N([Dívida / PL]&gt;0),N(RIGHT([PAPEL],LEN([PAPEL])-(LEN([PAPEL])-1))="3"))</f>
        <v>2.2435702141443779</v>
      </c>
      <c r="Z486" s="5">
        <f>Tabela3[[#This Row],[Capital Social]]*20%</f>
        <v>88589377.153999999</v>
      </c>
      <c r="AA486" s="5">
        <f>IF(([Lucro Líquido]*5%)&gt;[Teto R. Legal],[Teto R. Legal],[Lucro Líquido]*5%)</f>
        <v>7827800</v>
      </c>
      <c r="AB486" s="72">
        <f>IF([Lucro Líquido]&lt;0,0,[Lucro Líquido]-[Reserva Legal])</f>
        <v>148728200</v>
      </c>
      <c r="AC486" s="72">
        <f>Tabela3[[#This Row],[Lucro Distribuir]]*[%Div]</f>
        <v>37182050</v>
      </c>
      <c r="AD486" s="56">
        <f>SUMPRODUCT(N([Nome]=Tabela3[[#This Row],[Nome]]),[Ações])</f>
        <v>77855299</v>
      </c>
      <c r="AE486" s="5">
        <f>[Capital Social]/[Total Ações]</f>
        <v>5.6893607944399518</v>
      </c>
      <c r="AF486" s="77">
        <f>Tabela3[[#This Row],[Lucro Líquido]]/Tabela3[[#This Row],[Total Ações]]</f>
        <v>2.0108586314722134</v>
      </c>
      <c r="AG4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486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486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486" s="5">
        <f>[Div Base]*[Ações]</f>
        <v>22956233.678209238</v>
      </c>
      <c r="AL486" s="5">
        <f>SUMPRODUCT(N([Nome]=Tabela3[[#This Row],[Nome]]),[Div Base]*[Ações])</f>
        <v>37182050</v>
      </c>
      <c r="AM486" s="6">
        <f>[Patrimônio Líquido]/[Total Ações]</f>
        <v>20.118386546816808</v>
      </c>
      <c r="AN486" s="48">
        <f>MAX(Tabela3[[#This Row],[Cotação 1]:[Cotação 5]])</f>
        <v>48.9</v>
      </c>
      <c r="AO486" s="44">
        <f>[Cotação]/[VPA]</f>
        <v>2.430612409509405</v>
      </c>
      <c r="AP486" s="40">
        <f>IF(Tabela3[[#This Row],[Lucro/Ação]]&gt;0,Tabela3[[#This Row],[Cotação]]/(Tabela3[[#This Row],[Lucro/Ação]]/[Ref]*4),0)</f>
        <v>24.317970062469662</v>
      </c>
      <c r="AQ486" s="77">
        <f>[Lucro Distribuir]/[Total Ações]</f>
        <v>1.9103156998986028</v>
      </c>
      <c r="AR48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486" s="15" t="str">
        <f>IF(AND([% A.A.]&gt;=5%,SUMPRODUCT(N([Nome]=Tabela3[[#This Row],[Nome]]),[PL])&gt;0,[Rentabilidade s/ PL]&gt;=[Rentabilidade s/ PL Média]),"Sim","Não")</f>
        <v>Não</v>
      </c>
      <c r="AT486" s="42">
        <f>IF([Cotação]&gt;0,Tabela3[[#This Row],[Lucro]]/Tabela3[[#This Row],[Cotação]],0)</f>
        <v>9.7664401835306901E-3</v>
      </c>
      <c r="AU486" s="19">
        <f>((1+Tabela3[[#This Row],[% Yield]])^(1/(3*Tabela3[[#This Row],[Ref]])))^(12)-1</f>
        <v>9.7664401835293457E-3</v>
      </c>
      <c r="AV486" s="14">
        <f>IF([Cotação]&gt;0,($BH$1/Tabela3[[#This Row],[Cotação]]-MOD($BH$1/Tabela3[[#This Row],[Cotação]],100)),)</f>
        <v>0</v>
      </c>
      <c r="AW486" s="17">
        <f>Tabela3[[#This Row],[Ativos]]*[Lucro]</f>
        <v>0</v>
      </c>
      <c r="AX486" s="5">
        <f>SUMPRODUCT(N(Tabela1[Código]=Tabela3[[#This Row],[PAPEL]]),Tabela1[Fechamento])</f>
        <v>48.9</v>
      </c>
      <c r="AY486" s="5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</v>
      </c>
      <c r="BB486" s="7">
        <f>SUMPRODUCT(N(Tabela17683[Código]=Tabela3[[#This Row],[PAPEL]]),Tabela17683[Fechamento])</f>
        <v>0</v>
      </c>
    </row>
    <row r="487" spans="1:54" ht="11.25" customHeight="1">
      <c r="A487" s="3" t="s">
        <v>876</v>
      </c>
      <c r="B487" s="58" t="s">
        <v>926</v>
      </c>
      <c r="C487" s="16" t="str">
        <f>LEFT([PAPEL],LEN([PAPEL])-(LEN([PAPEL])-4))</f>
        <v>ECPR</v>
      </c>
      <c r="D487" s="16">
        <v>3</v>
      </c>
      <c r="E487" s="5">
        <v>74546944.540000007</v>
      </c>
      <c r="F487" s="56">
        <v>873819</v>
      </c>
      <c r="G487" s="80">
        <v>0.33</v>
      </c>
      <c r="H487" s="86"/>
      <c r="J487" s="18">
        <v>0.1</v>
      </c>
      <c r="K487" s="16"/>
      <c r="L487" s="86"/>
      <c r="M487" s="54"/>
      <c r="N487" s="54"/>
      <c r="O487" s="54"/>
      <c r="P487" s="90">
        <v>231251000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93103136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2.2435702141443779</v>
      </c>
      <c r="Z487" s="7">
        <f>Tabela3[[#This Row],[Capital Social]]*20%</f>
        <v>14909388.908000002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1900064</v>
      </c>
      <c r="AE487" s="84">
        <f>[Capital Social]/[Total Ações]</f>
        <v>39.233912405055833</v>
      </c>
      <c r="AF487" s="84">
        <f>Tabela3[[#This Row],[Lucro Líquido]]/Tabela3[[#This Row],[Total Ações]]</f>
        <v>-3.1846295703723664</v>
      </c>
      <c r="AG48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121.70695302895061</v>
      </c>
      <c r="AN487" s="52">
        <f>MAX(Tabela3[[#This Row],[Cotação 1]:[Cotação 5]])</f>
        <v>49</v>
      </c>
      <c r="AO487" s="53">
        <f>[Cotação]/[VPA]</f>
        <v>0.40260641467496355</v>
      </c>
      <c r="AP487" s="37">
        <f>IF(Tabela3[[#This Row],[Lucro/Ação]]&gt;0,Tabela3[[#This Row],[Cotação]]/(Tabela3[[#This Row],[Lucro/Ação]]/[Ref]*4),0)</f>
        <v>0</v>
      </c>
      <c r="AQ487" s="84">
        <f>[Lucro Distribuir]/[Total Ações]</f>
        <v>0</v>
      </c>
      <c r="AR487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49</v>
      </c>
      <c r="BB487" s="7">
        <f>SUMPRODUCT(N(Tabela17683[Código]=Tabela3[[#This Row],[PAPEL]]),Tabela17683[Fechamento])</f>
        <v>0</v>
      </c>
    </row>
    <row r="488" spans="1:54" ht="11.25" customHeight="1">
      <c r="A488" s="4" t="s">
        <v>12</v>
      </c>
      <c r="B488" s="60" t="s">
        <v>160</v>
      </c>
      <c r="C488" s="14" t="str">
        <f>LEFT([PAPEL],LEN([PAPEL])-(LEN([PAPEL])-4))</f>
        <v>LIPR</v>
      </c>
      <c r="D488" s="15">
        <v>3</v>
      </c>
      <c r="E488" s="6">
        <v>118054887.48</v>
      </c>
      <c r="F488" s="8">
        <v>11764889</v>
      </c>
      <c r="G488" s="85">
        <v>0.25</v>
      </c>
      <c r="H488" s="15"/>
      <c r="I488" s="19"/>
      <c r="J488" s="19"/>
      <c r="K488" s="87"/>
      <c r="L488" s="87"/>
      <c r="M488" s="55"/>
      <c r="N488" s="55"/>
      <c r="O488" s="55"/>
      <c r="P488" s="88">
        <v>143016000</v>
      </c>
      <c r="Q488" s="88">
        <v>5000000</v>
      </c>
      <c r="R488" s="88">
        <f>IF(Tabela3[[#This Row],[Ativo || Passivo]]&gt;0,Tabela3[[#This Row],[Ativo || Passivo]]-Tabela3[[#This Row],[Patrimônio Líquido]],0)</f>
        <v>0</v>
      </c>
      <c r="S488" s="88">
        <f>Tabela3[[#This Row],[Cotação]]*Tabela3[[#This Row],[Total Ações]]</f>
        <v>585656174.41999996</v>
      </c>
      <c r="T488" s="121">
        <f>IF(Tabela3[[#This Row],[Passivo Circulante]]&gt;0,Tabela3[[#This Row],[Ativo Circulante]]/Tabela3[[#This Row],[Passivo Circulante]],0)</f>
        <v>0</v>
      </c>
      <c r="U48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8" s="19">
        <f>IF(Tabela3[[#This Row],[Lucro Líquido]]&gt;0,Tabela3[[#This Row],[Lucro Líquido]]/Tabela3[[#This Row],[Patrimônio Líquido]],0)/Tabela3[[#This Row],[Ref]]*4</f>
        <v>4.6614830974622885E-2</v>
      </c>
      <c r="W48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8" s="19">
        <f>IF(Tabela3[[#This Row],[Dívida]]&gt;0,Tabela3[[#This Row],[Dívida]]/Tabela3[[#This Row],[Patrimônio Líquido]],0)</f>
        <v>0</v>
      </c>
      <c r="Y488" s="19">
        <f>SUMPRODUCT(N([Dívida / PL]&gt;0),N(RIGHT([PAPEL],LEN([PAPEL])-(LEN([PAPEL])-1))="3"),[Dívida / PL])/SUMPRODUCT(N([Dívida / PL]&gt;0),N(RIGHT([PAPEL],LEN([PAPEL])-(LEN([PAPEL])-1))="3"))</f>
        <v>2.2435702141443779</v>
      </c>
      <c r="Z488" s="6">
        <f>Tabela3[[#This Row],[Capital Social]]*20%</f>
        <v>23610977.496000003</v>
      </c>
      <c r="AA488" s="6">
        <f>IF(([Lucro Líquido]*5%)&gt;[Teto R. Legal],[Teto R. Legal],[Lucro Líquido]*5%)</f>
        <v>250000</v>
      </c>
      <c r="AB488" s="88">
        <f>IF([Lucro Líquido]&lt;0,0,[Lucro Líquido]-[Reserva Legal])</f>
        <v>4750000</v>
      </c>
      <c r="AC488" s="88">
        <f>Tabela3[[#This Row],[Lucro Distribuir]]*[%Div]</f>
        <v>1187500</v>
      </c>
      <c r="AD488" s="56">
        <f>SUMPRODUCT(N([Nome]=Tabela3[[#This Row],[Nome]]),[Ações])</f>
        <v>11764889</v>
      </c>
      <c r="AE488" s="6">
        <f>[Capital Social]/[Total Ações]</f>
        <v>10.034509248663545</v>
      </c>
      <c r="AF488" s="77">
        <f>Tabela3[[#This Row],[Lucro Líquido]]/Tabela3[[#This Row],[Total Ações]]</f>
        <v>0.4249933849779628</v>
      </c>
      <c r="AG4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4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488" s="6">
        <f>[Div Base]*[Ações]</f>
        <v>1187500</v>
      </c>
      <c r="AL488" s="6">
        <f>SUMPRODUCT(N([Nome]=Tabela3[[#This Row],[Nome]]),[Div Base]*[Ações])</f>
        <v>1187500</v>
      </c>
      <c r="AM488" s="6">
        <f>[Patrimônio Líquido]/[Total Ações]</f>
        <v>12.156170789201665</v>
      </c>
      <c r="AN488" s="48">
        <f>MAX(Tabela3[[#This Row],[Cotação 1]:[Cotação 5]])</f>
        <v>49.78</v>
      </c>
      <c r="AO488" s="44">
        <f>[Cotação]/[VPA]</f>
        <v>4.095039536974884</v>
      </c>
      <c r="AP488" s="40">
        <f>IF(Tabela3[[#This Row],[Lucro/Ação]]&gt;0,Tabela3[[#This Row],[Cotação]]/(Tabela3[[#This Row],[Lucro/Ação]]/[Ref]*4),0)</f>
        <v>87.848426163000013</v>
      </c>
      <c r="AQ488" s="77">
        <f>[Lucro Distribuir]/[Total Ações]</f>
        <v>0.4037437157290647</v>
      </c>
      <c r="AR488" s="77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488" s="15" t="str">
        <f>IF(AND([% A.A.]&gt;=5%,SUMPRODUCT(N([Nome]=Tabela3[[#This Row],[Nome]]),[PL])&gt;0,[Rentabilidade s/ PL]&gt;=[Rentabilidade s/ PL Média]),"Sim","Não")</f>
        <v>Não</v>
      </c>
      <c r="AT488" s="42">
        <f>IF([Cotação]&gt;0,Tabela3[[#This Row],[Lucro]]/Tabela3[[#This Row],[Cotação]],0)</f>
        <v>2.0276401955055478E-3</v>
      </c>
      <c r="AU488" s="19">
        <f>((1+Tabela3[[#This Row],[% Yield]])^(1/(3*Tabela3[[#This Row],[Ref]])))^(12)-1</f>
        <v>2.7044334770780498E-3</v>
      </c>
      <c r="AV488" s="14">
        <f>IF([Cotação]&gt;0,($BH$1/Tabela3[[#This Row],[Cotação]]-MOD($BH$1/Tabela3[[#This Row],[Cotação]],100)),)</f>
        <v>0</v>
      </c>
      <c r="AW488" s="17">
        <f>Tabela3[[#This Row],[Ativos]]*[Lucro]</f>
        <v>0</v>
      </c>
      <c r="AX488" s="5">
        <f>SUMPRODUCT(N(Tabela1[Código]=Tabela3[[#This Row],[PAPEL]]),Tabela1[Fechamento])</f>
        <v>49.78</v>
      </c>
      <c r="AY488" s="5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0</v>
      </c>
    </row>
    <row r="489" spans="1:54" ht="11.25" customHeight="1">
      <c r="A489" s="4" t="s">
        <v>506</v>
      </c>
      <c r="B489" s="57" t="s">
        <v>508</v>
      </c>
      <c r="C489" s="15" t="str">
        <f>LEFT([PAPEL],LEN([PAPEL])-(LEN([PAPEL])-4))</f>
        <v>CGAS</v>
      </c>
      <c r="D489" s="15">
        <v>4</v>
      </c>
      <c r="E489" s="6">
        <v>764155232.40999997</v>
      </c>
      <c r="F489" s="8">
        <v>25911899</v>
      </c>
      <c r="G489" s="80">
        <v>0.25</v>
      </c>
      <c r="H489" s="15"/>
      <c r="I489" s="19">
        <v>0.1</v>
      </c>
      <c r="J489" s="19"/>
      <c r="K489" s="87"/>
      <c r="L489" s="87"/>
      <c r="M489" s="55">
        <v>6919259000</v>
      </c>
      <c r="N489" s="55">
        <v>1497893000</v>
      </c>
      <c r="O489" s="55">
        <v>1403286000</v>
      </c>
      <c r="P489" s="91">
        <v>2656439000</v>
      </c>
      <c r="Q489" s="91">
        <v>618911000</v>
      </c>
      <c r="R489" s="91">
        <f>IF(Tabela3[[#This Row],[Ativo || Passivo]]&gt;0,Tabela3[[#This Row],[Ativo || Passivo]]-Tabela3[[#This Row],[Patrimônio Líquido]],0)</f>
        <v>4262820000</v>
      </c>
      <c r="S489" s="91">
        <f>Tabela3[[#This Row],[Cotação]]*Tabela3[[#This Row],[Total Ações]]</f>
        <v>5989941622.0300007</v>
      </c>
      <c r="T489" s="36">
        <f>IF(Tabela3[[#This Row],[Passivo Circulante]]&gt;0,Tabela3[[#This Row],[Ativo Circulante]]/Tabela3[[#This Row],[Passivo Circulante]],0)</f>
        <v>1.067418188451962</v>
      </c>
      <c r="U489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89" s="19">
        <f>IF(Tabela3[[#This Row],[Lucro Líquido]]&gt;0,Tabela3[[#This Row],[Lucro Líquido]]/Tabela3[[#This Row],[Patrimônio Líquido]],0)/Tabela3[[#This Row],[Ref]]*4</f>
        <v>0.2329852106523056</v>
      </c>
      <c r="W489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89" s="19">
        <f>IF(Tabela3[[#This Row],[Dívida]]&gt;0,Tabela3[[#This Row],[Dívida]]/Tabela3[[#This Row],[Patrimônio Líquido]],0)</f>
        <v>1.6047121729503293</v>
      </c>
      <c r="Y489" s="19">
        <f>SUMPRODUCT(N([Dívida / PL]&gt;0),N(RIGHT([PAPEL],LEN([PAPEL])-(LEN([PAPEL])-1))="3"),[Dívida / PL])/SUMPRODUCT(N([Dívida / PL]&gt;0),N(RIGHT([PAPEL],LEN([PAPEL])-(LEN([PAPEL])-1))="3"))</f>
        <v>2.2435702141443779</v>
      </c>
      <c r="Z489" s="13">
        <f>Tabela3[[#This Row],[Capital Social]]*20%</f>
        <v>152831046.48199999</v>
      </c>
      <c r="AA489" s="13">
        <f>IF(([Lucro Líquido]*5%)&gt;[Teto R. Legal],[Teto R. Legal],[Lucro Líquido]*5%)</f>
        <v>30945550</v>
      </c>
      <c r="AB489" s="13">
        <f>IF([Lucro Líquido]&lt;0,0,[Lucro Líquido]-[Reserva Legal])</f>
        <v>587965450</v>
      </c>
      <c r="AC489" s="13">
        <f>Tabela3[[#This Row],[Lucro Distribuir]]*[%Div]</f>
        <v>146991362.5</v>
      </c>
      <c r="AD489" s="56">
        <f>SUMPRODUCT(N([Nome]=Tabela3[[#This Row],[Nome]]),[Ações])</f>
        <v>119822797</v>
      </c>
      <c r="AE489" s="6">
        <f>[Capital Social]/[Total Ações]</f>
        <v>6.3773776905741899</v>
      </c>
      <c r="AF489" s="77">
        <f>Tabela3[[#This Row],[Lucro Líquido]]/Tabela3[[#This Row],[Total Ações]]</f>
        <v>5.1652191026720899</v>
      </c>
      <c r="AG4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4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4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489" s="13">
        <f>[Div Base]*[Ações]</f>
        <v>31787150.979061086</v>
      </c>
      <c r="AL489" s="13">
        <f>SUMPRODUCT(N([Nome]=Tabela3[[#This Row],[Nome]]),[Div Base]*[Ações])</f>
        <v>146991362.5</v>
      </c>
      <c r="AM489" s="6">
        <f>[Patrimônio Líquido]/[Total Ações]</f>
        <v>22.169729521503324</v>
      </c>
      <c r="AN489" s="48">
        <f>MAX(Tabela3[[#This Row],[Cotação 1]:[Cotação 5]])</f>
        <v>49.99</v>
      </c>
      <c r="AO489" s="44">
        <f>[Cotação]/[VPA]</f>
        <v>2.2548764048525114</v>
      </c>
      <c r="AP489" s="40">
        <f>IF(Tabela3[[#This Row],[Lucro/Ação]]&gt;0,Tabela3[[#This Row],[Cotação]]/(Tabela3[[#This Row],[Lucro/Ação]]/[Ref]*4),0)</f>
        <v>9.6781954465666313</v>
      </c>
      <c r="AQ489" s="77">
        <f>[Lucro Distribuir]/[Total Ações]</f>
        <v>4.9069581475384858</v>
      </c>
      <c r="AR489" s="77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489" s="14" t="str">
        <f>IF(AND([% A.A.]&gt;=5%,SUMPRODUCT(N([Nome]=Tabela3[[#This Row],[Nome]]),[PL])&gt;0,[Rentabilidade s/ PL]&gt;=[Rentabilidade s/ PL Média]),"Sim","Não")</f>
        <v>Não</v>
      </c>
      <c r="AT489" s="42">
        <f>IF([Cotação]&gt;0,Tabela3[[#This Row],[Lucro]]/Tabela3[[#This Row],[Cotação]],0)</f>
        <v>2.4539698677427915E-2</v>
      </c>
      <c r="AU489" s="42">
        <f>((1+Tabela3[[#This Row],[% Yield]])^(1/(3*Tabela3[[#This Row],[Ref]])))^(12)-1</f>
        <v>2.4539698677426447E-2</v>
      </c>
      <c r="AV489" s="14">
        <f>IF([Cotação]&gt;0,($BH$1/Tabela3[[#This Row],[Cotação]]-MOD($BH$1/Tabela3[[#This Row],[Cotação]],100)),)</f>
        <v>0</v>
      </c>
      <c r="AW489" s="17">
        <f>Tabela3[[#This Row],[Ativos]]*[Lucro]</f>
        <v>0</v>
      </c>
      <c r="AX489" s="17">
        <f>SUMPRODUCT(N(Tabela1[Código]=Tabela3[[#This Row],[PAPEL]]),Tabela1[Fechamento])</f>
        <v>0</v>
      </c>
      <c r="AY489" s="17">
        <f>SUMPRODUCT(N(Tabela17[Código]=Tabela3[[#This Row],[PAPEL]]),Tabela17[Fechamento])</f>
        <v>49.99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0</v>
      </c>
      <c r="BB489" s="7">
        <f>SUMPRODUCT(N(Tabela17683[Código]=Tabela3[[#This Row],[PAPEL]]),Tabela17683[Fechamento])</f>
        <v>0</v>
      </c>
    </row>
    <row r="490" spans="1:54" ht="11.25" customHeight="1">
      <c r="A490" s="4" t="s">
        <v>506</v>
      </c>
      <c r="B490" s="57" t="s">
        <v>507</v>
      </c>
      <c r="C490" s="15" t="str">
        <f>LEFT([PAPEL],LEN([PAPEL])-(LEN([PAPEL])-4))</f>
        <v>CGAS</v>
      </c>
      <c r="D490" s="15">
        <v>4</v>
      </c>
      <c r="E490" s="6">
        <v>764155232.40999997</v>
      </c>
      <c r="F490" s="8">
        <v>93910898</v>
      </c>
      <c r="G490" s="80">
        <v>0.25</v>
      </c>
      <c r="H490" s="15"/>
      <c r="I490" s="19"/>
      <c r="J490" s="19"/>
      <c r="K490" s="87"/>
      <c r="L490" s="87"/>
      <c r="M490" s="55">
        <v>6919259000</v>
      </c>
      <c r="N490" s="55">
        <v>1497893000</v>
      </c>
      <c r="O490" s="55">
        <v>1403286000</v>
      </c>
      <c r="P490" s="91">
        <v>2656439000</v>
      </c>
      <c r="Q490" s="91">
        <v>618911000</v>
      </c>
      <c r="R490" s="91">
        <f>IF(Tabela3[[#This Row],[Ativo || Passivo]]&gt;0,Tabela3[[#This Row],[Ativo || Passivo]]-Tabela3[[#This Row],[Patrimônio Líquido]],0)</f>
        <v>4262820000</v>
      </c>
      <c r="S490" s="91">
        <f>Tabela3[[#This Row],[Cotação]]*Tabela3[[#This Row],[Total Ações]]</f>
        <v>6015104409.4000006</v>
      </c>
      <c r="T490" s="36">
        <f>IF(Tabela3[[#This Row],[Passivo Circulante]]&gt;0,Tabela3[[#This Row],[Ativo Circulante]]/Tabela3[[#This Row],[Passivo Circulante]],0)</f>
        <v>1.067418188451962</v>
      </c>
      <c r="U490" s="36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0" s="19">
        <f>IF(Tabela3[[#This Row],[Lucro Líquido]]&gt;0,Tabela3[[#This Row],[Lucro Líquido]]/Tabela3[[#This Row],[Patrimônio Líquido]],0)/Tabela3[[#This Row],[Ref]]*4</f>
        <v>0.2329852106523056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0" s="19">
        <f>IF(Tabela3[[#This Row],[Dívida]]&gt;0,Tabela3[[#This Row],[Dívida]]/Tabela3[[#This Row],[Patrimônio Líquido]],0)</f>
        <v>1.6047121729503293</v>
      </c>
      <c r="Y490" s="19">
        <f>SUMPRODUCT(N([Dívida / PL]&gt;0),N(RIGHT([PAPEL],LEN([PAPEL])-(LEN([PAPEL])-1))="3"),[Dívida / PL])/SUMPRODUCT(N([Dívida / PL]&gt;0),N(RIGHT([PAPEL],LEN([PAPEL])-(LEN([PAPEL])-1))="3"))</f>
        <v>2.2435702141443779</v>
      </c>
      <c r="Z490" s="13">
        <f>Tabela3[[#This Row],[Capital Social]]*20%</f>
        <v>152831046.48199999</v>
      </c>
      <c r="AA490" s="13">
        <f>IF(([Lucro Líquido]*5%)&gt;[Teto R. Legal],[Teto R. Legal],[Lucro Líquido]*5%)</f>
        <v>30945550</v>
      </c>
      <c r="AB490" s="13">
        <f>IF([Lucro Líquido]&lt;0,0,[Lucro Líquido]-[Reserva Legal])</f>
        <v>587965450</v>
      </c>
      <c r="AC490" s="13">
        <f>Tabela3[[#This Row],[Lucro Distribuir]]*[%Div]</f>
        <v>146991362.5</v>
      </c>
      <c r="AD490" s="56">
        <f>SUMPRODUCT(N([Nome]=Tabela3[[#This Row],[Nome]]),[Ações])</f>
        <v>119822797</v>
      </c>
      <c r="AE490" s="6">
        <f>[Capital Social]/[Total Ações]</f>
        <v>6.3773776905741899</v>
      </c>
      <c r="AF490" s="77">
        <f>Tabela3[[#This Row],[Lucro Líquido]]/Tabela3[[#This Row],[Total Ações]]</f>
        <v>5.1652191026720899</v>
      </c>
      <c r="AG4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4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4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490" s="13">
        <f>[Div Base]*[Ações]</f>
        <v>115204211.52093892</v>
      </c>
      <c r="AL490" s="13">
        <f>SUMPRODUCT(N([Nome]=Tabela3[[#This Row],[Nome]]),[Div Base]*[Ações])</f>
        <v>146991362.5</v>
      </c>
      <c r="AM490" s="6">
        <f>[Patrimônio Líquido]/[Total Ações]</f>
        <v>22.169729521503324</v>
      </c>
      <c r="AN490" s="48">
        <f>MAX(Tabela3[[#This Row],[Cotação 1]:[Cotação 5]])</f>
        <v>50.2</v>
      </c>
      <c r="AO490" s="44">
        <f>[Cotação]/[VPA]</f>
        <v>2.2643487802279672</v>
      </c>
      <c r="AP490" s="40">
        <f>IF(Tabela3[[#This Row],[Lucro/Ação]]&gt;0,Tabela3[[#This Row],[Cotação]]/(Tabela3[[#This Row],[Lucro/Ação]]/[Ref]*4),0)</f>
        <v>9.7188519987526476</v>
      </c>
      <c r="AQ490" s="77">
        <f>[Lucro Distribuir]/[Total Ações]</f>
        <v>4.9069581475384858</v>
      </c>
      <c r="AR490" s="77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490" s="14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2.4437042567422736E-2</v>
      </c>
      <c r="AU490" s="42">
        <f>((1+Tabela3[[#This Row],[% Yield]])^(1/(3*Tabela3[[#This Row],[Ref]])))^(12)-1</f>
        <v>2.443704256742274E-2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17">
        <f>SUMPRODUCT(N(Tabela1[Código]=Tabela3[[#This Row],[PAPEL]]),Tabela1[Fechamento])</f>
        <v>0</v>
      </c>
      <c r="AY490" s="17">
        <f>SUMPRODUCT(N(Tabela17[Código]=Tabela3[[#This Row],[PAPEL]]),Tabela17[Fechamento])</f>
        <v>50.2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t="11.25" customHeight="1">
      <c r="A491" s="3" t="s">
        <v>1276</v>
      </c>
      <c r="B491" s="57" t="s">
        <v>1242</v>
      </c>
      <c r="C491" s="16" t="str">
        <f>LEFT([PAPEL],LEN([PAPEL])-(LEN([PAPEL])-4))</f>
        <v>DHBI</v>
      </c>
      <c r="D491" s="16">
        <v>3</v>
      </c>
      <c r="E491" s="5">
        <v>105487086</v>
      </c>
      <c r="F491" s="56">
        <v>1448007</v>
      </c>
      <c r="G491" s="80">
        <v>0.25</v>
      </c>
      <c r="H491" s="86"/>
      <c r="J491" s="18"/>
      <c r="K491" s="16"/>
      <c r="L491" s="86"/>
      <c r="M491" s="54"/>
      <c r="N491" s="54"/>
      <c r="O491" s="54"/>
      <c r="P491" s="90">
        <v>-388239000</v>
      </c>
      <c r="Q491" s="73">
        <v>-80146000</v>
      </c>
      <c r="R491" s="73">
        <f>IF(Tabela3[[#This Row],[Ativo || Passivo]]&gt;0,Tabela3[[#This Row],[Ativo || Passivo]]-Tabela3[[#This Row],[Patrimônio Líquido]],0)</f>
        <v>0</v>
      </c>
      <c r="S491" s="73">
        <f>Tabela3[[#This Row],[Cotação]]*Tabela3[[#This Row],[Total Ações]]</f>
        <v>211348481.07999998</v>
      </c>
      <c r="T491" s="37">
        <f>IF(Tabela3[[#This Row],[Passivo Circulante]]&gt;0,Tabela3[[#This Row],[Ativo Circulante]]/Tabela3[[#This Row],[Passivo Circulante]],0)</f>
        <v>0</v>
      </c>
      <c r="U49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1" s="18">
        <f>IF(Tabela3[[#This Row],[Lucro Líquido]]&gt;0,Tabela3[[#This Row],[Lucro Líquido]]/Tabela3[[#This Row],[Patrimônio Líquido]],0)/Tabela3[[#This Row],[Ref]]*4</f>
        <v>0</v>
      </c>
      <c r="W49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1" s="18">
        <f>IF(Tabela3[[#This Row],[Dívida]]&gt;0,Tabela3[[#This Row],[Dívida]]/Tabela3[[#This Row],[Patrimônio Líquido]],0)</f>
        <v>0</v>
      </c>
      <c r="Y491" s="18">
        <f>SUMPRODUCT(N([Dívida / PL]&gt;0),N(RIGHT([PAPEL],LEN([PAPEL])-(LEN([PAPEL])-1))="3"),[Dívida / PL])/SUMPRODUCT(N([Dívida / PL]&gt;0),N(RIGHT([PAPEL],LEN([PAPEL])-(LEN([PAPEL])-1))="3"))</f>
        <v>2.2435702141443779</v>
      </c>
      <c r="Z491" s="7">
        <f>Tabela3[[#This Row],[Capital Social]]*20%</f>
        <v>21097417.200000003</v>
      </c>
      <c r="AA491" s="47">
        <f>IF(([Lucro Líquido]*5%)&gt;[Teto R. Legal],[Teto R. Legal],[Lucro Líquido]*5%)</f>
        <v>-4007300</v>
      </c>
      <c r="AB491" s="47">
        <f>IF([Lucro Líquido]&lt;0,0,[Lucro Líquido]-[Reserva Legal])</f>
        <v>0</v>
      </c>
      <c r="AC491" s="47">
        <f>Tabela3[[#This Row],[Lucro Distribuir]]*[%Div]</f>
        <v>0</v>
      </c>
      <c r="AD491" s="56">
        <f>SUMPRODUCT(N([Nome]=Tabela3[[#This Row],[Nome]]),[Ações])</f>
        <v>4196753</v>
      </c>
      <c r="AE491" s="84">
        <f>[Capital Social]/[Total Ações]</f>
        <v>25.135404918993327</v>
      </c>
      <c r="AF491" s="84">
        <f>Tabela3[[#This Row],[Lucro Líquido]]/Tabela3[[#This Row],[Total Ações]]</f>
        <v>-19.097144864136631</v>
      </c>
      <c r="AG49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7">
        <f>[Div Base]*[Ações]</f>
        <v>0</v>
      </c>
      <c r="AL491" s="113">
        <f>SUMPRODUCT(N([Nome]=Tabela3[[#This Row],[Nome]]),[Div Base]*[Ações])</f>
        <v>0</v>
      </c>
      <c r="AM491" s="5">
        <f>[Patrimônio Líquido]/[Total Ações]</f>
        <v>-92.509375700690512</v>
      </c>
      <c r="AN491" s="52">
        <f>MAX(Tabela3[[#This Row],[Cotação 1]:[Cotação 5]])</f>
        <v>50.36</v>
      </c>
      <c r="AO491" s="53">
        <f>[Cotação]/[VPA]</f>
        <v>-0.54437725493832401</v>
      </c>
      <c r="AP491" s="37">
        <f>IF(Tabela3[[#This Row],[Lucro/Ação]]&gt;0,Tabela3[[#This Row],[Cotação]]/(Tabela3[[#This Row],[Lucro/Ação]]/[Ref]*4),0)</f>
        <v>0</v>
      </c>
      <c r="AQ491" s="84">
        <f>[Lucro Distribuir]/[Total Ações]</f>
        <v>0</v>
      </c>
      <c r="AR491" s="84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0" t="str">
        <f>IF(AND([% A.A.]&gt;=5%,SUMPRODUCT(N([Nome]=Tabela3[[#This Row],[Nome]]),[PL])&gt;0,[Rentabilidade s/ PL]&gt;=[Rentabilidade s/ PL Média]),"Sim","Não")</f>
        <v>Não</v>
      </c>
      <c r="AT491" s="22">
        <f>IF([Cotação]&gt;0,Tabela3[[#This Row],[Lucro]]/Tabela3[[#This Row],[Cotação]],0)</f>
        <v>0</v>
      </c>
      <c r="AU491" s="22">
        <f>((1+Tabela3[[#This Row],[% Yield]])^(1/(3*Tabela3[[#This Row],[Ref]])))^(12)-1</f>
        <v>0</v>
      </c>
      <c r="AV491" s="10">
        <f>IF([Cotação]&gt;0,($BH$1/Tabela3[[#This Row],[Cotação]]-MOD($BH$1/Tabela3[[#This Row],[Cotação]],100)),)</f>
        <v>0</v>
      </c>
      <c r="AW491" s="7">
        <f>Tabela3[[#This Row],[Ativos]]*[Lucro]</f>
        <v>0</v>
      </c>
      <c r="AX491" s="7">
        <f>SUMPRODUCT(N(Tabela1[Código]=Tabela3[[#This Row],[PAPEL]]),Tabela1[Fechamento])</f>
        <v>0</v>
      </c>
      <c r="AY491" s="7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50.36</v>
      </c>
    </row>
    <row r="492" spans="1:54" ht="11.25" customHeight="1">
      <c r="A492" s="3" t="s">
        <v>288</v>
      </c>
      <c r="B492" s="58" t="s">
        <v>295</v>
      </c>
      <c r="C492" s="82" t="str">
        <f>LEFT([PAPEL],LEN([PAPEL])-(LEN([PAPEL])-4))</f>
        <v>UGPA</v>
      </c>
      <c r="D492" s="16">
        <v>4</v>
      </c>
      <c r="E492" s="5">
        <v>3696772957.3200002</v>
      </c>
      <c r="F492" s="21">
        <v>544383996</v>
      </c>
      <c r="G492" s="80">
        <v>0.5</v>
      </c>
      <c r="H492" s="16"/>
      <c r="J492" s="18"/>
      <c r="K492" s="86"/>
      <c r="L492" s="86"/>
      <c r="M492" s="54">
        <v>7613091000</v>
      </c>
      <c r="N492" s="54">
        <v>437783000</v>
      </c>
      <c r="O492" s="54">
        <v>293402000</v>
      </c>
      <c r="P492" s="5">
        <v>6519961000</v>
      </c>
      <c r="Q492" s="5">
        <v>1225143000</v>
      </c>
      <c r="R492" s="5">
        <f>IF(Tabela3[[#This Row],[Ativo || Passivo]]&gt;0,Tabela3[[#This Row],[Ativo || Passivo]]-Tabela3[[#This Row],[Patrimônio Líquido]],0)</f>
        <v>1093130000</v>
      </c>
      <c r="S492" s="5">
        <f>Tabela3[[#This Row],[Cotação]]*Tabela3[[#This Row],[Total Ações]]</f>
        <v>28618266669.720001</v>
      </c>
      <c r="T492" s="119">
        <f>IF(Tabela3[[#This Row],[Passivo Circulante]]&gt;0,Tabela3[[#This Row],[Ativo Circulante]]/Tabela3[[#This Row],[Passivo Circulante]],0)</f>
        <v>1.4920927601038847</v>
      </c>
      <c r="U492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2" s="18">
        <f>IF(Tabela3[[#This Row],[Lucro Líquido]]&gt;0,Tabela3[[#This Row],[Lucro Líquido]]/Tabela3[[#This Row],[Patrimônio Líquido]],0)/Tabela3[[#This Row],[Ref]]*4</f>
        <v>0.1879064920787103</v>
      </c>
      <c r="W49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2" s="18">
        <f>IF(Tabela3[[#This Row],[Dívida]]&gt;0,Tabela3[[#This Row],[Dívida]]/Tabela3[[#This Row],[Patrimônio Líquido]],0)</f>
        <v>0.16765897832824461</v>
      </c>
      <c r="Y492" s="18">
        <f>SUMPRODUCT(N([Dívida / PL]&gt;0),N(RIGHT([PAPEL],LEN([PAPEL])-(LEN([PAPEL])-1))="3"),[Dívida / PL])/SUMPRODUCT(N([Dívida / PL]&gt;0),N(RIGHT([PAPEL],LEN([PAPEL])-(LEN([PAPEL])-1))="3"))</f>
        <v>2.2435702141443779</v>
      </c>
      <c r="Z492" s="5">
        <f>Tabela3[[#This Row],[Capital Social]]*20%</f>
        <v>739354591.46400011</v>
      </c>
      <c r="AA492" s="5">
        <f>IF(([Lucro Líquido]*5%)&gt;[Teto R. Legal],[Teto R. Legal],[Lucro Líquido]*5%)</f>
        <v>61257150</v>
      </c>
      <c r="AB492" s="5">
        <f>IF([Lucro Líquido]&lt;0,0,[Lucro Líquido]-[Reserva Legal])</f>
        <v>1163885850</v>
      </c>
      <c r="AC492" s="5">
        <f>Tabela3[[#This Row],[Lucro Distribuir]]*[%Div]</f>
        <v>581942925</v>
      </c>
      <c r="AD492" s="21">
        <f>SUMPRODUCT(N([Nome]=Tabela3[[#This Row],[Nome]]),[Ações])</f>
        <v>544383996</v>
      </c>
      <c r="AE492" s="5">
        <f>[Capital Social]/[Total Ações]</f>
        <v>6.7907451072826914</v>
      </c>
      <c r="AF492" s="76">
        <f>Tabela3[[#This Row],[Lucro Líquido]]/Tabela3[[#This Row],[Total Ações]]</f>
        <v>2.2505125224144171</v>
      </c>
      <c r="AG492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2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2" s="5">
        <f>[Div Base]*[Ações]</f>
        <v>581942925</v>
      </c>
      <c r="AL492" s="5">
        <f>SUMPRODUCT(N([Nome]=Tabela3[[#This Row],[Nome]]),[Div Base]*[Ações])</f>
        <v>581942925</v>
      </c>
      <c r="AM492" s="5">
        <f>[Patrimônio Líquido]/[Total Ações]</f>
        <v>11.976768325129088</v>
      </c>
      <c r="AN492" s="52">
        <f>MAX(Tabela3[[#This Row],[Cotação 1]:[Cotação 5]])</f>
        <v>52.57</v>
      </c>
      <c r="AO492" s="53">
        <f>[Cotação]/[VPA]</f>
        <v>4.3893309591453074</v>
      </c>
      <c r="AP492" s="37">
        <f>IF(Tabela3[[#This Row],[Lucro/Ação]]&gt;0,Tabela3[[#This Row],[Cotação]]/(Tabela3[[#This Row],[Lucro/Ação]]/[Ref]*4),0)</f>
        <v>23.359123522494926</v>
      </c>
      <c r="AQ492" s="76">
        <f>[Lucro Distribuir]/[Total Ações]</f>
        <v>2.1379868962936963</v>
      </c>
      <c r="AR492" s="76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2" s="16" t="str">
        <f>IF(AND([% A.A.]&gt;=5%,SUMPRODUCT(N([Nome]=Tabela3[[#This Row],[Nome]]),[PL])&gt;0,[Rentabilidade s/ PL]&gt;=[Rentabilidade s/ PL Média]),"Sim","Não")</f>
        <v>Não</v>
      </c>
      <c r="AT492" s="22">
        <f>IF([Cotação]&gt;0,Tabela3[[#This Row],[Lucro]]/Tabela3[[#This Row],[Cotação]],0)</f>
        <v>2.0334667075268178E-2</v>
      </c>
      <c r="AU492" s="18">
        <f>((1+Tabela3[[#This Row],[% Yield]])^(1/(3*Tabela3[[#This Row],[Ref]])))^(12)-1</f>
        <v>2.0334667075269097E-2</v>
      </c>
      <c r="AV492" s="10">
        <f>IF([Cotação]&gt;0,($BH$1/Tabela3[[#This Row],[Cotação]]-MOD($BH$1/Tabela3[[#This Row],[Cotação]],100)),)</f>
        <v>0</v>
      </c>
      <c r="AW492" s="7">
        <f>Tabela3[[#This Row],[Ativos]]*[Lucro]</f>
        <v>0</v>
      </c>
      <c r="AX492" s="47">
        <f>SUMPRODUCT(N(Tabela1[Código]=Tabela3[[#This Row],[PAPEL]]),Tabela1[Fechamento])</f>
        <v>0</v>
      </c>
      <c r="AY492" s="54">
        <f>SUMPRODUCT(N(Tabela17[Código]=Tabela3[[#This Row],[PAPEL]]),Tabela17[Fechamento])</f>
        <v>52.57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customHeight="1">
      <c r="A493" s="24" t="s">
        <v>12</v>
      </c>
      <c r="B493" s="60" t="s">
        <v>38</v>
      </c>
      <c r="C493" s="15" t="str">
        <f>LEFT([PAPEL],LEN([PAPEL])-(LEN([PAPEL])-4))</f>
        <v>GEPA</v>
      </c>
      <c r="D493" s="15">
        <v>3</v>
      </c>
      <c r="E493" s="6">
        <v>1339137503.8</v>
      </c>
      <c r="F493" s="8">
        <v>62955522</v>
      </c>
      <c r="G493" s="85">
        <v>0.25</v>
      </c>
      <c r="H493" s="15"/>
      <c r="I493" s="19">
        <v>0.1</v>
      </c>
      <c r="J493" s="19"/>
      <c r="K493" s="87"/>
      <c r="L493" s="87"/>
      <c r="M493" s="55"/>
      <c r="N493" s="55"/>
      <c r="O493" s="55"/>
      <c r="P493" s="89">
        <v>2745488000</v>
      </c>
      <c r="Q493" s="89">
        <v>276732000</v>
      </c>
      <c r="R493" s="89">
        <f>IF(Tabela3[[#This Row],[Ativo || Passivo]]&gt;0,Tabela3[[#This Row],[Ativo || Passivo]]-Tabela3[[#This Row],[Patrimônio Líquido]],0)</f>
        <v>0</v>
      </c>
      <c r="S493" s="89">
        <f>Tabela3[[#This Row],[Cotação]]*Tabela3[[#This Row],[Total Ações]]</f>
        <v>5004963999</v>
      </c>
      <c r="T493" s="120">
        <f>IF(Tabela3[[#This Row],[Passivo Circulante]]&gt;0,Tabela3[[#This Row],[Ativo Circulante]]/Tabela3[[#This Row],[Passivo Circulante]],0)</f>
        <v>0</v>
      </c>
      <c r="U493" s="12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3" s="49">
        <f>IF(Tabela3[[#This Row],[Lucro Líquido]]&gt;0,Tabela3[[#This Row],[Lucro Líquido]]/Tabela3[[#This Row],[Patrimônio Líquido]],0)/Tabela3[[#This Row],[Ref]]*4</f>
        <v>0.13439359414428328</v>
      </c>
      <c r="W493" s="4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3" s="49">
        <f>IF(Tabela3[[#This Row],[Dívida]]&gt;0,Tabela3[[#This Row],[Dívida]]/Tabela3[[#This Row],[Patrimônio Líquido]],0)</f>
        <v>0</v>
      </c>
      <c r="Y493" s="49">
        <f>SUMPRODUCT(N([Dívida / PL]&gt;0),N(RIGHT([PAPEL],LEN([PAPEL])-(LEN([PAPEL])-1))="3"),[Dívida / PL])/SUMPRODUCT(N([Dívida / PL]&gt;0),N(RIGHT([PAPEL],LEN([PAPEL])-(LEN([PAPEL])-1))="3"))</f>
        <v>2.2435702141443779</v>
      </c>
      <c r="Z493" s="28">
        <f>Tabela3[[#This Row],[Capital Social]]*20%</f>
        <v>267827500.75999999</v>
      </c>
      <c r="AA493" s="28">
        <f>IF(([Lucro Líquido]*5%)&gt;[Teto R. Legal],[Teto R. Legal],[Lucro Líquido]*5%)</f>
        <v>13836600</v>
      </c>
      <c r="AB493" s="89">
        <f>IF([Lucro Líquido]&lt;0,0,[Lucro Líquido]-[Reserva Legal])</f>
        <v>262895400</v>
      </c>
      <c r="AC493" s="89">
        <f>Tabela3[[#This Row],[Lucro Distribuir]]*[%Div]</f>
        <v>65723850</v>
      </c>
      <c r="AD493" s="56">
        <f>SUMPRODUCT(N([Nome]=Tabela3[[#This Row],[Nome]]),[Ações])</f>
        <v>94433283</v>
      </c>
      <c r="AE493" s="28">
        <f>[Capital Social]/[Total Ações]</f>
        <v>14.180778865858132</v>
      </c>
      <c r="AF493" s="78">
        <f>Tabela3[[#This Row],[Lucro Líquido]]/Tabela3[[#This Row],[Total Ações]]</f>
        <v>2.9304498499750347</v>
      </c>
      <c r="AG4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4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4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493" s="28">
        <f>[Div Base]*[Ações]</f>
        <v>89275833.586666673</v>
      </c>
      <c r="AL493" s="28">
        <f>SUMPRODUCT(N([Nome]=Tabela3[[#This Row],[Nome]]),[Div Base]*[Ações])</f>
        <v>89275833.586666673</v>
      </c>
      <c r="AM493" s="28">
        <f>[Patrimônio Líquido]/[Total Ações]</f>
        <v>29.073308824813388</v>
      </c>
      <c r="AN493" s="29">
        <f>MAX(Tabela3[[#This Row],[Cotação 1]:[Cotação 5]])</f>
        <v>53</v>
      </c>
      <c r="AO493" s="30">
        <f>[Cotação]/[VPA]</f>
        <v>1.8229779183154324</v>
      </c>
      <c r="AP493" s="35">
        <f>IF(Tabela3[[#This Row],[Lucro/Ação]]&gt;0,Tabela3[[#This Row],[Cotação]]/(Tabela3[[#This Row],[Lucro/Ação]]/[Ref]*4),0)</f>
        <v>13.564470315142449</v>
      </c>
      <c r="AQ493" s="77">
        <f>[Lucro Distribuir]/[Total Ações]</f>
        <v>2.7839273574762831</v>
      </c>
      <c r="AR493" s="77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493" s="25" t="str">
        <f>IF(AND([% A.A.]&gt;=5%,SUMPRODUCT(N([Nome]=Tabela3[[#This Row],[Nome]]),[PL])&gt;0,[Rentabilidade s/ PL]&gt;=[Rentabilidade s/ PL Média]),"Sim","Não")</f>
        <v>Não</v>
      </c>
      <c r="AT493" s="27">
        <f>IF([Cotação]&gt;0,Tabela3[[#This Row],[Lucro]]/Tabela3[[#This Row],[Cotação]],0)</f>
        <v>2.6756186539354968E-2</v>
      </c>
      <c r="AU493" s="49">
        <f>((1+Tabela3[[#This Row],[% Yield]])^(1/(3*Tabela3[[#This Row],[Ref]])))^(12)-1</f>
        <v>3.5833067326344503E-2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5">
        <f>SUMPRODUCT(N(Tabela1[Código]=Tabela3[[#This Row],[PAPEL]]),Tabela1[Fechamento])</f>
        <v>53</v>
      </c>
      <c r="AY493" s="5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0</v>
      </c>
    </row>
    <row r="494" spans="1:54" ht="11.25" customHeight="1">
      <c r="A494" s="4" t="s">
        <v>19</v>
      </c>
      <c r="B494" s="58" t="s">
        <v>665</v>
      </c>
      <c r="C494" s="82" t="str">
        <f>LEFT([PAPEL],LEN([PAPEL])-(LEN([PAPEL])-4))</f>
        <v>KLBN</v>
      </c>
      <c r="D494" s="16">
        <v>4</v>
      </c>
      <c r="E494" s="5"/>
      <c r="F494" s="56"/>
      <c r="G494" s="80"/>
      <c r="H494" s="16"/>
      <c r="J494" s="18"/>
      <c r="K494" s="86">
        <v>1</v>
      </c>
      <c r="L494" s="86">
        <v>4</v>
      </c>
      <c r="M494" s="54">
        <v>14642043000</v>
      </c>
      <c r="N494" s="54">
        <v>4614938000</v>
      </c>
      <c r="O494" s="54">
        <v>1799847000</v>
      </c>
      <c r="P494" s="6">
        <v>5392667000</v>
      </c>
      <c r="Q494" s="6">
        <v>290097000</v>
      </c>
      <c r="R494" s="6">
        <f>IF(Tabela3[[#This Row],[Ativo || Passivo]]&gt;0,Tabela3[[#This Row],[Ativo || Passivo]]-Tabela3[[#This Row],[Patrimônio Líquido]],0)</f>
        <v>9249376000</v>
      </c>
      <c r="S494" s="6">
        <f>Tabela3[[#This Row],[Cotação]]*Tabela3[[#This Row],[Total Ações]]</f>
        <v>53077698161.769997</v>
      </c>
      <c r="T494" s="121">
        <f>IF(Tabela3[[#This Row],[Passivo Circulante]]&gt;0,Tabela3[[#This Row],[Ativo Circulante]]/Tabela3[[#This Row],[Passivo Circulante]],0)</f>
        <v>2.5640723905976452</v>
      </c>
      <c r="U494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4" s="19">
        <f>IF(Tabela3[[#This Row],[Lucro Líquido]]&gt;0,Tabela3[[#This Row],[Lucro Líquido]]/Tabela3[[#This Row],[Patrimônio Líquido]],0)/Tabela3[[#This Row],[Ref]]*4</f>
        <v>5.3794717901179512E-2</v>
      </c>
      <c r="W494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4" s="19">
        <f>IF(Tabela3[[#This Row],[Dívida]]&gt;0,Tabela3[[#This Row],[Dívida]]/Tabela3[[#This Row],[Patrimônio Líquido]],0)</f>
        <v>1.7151765536421959</v>
      </c>
      <c r="Y494" s="19">
        <f>SUMPRODUCT(N([Dívida / PL]&gt;0),N(RIGHT([PAPEL],LEN([PAPEL])-(LEN([PAPEL])-1))="3"),[Dívida / PL])/SUMPRODUCT(N([Dívida / PL]&gt;0),N(RIGHT([PAPEL],LEN([PAPEL])-(LEN([PAPEL])-1))="3"))</f>
        <v>2.2435702141443779</v>
      </c>
      <c r="Z494" s="5">
        <f>Tabela3[[#This Row],[Capital Social]]*20%</f>
        <v>0</v>
      </c>
      <c r="AA494" s="5">
        <f>IF(([Lucro Líquido]*5%)&gt;[Teto R. Legal],[Teto R. Legal],[Lucro Líquido]*5%)</f>
        <v>0</v>
      </c>
      <c r="AB494" s="5">
        <f>IF([Lucro Líquido]&lt;0,0,[Lucro Líquido]-[Reserva Legal])</f>
        <v>290097000</v>
      </c>
      <c r="AC494" s="5">
        <f>Tabela3[[#This Row],[Lucro Distribuir]]*[%Div]</f>
        <v>0</v>
      </c>
      <c r="AD494" s="56">
        <f>SUMPRODUCT(N([Nome]=Tabela3[[#This Row],[Nome]]),[Ações])</f>
        <v>945957907</v>
      </c>
      <c r="AE494" s="5">
        <f>[Capital Social]/[Total Ações]</f>
        <v>0</v>
      </c>
      <c r="AF494" s="76">
        <f>Tabela3[[#This Row],[Lucro Líquido]]/Tabela3[[#This Row],[Total Ações]]</f>
        <v>0.30667009372542831</v>
      </c>
      <c r="AG49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4" s="5">
        <f>[Div Base]*[Ações]</f>
        <v>0</v>
      </c>
      <c r="AL494" s="5">
        <f>SUMPRODUCT(N([Nome]=Tabela3[[#This Row],[Nome]]),[Div Base]*[Ações])</f>
        <v>68898037.5</v>
      </c>
      <c r="AM494" s="5">
        <f>[Patrimônio Líquido]/[Total Ações]</f>
        <v>5.700747316656237</v>
      </c>
      <c r="AN494" s="52">
        <f>MAX(Tabela3[[#This Row],[Cotação 1]:[Cotação 5]])</f>
        <v>56.11</v>
      </c>
      <c r="AO494" s="53">
        <f>[Cotação]/[VPA]</f>
        <v>9.8425692077352451</v>
      </c>
      <c r="AP494" s="37">
        <f>IF(Tabela3[[#This Row],[Lucro/Ação]]&gt;0,Tabela3[[#This Row],[Cotação]]/(Tabela3[[#This Row],[Lucro/Ação]]/[Ref]*4),0)</f>
        <v>182.96534663154048</v>
      </c>
      <c r="AQ494" s="76">
        <f>[Lucro Distribuir]/[Total Ações]</f>
        <v>0.30667009372542831</v>
      </c>
      <c r="AR494" s="76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494" s="16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6.4903000587942629E-3</v>
      </c>
      <c r="AU494" s="18">
        <f>((1+Tabela3[[#This Row],[% Yield]])^(1/(3*Tabela3[[#This Row],[Ref]])))^(12)-1</f>
        <v>6.4903000587948068E-3</v>
      </c>
      <c r="AV494" s="10">
        <f>IF([Cotação]&gt;0,($BH$1/Tabela3[[#This Row],[Cotação]]-MOD($BH$1/Tabela3[[#This Row],[Cotação]],100)),)</f>
        <v>0</v>
      </c>
      <c r="AW494" s="7">
        <f>Tabela3[[#This Row],[Ativos]]*[Lucro]</f>
        <v>0</v>
      </c>
      <c r="AX494" s="47">
        <f>SUMPRODUCT(N(Tabela1[Código]=Tabela3[[#This Row],[PAPEL]]),Tabela1[Fechamento])</f>
        <v>0</v>
      </c>
      <c r="AY494" s="54">
        <f>SUMPRODUCT(N(Tabela17[Código]=Tabela3[[#This Row],[PAPEL]]),Tabela17[Fechamento])</f>
        <v>0</v>
      </c>
      <c r="AZ494" s="7">
        <f>SUMPRODUCT(N(Tabela176[Código]=Tabela3[[#This Row],[PAPEL]]),Tabela176[Fechamento])</f>
        <v>56.11</v>
      </c>
      <c r="BA494" s="7">
        <f>SUMPRODUCT(N(Tabela1768[Código]=Tabela3[[#This Row],[PAPEL]]),Tabela1768[Fechamento])</f>
        <v>0</v>
      </c>
      <c r="BB494" s="7">
        <f>SUMPRODUCT(N(Tabela17683[Código]=Tabela3[[#This Row],[PAPEL]]),Tabela17683[Fechamento])</f>
        <v>0</v>
      </c>
    </row>
    <row r="495" spans="1:54" ht="11.25" customHeight="1">
      <c r="A495" s="3" t="s">
        <v>996</v>
      </c>
      <c r="B495" s="58" t="s">
        <v>1009</v>
      </c>
      <c r="C495" s="16" t="str">
        <f>LEFT([PAPEL],LEN([PAPEL])-(LEN([PAPEL])-4))</f>
        <v>LREN</v>
      </c>
      <c r="D495" s="16">
        <v>4</v>
      </c>
      <c r="E495" s="5">
        <v>421683182.5</v>
      </c>
      <c r="F495" s="56">
        <v>125894865</v>
      </c>
      <c r="G495" s="80">
        <v>0.25</v>
      </c>
      <c r="H495" s="86"/>
      <c r="J495" s="18"/>
      <c r="K495" s="16"/>
      <c r="L495" s="86"/>
      <c r="M495" s="54">
        <v>4200490000</v>
      </c>
      <c r="N495" s="54">
        <v>2618324000</v>
      </c>
      <c r="O495" s="54">
        <v>1620667000</v>
      </c>
      <c r="P495" s="90">
        <v>1493253000</v>
      </c>
      <c r="Q495" s="73">
        <v>407404000</v>
      </c>
      <c r="R495" s="73">
        <f>IF(Tabela3[[#This Row],[Ativo || Passivo]]&gt;0,Tabela3[[#This Row],[Ativo || Passivo]]-Tabela3[[#This Row],[Patrimônio Líquido]],0)</f>
        <v>2707237000</v>
      </c>
      <c r="S495" s="73">
        <f>Tabela3[[#This Row],[Cotação]]*Tabela3[[#This Row],[Total Ações]]</f>
        <v>7452976008</v>
      </c>
      <c r="T495" s="37">
        <f>IF(Tabela3[[#This Row],[Passivo Circulante]]&gt;0,Tabela3[[#This Row],[Ativo Circulante]]/Tabela3[[#This Row],[Passivo Circulante]],0)</f>
        <v>1.6155842008259562</v>
      </c>
      <c r="U49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5" s="18">
        <f>IF(Tabela3[[#This Row],[Lucro Líquido]]&gt;0,Tabela3[[#This Row],[Lucro Líquido]]/Tabela3[[#This Row],[Patrimônio Líquido]],0)/Tabela3[[#This Row],[Ref]]*4</f>
        <v>0.27282985535605819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5" s="18">
        <f>IF(Tabela3[[#This Row],[Dívida]]&gt;0,Tabela3[[#This Row],[Dívida]]/Tabela3[[#This Row],[Patrimônio Líquido]],0)</f>
        <v>1.8129794482247816</v>
      </c>
      <c r="Y495" s="18">
        <f>SUMPRODUCT(N([Dívida / PL]&gt;0),N(RIGHT([PAPEL],LEN([PAPEL])-(LEN([PAPEL])-1))="3"),[Dívida / PL])/SUMPRODUCT(N([Dívida / PL]&gt;0),N(RIGHT([PAPEL],LEN([PAPEL])-(LEN([PAPEL])-1))="3"))</f>
        <v>2.2435702141443779</v>
      </c>
      <c r="Z495" s="7">
        <f>Tabela3[[#This Row],[Capital Social]]*20%</f>
        <v>84336636.5</v>
      </c>
      <c r="AA495" s="47">
        <f>IF(([Lucro Líquido]*5%)&gt;[Teto R. Legal],[Teto R. Legal],[Lucro Líquido]*5%)</f>
        <v>20370200</v>
      </c>
      <c r="AB495" s="47">
        <f>IF([Lucro Líquido]&lt;0,0,[Lucro Líquido]-[Reserva Legal])</f>
        <v>387033800</v>
      </c>
      <c r="AC495" s="47">
        <f>Tabela3[[#This Row],[Lucro Distribuir]]*[%Div]</f>
        <v>96758450</v>
      </c>
      <c r="AD495" s="56">
        <f>SUMPRODUCT(N([Nome]=Tabela3[[#This Row],[Nome]]),[Ações])</f>
        <v>125894865</v>
      </c>
      <c r="AE495" s="84">
        <f>[Capital Social]/[Total Ações]</f>
        <v>3.3494867522992302</v>
      </c>
      <c r="AF495" s="84">
        <f>Tabela3[[#This Row],[Lucro Líquido]]/Tabela3[[#This Row],[Total Ações]]</f>
        <v>3.2360652676342281</v>
      </c>
      <c r="AG49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49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495" s="7">
        <f>[Div Base]*[Ações]</f>
        <v>96758450</v>
      </c>
      <c r="AL495" s="113">
        <f>SUMPRODUCT(N([Nome]=Tabela3[[#This Row],[Nome]]),[Div Base]*[Ações])</f>
        <v>96758450</v>
      </c>
      <c r="AM495" s="5">
        <f>[Patrimônio Líquido]/[Total Ações]</f>
        <v>11.861111253425626</v>
      </c>
      <c r="AN495" s="52">
        <f>MAX(Tabela3[[#This Row],[Cotação 1]:[Cotação 5]])</f>
        <v>59.2</v>
      </c>
      <c r="AO495" s="53">
        <f>[Cotação]/[VPA]</f>
        <v>4.9911006426908235</v>
      </c>
      <c r="AP495" s="37">
        <f>IF(Tabela3[[#This Row],[Lucro/Ação]]&gt;0,Tabela3[[#This Row],[Cotação]]/(Tabela3[[#This Row],[Lucro/Ação]]/[Ref]*4),0)</f>
        <v>18.293821386142504</v>
      </c>
      <c r="AQ495" s="84">
        <f>[Lucro Distribuir]/[Total Ações]</f>
        <v>3.0742620042525166</v>
      </c>
      <c r="AR495" s="84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495" s="10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1.2982525355796099E-2</v>
      </c>
      <c r="AU495" s="22">
        <f>((1+Tabela3[[#This Row],[% Yield]])^(1/(3*Tabela3[[#This Row],[Ref]])))^(12)-1</f>
        <v>1.2982525355795582E-2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7">
        <f>SUMPRODUCT(N(Tabela1[Código]=Tabela3[[#This Row],[PAPEL]]),Tabela1[Fechamento])</f>
        <v>0</v>
      </c>
      <c r="AY495" s="7">
        <f>SUMPRODUCT(N(Tabela17[Código]=Tabela3[[#This Row],[PAPEL]]),Tabela17[Fechamento])</f>
        <v>0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59.2</v>
      </c>
      <c r="BB495" s="7">
        <f>SUMPRODUCT(N(Tabela17683[Código]=Tabela3[[#This Row],[PAPEL]]),Tabela17683[Fechamento])</f>
        <v>0</v>
      </c>
    </row>
    <row r="496" spans="1:54">
      <c r="A496" s="3" t="s">
        <v>1201</v>
      </c>
      <c r="B496" s="58" t="s">
        <v>1195</v>
      </c>
      <c r="C496" s="16" t="str">
        <f>LEFT([PAPEL],LEN([PAPEL])-(LEN([PAPEL])-4))</f>
        <v>MTSA</v>
      </c>
      <c r="D496" s="16">
        <v>3</v>
      </c>
      <c r="E496" s="5">
        <v>100000000</v>
      </c>
      <c r="F496" s="56">
        <v>4212530</v>
      </c>
      <c r="G496" s="80">
        <v>0.25</v>
      </c>
      <c r="H496" s="86"/>
      <c r="J496" s="18"/>
      <c r="K496" s="16"/>
      <c r="L496" s="86"/>
      <c r="M496" s="54"/>
      <c r="N496" s="54"/>
      <c r="O496" s="54"/>
      <c r="P496" s="90">
        <v>187243051</v>
      </c>
      <c r="Q496" s="73">
        <v>15526375</v>
      </c>
      <c r="R496" s="73">
        <f>IF(Tabela3[[#This Row],[Ativo || Passivo]]&gt;0,Tabela3[[#This Row],[Ativo || Passivo]]-Tabela3[[#This Row],[Patrimônio Líquido]],0)</f>
        <v>0</v>
      </c>
      <c r="S496" s="73">
        <f>Tabela3[[#This Row],[Cotação]]*Tabela3[[#This Row],[Total Ações]]</f>
        <v>585868980</v>
      </c>
      <c r="T496" s="37">
        <f>IF(Tabela3[[#This Row],[Passivo Circulante]]&gt;0,Tabela3[[#This Row],[Ativo Circulante]]/Tabela3[[#This Row],[Passivo Circulante]],0)</f>
        <v>0</v>
      </c>
      <c r="U49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6" s="18">
        <f>IF(Tabela3[[#This Row],[Lucro Líquido]]&gt;0,Tabela3[[#This Row],[Lucro Líquido]]/Tabela3[[#This Row],[Patrimônio Líquido]],0)/Tabela3[[#This Row],[Ref]]*4</f>
        <v>0.11056129038045494</v>
      </c>
      <c r="W49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6" s="18">
        <f>IF(Tabela3[[#This Row],[Dívida]]&gt;0,Tabela3[[#This Row],[Dívida]]/Tabela3[[#This Row],[Patrimônio Líquido]],0)</f>
        <v>0</v>
      </c>
      <c r="Y496" s="18">
        <f>SUMPRODUCT(N([Dívida / PL]&gt;0),N(RIGHT([PAPEL],LEN([PAPEL])-(LEN([PAPEL])-1))="3"),[Dívida / PL])/SUMPRODUCT(N([Dívida / PL]&gt;0),N(RIGHT([PAPEL],LEN([PAPEL])-(LEN([PAPEL])-1))="3"))</f>
        <v>2.2435702141443779</v>
      </c>
      <c r="Z496" s="7">
        <f>Tabela3[[#This Row],[Capital Social]]*20%</f>
        <v>20000000</v>
      </c>
      <c r="AA496" s="47">
        <f>IF(([Lucro Líquido]*5%)&gt;[Teto R. Legal],[Teto R. Legal],[Lucro Líquido]*5%)</f>
        <v>776318.75</v>
      </c>
      <c r="AB496" s="47">
        <f>IF([Lucro Líquido]&lt;0,0,[Lucro Líquido]-[Reserva Legal])</f>
        <v>14750056.25</v>
      </c>
      <c r="AC496" s="47">
        <f>Tabela3[[#This Row],[Lucro Distribuir]]*[%Div]</f>
        <v>3687514.0625</v>
      </c>
      <c r="AD496" s="56">
        <f>SUMPRODUCT(N([Nome]=Tabela3[[#This Row],[Nome]]),[Ações])</f>
        <v>9764483</v>
      </c>
      <c r="AE496" s="84">
        <f>[Capital Social]/[Total Ações]</f>
        <v>10.241197613841921</v>
      </c>
      <c r="AF496" s="84">
        <f>Tabela3[[#This Row],[Lucro Líquido]]/Tabela3[[#This Row],[Total Ações]]</f>
        <v>1.5900867460161485</v>
      </c>
      <c r="AG49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49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496" s="7">
        <f>[Div Base]*[Ações]</f>
        <v>1541346.2401431089</v>
      </c>
      <c r="AL496" s="113">
        <f>SUMPRODUCT(N([Nome]=Tabela3[[#This Row],[Nome]]),[Div Base]*[Ações])</f>
        <v>3775925.0047089439</v>
      </c>
      <c r="AM496" s="5">
        <f>[Patrimônio Líquido]/[Total Ações]</f>
        <v>19.17593087109681</v>
      </c>
      <c r="AN496" s="52">
        <f>MAX(Tabela3[[#This Row],[Cotação 1]:[Cotação 5]])</f>
        <v>60</v>
      </c>
      <c r="AO496" s="53">
        <f>[Cotação]/[VPA]</f>
        <v>3.1289224185948563</v>
      </c>
      <c r="AP496" s="37">
        <f>IF(Tabela3[[#This Row],[Lucro/Ação]]&gt;0,Tabela3[[#This Row],[Cotação]]/(Tabela3[[#This Row],[Lucro/Ação]]/[Ref]*4),0)</f>
        <v>28.30034280377744</v>
      </c>
      <c r="AQ496" s="84">
        <f>[Lucro Distribuir]/[Total Ações]</f>
        <v>1.510582408715341</v>
      </c>
      <c r="AR496" s="84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496" s="10" t="str">
        <f>IF(AND([% A.A.]&gt;=5%,SUMPRODUCT(N([Nome]=Tabela3[[#This Row],[Nome]]),[PL])&gt;0,[Rentabilidade s/ PL]&gt;=[Rentabilidade s/ PL Média]),"Sim","Não")</f>
        <v>Não</v>
      </c>
      <c r="AT496" s="22">
        <f>IF([Cotação]&gt;0,Tabela3[[#This Row],[Lucro]]/Tabela3[[#This Row],[Cotação]],0)</f>
        <v>6.0982601909980814E-3</v>
      </c>
      <c r="AU496" s="22">
        <f>((1+Tabela3[[#This Row],[% Yield]])^(1/(3*Tabela3[[#This Row],[Ref]])))^(12)-1</f>
        <v>8.1392665897594974E-3</v>
      </c>
      <c r="AV496" s="10">
        <f>IF([Cotação]&gt;0,($BH$1/Tabela3[[#This Row],[Cotação]]-MOD($BH$1/Tabela3[[#This Row],[Cotação]],100)),)</f>
        <v>0</v>
      </c>
      <c r="AW496" s="7">
        <f>Tabela3[[#This Row],[Ativos]]*[Lucro]</f>
        <v>0</v>
      </c>
      <c r="AX496" s="7">
        <f>SUMPRODUCT(N(Tabela1[Código]=Tabela3[[#This Row],[PAPEL]]),Tabela1[Fechamento])</f>
        <v>0</v>
      </c>
      <c r="AY496" s="7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60</v>
      </c>
    </row>
    <row r="497" spans="1:54">
      <c r="A497" s="4" t="s">
        <v>308</v>
      </c>
      <c r="B497" s="57" t="s">
        <v>307</v>
      </c>
      <c r="C497" s="81" t="str">
        <f>LEFT([PAPEL],LEN([PAPEL])-(LEN([PAPEL])-4))</f>
        <v>PTPA</v>
      </c>
      <c r="D497" s="15">
        <v>4</v>
      </c>
      <c r="E497" s="6">
        <v>536949301.21000004</v>
      </c>
      <c r="F497" s="8">
        <v>11924908</v>
      </c>
      <c r="G497" s="80">
        <v>0.3</v>
      </c>
      <c r="H497" s="15"/>
      <c r="I497" s="19"/>
      <c r="J497" s="19"/>
      <c r="K497" s="87"/>
      <c r="L497" s="87"/>
      <c r="M497" s="55">
        <v>1162669000</v>
      </c>
      <c r="N497" s="55">
        <v>241621000</v>
      </c>
      <c r="O497" s="55">
        <v>145176000</v>
      </c>
      <c r="P497" s="6">
        <v>746576000</v>
      </c>
      <c r="Q497" s="6">
        <v>95133000</v>
      </c>
      <c r="R497" s="6">
        <f>IF(Tabela3[[#This Row],[Ativo || Passivo]]&gt;0,Tabela3[[#This Row],[Ativo || Passivo]]-Tabela3[[#This Row],[Patrimônio Líquido]],0)</f>
        <v>416093000</v>
      </c>
      <c r="S497" s="6">
        <f>Tabela3[[#This Row],[Cotação]]*Tabela3[[#This Row],[Total Ações]]</f>
        <v>1073241720</v>
      </c>
      <c r="T497" s="121">
        <f>IF(Tabela3[[#This Row],[Passivo Circulante]]&gt;0,Tabela3[[#This Row],[Ativo Circulante]]/Tabela3[[#This Row],[Passivo Circulante]],0)</f>
        <v>1.6643315699564667</v>
      </c>
      <c r="U497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7" s="19">
        <f>IF(Tabela3[[#This Row],[Lucro Líquido]]&gt;0,Tabela3[[#This Row],[Lucro Líquido]]/Tabela3[[#This Row],[Patrimônio Líquido]],0)/Tabela3[[#This Row],[Ref]]*4</f>
        <v>0.12742574098283363</v>
      </c>
      <c r="W497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7" s="19">
        <f>IF(Tabela3[[#This Row],[Dívida]]&gt;0,Tabela3[[#This Row],[Dívida]]/Tabela3[[#This Row],[Patrimônio Líquido]],0)</f>
        <v>0.55733508711772139</v>
      </c>
      <c r="Y497" s="19">
        <f>SUMPRODUCT(N([Dívida / PL]&gt;0),N(RIGHT([PAPEL],LEN([PAPEL])-(LEN([PAPEL])-1))="3"),[Dívida / PL])/SUMPRODUCT(N([Dívida / PL]&gt;0),N(RIGHT([PAPEL],LEN([PAPEL])-(LEN([PAPEL])-1))="3"))</f>
        <v>2.2435702141443779</v>
      </c>
      <c r="Z497" s="6">
        <f>Tabela3[[#This Row],[Capital Social]]*20%</f>
        <v>107389860.24200001</v>
      </c>
      <c r="AA497" s="6">
        <f>IF(([Lucro Líquido]*5%)&gt;[Teto R. Legal],[Teto R. Legal],[Lucro Líquido]*5%)</f>
        <v>4756650</v>
      </c>
      <c r="AB497" s="6">
        <f>IF([Lucro Líquido]&lt;0,0,[Lucro Líquido]-[Reserva Legal])</f>
        <v>90376350</v>
      </c>
      <c r="AC497" s="6">
        <f>Tabela3[[#This Row],[Lucro Distribuir]]*[%Div]</f>
        <v>27112905</v>
      </c>
      <c r="AD497" s="56">
        <f>SUMPRODUCT(N([Nome]=Tabela3[[#This Row],[Nome]]),[Ações])</f>
        <v>17887362</v>
      </c>
      <c r="AE497" s="6">
        <f>[Capital Social]/[Total Ações]</f>
        <v>30.018361634879422</v>
      </c>
      <c r="AF497" s="77">
        <f>Tabela3[[#This Row],[Lucro Líquido]]/Tabela3[[#This Row],[Total Ações]]</f>
        <v>5.3184477398064622</v>
      </c>
      <c r="AG4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4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497" s="6">
        <f>[Div Base]*[Ações]</f>
        <v>18075270</v>
      </c>
      <c r="AL497" s="6">
        <f>SUMPRODUCT(N([Nome]=Tabela3[[#This Row],[Nome]]),[Div Base]*[Ações])</f>
        <v>27112905</v>
      </c>
      <c r="AM497" s="6">
        <f>[Patrimônio Líquido]/[Total Ações]</f>
        <v>41.737624586565644</v>
      </c>
      <c r="AN497" s="48">
        <f>MAX(Tabela3[[#This Row],[Cotação 1]:[Cotação 5]])</f>
        <v>60</v>
      </c>
      <c r="AO497" s="44">
        <f>[Cotação]/[VPA]</f>
        <v>1.4375518634405606</v>
      </c>
      <c r="AP497" s="40">
        <f>IF(Tabela3[[#This Row],[Lucro/Ação]]&gt;0,Tabela3[[#This Row],[Cotação]]/(Tabela3[[#This Row],[Lucro/Ação]]/[Ref]*4),0)</f>
        <v>11.281487181104348</v>
      </c>
      <c r="AQ497" s="77">
        <f>[Lucro Distribuir]/[Total Ações]</f>
        <v>5.0525253528161391</v>
      </c>
      <c r="AR497" s="77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497" s="15" t="str">
        <f>IF(AND([% A.A.]&gt;=5%,SUMPRODUCT(N([Nome]=Tabela3[[#This Row],[Nome]]),[PL])&gt;0,[Rentabilidade s/ PL]&gt;=[Rentabilidade s/ PL Média]),"Sim","Não")</f>
        <v>Não</v>
      </c>
      <c r="AT497" s="42">
        <f>IF([Cotação]&gt;0,Tabela3[[#This Row],[Lucro]]/Tabela3[[#This Row],[Cotação]],0)</f>
        <v>2.5262626764080694E-2</v>
      </c>
      <c r="AU497" s="19">
        <f>((1+Tabela3[[#This Row],[% Yield]])^(1/(3*Tabela3[[#This Row],[Ref]])))^(12)-1</f>
        <v>2.5262626764080309E-2</v>
      </c>
      <c r="AV497" s="14">
        <f>IF([Cotação]&gt;0,($BH$1/Tabela3[[#This Row],[Cotação]]-MOD($BH$1/Tabela3[[#This Row],[Cotação]],100)),)</f>
        <v>0</v>
      </c>
      <c r="AW497" s="17">
        <f>Tabela3[[#This Row],[Ativos]]*[Lucro]</f>
        <v>0</v>
      </c>
      <c r="AX497" s="13">
        <f>SUMPRODUCT(N(Tabela1[Código]=Tabela3[[#This Row],[PAPEL]]),Tabela1[Fechamento])</f>
        <v>0</v>
      </c>
      <c r="AY497" s="55">
        <f>SUMPRODUCT(N(Tabela17[Código]=Tabela3[[#This Row],[PAPEL]]),Tabela17[Fechamento])</f>
        <v>60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4" t="s">
        <v>12</v>
      </c>
      <c r="B498" s="60" t="s">
        <v>158</v>
      </c>
      <c r="C498" s="14" t="str">
        <f>LEFT([PAPEL],LEN([PAPEL])-(LEN([PAPEL])-4))</f>
        <v>GEPA</v>
      </c>
      <c r="D498" s="15">
        <v>3</v>
      </c>
      <c r="E498" s="6">
        <v>1339137503.8</v>
      </c>
      <c r="F498" s="8">
        <v>31477761</v>
      </c>
      <c r="G498" s="80">
        <v>0.25</v>
      </c>
      <c r="H498" s="15"/>
      <c r="I498" s="19"/>
      <c r="J498" s="19"/>
      <c r="K498" s="87"/>
      <c r="L498" s="87"/>
      <c r="M498" s="55"/>
      <c r="N498" s="55"/>
      <c r="O498" s="55"/>
      <c r="P498" s="88">
        <v>2745488000</v>
      </c>
      <c r="Q498" s="88">
        <v>276732000</v>
      </c>
      <c r="R498" s="88">
        <f>IF(Tabela3[[#This Row],[Ativo || Passivo]]&gt;0,Tabela3[[#This Row],[Ativo || Passivo]]-Tabela3[[#This Row],[Patrimônio Líquido]],0)</f>
        <v>0</v>
      </c>
      <c r="S498" s="88">
        <f>Tabela3[[#This Row],[Cotação]]*Tabela3[[#This Row],[Total Ações]]</f>
        <v>5858640877.3199997</v>
      </c>
      <c r="T498" s="121">
        <f>IF(Tabela3[[#This Row],[Passivo Circulante]]&gt;0,Tabela3[[#This Row],[Ativo Circulante]]/Tabela3[[#This Row],[Passivo Circulante]],0)</f>
        <v>0</v>
      </c>
      <c r="U498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8" s="19">
        <f>IF(Tabela3[[#This Row],[Lucro Líquido]]&gt;0,Tabela3[[#This Row],[Lucro Líquido]]/Tabela3[[#This Row],[Patrimônio Líquido]],0)/Tabela3[[#This Row],[Ref]]*4</f>
        <v>0.13439359414428328</v>
      </c>
      <c r="W49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8" s="19">
        <f>IF(Tabela3[[#This Row],[Dívida]]&gt;0,Tabela3[[#This Row],[Dívida]]/Tabela3[[#This Row],[Patrimônio Líquido]],0)</f>
        <v>0</v>
      </c>
      <c r="Y498" s="19">
        <f>SUMPRODUCT(N([Dívida / PL]&gt;0),N(RIGHT([PAPEL],LEN([PAPEL])-(LEN([PAPEL])-1))="3"),[Dívida / PL])/SUMPRODUCT(N([Dívida / PL]&gt;0),N(RIGHT([PAPEL],LEN([PAPEL])-(LEN([PAPEL])-1))="3"))</f>
        <v>2.2435702141443779</v>
      </c>
      <c r="Z498" s="6">
        <f>Tabela3[[#This Row],[Capital Social]]*20%</f>
        <v>267827500.75999999</v>
      </c>
      <c r="AA498" s="6">
        <f>IF(([Lucro Líquido]*5%)&gt;[Teto R. Legal],[Teto R. Legal],[Lucro Líquido]*5%)</f>
        <v>13836600</v>
      </c>
      <c r="AB498" s="88">
        <f>IF([Lucro Líquido]&lt;0,0,[Lucro Líquido]-[Reserva Legal])</f>
        <v>262895400</v>
      </c>
      <c r="AC498" s="88">
        <f>Tabela3[[#This Row],[Lucro Distribuir]]*[%Div]</f>
        <v>65723850</v>
      </c>
      <c r="AD498" s="56">
        <f>SUMPRODUCT(N([Nome]=Tabela3[[#This Row],[Nome]]),[Ações])</f>
        <v>94433283</v>
      </c>
      <c r="AE498" s="6">
        <f>[Capital Social]/[Total Ações]</f>
        <v>14.180778865858132</v>
      </c>
      <c r="AF498" s="77">
        <f>Tabela3[[#This Row],[Lucro Líquido]]/Tabela3[[#This Row],[Total Ações]]</f>
        <v>2.9304498499750347</v>
      </c>
      <c r="AG49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49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8" s="6">
        <f>[Div Base]*[Ações]</f>
        <v>0</v>
      </c>
      <c r="AL498" s="6">
        <f>SUMPRODUCT(N([Nome]=Tabela3[[#This Row],[Nome]]),[Div Base]*[Ações])</f>
        <v>89275833.586666673</v>
      </c>
      <c r="AM498" s="6">
        <f>[Patrimônio Líquido]/[Total Ações]</f>
        <v>29.073308824813388</v>
      </c>
      <c r="AN498" s="48">
        <f>MAX(Tabela3[[#This Row],[Cotação 1]:[Cotação 5]])</f>
        <v>62.04</v>
      </c>
      <c r="AO498" s="44">
        <f>[Cotação]/[VPA]</f>
        <v>2.1339160387224418</v>
      </c>
      <c r="AP498" s="40">
        <f>IF(Tabela3[[#This Row],[Lucro/Ação]]&gt;0,Tabela3[[#This Row],[Cotação]]/(Tabela3[[#This Row],[Lucro/Ação]]/[Ref]*4),0)</f>
        <v>15.878108270781841</v>
      </c>
      <c r="AQ498" s="77">
        <f>[Lucro Distribuir]/[Total Ações]</f>
        <v>2.7839273574762831</v>
      </c>
      <c r="AR49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8" s="15" t="str">
        <f>IF(AND([% A.A.]&gt;=5%,SUMPRODUCT(N([Nome]=Tabela3[[#This Row],[Nome]]),[PL])&gt;0,[Rentabilidade s/ PL]&gt;=[Rentabilidade s/ PL Média]),"Sim","Não")</f>
        <v>Não</v>
      </c>
      <c r="AT498" s="42">
        <f>IF([Cotação]&gt;0,Tabela3[[#This Row],[Lucro]]/Tabela3[[#This Row],[Cotação]],0)</f>
        <v>0</v>
      </c>
      <c r="AU498" s="19">
        <f>((1+Tabela3[[#This Row],[% Yield]])^(1/(3*Tabela3[[#This Row],[Ref]])))^(12)-1</f>
        <v>0</v>
      </c>
      <c r="AV498" s="14">
        <f>IF([Cotação]&gt;0,($BH$1/Tabela3[[#This Row],[Cotação]]-MOD($BH$1/Tabela3[[#This Row],[Cotação]],100)),)</f>
        <v>0</v>
      </c>
      <c r="AW498" s="17">
        <f>Tabela3[[#This Row],[Ativos]]*[Lucro]</f>
        <v>0</v>
      </c>
      <c r="AX498" s="5">
        <f>SUMPRODUCT(N(Tabela1[Código]=Tabela3[[#This Row],[PAPEL]]),Tabela1[Fechamento])</f>
        <v>62.04</v>
      </c>
      <c r="AY498" s="5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t="11.25" customHeight="1">
      <c r="A499" s="3" t="s">
        <v>996</v>
      </c>
      <c r="B499" s="58" t="s">
        <v>1006</v>
      </c>
      <c r="C499" s="16" t="str">
        <f>LEFT([PAPEL],LEN([PAPEL])-(LEN([PAPEL])-4))</f>
        <v>LHER</v>
      </c>
      <c r="D499" s="16">
        <v>3</v>
      </c>
      <c r="E499" s="5">
        <v>17359611.57</v>
      </c>
      <c r="F499" s="56">
        <v>84783</v>
      </c>
      <c r="G499" s="80">
        <v>0.25</v>
      </c>
      <c r="H499" s="86"/>
      <c r="J499" s="18"/>
      <c r="K499" s="16"/>
      <c r="L499" s="86"/>
      <c r="M499" s="54"/>
      <c r="N499" s="54"/>
      <c r="O499" s="54"/>
      <c r="P499" s="90">
        <v>4004000</v>
      </c>
      <c r="Q499" s="73">
        <v>130000</v>
      </c>
      <c r="R499" s="73">
        <f>IF(Tabela3[[#This Row],[Ativo || Passivo]]&gt;0,Tabela3[[#This Row],[Ativo || Passivo]]-Tabela3[[#This Row],[Patrimônio Líquido]],0)</f>
        <v>0</v>
      </c>
      <c r="S499" s="73">
        <f>Tabela3[[#This Row],[Cotação]]*Tabela3[[#This Row],[Total Ações]]</f>
        <v>8911740</v>
      </c>
      <c r="T499" s="37">
        <f>IF(Tabela3[[#This Row],[Passivo Circulante]]&gt;0,Tabela3[[#This Row],[Ativo Circulante]]/Tabela3[[#This Row],[Passivo Circulante]],0)</f>
        <v>0</v>
      </c>
      <c r="U49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499" s="18">
        <f>IF(Tabela3[[#This Row],[Lucro Líquido]]&gt;0,Tabela3[[#This Row],[Lucro Líquido]]/Tabela3[[#This Row],[Patrimônio Líquido]],0)/Tabela3[[#This Row],[Ref]]*4</f>
        <v>4.3290043290043288E-2</v>
      </c>
      <c r="W49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499" s="18">
        <f>IF(Tabela3[[#This Row],[Dívida]]&gt;0,Tabela3[[#This Row],[Dívida]]/Tabela3[[#This Row],[Patrimônio Líquido]],0)</f>
        <v>0</v>
      </c>
      <c r="Y499" s="18">
        <f>SUMPRODUCT(N([Dívida / PL]&gt;0),N(RIGHT([PAPEL],LEN([PAPEL])-(LEN([PAPEL])-1))="3"),[Dívida / PL])/SUMPRODUCT(N([Dívida / PL]&gt;0),N(RIGHT([PAPEL],LEN([PAPEL])-(LEN([PAPEL])-1))="3"))</f>
        <v>2.2435702141443779</v>
      </c>
      <c r="Z499" s="7">
        <f>Tabela3[[#This Row],[Capital Social]]*20%</f>
        <v>3471922.3140000002</v>
      </c>
      <c r="AA499" s="47">
        <f>IF(([Lucro Líquido]*5%)&gt;[Teto R. Legal],[Teto R. Legal],[Lucro Líquido]*5%)</f>
        <v>6500</v>
      </c>
      <c r="AB499" s="47">
        <f>IF([Lucro Líquido]&lt;0,0,[Lucro Líquido]-[Reserva Legal])</f>
        <v>123500</v>
      </c>
      <c r="AC499" s="47">
        <f>Tabela3[[#This Row],[Lucro Distribuir]]*[%Div]</f>
        <v>30875</v>
      </c>
      <c r="AD499" s="56">
        <f>SUMPRODUCT(N([Nome]=Tabela3[[#This Row],[Nome]]),[Ações])</f>
        <v>131055</v>
      </c>
      <c r="AE499" s="84">
        <f>[Capital Social]/[Total Ações]</f>
        <v>132.46050566556028</v>
      </c>
      <c r="AF499" s="84">
        <f>Tabela3[[#This Row],[Lucro Líquido]]/Tabela3[[#This Row],[Total Ações]]</f>
        <v>0.99194994467971465</v>
      </c>
      <c r="AG49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49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499" s="7">
        <f>[Div Base]*[Ações]</f>
        <v>19973.866887947806</v>
      </c>
      <c r="AL499" s="113">
        <f>SUMPRODUCT(N([Nome]=Tabela3[[#This Row],[Nome]]),[Div Base]*[Ações])</f>
        <v>30875</v>
      </c>
      <c r="AM499" s="5">
        <f>[Patrimônio Líquido]/[Total Ações]</f>
        <v>30.552058296135211</v>
      </c>
      <c r="AN499" s="52">
        <f>MAX(Tabela3[[#This Row],[Cotação 1]:[Cotação 5]])</f>
        <v>68</v>
      </c>
      <c r="AO499" s="53">
        <f>[Cotação]/[VPA]</f>
        <v>2.2257092907092906</v>
      </c>
      <c r="AP499" s="37">
        <f>IF(Tabela3[[#This Row],[Lucro/Ação]]&gt;0,Tabela3[[#This Row],[Cotação]]/(Tabela3[[#This Row],[Lucro/Ação]]/[Ref]*4),0)</f>
        <v>51.413884615384617</v>
      </c>
      <c r="AQ499" s="84">
        <f>[Lucro Distribuir]/[Total Ações]</f>
        <v>0.94235244744572888</v>
      </c>
      <c r="AR499" s="84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499" s="10" t="str">
        <f>IF(AND([% A.A.]&gt;=5%,SUMPRODUCT(N([Nome]=Tabela3[[#This Row],[Nome]]),[PL])&gt;0,[Rentabilidade s/ PL]&gt;=[Rentabilidade s/ PL Média]),"Sim","Não")</f>
        <v>Não</v>
      </c>
      <c r="AT499" s="22">
        <f>IF([Cotação]&gt;0,Tabela3[[#This Row],[Lucro]]/Tabela3[[#This Row],[Cotação]],0)</f>
        <v>3.4645310567857678E-3</v>
      </c>
      <c r="AU499" s="22">
        <f>((1+Tabela3[[#This Row],[% Yield]])^(1/(3*Tabela3[[#This Row],[Ref]])))^(12)-1</f>
        <v>4.6220400196528288E-3</v>
      </c>
      <c r="AV499" s="10">
        <f>IF([Cotação]&gt;0,($BH$1/Tabela3[[#This Row],[Cotação]]-MOD($BH$1/Tabela3[[#This Row],[Cotação]],100)),)</f>
        <v>0</v>
      </c>
      <c r="AW499" s="7">
        <f>Tabela3[[#This Row],[Ativos]]*[Lucro]</f>
        <v>0</v>
      </c>
      <c r="AX499" s="7">
        <f>SUMPRODUCT(N(Tabela1[Código]=Tabela3[[#This Row],[PAPEL]]),Tabela1[Fechamento])</f>
        <v>0</v>
      </c>
      <c r="AY499" s="7">
        <f>SUMPRODUCT(N(Tabela17[Código]=Tabela3[[#This Row],[PAPEL]]),Tabela17[Fechamento])</f>
        <v>0</v>
      </c>
      <c r="AZ499" s="7">
        <f>SUMPRODUCT(N(Tabela176[Código]=Tabela3[[#This Row],[PAPEL]]),Tabela176[Fechamento])</f>
        <v>0</v>
      </c>
      <c r="BA499" s="7">
        <f>SUMPRODUCT(N(Tabela1768[Código]=Tabela3[[#This Row],[PAPEL]]),Tabela1768[Fechamento])</f>
        <v>68</v>
      </c>
      <c r="BB499" s="7">
        <f>SUMPRODUCT(N(Tabela17683[Código]=Tabela3[[#This Row],[PAPEL]]),Tabela17683[Fechamento])</f>
        <v>0</v>
      </c>
    </row>
    <row r="500" spans="1:54" ht="11.25" customHeight="1">
      <c r="A500" s="4" t="s">
        <v>365</v>
      </c>
      <c r="B500" s="57" t="s">
        <v>368</v>
      </c>
      <c r="C500" s="81" t="str">
        <f>LEFT([PAPEL],LEN([PAPEL])-(LEN([PAPEL])-4))</f>
        <v>CIEL</v>
      </c>
      <c r="D500" s="15">
        <v>4</v>
      </c>
      <c r="E500" s="6">
        <v>1000000000</v>
      </c>
      <c r="F500" s="38">
        <v>786115469</v>
      </c>
      <c r="G500" s="80">
        <v>0.5</v>
      </c>
      <c r="H500" s="15"/>
      <c r="I500" s="19"/>
      <c r="J500" s="19"/>
      <c r="K500" s="87"/>
      <c r="L500" s="87"/>
      <c r="M500" s="55">
        <v>11585874000</v>
      </c>
      <c r="N500" s="55">
        <v>8606432000</v>
      </c>
      <c r="O500" s="55">
        <v>5958069000</v>
      </c>
      <c r="P500" s="6">
        <v>3319825000</v>
      </c>
      <c r="Q500" s="6">
        <v>2673601000</v>
      </c>
      <c r="R500" s="6">
        <f>IF(Tabela3[[#This Row],[Ativo || Passivo]]&gt;0,Tabela3[[#This Row],[Ativo || Passivo]]-Tabela3[[#This Row],[Patrimônio Líquido]],0)</f>
        <v>8266049000</v>
      </c>
      <c r="S500" s="6">
        <f>Tabela3[[#This Row],[Cotação]]*Tabela3[[#This Row],[Total Ações]]</f>
        <v>54642886250.190002</v>
      </c>
      <c r="T500" s="121">
        <f>IF(Tabela3[[#This Row],[Passivo Circulante]]&gt;0,Tabela3[[#This Row],[Ativo Circulante]]/Tabela3[[#This Row],[Passivo Circulante]],0)</f>
        <v>1.4445002231427666</v>
      </c>
      <c r="U50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0" s="19">
        <f>IF(Tabela3[[#This Row],[Lucro Líquido]]&gt;0,Tabela3[[#This Row],[Lucro Líquido]]/Tabela3[[#This Row],[Patrimônio Líquido]],0)/Tabela3[[#This Row],[Ref]]*4</f>
        <v>0.80534395638324308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0" s="19">
        <f>IF(Tabela3[[#This Row],[Dívida]]&gt;0,Tabela3[[#This Row],[Dívida]]/Tabela3[[#This Row],[Patrimônio Líquido]],0)</f>
        <v>2.4899050401753104</v>
      </c>
      <c r="Y500" s="19">
        <f>SUMPRODUCT(N([Dívida / PL]&gt;0),N(RIGHT([PAPEL],LEN([PAPEL])-(LEN([PAPEL])-1))="3"),[Dívida / PL])/SUMPRODUCT(N([Dívida / PL]&gt;0),N(RIGHT([PAPEL],LEN([PAPEL])-(LEN([PAPEL])-1))="3"))</f>
        <v>2.2435702141443779</v>
      </c>
      <c r="Z500" s="6">
        <f>Tabela3[[#This Row],[Capital Social]]*20%</f>
        <v>200000000</v>
      </c>
      <c r="AA500" s="6">
        <f>IF(([Lucro Líquido]*5%)&gt;[Teto R. Legal],[Teto R. Legal],[Lucro Líquido]*5%)</f>
        <v>133680050</v>
      </c>
      <c r="AB500" s="6">
        <f>IF([Lucro Líquido]&lt;0,0,[Lucro Líquido]-[Reserva Legal])</f>
        <v>2539920950</v>
      </c>
      <c r="AC500" s="6">
        <f>Tabela3[[#This Row],[Lucro Distribuir]]*[%Div]</f>
        <v>1269960475</v>
      </c>
      <c r="AD500" s="56">
        <f>SUMPRODUCT(N([Nome]=Tabela3[[#This Row],[Nome]]),[Ações])</f>
        <v>786115469</v>
      </c>
      <c r="AE500" s="6">
        <f>[Capital Social]/[Total Ações]</f>
        <v>1.2720777537580805</v>
      </c>
      <c r="AF500" s="77">
        <f>Tabela3[[#This Row],[Lucro Líquido]]/Tabela3[[#This Row],[Total Ações]]</f>
        <v>3.4010283545253581</v>
      </c>
      <c r="AG50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50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500" s="6">
        <f>[Div Base]*[Ações]</f>
        <v>1269960475</v>
      </c>
      <c r="AL500" s="6">
        <f>SUMPRODUCT(N([Nome]=Tabela3[[#This Row],[Nome]]),[Div Base]*[Ações])</f>
        <v>1269960475</v>
      </c>
      <c r="AM500" s="6">
        <f>[Patrimônio Líquido]/[Total Ações]</f>
        <v>4.22307552886992</v>
      </c>
      <c r="AN500" s="48">
        <f>MAX(Tabela3[[#This Row],[Cotação 1]:[Cotação 5]])</f>
        <v>69.510000000000005</v>
      </c>
      <c r="AO500" s="44">
        <f>[Cotação]/[VPA]</f>
        <v>16.459568275493439</v>
      </c>
      <c r="AP500" s="40">
        <f>IF(Tabela3[[#This Row],[Lucro/Ação]]&gt;0,Tabela3[[#This Row],[Cotação]]/(Tabela3[[#This Row],[Lucro/Ação]]/[Ref]*4),0)</f>
        <v>20.437936045875954</v>
      </c>
      <c r="AQ500" s="77">
        <f>[Lucro Distribuir]/[Total Ações]</f>
        <v>3.2309769367990899</v>
      </c>
      <c r="AR500" s="77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500" s="15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2.3241094351885268E-2</v>
      </c>
      <c r="AU500" s="19">
        <f>((1+Tabela3[[#This Row],[% Yield]])^(1/(3*Tabela3[[#This Row],[Ref]])))^(12)-1</f>
        <v>2.3241094351885705E-2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3">
        <f>SUMPRODUCT(N(Tabela1[Código]=Tabela3[[#This Row],[PAPEL]]),Tabela1[Fechamento])</f>
        <v>0</v>
      </c>
      <c r="AY500" s="55">
        <f>SUMPRODUCT(N(Tabela17[Código]=Tabela3[[#This Row],[PAPEL]]),Tabela17[Fechamento])</f>
        <v>69.510000000000005</v>
      </c>
      <c r="AZ500" s="7">
        <f>SUMPRODUCT(N(Tabela176[Código]=Tabela3[[#This Row],[PAPEL]]),Tabela176[Fechamento])</f>
        <v>0</v>
      </c>
      <c r="BA500" s="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customHeight="1">
      <c r="A501" s="3" t="s">
        <v>1184</v>
      </c>
      <c r="B501" s="57" t="s">
        <v>1179</v>
      </c>
      <c r="C501" s="16" t="str">
        <f>LEFT([PAPEL],LEN([PAPEL])-(LEN([PAPEL])-4))</f>
        <v>SGAS</v>
      </c>
      <c r="D501" s="16">
        <v>3</v>
      </c>
      <c r="E501" s="5">
        <v>177375435.61000001</v>
      </c>
      <c r="F501" s="56">
        <v>3314244</v>
      </c>
      <c r="G501" s="80">
        <v>0.25</v>
      </c>
      <c r="H501" s="86"/>
      <c r="J501" s="18"/>
      <c r="K501" s="16"/>
      <c r="L501" s="86"/>
      <c r="M501" s="54"/>
      <c r="N501" s="54"/>
      <c r="O501" s="54"/>
      <c r="P501" s="90">
        <v>493990000</v>
      </c>
      <c r="Q501" s="73">
        <v>15361000</v>
      </c>
      <c r="R501" s="73">
        <f>IF(Tabela3[[#This Row],[Ativo || Passivo]]&gt;0,Tabela3[[#This Row],[Ativo || Passivo]]-Tabela3[[#This Row],[Patrimônio Líquido]],0)</f>
        <v>0</v>
      </c>
      <c r="S501" s="73">
        <f>Tabela3[[#This Row],[Cotação]]*Tabela3[[#This Row],[Total Ações]]</f>
        <v>538937116</v>
      </c>
      <c r="T501" s="37">
        <f>IF(Tabela3[[#This Row],[Passivo Circulante]]&gt;0,Tabela3[[#This Row],[Ativo Circulante]]/Tabela3[[#This Row],[Passivo Circulante]],0)</f>
        <v>0</v>
      </c>
      <c r="U50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1" s="18">
        <f>IF(Tabela3[[#This Row],[Lucro Líquido]]&gt;0,Tabela3[[#This Row],[Lucro Líquido]]/Tabela3[[#This Row],[Patrimônio Líquido]],0)/Tabela3[[#This Row],[Ref]]*4</f>
        <v>4.1461028225942491E-2</v>
      </c>
      <c r="W50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1" s="18">
        <f>IF(Tabela3[[#This Row],[Dívida]]&gt;0,Tabela3[[#This Row],[Dívida]]/Tabela3[[#This Row],[Patrimônio Líquido]],0)</f>
        <v>0</v>
      </c>
      <c r="Y501" s="18">
        <f>SUMPRODUCT(N([Dívida / PL]&gt;0),N(RIGHT([PAPEL],LEN([PAPEL])-(LEN([PAPEL])-1))="3"),[Dívida / PL])/SUMPRODUCT(N([Dívida / PL]&gt;0),N(RIGHT([PAPEL],LEN([PAPEL])-(LEN([PAPEL])-1))="3"))</f>
        <v>2.2435702141443779</v>
      </c>
      <c r="Z501" s="7">
        <f>Tabela3[[#This Row],[Capital Social]]*20%</f>
        <v>35475087.122000001</v>
      </c>
      <c r="AA501" s="47">
        <f>IF(([Lucro Líquido]*5%)&gt;[Teto R. Legal],[Teto R. Legal],[Lucro Líquido]*5%)</f>
        <v>768050</v>
      </c>
      <c r="AB501" s="47">
        <f>IF([Lucro Líquido]&lt;0,0,[Lucro Líquido]-[Reserva Legal])</f>
        <v>14592950</v>
      </c>
      <c r="AC501" s="47">
        <f>Tabela3[[#This Row],[Lucro Distribuir]]*[%Div]</f>
        <v>3648237.5</v>
      </c>
      <c r="AD501" s="56">
        <f>SUMPRODUCT(N([Nome]=Tabela3[[#This Row],[Nome]]),[Ações])</f>
        <v>7282934</v>
      </c>
      <c r="AE501" s="84">
        <f>[Capital Social]/[Total Ações]</f>
        <v>24.354942061811904</v>
      </c>
      <c r="AF501" s="84">
        <f>Tabela3[[#This Row],[Lucro Líquido]]/Tabela3[[#This Row],[Total Ações]]</f>
        <v>2.1091774276685742</v>
      </c>
      <c r="AG50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50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501" s="7">
        <f>[Div Base]*[Ações]</f>
        <v>1608547.820718338</v>
      </c>
      <c r="AL501" s="113">
        <f>SUMPRODUCT(N([Nome]=Tabela3[[#This Row],[Nome]]),[Div Base]*[Ações])</f>
        <v>3727344.8752764873</v>
      </c>
      <c r="AM501" s="5">
        <f>[Patrimônio Líquido]/[Total Ações]</f>
        <v>67.828432881583169</v>
      </c>
      <c r="AN501" s="52">
        <f>MAX(Tabela3[[#This Row],[Cotação 1]:[Cotação 5]])</f>
        <v>74</v>
      </c>
      <c r="AO501" s="53">
        <f>[Cotação]/[VPA]</f>
        <v>1.0909879066377861</v>
      </c>
      <c r="AP501" s="37">
        <f>IF(Tabela3[[#This Row],[Lucro/Ação]]&gt;0,Tabela3[[#This Row],[Cotação]]/(Tabela3[[#This Row],[Lucro/Ação]]/[Ref]*4),0)</f>
        <v>26.313575743766684</v>
      </c>
      <c r="AQ501" s="84">
        <f>[Lucro Distribuir]/[Total Ações]</f>
        <v>2.0037185562851456</v>
      </c>
      <c r="AR501" s="84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501" s="10" t="str">
        <f>IF(AND([% A.A.]&gt;=5%,SUMPRODUCT(N([Nome]=Tabela3[[#This Row],[Nome]]),[PL])&gt;0,[Rentabilidade s/ PL]&gt;=[Rentabilidade s/ PL Média]),"Sim","Não")</f>
        <v>Não</v>
      </c>
      <c r="AT501" s="22">
        <f>IF([Cotação]&gt;0,Tabela3[[#This Row],[Lucro]]/Tabela3[[#This Row],[Cotação]],0)</f>
        <v>6.5587001779017998E-3</v>
      </c>
      <c r="AU501" s="22">
        <f>((1+Tabela3[[#This Row],[% Yield]])^(1/(3*Tabela3[[#This Row],[Ref]])))^(12)-1</f>
        <v>8.754478908896024E-3</v>
      </c>
      <c r="AV501" s="10">
        <f>IF([Cotação]&gt;0,($BH$1/Tabela3[[#This Row],[Cotação]]-MOD($BH$1/Tabela3[[#This Row],[Cotação]],100)),)</f>
        <v>0</v>
      </c>
      <c r="AW501" s="7">
        <f>Tabela3[[#This Row],[Ativos]]*[Lucro]</f>
        <v>0</v>
      </c>
      <c r="AX501" s="7">
        <f>SUMPRODUCT(N(Tabela1[Código]=Tabela3[[#This Row],[PAPEL]]),Tabela1[Fechamento])</f>
        <v>0</v>
      </c>
      <c r="AY501" s="7">
        <f>SUMPRODUCT(N(Tabela17[Código]=Tabela3[[#This Row],[PAPEL]]),Tabela17[Fechamento])</f>
        <v>0</v>
      </c>
      <c r="AZ501" s="7">
        <f>SUMPRODUCT(N(Tabela176[Código]=Tabela3[[#This Row],[PAPEL]]),Tabela176[Fechamento])</f>
        <v>0</v>
      </c>
      <c r="BA501" s="7">
        <f>SUMPRODUCT(N(Tabela1768[Código]=Tabela3[[#This Row],[PAPEL]]),Tabela1768[Fechamento])</f>
        <v>0</v>
      </c>
      <c r="BB501" s="7">
        <f>SUMPRODUCT(N(Tabela17683[Código]=Tabela3[[#This Row],[PAPEL]]),Tabela17683[Fechamento])</f>
        <v>74</v>
      </c>
    </row>
    <row r="502" spans="1:54" ht="11.25" customHeight="1">
      <c r="A502" s="3" t="s">
        <v>789</v>
      </c>
      <c r="B502" s="58" t="s">
        <v>790</v>
      </c>
      <c r="C502" s="16" t="str">
        <f>LEFT([PAPEL],LEN([PAPEL])-(LEN([PAPEL])-4))</f>
        <v>PCAR</v>
      </c>
      <c r="D502" s="16">
        <v>4</v>
      </c>
      <c r="E502" s="5">
        <v>6764300000</v>
      </c>
      <c r="F502" s="56">
        <v>99679851</v>
      </c>
      <c r="G502" s="80">
        <v>0.25</v>
      </c>
      <c r="H502" s="86"/>
      <c r="J502" s="18"/>
      <c r="K502" s="16"/>
      <c r="L502" s="86"/>
      <c r="M502" s="54">
        <v>22214075000</v>
      </c>
      <c r="N502" s="54">
        <v>5623474000</v>
      </c>
      <c r="O502" s="54">
        <v>8022610000</v>
      </c>
      <c r="P502" s="90">
        <v>9483190000</v>
      </c>
      <c r="Q502" s="73">
        <v>1052495000</v>
      </c>
      <c r="R502" s="73">
        <f>IF(Tabela3[[#This Row],[Ativo || Passivo]]&gt;0,Tabela3[[#This Row],[Ativo || Passivo]]-Tabela3[[#This Row],[Patrimônio Líquido]],0)</f>
        <v>12730885000</v>
      </c>
      <c r="S502" s="73">
        <f>Tabela3[[#This Row],[Cotação]]*Tabela3[[#This Row],[Total Ações]]</f>
        <v>19866607490.77</v>
      </c>
      <c r="T502" s="37">
        <f>IF(Tabela3[[#This Row],[Passivo Circulante]]&gt;0,Tabela3[[#This Row],[Ativo Circulante]]/Tabela3[[#This Row],[Passivo Circulante]],0)</f>
        <v>0.70095318107199522</v>
      </c>
      <c r="U50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2" s="18">
        <f>IF(Tabela3[[#This Row],[Lucro Líquido]]&gt;0,Tabela3[[#This Row],[Lucro Líquido]]/Tabela3[[#This Row],[Patrimônio Líquido]],0)/Tabela3[[#This Row],[Ref]]*4</f>
        <v>0.11098533299448814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2" s="18">
        <f>IF(Tabela3[[#This Row],[Dívida]]&gt;0,Tabela3[[#This Row],[Dívida]]/Tabela3[[#This Row],[Patrimônio Líquido]],0)</f>
        <v>1.3424686207911052</v>
      </c>
      <c r="Y502" s="18">
        <f>SUMPRODUCT(N([Dívida / PL]&gt;0),N(RIGHT([PAPEL],LEN([PAPEL])-(LEN([PAPEL])-1))="3"),[Dívida / PL])/SUMPRODUCT(N([Dívida / PL]&gt;0),N(RIGHT([PAPEL],LEN([PAPEL])-(LEN([PAPEL])-1))="3"))</f>
        <v>2.2435702141443779</v>
      </c>
      <c r="Z502" s="7">
        <f>Tabela3[[#This Row],[Capital Social]]*20%</f>
        <v>1352860000</v>
      </c>
      <c r="AA502" s="47">
        <f>IF(([Lucro Líquido]*5%)&gt;[Teto R. Legal],[Teto R. Legal],[Lucro Líquido]*5%)</f>
        <v>52624750</v>
      </c>
      <c r="AB502" s="47">
        <f>IF([Lucro Líquido]&lt;0,0,[Lucro Líquido]-[Reserva Legal])</f>
        <v>999870250</v>
      </c>
      <c r="AC502" s="47">
        <f>Tabela3[[#This Row],[Lucro Distribuir]]*[%Div]</f>
        <v>249967562.5</v>
      </c>
      <c r="AD502" s="56">
        <f>SUMPRODUCT(N([Nome]=Tabela3[[#This Row],[Nome]]),[Ações])</f>
        <v>264923423</v>
      </c>
      <c r="AE502" s="84">
        <f>[Capital Social]/[Total Ações]</f>
        <v>25.53303865472099</v>
      </c>
      <c r="AF502" s="84">
        <f>Tabela3[[#This Row],[Lucro Líquido]]/Tabela3[[#This Row],[Total Ações]]</f>
        <v>3.9728272724303428</v>
      </c>
      <c r="AG50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50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502" s="7">
        <f>[Div Base]*[Ações]</f>
        <v>91126239.091799244</v>
      </c>
      <c r="AL502" s="7">
        <f>SUMPRODUCT(N([Nome]=Tabela3[[#This Row],[Nome]]),[Div Base]*[Ações])</f>
        <v>257296509.53282493</v>
      </c>
      <c r="AM502" s="5">
        <f>[Patrimônio Líquido]/[Total Ações]</f>
        <v>35.795966595222502</v>
      </c>
      <c r="AN502" s="52">
        <f>MAX(Tabela3[[#This Row],[Cotação 1]:[Cotação 5]])</f>
        <v>74.989999999999995</v>
      </c>
      <c r="AO502" s="53">
        <f>[Cotação]/[VPA]</f>
        <v>2.0949287624491335</v>
      </c>
      <c r="AP502" s="37">
        <f>IF(Tabela3[[#This Row],[Lucro/Ação]]&gt;0,Tabela3[[#This Row],[Cotação]]/(Tabela3[[#This Row],[Lucro/Ação]]/[Ref]*4),0)</f>
        <v>18.875726241711362</v>
      </c>
      <c r="AQ502" s="84">
        <f>[Lucro Distribuir]/[Total Ações]</f>
        <v>3.7741859088088257</v>
      </c>
      <c r="AR502" s="84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1.2190814220117505E-2</v>
      </c>
      <c r="AU502" s="22">
        <f>((1+Tabela3[[#This Row],[% Yield]])^(1/(3*Tabela3[[#This Row],[Ref]])))^(12)-1</f>
        <v>1.2190814220116142E-2</v>
      </c>
      <c r="AV502" s="10">
        <f>IF([Cotação]&gt;0,($BH$1/Tabela3[[#This Row],[Cotação]]-MOD($BH$1/Tabela3[[#This Row],[Cotação]],100)),)</f>
        <v>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74.989999999999995</v>
      </c>
      <c r="BA502" s="7">
        <f>SUMPRODUCT(N(Tabela1768[Código]=Tabela3[[#This Row],[PAPEL]]),Tabela1768[Fechamento])</f>
        <v>0</v>
      </c>
      <c r="BB502" s="7">
        <f>SUMPRODUCT(N(Tabela17683[Código]=Tabela3[[#This Row],[PAPEL]]),Tabela17683[Fechamento])</f>
        <v>0</v>
      </c>
    </row>
    <row r="503" spans="1:54" ht="11.25" customHeight="1">
      <c r="A503" s="4" t="s">
        <v>325</v>
      </c>
      <c r="B503" s="57" t="s">
        <v>600</v>
      </c>
      <c r="C503" s="16" t="str">
        <f>LEFT([PAPEL],LEN([PAPEL])-(LEN([PAPEL])-4))</f>
        <v>FBMC</v>
      </c>
      <c r="D503" s="16">
        <v>4</v>
      </c>
      <c r="E503" s="5">
        <v>23748768.84</v>
      </c>
      <c r="F503" s="56">
        <v>265160</v>
      </c>
      <c r="G503" s="80">
        <v>0.25</v>
      </c>
      <c r="J503" s="18"/>
      <c r="K503" s="86"/>
      <c r="L503" s="86"/>
      <c r="M503" s="54">
        <v>73833000</v>
      </c>
      <c r="N503" s="54">
        <v>31994000</v>
      </c>
      <c r="O503" s="54">
        <v>23570000</v>
      </c>
      <c r="P503" s="90">
        <v>19470000</v>
      </c>
      <c r="Q503" s="73">
        <v>-2316000</v>
      </c>
      <c r="R503" s="73">
        <f>IF(Tabela3[[#This Row],[Ativo || Passivo]]&gt;0,Tabela3[[#This Row],[Ativo || Passivo]]-Tabela3[[#This Row],[Patrimônio Líquido]],0)</f>
        <v>54363000</v>
      </c>
      <c r="S503" s="73">
        <f>Tabela3[[#This Row],[Cotação]]*Tabela3[[#This Row],[Total Ações]]</f>
        <v>58121120</v>
      </c>
      <c r="T503" s="37">
        <f>IF(Tabela3[[#This Row],[Passivo Circulante]]&gt;0,Tabela3[[#This Row],[Ativo Circulante]]/Tabela3[[#This Row],[Passivo Circulante]],0)</f>
        <v>1.3574034789987273</v>
      </c>
      <c r="U50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3" s="18">
        <f>IF(Tabela3[[#This Row],[Lucro Líquido]]&gt;0,Tabela3[[#This Row],[Lucro Líquido]]/Tabela3[[#This Row],[Patrimônio Líquido]],0)/Tabela3[[#This Row],[Ref]]*4</f>
        <v>0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3" s="18">
        <f>IF(Tabela3[[#This Row],[Dívida]]&gt;0,Tabela3[[#This Row],[Dívida]]/Tabela3[[#This Row],[Patrimônio Líquido]],0)</f>
        <v>2.7921417565485362</v>
      </c>
      <c r="Y503" s="18">
        <f>SUMPRODUCT(N([Dívida / PL]&gt;0),N(RIGHT([PAPEL],LEN([PAPEL])-(LEN([PAPEL])-1))="3"),[Dívida / PL])/SUMPRODUCT(N([Dívida / PL]&gt;0),N(RIGHT([PAPEL],LEN([PAPEL])-(LEN([PAPEL])-1))="3"))</f>
        <v>2.2435702141443779</v>
      </c>
      <c r="Z503" s="47">
        <f>Tabela3[[#This Row],[Capital Social]]*20%</f>
        <v>4749753.7680000002</v>
      </c>
      <c r="AA503" s="47">
        <f>IF(([Lucro Líquido]*5%)&gt;[Teto R. Legal],[Teto R. Legal],[Lucro Líquido]*5%)</f>
        <v>-115800</v>
      </c>
      <c r="AB503" s="47">
        <f>IF([Lucro Líquido]&lt;0,0,[Lucro Líquido]-[Reserva Legal])</f>
        <v>0</v>
      </c>
      <c r="AC503" s="47">
        <f>Tabela3[[#This Row],[Lucro Distribuir]]*[%Div]</f>
        <v>0</v>
      </c>
      <c r="AD503" s="56">
        <f>SUMPRODUCT(N([Nome]=Tabela3[[#This Row],[Nome]]),[Ações])</f>
        <v>726514</v>
      </c>
      <c r="AE503" s="5">
        <f>[Capital Social]/[Total Ações]</f>
        <v>32.688659599126787</v>
      </c>
      <c r="AF503" s="76">
        <f>Tabela3[[#This Row],[Lucro Líquido]]/Tabela3[[#This Row],[Total Ações]]</f>
        <v>-3.1878256991606495</v>
      </c>
      <c r="AG503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3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47">
        <f>[Div Base]*[Ações]</f>
        <v>0</v>
      </c>
      <c r="AL503" s="47">
        <f>SUMPRODUCT(N([Nome]=Tabela3[[#This Row],[Nome]]),[Div Base]*[Ações])</f>
        <v>0</v>
      </c>
      <c r="AM503" s="5">
        <f>[Patrimônio Líquido]/[Total Ações]</f>
        <v>26.799208274031884</v>
      </c>
      <c r="AN503" s="52">
        <f>MAX(Tabela3[[#This Row],[Cotação 1]:[Cotação 5]])</f>
        <v>80</v>
      </c>
      <c r="AO503" s="53">
        <f>[Cotação]/[VPA]</f>
        <v>2.9851628145865434</v>
      </c>
      <c r="AP503" s="37">
        <f>IF(Tabela3[[#This Row],[Lucro/Ação]]&gt;0,Tabela3[[#This Row],[Cotação]]/(Tabela3[[#This Row],[Lucro/Ação]]/[Ref]*4),0)</f>
        <v>0</v>
      </c>
      <c r="AQ503" s="76">
        <f>[Lucro Distribuir]/[Total Ações]</f>
        <v>0</v>
      </c>
      <c r="AR503" s="7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0" t="str">
        <f>IF(AND([% A.A.]&gt;=5%,SUMPRODUCT(N([Nome]=Tabela3[[#This Row],[Nome]]),[PL])&gt;0,[Rentabilidade s/ PL]&gt;=[Rentabilidade s/ PL Média]),"Sim","Não")</f>
        <v>Não</v>
      </c>
      <c r="AT503" s="22">
        <f>IF([Cotação]&gt;0,Tabela3[[#This Row],[Lucro]]/Tabela3[[#This Row],[Cotação]],0)</f>
        <v>0</v>
      </c>
      <c r="AU503" s="22">
        <f>((1+Tabela3[[#This Row],[% Yield]])^(1/(3*Tabela3[[#This Row],[Ref]])))^(12)-1</f>
        <v>0</v>
      </c>
      <c r="AV503" s="10">
        <f>IF([Cotação]&gt;0,($BH$1/Tabela3[[#This Row],[Cotação]]-MOD($BH$1/Tabela3[[#This Row],[Cotação]],100)),)</f>
        <v>0</v>
      </c>
      <c r="AW503" s="7">
        <f>Tabela3[[#This Row],[Ativos]]*[Lucro]</f>
        <v>0</v>
      </c>
      <c r="AX503" s="7">
        <f>SUMPRODUCT(N(Tabela1[Código]=Tabela3[[#This Row],[PAPEL]]),Tabela1[Fechamento])</f>
        <v>0</v>
      </c>
      <c r="AY503" s="7">
        <f>SUMPRODUCT(N(Tabela17[Código]=Tabela3[[#This Row],[PAPEL]]),Tabela17[Fechamento])</f>
        <v>0</v>
      </c>
      <c r="AZ503" s="7">
        <f>SUMPRODUCT(N(Tabela176[Código]=Tabela3[[#This Row],[PAPEL]]),Tabela176[Fechamento])</f>
        <v>80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t="11.25" customHeight="1">
      <c r="A504" s="3" t="s">
        <v>996</v>
      </c>
      <c r="B504" s="58" t="s">
        <v>1004</v>
      </c>
      <c r="C504" s="16" t="str">
        <f>LEFT([PAPEL],LEN([PAPEL])-(LEN([PAPEL])-4))</f>
        <v>GUAR</v>
      </c>
      <c r="D504" s="16">
        <v>4</v>
      </c>
      <c r="E504" s="5">
        <v>2300000000</v>
      </c>
      <c r="F504" s="56">
        <v>31200000</v>
      </c>
      <c r="G504" s="80">
        <v>0.25</v>
      </c>
      <c r="H504" s="86"/>
      <c r="J504" s="18">
        <v>0.1</v>
      </c>
      <c r="K504" s="16"/>
      <c r="L504" s="86"/>
      <c r="M504" s="54"/>
      <c r="N504" s="54"/>
      <c r="O504" s="54"/>
      <c r="P504" s="90">
        <v>2829123000</v>
      </c>
      <c r="Q504" s="90">
        <v>420584000</v>
      </c>
      <c r="R504" s="90">
        <f>IF(Tabela3[[#This Row],[Ativo || Passivo]]&gt;0,Tabela3[[#This Row],[Ativo || Passivo]]-Tabela3[[#This Row],[Patrimônio Líquido]],0)</f>
        <v>0</v>
      </c>
      <c r="S504" s="90">
        <f>Tabela3[[#This Row],[Cotação]]*Tabela3[[#This Row],[Total Ações]]</f>
        <v>5110560000</v>
      </c>
      <c r="T504" s="34">
        <f>IF(Tabela3[[#This Row],[Passivo Circulante]]&gt;0,Tabela3[[#This Row],[Ativo Circulante]]/Tabela3[[#This Row],[Passivo Circulante]],0)</f>
        <v>0</v>
      </c>
      <c r="U504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4" s="18">
        <f>IF(Tabela3[[#This Row],[Lucro Líquido]]&gt;0,Tabela3[[#This Row],[Lucro Líquido]]/Tabela3[[#This Row],[Patrimônio Líquido]],0)/Tabela3[[#This Row],[Ref]]*4</f>
        <v>0.14866232397813739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4" s="18">
        <f>IF(Tabela3[[#This Row],[Dívida]]&gt;0,Tabela3[[#This Row],[Dívida]]/Tabela3[[#This Row],[Patrimônio Líquido]],0)</f>
        <v>0</v>
      </c>
      <c r="Y504" s="18">
        <f>SUMPRODUCT(N([Dívida / PL]&gt;0),N(RIGHT([PAPEL],LEN([PAPEL])-(LEN([PAPEL])-1))="3"),[Dívida / PL])/SUMPRODUCT(N([Dívida / PL]&gt;0),N(RIGHT([PAPEL],LEN([PAPEL])-(LEN([PAPEL])-1))="3"))</f>
        <v>2.2435702141443779</v>
      </c>
      <c r="Z504" s="7">
        <f>Tabela3[[#This Row],[Capital Social]]*20%</f>
        <v>460000000</v>
      </c>
      <c r="AA504" s="47">
        <f>IF(([Lucro Líquido]*5%)&gt;[Teto R. Legal],[Teto R. Legal],[Lucro Líquido]*5%)</f>
        <v>21029200</v>
      </c>
      <c r="AB504" s="47">
        <f>IF([Lucro Líquido]&lt;0,0,[Lucro Líquido]-[Reserva Legal])</f>
        <v>399554800</v>
      </c>
      <c r="AC504" s="47">
        <f>Tabela3[[#This Row],[Lucro Distribuir]]*[%Div]</f>
        <v>99888700</v>
      </c>
      <c r="AD504" s="56">
        <f>SUMPRODUCT(N([Nome]=Tabela3[[#This Row],[Nome]]),[Ações])</f>
        <v>62400000</v>
      </c>
      <c r="AE504" s="84">
        <f>[Capital Social]/[Total Ações]</f>
        <v>36.858974358974358</v>
      </c>
      <c r="AF504" s="84">
        <f>Tabela3[[#This Row],[Lucro Líquido]]/Tabela3[[#This Row],[Total Ações]]</f>
        <v>6.7401282051282054</v>
      </c>
      <c r="AG504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504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4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504" s="7">
        <f>[Div Base]*[Ações]</f>
        <v>53229430.561344907</v>
      </c>
      <c r="AL504" s="113">
        <f>SUMPRODUCT(N([Nome]=Tabela3[[#This Row],[Nome]]),[Div Base]*[Ações])</f>
        <v>101619821.91445959</v>
      </c>
      <c r="AM504" s="5">
        <f>[Patrimônio Líquido]/[Total Ações]</f>
        <v>45.338509615384616</v>
      </c>
      <c r="AN504" s="52">
        <f>MAX(Tabela3[[#This Row],[Cotação 1]:[Cotação 5]])</f>
        <v>81.900000000000006</v>
      </c>
      <c r="AO504" s="53">
        <f>[Cotação]/[VPA]</f>
        <v>1.8064113861433384</v>
      </c>
      <c r="AP504" s="37">
        <f>IF(Tabela3[[#This Row],[Lucro/Ação]]&gt;0,Tabela3[[#This Row],[Cotação]]/(Tabela3[[#This Row],[Lucro/Ação]]/[Ref]*4),0)</f>
        <v>12.151104178951172</v>
      </c>
      <c r="AQ504" s="84">
        <f>[Lucro Distribuir]/[Total Ações]</f>
        <v>6.4031217948717947</v>
      </c>
      <c r="AR504" s="84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504" s="10" t="str">
        <f>IF(AND([% A.A.]&gt;=5%,SUMPRODUCT(N([Nome]=Tabela3[[#This Row],[Nome]]),[PL])&gt;0,[Rentabilidade s/ PL]&gt;=[Rentabilidade s/ PL Média]),"Sim","Não")</f>
        <v>Não</v>
      </c>
      <c r="AT504" s="22">
        <f>IF([Cotação]&gt;0,Tabela3[[#This Row],[Lucro]]/Tabela3[[#This Row],[Cotação]],0)</f>
        <v>2.0831153752756997E-2</v>
      </c>
      <c r="AU504" s="22">
        <f>((1+Tabela3[[#This Row],[% Yield]])^(1/(3*Tabela3[[#This Row],[Ref]])))^(12)-1</f>
        <v>2.0831153752756126E-2</v>
      </c>
      <c r="AV504" s="10">
        <f>IF([Cotação]&gt;0,($BH$1/Tabela3[[#This Row],[Cotação]]-MOD($BH$1/Tabela3[[#This Row],[Cotação]],100)),)</f>
        <v>0</v>
      </c>
      <c r="AW504" s="7">
        <f>Tabela3[[#This Row],[Ativos]]*[Lucro]</f>
        <v>0</v>
      </c>
      <c r="AX504" s="7">
        <f>SUMPRODUCT(N(Tabela1[Código]=Tabela3[[#This Row],[PAPEL]]),Tabela1[Fechamento])</f>
        <v>0</v>
      </c>
      <c r="AY504" s="7">
        <f>SUMPRODUCT(N(Tabela17[Código]=Tabela3[[#This Row],[PAPEL]]),Tabela17[Fechamento])</f>
        <v>0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81.900000000000006</v>
      </c>
      <c r="BB504" s="7">
        <f>SUMPRODUCT(N(Tabela17683[Código]=Tabela3[[#This Row],[PAPEL]]),Tabela17683[Fechamento])</f>
        <v>0</v>
      </c>
    </row>
    <row r="505" spans="1:54" ht="11.25" customHeight="1">
      <c r="A505" s="4" t="s">
        <v>250</v>
      </c>
      <c r="B505" s="58" t="s">
        <v>825</v>
      </c>
      <c r="C505" s="16" t="str">
        <f>LEFT([PAPEL],LEN([PAPEL])-(LEN([PAPEL])-4))</f>
        <v>MDIA</v>
      </c>
      <c r="D505" s="16">
        <v>4</v>
      </c>
      <c r="E505" s="5">
        <v>827721000</v>
      </c>
      <c r="F505" s="56">
        <v>113450000</v>
      </c>
      <c r="G505" s="80">
        <v>0.25</v>
      </c>
      <c r="H505" s="86"/>
      <c r="J505" s="18"/>
      <c r="K505" s="16"/>
      <c r="L505" s="86"/>
      <c r="M505" s="54">
        <v>3885754000</v>
      </c>
      <c r="N505" s="54">
        <v>1370590000</v>
      </c>
      <c r="O505" s="54">
        <v>681782000</v>
      </c>
      <c r="P505" s="90">
        <v>2820095000</v>
      </c>
      <c r="Q505" s="73">
        <v>524123000</v>
      </c>
      <c r="R505" s="73">
        <f>IF(Tabela3[[#This Row],[Ativo || Passivo]]&gt;0,Tabela3[[#This Row],[Ativo || Passivo]]-Tabela3[[#This Row],[Patrimônio Líquido]],0)</f>
        <v>1065659000</v>
      </c>
      <c r="S505" s="73">
        <f>Tabela3[[#This Row],[Cotação]]*Tabela3[[#This Row],[Total Ações]]</f>
        <v>9481016500</v>
      </c>
      <c r="T505" s="37">
        <f>IF(Tabela3[[#This Row],[Passivo Circulante]]&gt;0,Tabela3[[#This Row],[Ativo Circulante]]/Tabela3[[#This Row],[Passivo Circulante]],0)</f>
        <v>2.0103053468704073</v>
      </c>
      <c r="U50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5" s="18">
        <f>IF(Tabela3[[#This Row],[Lucro Líquido]]&gt;0,Tabela3[[#This Row],[Lucro Líquido]]/Tabela3[[#This Row],[Patrimônio Líquido]],0)/Tabela3[[#This Row],[Ref]]*4</f>
        <v>0.18585295885422298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5" s="18">
        <f>IF(Tabela3[[#This Row],[Dívida]]&gt;0,Tabela3[[#This Row],[Dívida]]/Tabela3[[#This Row],[Patrimônio Líquido]],0)</f>
        <v>0.37788053239341229</v>
      </c>
      <c r="Y505" s="18">
        <f>SUMPRODUCT(N([Dívida / PL]&gt;0),N(RIGHT([PAPEL],LEN([PAPEL])-(LEN([PAPEL])-1))="3"),[Dívida / PL])/SUMPRODUCT(N([Dívida / PL]&gt;0),N(RIGHT([PAPEL],LEN([PAPEL])-(LEN([PAPEL])-1))="3"))</f>
        <v>2.2435702141443779</v>
      </c>
      <c r="Z505" s="7">
        <f>Tabela3[[#This Row],[Capital Social]]*20%</f>
        <v>165544200</v>
      </c>
      <c r="AA505" s="47">
        <f>IF(([Lucro Líquido]*5%)&gt;[Teto R. Legal],[Teto R. Legal],[Lucro Líquido]*5%)</f>
        <v>26206150</v>
      </c>
      <c r="AB505" s="47">
        <f>IF([Lucro Líquido]&lt;0,0,[Lucro Líquido]-[Reserva Legal])</f>
        <v>497916850</v>
      </c>
      <c r="AC505" s="47">
        <f>Tabela3[[#This Row],[Lucro Distribuir]]*[%Div]</f>
        <v>124479212.5</v>
      </c>
      <c r="AD505" s="56">
        <f>SUMPRODUCT(N([Nome]=Tabela3[[#This Row],[Nome]]),[Ações])</f>
        <v>113450000</v>
      </c>
      <c r="AE505" s="84">
        <f>[Capital Social]/[Total Ações]</f>
        <v>7.295910092551785</v>
      </c>
      <c r="AF505" s="84">
        <f>Tabela3[[#This Row],[Lucro Líquido]]/Tabela3[[#This Row],[Total Ações]]</f>
        <v>4.619858968708682</v>
      </c>
      <c r="AG50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50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505" s="7">
        <f>[Div Base]*[Ações]</f>
        <v>124479212.5</v>
      </c>
      <c r="AL505" s="7">
        <f>SUMPRODUCT(N([Nome]=Tabela3[[#This Row],[Nome]]),[Div Base]*[Ações])</f>
        <v>124479212.5</v>
      </c>
      <c r="AM505" s="5">
        <f>[Patrimônio Líquido]/[Total Ações]</f>
        <v>24.857602468047599</v>
      </c>
      <c r="AN505" s="52">
        <f>MAX(Tabela3[[#This Row],[Cotação 1]:[Cotação 5]])</f>
        <v>83.57</v>
      </c>
      <c r="AO505" s="53">
        <f>[Cotação]/[VPA]</f>
        <v>3.3619493314941513</v>
      </c>
      <c r="AP505" s="37">
        <f>IF(Tabela3[[#This Row],[Lucro/Ação]]&gt;0,Tabela3[[#This Row],[Cotação]]/(Tabela3[[#This Row],[Lucro/Ação]]/[Ref]*4),0)</f>
        <v>18.089296787204528</v>
      </c>
      <c r="AQ505" s="84">
        <f>[Lucro Distribuir]/[Total Ações]</f>
        <v>4.3888660202732481</v>
      </c>
      <c r="AR505" s="84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1.3129310818096351E-2</v>
      </c>
      <c r="AU505" s="22">
        <f>((1+Tabela3[[#This Row],[% Yield]])^(1/(3*Tabela3[[#This Row],[Ref]])))^(12)-1</f>
        <v>1.312931081809765E-2</v>
      </c>
      <c r="AV505" s="10">
        <f>IF([Cotação]&gt;0,($BH$1/Tabela3[[#This Row],[Cotação]]-MOD($BH$1/Tabela3[[#This Row],[Cotação]],100)),)</f>
        <v>0</v>
      </c>
      <c r="AW505" s="7">
        <f>Tabela3[[#This Row],[Ativos]]*[Lucro]</f>
        <v>0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0</v>
      </c>
      <c r="AZ505" s="7">
        <f>SUMPRODUCT(N(Tabela176[Código]=Tabela3[[#This Row],[PAPEL]]),Tabela176[Fechamento])</f>
        <v>0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83.57</v>
      </c>
    </row>
    <row r="506" spans="1:54" ht="11.25" customHeight="1">
      <c r="A506" s="4" t="s">
        <v>354</v>
      </c>
      <c r="B506" s="57" t="s">
        <v>352</v>
      </c>
      <c r="C506" s="14" t="str">
        <f>LEFT([PAPEL],LEN([PAPEL])-(LEN([PAPEL])-4))</f>
        <v>MERC</v>
      </c>
      <c r="D506" s="15">
        <v>4</v>
      </c>
      <c r="E506" s="6">
        <v>82320000</v>
      </c>
      <c r="F506" s="8">
        <v>6646956</v>
      </c>
      <c r="G506" s="85">
        <v>0.25</v>
      </c>
      <c r="H506" s="15"/>
      <c r="I506" s="19"/>
      <c r="J506" s="19"/>
      <c r="K506" s="87"/>
      <c r="L506" s="87"/>
      <c r="M506" s="55">
        <v>1337948000</v>
      </c>
      <c r="N506" s="55">
        <v>513358000</v>
      </c>
      <c r="O506" s="55">
        <v>1118820000</v>
      </c>
      <c r="P506" s="5">
        <v>162452000</v>
      </c>
      <c r="Q506" s="5">
        <v>20514000</v>
      </c>
      <c r="R506" s="5">
        <f>IF(Tabela3[[#This Row],[Ativo || Passivo]]&gt;0,Tabela3[[#This Row],[Ativo || Passivo]]-Tabela3[[#This Row],[Patrimônio Líquido]],0)</f>
        <v>1175496000</v>
      </c>
      <c r="S506" s="5">
        <f>Tabela3[[#This Row],[Cotação]]*Tabela3[[#This Row],[Total Ações]]</f>
        <v>986781516.08999991</v>
      </c>
      <c r="T506" s="119">
        <f>IF(Tabela3[[#This Row],[Passivo Circulante]]&gt;0,Tabela3[[#This Row],[Ativo Circulante]]/Tabela3[[#This Row],[Passivo Circulante]],0)</f>
        <v>0.45883877656817001</v>
      </c>
      <c r="U506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6" s="18">
        <f>IF(Tabela3[[#This Row],[Lucro Líquido]]&gt;0,Tabela3[[#This Row],[Lucro Líquido]]/Tabela3[[#This Row],[Patrimônio Líquido]],0)/Tabela3[[#This Row],[Ref]]*4</f>
        <v>0.12627730037180213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6" s="18">
        <f>IF(Tabela3[[#This Row],[Dívida]]&gt;0,Tabela3[[#This Row],[Dívida]]/Tabela3[[#This Row],[Patrimônio Líquido]],0)</f>
        <v>7.2359589294068405</v>
      </c>
      <c r="Y506" s="18">
        <f>SUMPRODUCT(N([Dívida / PL]&gt;0),N(RIGHT([PAPEL],LEN([PAPEL])-(LEN([PAPEL])-1))="3"),[Dívida / PL])/SUMPRODUCT(N([Dívida / PL]&gt;0),N(RIGHT([PAPEL],LEN([PAPEL])-(LEN([PAPEL])-1))="3"))</f>
        <v>2.2435702141443779</v>
      </c>
      <c r="Z506" s="6">
        <f>Tabela3[[#This Row],[Capital Social]]*20%</f>
        <v>16464000</v>
      </c>
      <c r="AA506" s="6">
        <f>IF(([Lucro Líquido]*5%)&gt;[Teto R. Legal],[Teto R. Legal],[Lucro Líquido]*5%)</f>
        <v>1025700</v>
      </c>
      <c r="AB506" s="6">
        <f>IF([Lucro Líquido]&lt;0,0,[Lucro Líquido]-[Reserva Legal])</f>
        <v>19488300</v>
      </c>
      <c r="AC506" s="6">
        <f>Tabela3[[#This Row],[Lucro Distribuir]]*[%Div]</f>
        <v>4872075</v>
      </c>
      <c r="AD506" s="56">
        <f>SUMPRODUCT(N([Nome]=Tabela3[[#This Row],[Nome]]),[Ações])</f>
        <v>11759999</v>
      </c>
      <c r="AE506" s="6">
        <f>[Capital Social]/[Total Ações]</f>
        <v>7.0000005952381459</v>
      </c>
      <c r="AF506" s="77">
        <f>Tabela3[[#This Row],[Lucro Líquido]]/Tabela3[[#This Row],[Total Ações]]</f>
        <v>1.7443879034343455</v>
      </c>
      <c r="AG5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5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5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506" s="6">
        <f>[Div Base]*[Ações]</f>
        <v>2668100.9245204693</v>
      </c>
      <c r="AL506" s="6">
        <f>SUMPRODUCT(N([Nome]=Tabela3[[#This Row],[Nome]]),[Div Base]*[Ações])</f>
        <v>4925724.7528580269</v>
      </c>
      <c r="AM506" s="6">
        <f>[Patrimônio Líquido]/[Total Ações]</f>
        <v>13.813946752886629</v>
      </c>
      <c r="AN506" s="48">
        <f>MAX(Tabela3[[#This Row],[Cotação 1]:[Cotação 5]])</f>
        <v>83.91</v>
      </c>
      <c r="AO506" s="44">
        <f>[Cotação]/[VPA]</f>
        <v>6.0742958910324276</v>
      </c>
      <c r="AP506" s="40">
        <f>IF(Tabela3[[#This Row],[Lucro/Ação]]&gt;0,Tabela3[[#This Row],[Cotação]]/(Tabela3[[#This Row],[Lucro/Ação]]/[Ref]*4),0)</f>
        <v>48.1028329964902</v>
      </c>
      <c r="AQ506" s="77">
        <f>[Lucro Distribuir]/[Total Ações]</f>
        <v>1.6571685082626282</v>
      </c>
      <c r="AR506" s="77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506" s="15" t="str">
        <f>IF(AND([% A.A.]&gt;=5%,SUMPRODUCT(N([Nome]=Tabela3[[#This Row],[Nome]]),[PL])&gt;0,[Rentabilidade s/ PL]&gt;=[Rentabilidade s/ PL Média]),"Sim","Não")</f>
        <v>Não</v>
      </c>
      <c r="AT506" s="42">
        <f>IF([Cotação]&gt;0,Tabela3[[#This Row],[Lucro]]/Tabela3[[#This Row],[Cotação]],0)</f>
        <v>4.7837197426457171E-3</v>
      </c>
      <c r="AU506" s="19">
        <f>((1+Tabela3[[#This Row],[% Yield]])^(1/(3*Tabela3[[#This Row],[Ref]])))^(12)-1</f>
        <v>4.783719742647019E-3</v>
      </c>
      <c r="AV506" s="14">
        <f>IF([Cotação]&gt;0,($BH$1/Tabela3[[#This Row],[Cotação]]-MOD($BH$1/Tabela3[[#This Row],[Cotação]],100)),)</f>
        <v>0</v>
      </c>
      <c r="AW506" s="17">
        <f>Tabela3[[#This Row],[Ativos]]*[Lucro]</f>
        <v>0</v>
      </c>
      <c r="AX506" s="5">
        <f>SUMPRODUCT(N(Tabela1[Código]=Tabela3[[#This Row],[PAPEL]]),Tabela1[Fechamento])</f>
        <v>0</v>
      </c>
      <c r="AY506" s="5">
        <f>SUMPRODUCT(N(Tabela17[Código]=Tabela3[[#This Row],[PAPEL]]),Tabela17[Fechamento])</f>
        <v>83.91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</v>
      </c>
      <c r="BB506" s="7">
        <f>SUMPRODUCT(N(Tabela17683[Código]=Tabela3[[#This Row],[PAPEL]]),Tabela17683[Fechamento])</f>
        <v>0</v>
      </c>
    </row>
    <row r="507" spans="1:54" ht="11.25" customHeight="1">
      <c r="A507" s="3" t="s">
        <v>1184</v>
      </c>
      <c r="B507" s="57" t="s">
        <v>1180</v>
      </c>
      <c r="C507" s="16" t="str">
        <f>LEFT([PAPEL],LEN([PAPEL])-(LEN([PAPEL])-4))</f>
        <v>SGAS</v>
      </c>
      <c r="D507" s="16">
        <v>3</v>
      </c>
      <c r="E507" s="5">
        <v>177375435.61000001</v>
      </c>
      <c r="F507" s="56">
        <v>3968690</v>
      </c>
      <c r="G507" s="80">
        <v>0.25</v>
      </c>
      <c r="H507" s="86"/>
      <c r="J507" s="18">
        <v>0.1</v>
      </c>
      <c r="K507" s="16"/>
      <c r="L507" s="86"/>
      <c r="M507" s="54"/>
      <c r="N507" s="54"/>
      <c r="O507" s="54"/>
      <c r="P507" s="90">
        <v>493990000</v>
      </c>
      <c r="Q507" s="73">
        <v>15361000</v>
      </c>
      <c r="R507" s="73">
        <f>IF(Tabela3[[#This Row],[Ativo || Passivo]]&gt;0,Tabela3[[#This Row],[Ativo || Passivo]]-Tabela3[[#This Row],[Patrimônio Líquido]],0)</f>
        <v>0</v>
      </c>
      <c r="S507" s="73">
        <f>Tabela3[[#This Row],[Cotação]]*Tabela3[[#This Row],[Total Ações]]</f>
        <v>611547967.98000002</v>
      </c>
      <c r="T507" s="37">
        <f>IF(Tabela3[[#This Row],[Passivo Circulante]]&gt;0,Tabela3[[#This Row],[Ativo Circulante]]/Tabela3[[#This Row],[Passivo Circulante]],0)</f>
        <v>0</v>
      </c>
      <c r="U50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7" s="18">
        <f>IF(Tabela3[[#This Row],[Lucro Líquido]]&gt;0,Tabela3[[#This Row],[Lucro Líquido]]/Tabela3[[#This Row],[Patrimônio Líquido]],0)/Tabela3[[#This Row],[Ref]]*4</f>
        <v>4.1461028225942491E-2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2.2435702141443779</v>
      </c>
      <c r="Z507" s="7">
        <f>Tabela3[[#This Row],[Capital Social]]*20%</f>
        <v>35475087.122000001</v>
      </c>
      <c r="AA507" s="47">
        <f>IF(([Lucro Líquido]*5%)&gt;[Teto R. Legal],[Teto R. Legal],[Lucro Líquido]*5%)</f>
        <v>768050</v>
      </c>
      <c r="AB507" s="47">
        <f>IF([Lucro Líquido]&lt;0,0,[Lucro Líquido]-[Reserva Legal])</f>
        <v>14592950</v>
      </c>
      <c r="AC507" s="47">
        <f>Tabela3[[#This Row],[Lucro Distribuir]]*[%Div]</f>
        <v>3648237.5</v>
      </c>
      <c r="AD507" s="56">
        <f>SUMPRODUCT(N([Nome]=Tabela3[[#This Row],[Nome]]),[Ações])</f>
        <v>7282934</v>
      </c>
      <c r="AE507" s="84">
        <f>[Capital Social]/[Total Ações]</f>
        <v>24.354942061811904</v>
      </c>
      <c r="AF507" s="84">
        <f>Tabela3[[#This Row],[Lucro Líquido]]/Tabela3[[#This Row],[Total Ações]]</f>
        <v>2.1091774276685742</v>
      </c>
      <c r="AG507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507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507" s="7">
        <f>[Div Base]*[Ações]</f>
        <v>2118797.0545581495</v>
      </c>
      <c r="AL507" s="113">
        <f>SUMPRODUCT(N([Nome]=Tabela3[[#This Row],[Nome]]),[Div Base]*[Ações])</f>
        <v>3727344.8752764873</v>
      </c>
      <c r="AM507" s="5">
        <f>[Patrimônio Líquido]/[Total Ações]</f>
        <v>67.828432881583169</v>
      </c>
      <c r="AN507" s="52">
        <f>MAX(Tabela3[[#This Row],[Cotação 1]:[Cotação 5]])</f>
        <v>83.97</v>
      </c>
      <c r="AO507" s="53">
        <f>[Cotação]/[VPA]</f>
        <v>1.2379764124374986</v>
      </c>
      <c r="AP507" s="37">
        <f>IF(Tabela3[[#This Row],[Lucro/Ação]]&gt;0,Tabela3[[#This Row],[Cotação]]/(Tabela3[[#This Row],[Lucro/Ação]]/[Ref]*4),0)</f>
        <v>29.858796691947138</v>
      </c>
      <c r="AQ507" s="84">
        <f>[Lucro Distribuir]/[Total Ações]</f>
        <v>2.0037185562851456</v>
      </c>
      <c r="AR507" s="84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507" s="10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6.3579635014000685E-3</v>
      </c>
      <c r="AU507" s="22">
        <f>((1+Tabela3[[#This Row],[% Yield]])^(1/(3*Tabela3[[#This Row],[Ref]])))^(12)-1</f>
        <v>8.4862550544908544E-3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7">
        <f>SUMPRODUCT(N(Tabela1[Código]=Tabela3[[#This Row],[PAPEL]]),Tabela1[Fechamento])</f>
        <v>0</v>
      </c>
      <c r="AY507" s="7">
        <f>SUMPRODUCT(N(Tabela17[Código]=Tabela3[[#This Row],[PAPEL]]),Tabela17[Fechamento])</f>
        <v>0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83.97</v>
      </c>
    </row>
    <row r="508" spans="1:54" ht="11.25" customHeight="1">
      <c r="A508" s="4" t="s">
        <v>506</v>
      </c>
      <c r="B508" s="57" t="s">
        <v>511</v>
      </c>
      <c r="C508" s="15" t="str">
        <f>LEFT([PAPEL],LEN([PAPEL])-(LEN([PAPEL])-4))</f>
        <v>CEGR</v>
      </c>
      <c r="D508" s="15">
        <v>3</v>
      </c>
      <c r="E508" s="6">
        <v>362342011.75999999</v>
      </c>
      <c r="F508" s="8">
        <v>51927546</v>
      </c>
      <c r="G508" s="85">
        <v>0.25</v>
      </c>
      <c r="H508" s="15"/>
      <c r="I508" s="19"/>
      <c r="J508" s="19"/>
      <c r="K508" s="87"/>
      <c r="L508" s="87"/>
      <c r="M508" s="55">
        <v>2188906000</v>
      </c>
      <c r="N508" s="55">
        <v>507421000</v>
      </c>
      <c r="O508" s="55">
        <v>653386000</v>
      </c>
      <c r="P508" s="91">
        <v>922580000</v>
      </c>
      <c r="Q508" s="92">
        <v>252179000</v>
      </c>
      <c r="R508" s="92">
        <f>IF(Tabela3[[#This Row],[Ativo || Passivo]]&gt;0,Tabela3[[#This Row],[Ativo || Passivo]]-Tabela3[[#This Row],[Patrimônio Líquido]],0)</f>
        <v>1266326000</v>
      </c>
      <c r="S508" s="92">
        <f>Tabela3[[#This Row],[Cotação]]*Tabela3[[#This Row],[Total Ações]]</f>
        <v>4413841410</v>
      </c>
      <c r="T508" s="40">
        <f>IF(Tabela3[[#This Row],[Passivo Circulante]]&gt;0,Tabela3[[#This Row],[Ativo Circulante]]/Tabela3[[#This Row],[Passivo Circulante]],0)</f>
        <v>0.77660219227225558</v>
      </c>
      <c r="U50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8" s="19">
        <f>IF(Tabela3[[#This Row],[Lucro Líquido]]&gt;0,Tabela3[[#This Row],[Lucro Líquido]]/Tabela3[[#This Row],[Patrimônio Líquido]],0)/Tabela3[[#This Row],[Ref]]*4</f>
        <v>0.36445475369796299</v>
      </c>
      <c r="W50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8" s="19">
        <f>IF(Tabela3[[#This Row],[Dívida]]&gt;0,Tabela3[[#This Row],[Dívida]]/Tabela3[[#This Row],[Patrimônio Líquido]],0)</f>
        <v>1.3725920787357193</v>
      </c>
      <c r="Y508" s="19">
        <f>SUMPRODUCT(N([Dívida / PL]&gt;0),N(RIGHT([PAPEL],LEN([PAPEL])-(LEN([PAPEL])-1))="3"),[Dívida / PL])/SUMPRODUCT(N([Dívida / PL]&gt;0),N(RIGHT([PAPEL],LEN([PAPEL])-(LEN([PAPEL])-1))="3"))</f>
        <v>2.2435702141443779</v>
      </c>
      <c r="Z508" s="13">
        <f>Tabela3[[#This Row],[Capital Social]]*20%</f>
        <v>72468402.351999998</v>
      </c>
      <c r="AA508" s="13">
        <f>IF(([Lucro Líquido]*5%)&gt;[Teto R. Legal],[Teto R. Legal],[Lucro Líquido]*5%)</f>
        <v>12608950</v>
      </c>
      <c r="AB508" s="13">
        <f>IF([Lucro Líquido]&lt;0,0,[Lucro Líquido]-[Reserva Legal])</f>
        <v>239570050</v>
      </c>
      <c r="AC508" s="13">
        <f>Tabela3[[#This Row],[Lucro Distribuir]]*[%Div]</f>
        <v>59892512.5</v>
      </c>
      <c r="AD508" s="56">
        <f>SUMPRODUCT(N([Nome]=Tabela3[[#This Row],[Nome]]),[Ações])</f>
        <v>51927546</v>
      </c>
      <c r="AE508" s="6">
        <f>[Capital Social]/[Total Ações]</f>
        <v>6.9778381547242763</v>
      </c>
      <c r="AF508" s="77">
        <f>Tabela3[[#This Row],[Lucro Líquido]]/Tabela3[[#This Row],[Total Ações]]</f>
        <v>4.8563627482030443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508" s="13">
        <f>[Div Base]*[Ações]</f>
        <v>59892512.5</v>
      </c>
      <c r="AL508" s="13">
        <f>SUMPRODUCT(N([Nome]=Tabela3[[#This Row],[Nome]]),[Div Base]*[Ações])</f>
        <v>59892512.5</v>
      </c>
      <c r="AM508" s="6">
        <f>[Patrimônio Líquido]/[Total Ações]</f>
        <v>17.766678209673149</v>
      </c>
      <c r="AN508" s="48">
        <f>MAX(Tabela3[[#This Row],[Cotação 1]:[Cotação 5]])</f>
        <v>85</v>
      </c>
      <c r="AO508" s="44">
        <f>[Cotação]/[VPA]</f>
        <v>4.7842370417741549</v>
      </c>
      <c r="AP508" s="40">
        <f>IF(Tabela3[[#This Row],[Lucro/Ação]]&gt;0,Tabela3[[#This Row],[Cotação]]/(Tabela3[[#This Row],[Lucro/Ação]]/[Ref]*4),0)</f>
        <v>13.127108353590108</v>
      </c>
      <c r="AQ508" s="77">
        <f>[Lucro Distribuir]/[Total Ações]</f>
        <v>4.6135446107928919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508" s="14" t="str">
        <f>IF(AND([% A.A.]&gt;=5%,SUMPRODUCT(N([Nome]=Tabela3[[#This Row],[Nome]]),[PL])&gt;0,[Rentabilidade s/ PL]&gt;=[Rentabilidade s/ PL Média]),"Sim","Não")</f>
        <v>Não</v>
      </c>
      <c r="AT508" s="42">
        <f>IF([Cotação]&gt;0,Tabela3[[#This Row],[Lucro]]/Tabela3[[#This Row],[Cotação]],0)</f>
        <v>1.3569248855273211E-2</v>
      </c>
      <c r="AU508" s="42">
        <f>((1+Tabela3[[#This Row],[% Yield]])^(1/(3*Tabela3[[#This Row],[Ref]])))^(12)-1</f>
        <v>1.8133125679044015E-2</v>
      </c>
      <c r="AV508" s="14">
        <f>IF([Cotação]&gt;0,($BH$1/Tabela3[[#This Row],[Cotação]]-MOD($BH$1/Tabela3[[#This Row],[Cotação]],100)),)</f>
        <v>0</v>
      </c>
      <c r="AW508" s="17">
        <f>Tabela3[[#This Row],[Ativos]]*[Lucro]</f>
        <v>0</v>
      </c>
      <c r="AX508" s="17">
        <f>SUMPRODUCT(N(Tabela1[Código]=Tabela3[[#This Row],[PAPEL]]),Tabela1[Fechamento])</f>
        <v>0</v>
      </c>
      <c r="AY508" s="17">
        <f>SUMPRODUCT(N(Tabela17[Código]=Tabela3[[#This Row],[PAPEL]]),Tabela17[Fechamento])</f>
        <v>85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customHeight="1">
      <c r="A509" s="3" t="s">
        <v>996</v>
      </c>
      <c r="B509" s="58" t="s">
        <v>1003</v>
      </c>
      <c r="C509" s="16" t="str">
        <f>LEFT([PAPEL],LEN([PAPEL])-(LEN([PAPEL])-4))</f>
        <v>GUAR</v>
      </c>
      <c r="D509" s="16">
        <v>4</v>
      </c>
      <c r="E509" s="5">
        <v>2300000000</v>
      </c>
      <c r="F509" s="56">
        <v>31200000</v>
      </c>
      <c r="G509" s="80">
        <v>0.25</v>
      </c>
      <c r="H509" s="86"/>
      <c r="J509" s="18"/>
      <c r="K509" s="16"/>
      <c r="L509" s="86"/>
      <c r="M509" s="54"/>
      <c r="N509" s="54"/>
      <c r="O509" s="54"/>
      <c r="P509" s="90">
        <v>2829123000</v>
      </c>
      <c r="Q509" s="90">
        <v>420584000</v>
      </c>
      <c r="R509" s="90">
        <f>IF(Tabela3[[#This Row],[Ativo || Passivo]]&gt;0,Tabela3[[#This Row],[Ativo || Passivo]]-Tabela3[[#This Row],[Patrimônio Líquido]],0)</f>
        <v>0</v>
      </c>
      <c r="S509" s="90">
        <f>Tabela3[[#This Row],[Cotação]]*Tabela3[[#This Row],[Total Ações]]</f>
        <v>5647200000</v>
      </c>
      <c r="T509" s="34">
        <f>IF(Tabela3[[#This Row],[Passivo Circulante]]&gt;0,Tabela3[[#This Row],[Ativo Circulante]]/Tabela3[[#This Row],[Passivo Circulante]],0)</f>
        <v>0</v>
      </c>
      <c r="U509" s="34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09" s="18">
        <f>IF(Tabela3[[#This Row],[Lucro Líquido]]&gt;0,Tabela3[[#This Row],[Lucro Líquido]]/Tabela3[[#This Row],[Patrimônio Líquido]],0)/Tabela3[[#This Row],[Ref]]*4</f>
        <v>0.14866232397813739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2.2435702141443779</v>
      </c>
      <c r="Z509" s="7">
        <f>Tabela3[[#This Row],[Capital Social]]*20%</f>
        <v>460000000</v>
      </c>
      <c r="AA509" s="47">
        <f>IF(([Lucro Líquido]*5%)&gt;[Teto R. Legal],[Teto R. Legal],[Lucro Líquido]*5%)</f>
        <v>21029200</v>
      </c>
      <c r="AB509" s="47">
        <f>IF([Lucro Líquido]&lt;0,0,[Lucro Líquido]-[Reserva Legal])</f>
        <v>399554800</v>
      </c>
      <c r="AC509" s="47">
        <f>Tabela3[[#This Row],[Lucro Distribuir]]*[%Div]</f>
        <v>99888700</v>
      </c>
      <c r="AD509" s="56">
        <f>SUMPRODUCT(N([Nome]=Tabela3[[#This Row],[Nome]]),[Ações])</f>
        <v>62400000</v>
      </c>
      <c r="AE509" s="84">
        <f>[Capital Social]/[Total Ações]</f>
        <v>36.858974358974358</v>
      </c>
      <c r="AF509" s="84">
        <f>Tabela3[[#This Row],[Lucro Líquido]]/Tabela3[[#This Row],[Total Ações]]</f>
        <v>6.7401282051282054</v>
      </c>
      <c r="AG50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50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509" s="7">
        <f>[Div Base]*[Ações]</f>
        <v>48390391.353114687</v>
      </c>
      <c r="AL509" s="113">
        <f>SUMPRODUCT(N([Nome]=Tabela3[[#This Row],[Nome]]),[Div Base]*[Ações])</f>
        <v>101619821.91445959</v>
      </c>
      <c r="AM509" s="5">
        <f>[Patrimônio Líquido]/[Total Ações]</f>
        <v>45.338509615384616</v>
      </c>
      <c r="AN509" s="52">
        <f>MAX(Tabela3[[#This Row],[Cotação 1]:[Cotação 5]])</f>
        <v>90.5</v>
      </c>
      <c r="AO509" s="53">
        <f>[Cotação]/[VPA]</f>
        <v>1.9960956098409295</v>
      </c>
      <c r="AP509" s="37">
        <f>IF(Tabela3[[#This Row],[Lucro/Ação]]&gt;0,Tabela3[[#This Row],[Cotação]]/(Tabela3[[#This Row],[Lucro/Ação]]/[Ref]*4),0)</f>
        <v>13.427044300306241</v>
      </c>
      <c r="AQ509" s="84">
        <f>[Lucro Distribuir]/[Total Ações]</f>
        <v>6.4031217948717947</v>
      </c>
      <c r="AR509" s="84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1.7137835158349161E-2</v>
      </c>
      <c r="AU509" s="22">
        <f>((1+Tabela3[[#This Row],[% Yield]])^(1/(3*Tabela3[[#This Row],[Ref]])))^(12)-1</f>
        <v>1.7137835158348658E-2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90.5</v>
      </c>
      <c r="BB509" s="7">
        <f>SUMPRODUCT(N(Tabela17683[Código]=Tabela3[[#This Row],[PAPEL]]),Tabela17683[Fechamento])</f>
        <v>0</v>
      </c>
    </row>
    <row r="510" spans="1:54" ht="11.25" customHeight="1">
      <c r="A510" s="4" t="s">
        <v>325</v>
      </c>
      <c r="B510" s="57" t="s">
        <v>327</v>
      </c>
      <c r="C510" s="81" t="str">
        <f>LEFT([PAPEL],LEN([PAPEL])-(LEN([PAPEL])-4))</f>
        <v>TKNO</v>
      </c>
      <c r="D510" s="15">
        <v>3</v>
      </c>
      <c r="E510" s="5">
        <v>170000000</v>
      </c>
      <c r="F510" s="8">
        <v>1318930</v>
      </c>
      <c r="G510" s="80">
        <v>0.25</v>
      </c>
      <c r="H510" s="9">
        <v>0.03</v>
      </c>
      <c r="I510" s="19"/>
      <c r="J510" s="19"/>
      <c r="K510" s="87"/>
      <c r="L510" s="87"/>
      <c r="M510" s="55"/>
      <c r="N510" s="55"/>
      <c r="O510" s="55"/>
      <c r="P510" s="6">
        <v>222307000</v>
      </c>
      <c r="Q510" s="6">
        <v>18125000</v>
      </c>
      <c r="R510" s="6">
        <f>IF(Tabela3[[#This Row],[Ativo || Passivo]]&gt;0,Tabela3[[#This Row],[Ativo || Passivo]]-Tabela3[[#This Row],[Patrimônio Líquido]],0)</f>
        <v>0</v>
      </c>
      <c r="S510" s="6">
        <f>Tabela3[[#This Row],[Cotação]]*Tabela3[[#This Row],[Total Ações]]</f>
        <v>262871692</v>
      </c>
      <c r="T510" s="121">
        <f>IF(Tabela3[[#This Row],[Passivo Circulante]]&gt;0,Tabela3[[#This Row],[Ativo Circulante]]/Tabela3[[#This Row],[Passivo Circulante]],0)</f>
        <v>0</v>
      </c>
      <c r="U510" s="121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0" s="19">
        <f>IF(Tabela3[[#This Row],[Lucro Líquido]]&gt;0,Tabela3[[#This Row],[Lucro Líquido]]/Tabela3[[#This Row],[Patrimônio Líquido]],0)/Tabela3[[#This Row],[Ref]]*4</f>
        <v>0.10870852769668371</v>
      </c>
      <c r="W510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0" s="19">
        <f>IF(Tabela3[[#This Row],[Dívida]]&gt;0,Tabela3[[#This Row],[Dívida]]/Tabela3[[#This Row],[Patrimônio Líquido]],0)</f>
        <v>0</v>
      </c>
      <c r="Y510" s="19">
        <f>SUMPRODUCT(N([Dívida / PL]&gt;0),N(RIGHT([PAPEL],LEN([PAPEL])-(LEN([PAPEL])-1))="3"),[Dívida / PL])/SUMPRODUCT(N([Dívida / PL]&gt;0),N(RIGHT([PAPEL],LEN([PAPEL])-(LEN([PAPEL])-1))="3"))</f>
        <v>2.2435702141443779</v>
      </c>
      <c r="Z510" s="6">
        <f>Tabela3[[#This Row],[Capital Social]]*20%</f>
        <v>34000000</v>
      </c>
      <c r="AA510" s="6">
        <f>IF(([Lucro Líquido]*5%)&gt;[Teto R. Legal],[Teto R. Legal],[Lucro Líquido]*5%)</f>
        <v>906250</v>
      </c>
      <c r="AB510" s="6">
        <f>IF([Lucro Líquido]&lt;0,0,[Lucro Líquido]-[Reserva Legal])</f>
        <v>17218750</v>
      </c>
      <c r="AC510" s="6">
        <f>Tabela3[[#This Row],[Lucro Distribuir]]*[%Div]</f>
        <v>4304687.5</v>
      </c>
      <c r="AD510" s="21">
        <f>SUMPRODUCT(N([Nome]=Tabela3[[#This Row],[Nome]]),[Ações])</f>
        <v>2857301</v>
      </c>
      <c r="AE510" s="6">
        <f>[Capital Social]/[Total Ações]</f>
        <v>59.496706857275448</v>
      </c>
      <c r="AF510" s="77">
        <f>Tabela3[[#This Row],[Lucro Líquido]]/Tabela3[[#This Row],[Total Ações]]</f>
        <v>6.3433988928712797</v>
      </c>
      <c r="AG51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51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510" s="6">
        <f>[Div Base]*[Ações]</f>
        <v>3078507.0054922458</v>
      </c>
      <c r="AL510" s="6">
        <f>SUMPRODUCT(N([Nome]=Tabela3[[#This Row],[Nome]]),[Div Base]*[Ações])</f>
        <v>4304687.5</v>
      </c>
      <c r="AM510" s="6">
        <f>[Patrimônio Líquido]/[Total Ações]</f>
        <v>77.803143596001959</v>
      </c>
      <c r="AN510" s="48">
        <f>MAX(Tabela3[[#This Row],[Cotação 1]:[Cotação 5]])</f>
        <v>92</v>
      </c>
      <c r="AO510" s="44">
        <f>[Cotação]/[VPA]</f>
        <v>1.1824715011223219</v>
      </c>
      <c r="AP510" s="40">
        <f>IF(Tabela3[[#This Row],[Lucro/Ação]]&gt;0,Tabela3[[#This Row],[Cotação]]/(Tabela3[[#This Row],[Lucro/Ação]]/[Ref]*4),0)</f>
        <v>10.877449324137929</v>
      </c>
      <c r="AQ510" s="77">
        <f>[Lucro Distribuir]/[Total Ações]</f>
        <v>6.0262289482277156</v>
      </c>
      <c r="AR510" s="77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510" s="15" t="str">
        <f>IF(AND([% A.A.]&gt;=5%,SUMPRODUCT(N([Nome]=Tabela3[[#This Row],[Nome]]),[PL])&gt;0,[Rentabilidade s/ PL]&gt;=[Rentabilidade s/ PL Média]),"Sim","Não")</f>
        <v>Não</v>
      </c>
      <c r="AT510" s="42">
        <f>IF([Cotação]&gt;0,Tabela3[[#This Row],[Lucro]]/Tabela3[[#This Row],[Cotação]],0)</f>
        <v>2.5370590303044116E-2</v>
      </c>
      <c r="AU510" s="19">
        <f>((1+Tabela3[[#This Row],[% Yield]])^(1/(3*Tabela3[[#This Row],[Ref]])))^(12)-1</f>
        <v>3.3969692796908424E-2</v>
      </c>
      <c r="AV510" s="14">
        <f>IF([Cotação]&gt;0,($BH$1/Tabela3[[#This Row],[Cotação]]-MOD($BH$1/Tabela3[[#This Row],[Cotação]],100)),)</f>
        <v>0</v>
      </c>
      <c r="AW510" s="17">
        <f>Tabela3[[#This Row],[Ativos]]*[Lucro]</f>
        <v>0</v>
      </c>
      <c r="AX510" s="13">
        <f>SUMPRODUCT(N(Tabela1[Código]=Tabela3[[#This Row],[PAPEL]]),Tabela1[Fechamento])</f>
        <v>0</v>
      </c>
      <c r="AY510" s="55">
        <f>SUMPRODUCT(N(Tabela17[Código]=Tabela3[[#This Row],[PAPEL]]),Tabela17[Fechamento])</f>
        <v>92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0</v>
      </c>
    </row>
    <row r="511" spans="1:54" ht="11.25" customHeight="1">
      <c r="A511" s="3" t="s">
        <v>789</v>
      </c>
      <c r="B511" s="58" t="s">
        <v>791</v>
      </c>
      <c r="C511" s="16" t="str">
        <f>LEFT([PAPEL],LEN([PAPEL])-(LEN([PAPEL])-4))</f>
        <v>PCAR</v>
      </c>
      <c r="D511" s="16">
        <v>4</v>
      </c>
      <c r="E511" s="5">
        <v>6764300000</v>
      </c>
      <c r="F511" s="56">
        <v>165243572</v>
      </c>
      <c r="G511" s="80">
        <v>0.25</v>
      </c>
      <c r="H511" s="86"/>
      <c r="J511" s="18">
        <v>0.1</v>
      </c>
      <c r="K511" s="16"/>
      <c r="L511" s="86"/>
      <c r="M511" s="54">
        <v>22214075000</v>
      </c>
      <c r="N511" s="54">
        <v>5623474000</v>
      </c>
      <c r="O511" s="54">
        <v>8022610000</v>
      </c>
      <c r="P511" s="90">
        <v>9483190000</v>
      </c>
      <c r="Q511" s="73">
        <v>1052495000</v>
      </c>
      <c r="R511" s="73">
        <f>IF(Tabela3[[#This Row],[Ativo || Passivo]]&gt;0,Tabela3[[#This Row],[Ativo || Passivo]]-Tabela3[[#This Row],[Patrimônio Líquido]],0)</f>
        <v>12730885000</v>
      </c>
      <c r="S511" s="73">
        <f>Tabela3[[#This Row],[Cotação]]*Tabela3[[#This Row],[Total Ações]]</f>
        <v>25708168967.920002</v>
      </c>
      <c r="T511" s="37">
        <f>IF(Tabela3[[#This Row],[Passivo Circulante]]&gt;0,Tabela3[[#This Row],[Ativo Circulante]]/Tabela3[[#This Row],[Passivo Circulante]],0)</f>
        <v>0.70095318107199522</v>
      </c>
      <c r="U511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1" s="18">
        <f>IF(Tabela3[[#This Row],[Lucro Líquido]]&gt;0,Tabela3[[#This Row],[Lucro Líquido]]/Tabela3[[#This Row],[Patrimônio Líquido]],0)/Tabela3[[#This Row],[Ref]]*4</f>
        <v>0.11098533299448814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1" s="18">
        <f>IF(Tabela3[[#This Row],[Dívida]]&gt;0,Tabela3[[#This Row],[Dívida]]/Tabela3[[#This Row],[Patrimônio Líquido]],0)</f>
        <v>1.3424686207911052</v>
      </c>
      <c r="Y511" s="18">
        <f>SUMPRODUCT(N([Dívida / PL]&gt;0),N(RIGHT([PAPEL],LEN([PAPEL])-(LEN([PAPEL])-1))="3"),[Dívida / PL])/SUMPRODUCT(N([Dívida / PL]&gt;0),N(RIGHT([PAPEL],LEN([PAPEL])-(LEN([PAPEL])-1))="3"))</f>
        <v>2.2435702141443779</v>
      </c>
      <c r="Z511" s="7">
        <f>Tabela3[[#This Row],[Capital Social]]*20%</f>
        <v>1352860000</v>
      </c>
      <c r="AA511" s="47">
        <f>IF(([Lucro Líquido]*5%)&gt;[Teto R. Legal],[Teto R. Legal],[Lucro Líquido]*5%)</f>
        <v>52624750</v>
      </c>
      <c r="AB511" s="47">
        <f>IF([Lucro Líquido]&lt;0,0,[Lucro Líquido]-[Reserva Legal])</f>
        <v>999870250</v>
      </c>
      <c r="AC511" s="47">
        <f>Tabela3[[#This Row],[Lucro Distribuir]]*[%Div]</f>
        <v>249967562.5</v>
      </c>
      <c r="AD511" s="56">
        <f>SUMPRODUCT(N([Nome]=Tabela3[[#This Row],[Nome]]),[Ações])</f>
        <v>264923423</v>
      </c>
      <c r="AE511" s="84">
        <f>[Capital Social]/[Total Ações]</f>
        <v>25.53303865472099</v>
      </c>
      <c r="AF511" s="84">
        <f>Tabela3[[#This Row],[Lucro Líquido]]/Tabela3[[#This Row],[Total Ações]]</f>
        <v>3.9728272724303428</v>
      </c>
      <c r="AG511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511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1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511" s="7">
        <f>[Div Base]*[Ações]</f>
        <v>166170270.4410257</v>
      </c>
      <c r="AL511" s="7">
        <f>SUMPRODUCT(N([Nome]=Tabela3[[#This Row],[Nome]]),[Div Base]*[Ações])</f>
        <v>257296509.53282493</v>
      </c>
      <c r="AM511" s="5">
        <f>[Patrimônio Líquido]/[Total Ações]</f>
        <v>35.795966595222502</v>
      </c>
      <c r="AN511" s="52">
        <f>MAX(Tabela3[[#This Row],[Cotação 1]:[Cotação 5]])</f>
        <v>97.04</v>
      </c>
      <c r="AO511" s="53">
        <f>[Cotação]/[VPA]</f>
        <v>2.7109199507676216</v>
      </c>
      <c r="AP511" s="37">
        <f>IF(Tabela3[[#This Row],[Lucro/Ação]]&gt;0,Tabela3[[#This Row],[Cotação]]/(Tabela3[[#This Row],[Lucro/Ação]]/[Ref]*4),0)</f>
        <v>24.425929783913464</v>
      </c>
      <c r="AQ511" s="84">
        <f>[Lucro Distribuir]/[Total Ações]</f>
        <v>3.7741859088088257</v>
      </c>
      <c r="AR511" s="84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1.0362820234757321E-2</v>
      </c>
      <c r="AU511" s="22">
        <f>((1+Tabela3[[#This Row],[% Yield]])^(1/(3*Tabela3[[#This Row],[Ref]])))^(12)-1</f>
        <v>1.0362820234757208E-2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97.04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t="11.25" customHeight="1">
      <c r="A512" s="3" t="s">
        <v>1206</v>
      </c>
      <c r="B512" s="57" t="s">
        <v>1203</v>
      </c>
      <c r="C512" s="16" t="str">
        <f>LEFT([PAPEL],LEN([PAPEL])-(LEN([PAPEL])-4))</f>
        <v>BALM</v>
      </c>
      <c r="D512" s="16">
        <v>3</v>
      </c>
      <c r="E512" s="5">
        <v>15000000</v>
      </c>
      <c r="F512" s="56">
        <v>490000</v>
      </c>
      <c r="G512" s="80">
        <v>0.3</v>
      </c>
      <c r="H512" s="86"/>
      <c r="J512" s="18"/>
      <c r="K512" s="16"/>
      <c r="L512" s="86"/>
      <c r="M512" s="47">
        <v>109025000</v>
      </c>
      <c r="N512" s="47">
        <v>67948000</v>
      </c>
      <c r="O512" s="47">
        <v>30740000</v>
      </c>
      <c r="P512" s="90">
        <v>65926000</v>
      </c>
      <c r="Q512" s="73">
        <v>10280000</v>
      </c>
      <c r="R512" s="73">
        <f>IF(Tabela3[[#This Row],[Ativo || Passivo]]&gt;0,Tabela3[[#This Row],[Ativo || Passivo]]-Tabela3[[#This Row],[Patrimônio Líquido]],0)</f>
        <v>43099000</v>
      </c>
      <c r="S512" s="73">
        <f>Tabela3[[#This Row],[Cotação]]*Tabela3[[#This Row],[Total Ações]]</f>
        <v>100450000</v>
      </c>
      <c r="T512" s="37">
        <f>IF(Tabela3[[#This Row],[Passivo Circulante]]&gt;0,Tabela3[[#This Row],[Ativo Circulante]]/Tabela3[[#This Row],[Passivo Circulante]],0)</f>
        <v>2.2104098893949251</v>
      </c>
      <c r="U512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2" s="18">
        <f>IF(Tabela3[[#This Row],[Lucro Líquido]]&gt;0,Tabela3[[#This Row],[Lucro Líquido]]/Tabela3[[#This Row],[Patrimônio Líquido]],0)/Tabela3[[#This Row],[Ref]]*4</f>
        <v>0.20790987875294523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2" s="18">
        <f>IF(Tabela3[[#This Row],[Dívida]]&gt;0,Tabela3[[#This Row],[Dívida]]/Tabela3[[#This Row],[Patrimônio Líquido]],0)</f>
        <v>0.65374814185602037</v>
      </c>
      <c r="Y512" s="18">
        <f>SUMPRODUCT(N([Dívida / PL]&gt;0),N(RIGHT([PAPEL],LEN([PAPEL])-(LEN([PAPEL])-1))="3"),[Dívida / PL])/SUMPRODUCT(N([Dívida / PL]&gt;0),N(RIGHT([PAPEL],LEN([PAPEL])-(LEN([PAPEL])-1))="3"))</f>
        <v>2.2435702141443779</v>
      </c>
      <c r="Z512" s="7">
        <f>Tabela3[[#This Row],[Capital Social]]*20%</f>
        <v>3000000</v>
      </c>
      <c r="AA512" s="47">
        <f>IF(([Lucro Líquido]*5%)&gt;[Teto R. Legal],[Teto R. Legal],[Lucro Líquido]*5%)</f>
        <v>514000</v>
      </c>
      <c r="AB512" s="47">
        <f>IF([Lucro Líquido]&lt;0,0,[Lucro Líquido]-[Reserva Legal])</f>
        <v>9766000</v>
      </c>
      <c r="AC512" s="47">
        <f>Tabela3[[#This Row],[Lucro Distribuir]]*[%Div]</f>
        <v>2929800</v>
      </c>
      <c r="AD512" s="56">
        <f>SUMPRODUCT(N([Nome]=Tabela3[[#This Row],[Nome]]),[Ações])</f>
        <v>980000</v>
      </c>
      <c r="AE512" s="84">
        <f>[Capital Social]/[Total Ações]</f>
        <v>15.306122448979592</v>
      </c>
      <c r="AF512" s="84">
        <f>Tabela3[[#This Row],[Lucro Líquido]]/Tabela3[[#This Row],[Total Ações]]</f>
        <v>10.489795918367347</v>
      </c>
      <c r="AG512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512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512" s="7">
        <f>[Div Base]*[Ações]</f>
        <v>1464900</v>
      </c>
      <c r="AL512" s="113">
        <f>SUMPRODUCT(N([Nome]=Tabela3[[#This Row],[Nome]]),[Div Base]*[Ações])</f>
        <v>2685650</v>
      </c>
      <c r="AM512" s="5">
        <f>[Patrimônio Líquido]/[Total Ações]</f>
        <v>67.271428571428572</v>
      </c>
      <c r="AN512" s="52">
        <f>MAX(Tabela3[[#This Row],[Cotação 1]:[Cotação 5]])</f>
        <v>102.5</v>
      </c>
      <c r="AO512" s="53">
        <f>[Cotação]/[VPA]</f>
        <v>1.5236780632830749</v>
      </c>
      <c r="AP512" s="37">
        <f>IF(Tabela3[[#This Row],[Lucro/Ação]]&gt;0,Tabela3[[#This Row],[Cotação]]/(Tabela3[[#This Row],[Lucro/Ação]]/[Ref]*4),0)</f>
        <v>7.328550583657587</v>
      </c>
      <c r="AQ512" s="84">
        <f>[Lucro Distribuir]/[Total Ações]</f>
        <v>9.965306122448979</v>
      </c>
      <c r="AR512" s="84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2.9166749626679939E-2</v>
      </c>
      <c r="AU512" s="22">
        <f>((1+Tabela3[[#This Row],[% Yield]])^(1/(3*Tabela3[[#This Row],[Ref]])))^(12)-1</f>
        <v>3.9076833160148539E-2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102.5</v>
      </c>
    </row>
    <row r="513" spans="1:54" ht="11.25" customHeight="1">
      <c r="A513" s="3" t="s">
        <v>1019</v>
      </c>
      <c r="B513" s="58" t="s">
        <v>1022</v>
      </c>
      <c r="C513" s="16" t="str">
        <f>LEFT([PAPEL],LEN([PAPEL])-(LEN([PAPEL])-4))</f>
        <v>CALI</v>
      </c>
      <c r="D513" s="16">
        <v>3</v>
      </c>
      <c r="E513" s="5">
        <v>38968552.789999999</v>
      </c>
      <c r="F513" s="56">
        <v>124040</v>
      </c>
      <c r="G513" s="80">
        <v>0.25</v>
      </c>
      <c r="H513" s="86"/>
      <c r="J513" s="18"/>
      <c r="K513" s="16"/>
      <c r="L513" s="86"/>
      <c r="M513" s="54">
        <v>22719000</v>
      </c>
      <c r="N513" s="54">
        <v>6643000</v>
      </c>
      <c r="O513" s="54">
        <v>3658000</v>
      </c>
      <c r="P513" s="90">
        <v>4577000</v>
      </c>
      <c r="Q513" s="73">
        <v>8961000</v>
      </c>
      <c r="R513" s="73">
        <f>IF(Tabela3[[#This Row],[Ativo || Passivo]]&gt;0,Tabela3[[#This Row],[Ativo || Passivo]]-Tabela3[[#This Row],[Patrimônio Líquido]],0)</f>
        <v>18142000</v>
      </c>
      <c r="S513" s="73">
        <f>Tabela3[[#This Row],[Cotação]]*Tabela3[[#This Row],[Total Ações]]</f>
        <v>46890715.190000005</v>
      </c>
      <c r="T513" s="37">
        <f>IF(Tabela3[[#This Row],[Passivo Circulante]]&gt;0,Tabela3[[#This Row],[Ativo Circulante]]/Tabela3[[#This Row],[Passivo Circulante]],0)</f>
        <v>1.8160196828868234</v>
      </c>
      <c r="U513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3" s="18">
        <f>IF(Tabela3[[#This Row],[Lucro Líquido]]&gt;0,Tabela3[[#This Row],[Lucro Líquido]]/Tabela3[[#This Row],[Patrimônio Líquido]],0)/Tabela3[[#This Row],[Ref]]*4</f>
        <v>2.6104435219576141</v>
      </c>
      <c r="W513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3" s="18">
        <f>IF(Tabela3[[#This Row],[Dívida]]&gt;0,Tabela3[[#This Row],[Dívida]]/Tabela3[[#This Row],[Patrimônio Líquido]],0)</f>
        <v>3.9637317019882019</v>
      </c>
      <c r="Y513" s="18">
        <f>SUMPRODUCT(N([Dívida / PL]&gt;0),N(RIGHT([PAPEL],LEN([PAPEL])-(LEN([PAPEL])-1))="3"),[Dívida / PL])/SUMPRODUCT(N([Dívida / PL]&gt;0),N(RIGHT([PAPEL],LEN([PAPEL])-(LEN([PAPEL])-1))="3"))</f>
        <v>2.2435702141443779</v>
      </c>
      <c r="Z513" s="7">
        <f>Tabela3[[#This Row],[Capital Social]]*20%</f>
        <v>7793710.5580000002</v>
      </c>
      <c r="AA513" s="47">
        <f>IF(([Lucro Líquido]*5%)&gt;[Teto R. Legal],[Teto R. Legal],[Lucro Líquido]*5%)</f>
        <v>448050</v>
      </c>
      <c r="AB513" s="47">
        <f>IF([Lucro Líquido]&lt;0,0,[Lucro Líquido]-[Reserva Legal])</f>
        <v>8512950</v>
      </c>
      <c r="AC513" s="47">
        <f>Tabela3[[#This Row],[Lucro Distribuir]]*[%Div]</f>
        <v>2128237.5</v>
      </c>
      <c r="AD513" s="56">
        <f>SUMPRODUCT(N([Nome]=Tabela3[[#This Row],[Nome]]),[Ações])</f>
        <v>372119</v>
      </c>
      <c r="AE513" s="84">
        <f>[Capital Social]/[Total Ações]</f>
        <v>104.72067481101476</v>
      </c>
      <c r="AF513" s="84">
        <f>Tabela3[[#This Row],[Lucro Líquido]]/Tabela3[[#This Row],[Total Ações]]</f>
        <v>24.081006344744559</v>
      </c>
      <c r="AG513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513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513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513" s="7">
        <f>[Div Base]*[Ações]</f>
        <v>439602.48138128733</v>
      </c>
      <c r="AL513" s="113">
        <f>SUMPRODUCT(N([Nome]=Tabela3[[#This Row],[Nome]]),[Div Base]*[Ações])</f>
        <v>2128237.5</v>
      </c>
      <c r="AM513" s="5">
        <f>[Patrimônio Líquido]/[Total Ações]</f>
        <v>12.299828818200629</v>
      </c>
      <c r="AN513" s="52">
        <f>MAX(Tabela3[[#This Row],[Cotação 1]:[Cotação 5]])</f>
        <v>126.01</v>
      </c>
      <c r="AO513" s="53">
        <f>[Cotação]/[VPA]</f>
        <v>10.244858027091983</v>
      </c>
      <c r="AP513" s="37">
        <f>IF(Tabela3[[#This Row],[Lucro/Ação]]&gt;0,Tabela3[[#This Row],[Cotação]]/(Tabela3[[#This Row],[Lucro/Ação]]/[Ref]*4),0)</f>
        <v>3.9245660520589221</v>
      </c>
      <c r="AQ513" s="84">
        <f>[Lucro Distribuir]/[Total Ações]</f>
        <v>22.87695602750733</v>
      </c>
      <c r="AR513" s="84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2.8125054070129624E-2</v>
      </c>
      <c r="AU513" s="22">
        <f>((1+Tabela3[[#This Row],[% Yield]])^(1/(3*Tabela3[[#This Row],[Ref]])))^(12)-1</f>
        <v>3.767476806507486E-2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126.01</v>
      </c>
      <c r="BB513" s="7">
        <f>SUMPRODUCT(N(Tabela17683[Código]=Tabela3[[#This Row],[PAPEL]]),Tabela17683[Fechamento])</f>
        <v>0</v>
      </c>
    </row>
    <row r="514" spans="1:54" ht="11.25" customHeight="1">
      <c r="A514" s="3" t="s">
        <v>288</v>
      </c>
      <c r="B514" s="58" t="s">
        <v>294</v>
      </c>
      <c r="C514" s="82" t="str">
        <f>LEFT([PAPEL],LEN([PAPEL])-(LEN([PAPEL])-4))</f>
        <v>MOAR</v>
      </c>
      <c r="D514" s="16">
        <v>3</v>
      </c>
      <c r="E514" s="5">
        <v>627358000</v>
      </c>
      <c r="F514" s="21">
        <v>12251221</v>
      </c>
      <c r="G514" s="85">
        <v>0.25</v>
      </c>
      <c r="H514" s="16"/>
      <c r="J514" s="18"/>
      <c r="K514" s="86"/>
      <c r="L514" s="86"/>
      <c r="M514" s="54"/>
      <c r="N514" s="54"/>
      <c r="O514" s="54"/>
      <c r="P514" s="5">
        <v>1185190000</v>
      </c>
      <c r="Q514" s="5">
        <v>90444000</v>
      </c>
      <c r="R514" s="5">
        <f>IF(Tabela3[[#This Row],[Ativo || Passivo]]&gt;0,Tabela3[[#This Row],[Ativo || Passivo]]-Tabela3[[#This Row],[Patrimônio Líquido]],0)</f>
        <v>0</v>
      </c>
      <c r="S514" s="5">
        <f>Tabela3[[#This Row],[Cotação]]*Tabela3[[#This Row],[Total Ações]]</f>
        <v>1911190476</v>
      </c>
      <c r="T514" s="119">
        <f>IF(Tabela3[[#This Row],[Passivo Circulante]]&gt;0,Tabela3[[#This Row],[Ativo Circulante]]/Tabela3[[#This Row],[Passivo Circulante]],0)</f>
        <v>0</v>
      </c>
      <c r="U514" s="119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4" s="18">
        <f>IF(Tabela3[[#This Row],[Lucro Líquido]]&gt;0,Tabela3[[#This Row],[Lucro Líquido]]/Tabela3[[#This Row],[Patrimônio Líquido]],0)/Tabela3[[#This Row],[Ref]]*4</f>
        <v>0.1017490866443355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4" s="18">
        <f>IF(Tabela3[[#This Row],[Dívida]]&gt;0,Tabela3[[#This Row],[Dívida]]/Tabela3[[#This Row],[Patrimônio Líquido]],0)</f>
        <v>0</v>
      </c>
      <c r="Y514" s="18">
        <f>SUMPRODUCT(N([Dívida / PL]&gt;0),N(RIGHT([PAPEL],LEN([PAPEL])-(LEN([PAPEL])-1))="3"),[Dívida / PL])/SUMPRODUCT(N([Dívida / PL]&gt;0),N(RIGHT([PAPEL],LEN([PAPEL])-(LEN([PAPEL])-1))="3"))</f>
        <v>2.2435702141443779</v>
      </c>
      <c r="Z514" s="5">
        <f>Tabela3[[#This Row],[Capital Social]]*20%</f>
        <v>125471600</v>
      </c>
      <c r="AA514" s="5">
        <f>IF(([Lucro Líquido]*5%)&gt;[Teto R. Legal],[Teto R. Legal],[Lucro Líquido]*5%)</f>
        <v>4522200</v>
      </c>
      <c r="AB514" s="5">
        <f>IF([Lucro Líquido]&lt;0,0,[Lucro Líquido]-[Reserva Legal])</f>
        <v>85921800</v>
      </c>
      <c r="AC514" s="5">
        <f>Tabela3[[#This Row],[Lucro Distribuir]]*[%Div]</f>
        <v>21480450</v>
      </c>
      <c r="AD514" s="56">
        <f>SUMPRODUCT(N([Nome]=Tabela3[[#This Row],[Nome]]),[Ações])</f>
        <v>12251221</v>
      </c>
      <c r="AE514" s="5">
        <f>[Capital Social]/[Total Ações]</f>
        <v>51.207793900705894</v>
      </c>
      <c r="AF514" s="76">
        <f>Tabela3[[#This Row],[Lucro Líquido]]/Tabela3[[#This Row],[Total Ações]]</f>
        <v>7.3824478392806725</v>
      </c>
      <c r="AG514" s="7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514" s="7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7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514" s="5">
        <f>[Div Base]*[Ações]</f>
        <v>21480450</v>
      </c>
      <c r="AL514" s="5">
        <f>SUMPRODUCT(N([Nome]=Tabela3[[#This Row],[Nome]]),[Div Base]*[Ações])</f>
        <v>21480450</v>
      </c>
      <c r="AM514" s="5">
        <f>[Patrimônio Líquido]/[Total Ações]</f>
        <v>96.740561614226039</v>
      </c>
      <c r="AN514" s="52">
        <f>MAX(Tabela3[[#This Row],[Cotação 1]:[Cotação 5]])</f>
        <v>156</v>
      </c>
      <c r="AO514" s="53">
        <f>[Cotação]/[VPA]</f>
        <v>1.6125604130983218</v>
      </c>
      <c r="AP514" s="37">
        <f>IF(Tabela3[[#This Row],[Lucro/Ação]]&gt;0,Tabela3[[#This Row],[Cotação]]/(Tabela3[[#This Row],[Lucro/Ação]]/[Ref]*4),0)</f>
        <v>15.848401850869045</v>
      </c>
      <c r="AQ514" s="76">
        <f>[Lucro Distribuir]/[Total Ações]</f>
        <v>7.0133254473166389</v>
      </c>
      <c r="AR514" s="76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514" s="16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1.1239303601468973E-2</v>
      </c>
      <c r="AU514" s="18">
        <f>((1+Tabela3[[#This Row],[% Yield]])^(1/(3*Tabela3[[#This Row],[Ref]])))^(12)-1</f>
        <v>1.5013739892974165E-2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47">
        <f>SUMPRODUCT(N(Tabela1[Código]=Tabela3[[#This Row],[PAPEL]]),Tabela1[Fechamento])</f>
        <v>0</v>
      </c>
      <c r="AY514" s="54">
        <f>SUMPRODUCT(N(Tabela17[Código]=Tabela3[[#This Row],[PAPEL]]),Tabela17[Fechamento])</f>
        <v>156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0</v>
      </c>
      <c r="BB514" s="7">
        <f>SUMPRODUCT(N(Tabela17683[Código]=Tabela3[[#This Row],[PAPEL]]),Tabela17683[Fechamento])</f>
        <v>0</v>
      </c>
    </row>
    <row r="515" spans="1:54" ht="11.25" customHeight="1">
      <c r="A515" s="3" t="s">
        <v>779</v>
      </c>
      <c r="B515" s="58" t="s">
        <v>784</v>
      </c>
      <c r="C515" s="16" t="str">
        <f>LEFT([PAPEL],LEN([PAPEL])-(LEN([PAPEL])-4))</f>
        <v>PNVL</v>
      </c>
      <c r="D515" s="16">
        <v>3</v>
      </c>
      <c r="E515" s="5">
        <v>227000000</v>
      </c>
      <c r="F515" s="56">
        <v>449523</v>
      </c>
      <c r="G515" s="80">
        <v>0.25</v>
      </c>
      <c r="H515" s="86"/>
      <c r="J515" s="18">
        <v>0.1</v>
      </c>
      <c r="K515" s="16"/>
      <c r="L515" s="86"/>
      <c r="M515" s="54"/>
      <c r="N515" s="54"/>
      <c r="O515" s="54"/>
      <c r="P515" s="90">
        <v>269723000</v>
      </c>
      <c r="Q515" s="73">
        <v>42644000</v>
      </c>
      <c r="R515" s="73">
        <f>IF(Tabela3[[#This Row],[Ativo || Passivo]]&gt;0,Tabela3[[#This Row],[Ativo || Passivo]]-Tabela3[[#This Row],[Patrimônio Líquido]],0)</f>
        <v>0</v>
      </c>
      <c r="S515" s="73">
        <f>Tabela3[[#This Row],[Cotação]]*Tabela3[[#This Row],[Total Ações]]</f>
        <v>730972000</v>
      </c>
      <c r="T515" s="37">
        <f>IF(Tabela3[[#This Row],[Passivo Circulante]]&gt;0,Tabela3[[#This Row],[Ativo Circulante]]/Tabela3[[#This Row],[Passivo Circulante]],0)</f>
        <v>0</v>
      </c>
      <c r="U515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5" s="18">
        <f>IF(Tabela3[[#This Row],[Lucro Líquido]]&gt;0,Tabela3[[#This Row],[Lucro Líquido]]/Tabela3[[#This Row],[Patrimônio Líquido]],0)/Tabela3[[#This Row],[Ref]]*4</f>
        <v>0.21080392353142544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5" s="18">
        <f>IF(Tabela3[[#This Row],[Dívida]]&gt;0,Tabela3[[#This Row],[Dívida]]/Tabela3[[#This Row],[Patrimônio Líquido]],0)</f>
        <v>0</v>
      </c>
      <c r="Y515" s="18">
        <f>SUMPRODUCT(N([Dívida / PL]&gt;0),N(RIGHT([PAPEL],LEN([PAPEL])-(LEN([PAPEL])-1))="3"),[Dívida / PL])/SUMPRODUCT(N([Dívida / PL]&gt;0),N(RIGHT([PAPEL],LEN([PAPEL])-(LEN([PAPEL])-1))="3"))</f>
        <v>2.2435702141443779</v>
      </c>
      <c r="Z515" s="7">
        <f>Tabela3[[#This Row],[Capital Social]]*20%</f>
        <v>45400000</v>
      </c>
      <c r="AA515" s="47">
        <f>IF(([Lucro Líquido]*5%)&gt;[Teto R. Legal],[Teto R. Legal],[Lucro Líquido]*5%)</f>
        <v>2132200</v>
      </c>
      <c r="AB515" s="47">
        <f>IF([Lucro Líquido]&lt;0,0,[Lucro Líquido]-[Reserva Legal])</f>
        <v>40511800</v>
      </c>
      <c r="AC515" s="47">
        <f>Tabela3[[#This Row],[Lucro Distribuir]]*[%Div]</f>
        <v>10127950</v>
      </c>
      <c r="AD515" s="56">
        <f>SUMPRODUCT(N([Nome]=Tabela3[[#This Row],[Nome]]),[Ações])</f>
        <v>4568575</v>
      </c>
      <c r="AE515" s="84">
        <f>[Capital Social]/[Total Ações]</f>
        <v>49.68726572290047</v>
      </c>
      <c r="AF515" s="84">
        <f>Tabela3[[#This Row],[Lucro Líquido]]/Tabela3[[#This Row],[Total Ações]]</f>
        <v>9.3342015836447914</v>
      </c>
      <c r="AG515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515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515" s="7">
        <f>[Div Base]*[Ações]</f>
        <v>1062082.2774945414</v>
      </c>
      <c r="AL515" s="7">
        <f>SUMPRODUCT(N([Nome]=Tabela3[[#This Row],[Nome]]),[Div Base]*[Ações])</f>
        <v>9909383.8985976912</v>
      </c>
      <c r="AM515" s="5">
        <f>[Patrimônio Líquido]/[Total Ações]</f>
        <v>59.03875935056336</v>
      </c>
      <c r="AN515" s="52">
        <f>MAX(Tabela3[[#This Row],[Cotação 1]:[Cotação 5]])</f>
        <v>160</v>
      </c>
      <c r="AO515" s="53">
        <f>[Cotação]/[VPA]</f>
        <v>2.7100840491912073</v>
      </c>
      <c r="AP515" s="37">
        <f>IF(Tabela3[[#This Row],[Lucro/Ação]]&gt;0,Tabela3[[#This Row],[Cotação]]/(Tabela3[[#This Row],[Lucro/Ação]]/[Ref]*4),0)</f>
        <v>12.855946909295563</v>
      </c>
      <c r="AQ515" s="84">
        <f>[Lucro Distribuir]/[Total Ações]</f>
        <v>8.8674915044625511</v>
      </c>
      <c r="AR515" s="84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1.4766795546258777E-2</v>
      </c>
      <c r="AU515" s="22">
        <f>((1+Tabela3[[#This Row],[% Yield]])^(1/(3*Tabela3[[#This Row],[Ref]])))^(12)-1</f>
        <v>1.9737360074722821E-2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160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t="11.25" customHeight="1">
      <c r="A516" s="3" t="s">
        <v>779</v>
      </c>
      <c r="B516" s="58" t="s">
        <v>783</v>
      </c>
      <c r="C516" s="16" t="str">
        <f>LEFT([PAPEL],LEN([PAPEL])-(LEN([PAPEL])-4))</f>
        <v>PNVL</v>
      </c>
      <c r="D516" s="16">
        <v>3</v>
      </c>
      <c r="E516" s="5">
        <v>227000000</v>
      </c>
      <c r="F516" s="56">
        <v>4119052</v>
      </c>
      <c r="G516" s="80">
        <v>0.25</v>
      </c>
      <c r="H516" s="86"/>
      <c r="J516" s="18"/>
      <c r="K516" s="16"/>
      <c r="L516" s="86"/>
      <c r="M516" s="54"/>
      <c r="N516" s="54"/>
      <c r="O516" s="54"/>
      <c r="P516" s="90">
        <v>269723000</v>
      </c>
      <c r="Q516" s="73">
        <v>42644000</v>
      </c>
      <c r="R516" s="73">
        <f>IF(Tabela3[[#This Row],[Ativo || Passivo]]&gt;0,Tabela3[[#This Row],[Ativo || Passivo]]-Tabela3[[#This Row],[Patrimônio Líquido]],0)</f>
        <v>0</v>
      </c>
      <c r="S516" s="73">
        <f>Tabela3[[#This Row],[Cotação]]*Tabela3[[#This Row],[Total Ações]]</f>
        <v>758383450</v>
      </c>
      <c r="T516" s="37">
        <f>IF(Tabela3[[#This Row],[Passivo Circulante]]&gt;0,Tabela3[[#This Row],[Ativo Circulante]]/Tabela3[[#This Row],[Passivo Circulante]],0)</f>
        <v>0</v>
      </c>
      <c r="U516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6" s="18">
        <f>IF(Tabela3[[#This Row],[Lucro Líquido]]&gt;0,Tabela3[[#This Row],[Lucro Líquido]]/Tabela3[[#This Row],[Patrimônio Líquido]],0)/Tabela3[[#This Row],[Ref]]*4</f>
        <v>0.21080392353142544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6" s="18">
        <f>IF(Tabela3[[#This Row],[Dívida]]&gt;0,Tabela3[[#This Row],[Dívida]]/Tabela3[[#This Row],[Patrimônio Líquido]],0)</f>
        <v>0</v>
      </c>
      <c r="Y516" s="18">
        <f>SUMPRODUCT(N([Dívida / PL]&gt;0),N(RIGHT([PAPEL],LEN([PAPEL])-(LEN([PAPEL])-1))="3"),[Dívida / PL])/SUMPRODUCT(N([Dívida / PL]&gt;0),N(RIGHT([PAPEL],LEN([PAPEL])-(LEN([PAPEL])-1))="3"))</f>
        <v>2.2435702141443779</v>
      </c>
      <c r="Z516" s="7">
        <f>Tabela3[[#This Row],[Capital Social]]*20%</f>
        <v>45400000</v>
      </c>
      <c r="AA516" s="47">
        <f>IF(([Lucro Líquido]*5%)&gt;[Teto R. Legal],[Teto R. Legal],[Lucro Líquido]*5%)</f>
        <v>2132200</v>
      </c>
      <c r="AB516" s="47">
        <f>IF([Lucro Líquido]&lt;0,0,[Lucro Líquido]-[Reserva Legal])</f>
        <v>40511800</v>
      </c>
      <c r="AC516" s="47">
        <f>Tabela3[[#This Row],[Lucro Distribuir]]*[%Div]</f>
        <v>10127950</v>
      </c>
      <c r="AD516" s="56">
        <f>SUMPRODUCT(N([Nome]=Tabela3[[#This Row],[Nome]]),[Ações])</f>
        <v>4568575</v>
      </c>
      <c r="AE516" s="84">
        <f>[Capital Social]/[Total Ações]</f>
        <v>49.68726572290047</v>
      </c>
      <c r="AF516" s="84">
        <f>Tabela3[[#This Row],[Lucro Líquido]]/Tabela3[[#This Row],[Total Ações]]</f>
        <v>9.3342015836447914</v>
      </c>
      <c r="AG516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516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516" s="7">
        <f>[Div Base]*[Ações]</f>
        <v>8847301.6211031489</v>
      </c>
      <c r="AL516" s="7">
        <f>SUMPRODUCT(N([Nome]=Tabela3[[#This Row],[Nome]]),[Div Base]*[Ações])</f>
        <v>9909383.8985976912</v>
      </c>
      <c r="AM516" s="5">
        <f>[Patrimônio Líquido]/[Total Ações]</f>
        <v>59.03875935056336</v>
      </c>
      <c r="AN516" s="52">
        <f>MAX(Tabela3[[#This Row],[Cotação 1]:[Cotação 5]])</f>
        <v>166</v>
      </c>
      <c r="AO516" s="53">
        <f>[Cotação]/[VPA]</f>
        <v>2.8117122010358777</v>
      </c>
      <c r="AP516" s="37">
        <f>IF(Tabela3[[#This Row],[Lucro/Ação]]&gt;0,Tabela3[[#This Row],[Cotação]]/(Tabela3[[#This Row],[Lucro/Ação]]/[Ref]*4),0)</f>
        <v>13.338044918394145</v>
      </c>
      <c r="AQ516" s="84">
        <f>[Lucro Distribuir]/[Total Ações]</f>
        <v>8.8674915044625511</v>
      </c>
      <c r="AR516" s="84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1.2939141753366757E-2</v>
      </c>
      <c r="AU516" s="22">
        <f>((1+Tabela3[[#This Row],[% Yield]])^(1/(3*Tabela3[[#This Row],[Ref]])))^(12)-1</f>
        <v>1.7289287353231542E-2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166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0</v>
      </c>
    </row>
    <row r="517" spans="1:54" ht="11.25" customHeight="1">
      <c r="A517" s="4" t="s">
        <v>12</v>
      </c>
      <c r="B517" s="57" t="s">
        <v>494</v>
      </c>
      <c r="C517" s="15" t="str">
        <f>LEFT([PAPEL],LEN([PAPEL])-(LEN([PAPEL])-4))</f>
        <v>RNEW</v>
      </c>
      <c r="D517" s="15">
        <v>4</v>
      </c>
      <c r="E517" s="5">
        <v>1017569849.21</v>
      </c>
      <c r="F517" s="8">
        <v>156508015</v>
      </c>
      <c r="G517" s="85">
        <v>0.25</v>
      </c>
      <c r="H517" s="15"/>
      <c r="I517" s="19"/>
      <c r="J517" s="19"/>
      <c r="K517" s="87"/>
      <c r="L517" s="87"/>
      <c r="M517" s="55"/>
      <c r="N517" s="55"/>
      <c r="O517" s="55"/>
      <c r="P517" s="90">
        <v>1000600000</v>
      </c>
      <c r="Q517" s="73">
        <v>5528000</v>
      </c>
      <c r="R517" s="73">
        <f>IF(Tabela3[[#This Row],[Ativo || Passivo]]&gt;0,Tabela3[[#This Row],[Ativo || Passivo]]-Tabela3[[#This Row],[Patrimônio Líquido]],0)</f>
        <v>0</v>
      </c>
      <c r="S517" s="73">
        <f>Tabela3[[#This Row],[Cotação]]*Tabela3[[#This Row],[Total Ações]]</f>
        <v>46475638004.599998</v>
      </c>
      <c r="T517" s="37">
        <f>IF(Tabela3[[#This Row],[Passivo Circulante]]&gt;0,Tabela3[[#This Row],[Ativo Circulante]]/Tabela3[[#This Row],[Passivo Circulante]],0)</f>
        <v>0</v>
      </c>
      <c r="U517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7" s="18">
        <f>IF(Tabela3[[#This Row],[Lucro Líquido]]&gt;0,Tabela3[[#This Row],[Lucro Líquido]]/Tabela3[[#This Row],[Patrimônio Líquido]],0)/Tabela3[[#This Row],[Ref]]*4</f>
        <v>5.5246851888866681E-3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7" s="18">
        <f>IF(Tabela3[[#This Row],[Dívida]]&gt;0,Tabela3[[#This Row],[Dívida]]/Tabela3[[#This Row],[Patrimônio Líquido]],0)</f>
        <v>0</v>
      </c>
      <c r="Y517" s="18">
        <f>SUMPRODUCT(N([Dívida / PL]&gt;0),N(RIGHT([PAPEL],LEN([PAPEL])-(LEN([PAPEL])-1))="3"),[Dívida / PL])/SUMPRODUCT(N([Dívida / PL]&gt;0),N(RIGHT([PAPEL],LEN([PAPEL])-(LEN([PAPEL])-1))="3"))</f>
        <v>2.2435702141443779</v>
      </c>
      <c r="Z517" s="13">
        <f>Tabela3[[#This Row],[Capital Social]]*20%</f>
        <v>203513969.84200001</v>
      </c>
      <c r="AA517" s="13">
        <f>IF(([Lucro Líquido]*5%)&gt;[Teto R. Legal],[Teto R. Legal],[Lucro Líquido]*5%)</f>
        <v>276400</v>
      </c>
      <c r="AB517" s="13">
        <f>IF([Lucro Líquido]&lt;0,0,[Lucro Líquido]-[Reserva Legal])</f>
        <v>5251600</v>
      </c>
      <c r="AC517" s="13">
        <f>Tabela3[[#This Row],[Lucro Distribuir]]*[%Div]</f>
        <v>1312900</v>
      </c>
      <c r="AD517" s="56">
        <f>SUMPRODUCT(N([Nome]=Tabela3[[#This Row],[Nome]]),[Ações])</f>
        <v>230031865</v>
      </c>
      <c r="AE517" s="6">
        <f>[Capital Social]/[Total Ações]</f>
        <v>4.4236038742284682</v>
      </c>
      <c r="AF517" s="77">
        <f>Tabela3[[#This Row],[Lucro Líquido]]/Tabela3[[#This Row],[Total Ações]]</f>
        <v>2.403145320758061E-2</v>
      </c>
      <c r="AG5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5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517" s="13">
        <f>[Div Base]*[Ações]</f>
        <v>893264.82178240828</v>
      </c>
      <c r="AL517" s="13">
        <f>SUMPRODUCT(N([Nome]=Tabela3[[#This Row],[Nome]]),[Div Base]*[Ações])</f>
        <v>1312900</v>
      </c>
      <c r="AM517" s="6">
        <f>[Patrimônio Líquido]/[Total Ações]</f>
        <v>4.3498321417339287</v>
      </c>
      <c r="AN517" s="48">
        <f>MAX(Tabela3[[#This Row],[Cotação 1]:[Cotação 5]])</f>
        <v>202.04</v>
      </c>
      <c r="AO517" s="44">
        <f>[Cotação]/[VPA]</f>
        <v>46.447769342994206</v>
      </c>
      <c r="AP517" s="40">
        <f>IF(Tabela3[[#This Row],[Lucro/Ação]]&gt;0,Tabela3[[#This Row],[Cotação]]/(Tabela3[[#This Row],[Lucro/Ação]]/[Ref]*4),0)</f>
        <v>8407.3151238422579</v>
      </c>
      <c r="AQ517" s="77">
        <f>[Lucro Distribuir]/[Total Ações]</f>
        <v>2.2829880547201579E-2</v>
      </c>
      <c r="AR517" s="77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517" s="14" t="str">
        <f>IF(AND([% A.A.]&gt;=5%,SUMPRODUCT(N([Nome]=Tabela3[[#This Row],[Nome]]),[PL])&gt;0,[Rentabilidade s/ PL]&gt;=[Rentabilidade s/ PL Média]),"Sim","Não")</f>
        <v>Não</v>
      </c>
      <c r="AT517" s="42">
        <f>IF([Cotação]&gt;0,Tabela3[[#This Row],[Lucro]]/Tabela3[[#This Row],[Cotação]],0)</f>
        <v>2.8249208754703994E-5</v>
      </c>
      <c r="AU517" s="42">
        <f>((1+Tabela3[[#This Row],[% Yield]])^(1/(3*Tabela3[[#This Row],[Ref]])))^(12)-1</f>
        <v>2.824920875488246E-5</v>
      </c>
      <c r="AV517" s="14">
        <f>IF([Cotação]&gt;0,($BH$1/Tabela3[[#This Row],[Cotação]]-MOD($BH$1/Tabela3[[#This Row],[Cotação]],100)),)</f>
        <v>0</v>
      </c>
      <c r="AW517" s="17">
        <f>Tabela3[[#This Row],[Ativos]]*[Lucro]</f>
        <v>0</v>
      </c>
      <c r="AX517" s="17">
        <f>SUMPRODUCT(N(Tabela1[Código]=Tabela3[[#This Row],[PAPEL]]),Tabela1[Fechamento])</f>
        <v>0</v>
      </c>
      <c r="AY517" s="17">
        <f>SUMPRODUCT(N(Tabela17[Código]=Tabela3[[#This Row],[PAPEL]]),Tabela17[Fechamento])</f>
        <v>202.04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0</v>
      </c>
      <c r="BB517" s="7">
        <f>SUMPRODUCT(N(Tabela17683[Código]=Tabela3[[#This Row],[PAPEL]]),Tabela17683[Fechamento])</f>
        <v>0</v>
      </c>
    </row>
    <row r="518" spans="1:54" ht="11.25" customHeight="1">
      <c r="A518" s="3" t="s">
        <v>335</v>
      </c>
      <c r="B518" s="57" t="s">
        <v>706</v>
      </c>
      <c r="C518" s="15" t="str">
        <f>LEFT([PAPEL],LEN([PAPEL])-(LEN([PAPEL])-4))</f>
        <v>CORR</v>
      </c>
      <c r="D518" s="15">
        <v>3</v>
      </c>
      <c r="E518" s="6">
        <v>10000</v>
      </c>
      <c r="F518" s="8">
        <v>15338</v>
      </c>
      <c r="G518" s="80">
        <v>0.25</v>
      </c>
      <c r="H518" s="15"/>
      <c r="I518" s="19">
        <v>0.1</v>
      </c>
      <c r="J518" s="19"/>
      <c r="K518" s="87"/>
      <c r="L518" s="87"/>
      <c r="M518" s="55"/>
      <c r="N518" s="55"/>
      <c r="O518" s="55"/>
      <c r="P518" s="91">
        <v>7227000</v>
      </c>
      <c r="Q518" s="92">
        <v>-199000</v>
      </c>
      <c r="R518" s="92">
        <f>IF(Tabela3[[#This Row],[Ativo || Passivo]]&gt;0,Tabela3[[#This Row],[Ativo || Passivo]]-Tabela3[[#This Row],[Patrimônio Líquido]],0)</f>
        <v>0</v>
      </c>
      <c r="S518" s="92">
        <f>Tabela3[[#This Row],[Cotação]]*Tabela3[[#This Row],[Total Ações]]</f>
        <v>4862361.5299999993</v>
      </c>
      <c r="T518" s="40">
        <f>IF(Tabela3[[#This Row],[Passivo Circulante]]&gt;0,Tabela3[[#This Row],[Ativo Circulante]]/Tabela3[[#This Row],[Passivo Circulante]],0)</f>
        <v>0</v>
      </c>
      <c r="U518" s="40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8" s="19">
        <f>IF(Tabela3[[#This Row],[Lucro Líquido]]&gt;0,Tabela3[[#This Row],[Lucro Líquido]]/Tabela3[[#This Row],[Patrimônio Líquido]],0)/Tabela3[[#This Row],[Ref]]*4</f>
        <v>0</v>
      </c>
      <c r="W518" s="19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8" s="19">
        <f>IF(Tabela3[[#This Row],[Dívida]]&gt;0,Tabela3[[#This Row],[Dívida]]/Tabela3[[#This Row],[Patrimônio Líquido]],0)</f>
        <v>0</v>
      </c>
      <c r="Y518" s="19">
        <f>SUMPRODUCT(N([Dívida / PL]&gt;0),N(RIGHT([PAPEL],LEN([PAPEL])-(LEN([PAPEL])-1))="3"),[Dívida / PL])/SUMPRODUCT(N([Dívida / PL]&gt;0),N(RIGHT([PAPEL],LEN([PAPEL])-(LEN([PAPEL])-1))="3"))</f>
        <v>2.2435702141443779</v>
      </c>
      <c r="Z518" s="13">
        <f>Tabela3[[#This Row],[Capital Social]]*20%</f>
        <v>2000</v>
      </c>
      <c r="AA518" s="13">
        <f>IF(([Lucro Líquido]*5%)&gt;[Teto R. Legal],[Teto R. Legal],[Lucro Líquido]*5%)</f>
        <v>-9950</v>
      </c>
      <c r="AB518" s="13">
        <f>IF([Lucro Líquido]&lt;0,0,[Lucro Líquido]-[Reserva Legal])</f>
        <v>0</v>
      </c>
      <c r="AC518" s="13">
        <f>Tabela3[[#This Row],[Lucro Distribuir]]*[%Div]</f>
        <v>0</v>
      </c>
      <c r="AD518" s="21">
        <f>SUMPRODUCT(N([Nome]=Tabela3[[#This Row],[Nome]]),[Ações])</f>
        <v>23153</v>
      </c>
      <c r="AE518" s="6">
        <f>[Capital Social]/[Total Ações]</f>
        <v>0.431909471774716</v>
      </c>
      <c r="AF518" s="77">
        <f>Tabela3[[#This Row],[Lucro Líquido]]/Tabela3[[#This Row],[Total Ações]]</f>
        <v>-8.5949984883168487</v>
      </c>
      <c r="AG51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8" s="13">
        <f>[Div Base]*[Ações]</f>
        <v>0</v>
      </c>
      <c r="AL518" s="13">
        <f>SUMPRODUCT(N([Nome]=Tabela3[[#This Row],[Nome]]),[Div Base]*[Ações])</f>
        <v>0</v>
      </c>
      <c r="AM518" s="6">
        <f>[Patrimônio Líquido]/[Total Ações]</f>
        <v>312.14097525158729</v>
      </c>
      <c r="AN518" s="48">
        <f>MAX(Tabela3[[#This Row],[Cotação 1]:[Cotação 5]])</f>
        <v>210.01</v>
      </c>
      <c r="AO518" s="44">
        <f>[Cotação]/[VPA]</f>
        <v>0.67280497163414965</v>
      </c>
      <c r="AP518" s="40">
        <f>IF(Tabela3[[#This Row],[Lucro/Ação]]&gt;0,Tabela3[[#This Row],[Cotação]]/(Tabela3[[#This Row],[Lucro/Ação]]/[Ref]*4),0)</f>
        <v>0</v>
      </c>
      <c r="AQ518" s="77">
        <f>[Lucro Distribuir]/[Total Ações]</f>
        <v>0</v>
      </c>
      <c r="AR518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8" s="14" t="str">
        <f>IF(AND([% A.A.]&gt;=5%,SUMPRODUCT(N([Nome]=Tabela3[[#This Row],[Nome]]),[PL])&gt;0,[Rentabilidade s/ PL]&gt;=[Rentabilidade s/ PL Média]),"Sim","Não")</f>
        <v>Não</v>
      </c>
      <c r="AT518" s="42">
        <f>IF([Cotação]&gt;0,Tabela3[[#This Row],[Lucro]]/Tabela3[[#This Row],[Cotação]],0)</f>
        <v>0</v>
      </c>
      <c r="AU518" s="42">
        <f>((1+Tabela3[[#This Row],[% Yield]])^(1/(3*Tabela3[[#This Row],[Ref]])))^(12)-1</f>
        <v>0</v>
      </c>
      <c r="AV518" s="14">
        <f>IF([Cotação]&gt;0,($BH$1/Tabela3[[#This Row],[Cotação]]-MOD($BH$1/Tabela3[[#This Row],[Cotação]],100)),)</f>
        <v>0</v>
      </c>
      <c r="AW518" s="17">
        <f>Tabela3[[#This Row],[Ativos]]*[Lucro]</f>
        <v>0</v>
      </c>
      <c r="AX518" s="17">
        <f>SUMPRODUCT(N(Tabela1[Código]=Tabela3[[#This Row],[PAPEL]]),Tabela1[Fechamento])</f>
        <v>0</v>
      </c>
      <c r="AY518" s="17">
        <f>SUMPRODUCT(N(Tabela17[Código]=Tabela3[[#This Row],[PAPEL]]),Tabela17[Fechamento])</f>
        <v>0</v>
      </c>
      <c r="AZ518" s="17">
        <f>SUMPRODUCT(N(Tabela176[Código]=Tabela3[[#This Row],[PAPEL]]),Tabela176[Fechamento])</f>
        <v>210.01</v>
      </c>
      <c r="BA518" s="17">
        <f>SUMPRODUCT(N(Tabela1768[Código]=Tabela3[[#This Row],[PAPEL]]),Tabela1768[Fechamento])</f>
        <v>0</v>
      </c>
      <c r="BB518" s="7">
        <f>SUMPRODUCT(N(Tabela17683[Código]=Tabela3[[#This Row],[PAPEL]]),Tabela17683[Fechamento])</f>
        <v>0</v>
      </c>
    </row>
    <row r="519" spans="1:54" ht="11.25" customHeight="1">
      <c r="A519" s="3" t="s">
        <v>1019</v>
      </c>
      <c r="B519" s="58" t="s">
        <v>1023</v>
      </c>
      <c r="C519" s="16" t="str">
        <f>LEFT([PAPEL],LEN([PAPEL])-(LEN([PAPEL])-4))</f>
        <v>CALI</v>
      </c>
      <c r="D519" s="16">
        <v>3</v>
      </c>
      <c r="E519" s="5">
        <v>38968552.789999999</v>
      </c>
      <c r="F519" s="56">
        <v>248079</v>
      </c>
      <c r="G519" s="80">
        <v>0.25</v>
      </c>
      <c r="H519" s="86"/>
      <c r="I519" s="18">
        <v>6.5000000000000002E-2</v>
      </c>
      <c r="J519" s="18"/>
      <c r="K519" s="16"/>
      <c r="L519" s="86"/>
      <c r="M519" s="54">
        <v>22719000</v>
      </c>
      <c r="N519" s="54">
        <v>6643000</v>
      </c>
      <c r="O519" s="54">
        <v>3658000</v>
      </c>
      <c r="P519" s="90">
        <v>4577000</v>
      </c>
      <c r="Q519" s="73">
        <v>8961000</v>
      </c>
      <c r="R519" s="73">
        <f>IF(Tabela3[[#This Row],[Ativo || Passivo]]&gt;0,Tabela3[[#This Row],[Ativo || Passivo]]-Tabela3[[#This Row],[Patrimônio Líquido]],0)</f>
        <v>18142000</v>
      </c>
      <c r="S519" s="73">
        <f>Tabela3[[#This Row],[Cotação]]*Tabela3[[#This Row],[Total Ações]]</f>
        <v>93029750</v>
      </c>
      <c r="T519" s="37">
        <f>IF(Tabela3[[#This Row],[Passivo Circulante]]&gt;0,Tabela3[[#This Row],[Ativo Circulante]]/Tabela3[[#This Row],[Passivo Circulante]],0)</f>
        <v>1.8160196828868234</v>
      </c>
      <c r="U519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19" s="18">
        <f>IF(Tabela3[[#This Row],[Lucro Líquido]]&gt;0,Tabela3[[#This Row],[Lucro Líquido]]/Tabela3[[#This Row],[Patrimônio Líquido]],0)/Tabela3[[#This Row],[Ref]]*4</f>
        <v>2.6104435219576141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19" s="18">
        <f>IF(Tabela3[[#This Row],[Dívida]]&gt;0,Tabela3[[#This Row],[Dívida]]/Tabela3[[#This Row],[Patrimônio Líquido]],0)</f>
        <v>3.9637317019882019</v>
      </c>
      <c r="Y519" s="18">
        <f>SUMPRODUCT(N([Dívida / PL]&gt;0),N(RIGHT([PAPEL],LEN([PAPEL])-(LEN([PAPEL])-1))="3"),[Dívida / PL])/SUMPRODUCT(N([Dívida / PL]&gt;0),N(RIGHT([PAPEL],LEN([PAPEL])-(LEN([PAPEL])-1))="3"))</f>
        <v>2.2435702141443779</v>
      </c>
      <c r="Z519" s="7">
        <f>Tabela3[[#This Row],[Capital Social]]*20%</f>
        <v>7793710.5580000002</v>
      </c>
      <c r="AA519" s="47">
        <f>IF(([Lucro Líquido]*5%)&gt;[Teto R. Legal],[Teto R. Legal],[Lucro Líquido]*5%)</f>
        <v>448050</v>
      </c>
      <c r="AB519" s="47">
        <f>IF([Lucro Líquido]&lt;0,0,[Lucro Líquido]-[Reserva Legal])</f>
        <v>8512950</v>
      </c>
      <c r="AC519" s="47">
        <f>Tabela3[[#This Row],[Lucro Distribuir]]*[%Div]</f>
        <v>2128237.5</v>
      </c>
      <c r="AD519" s="56">
        <f>SUMPRODUCT(N([Nome]=Tabela3[[#This Row],[Nome]]),[Ações])</f>
        <v>372119</v>
      </c>
      <c r="AE519" s="84">
        <f>[Capital Social]/[Total Ações]</f>
        <v>104.72067481101476</v>
      </c>
      <c r="AF519" s="84">
        <f>Tabela3[[#This Row],[Lucro Líquido]]/Tabela3[[#This Row],[Total Ações]]</f>
        <v>24.081006344744559</v>
      </c>
      <c r="AG519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519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519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519" s="7">
        <f>[Div Base]*[Ações]</f>
        <v>1688635.0186187127</v>
      </c>
      <c r="AL519" s="113">
        <f>SUMPRODUCT(N([Nome]=Tabela3[[#This Row],[Nome]]),[Div Base]*[Ações])</f>
        <v>2128237.5</v>
      </c>
      <c r="AM519" s="5">
        <f>[Patrimônio Líquido]/[Total Ações]</f>
        <v>12.299828818200629</v>
      </c>
      <c r="AN519" s="52">
        <f>MAX(Tabela3[[#This Row],[Cotação 1]:[Cotação 5]])</f>
        <v>250</v>
      </c>
      <c r="AO519" s="53">
        <f>[Cotação]/[VPA]</f>
        <v>20.325486126283593</v>
      </c>
      <c r="AP519" s="37">
        <f>IF(Tabela3[[#This Row],[Lucro/Ação]]&gt;0,Tabela3[[#This Row],[Cotação]]/(Tabela3[[#This Row],[Lucro/Ação]]/[Ref]*4),0)</f>
        <v>7.7862194509541345</v>
      </c>
      <c r="AQ519" s="84">
        <f>[Lucro Distribuir]/[Total Ações]</f>
        <v>22.87695602750733</v>
      </c>
      <c r="AR519" s="84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2.7227375450863837E-2</v>
      </c>
      <c r="AU519" s="22">
        <f>((1+Tabela3[[#This Row],[% Yield]])^(1/(3*Tabela3[[#This Row],[Ref]])))^(12)-1</f>
        <v>3.6466921644602968E-2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250</v>
      </c>
      <c r="BB519" s="7">
        <f>SUMPRODUCT(N(Tabela17683[Código]=Tabela3[[#This Row],[PAPEL]]),Tabela17683[Fechamento])</f>
        <v>0</v>
      </c>
    </row>
    <row r="520" spans="1:54">
      <c r="A520" s="3" t="s">
        <v>851</v>
      </c>
      <c r="B520" s="58" t="s">
        <v>849</v>
      </c>
      <c r="C520" s="16" t="str">
        <f>LEFT([PAPEL],LEN([PAPEL])-(LEN([PAPEL])-4))</f>
        <v>BMKS</v>
      </c>
      <c r="D520" s="16">
        <v>3</v>
      </c>
      <c r="E520" s="5">
        <v>133009849.12</v>
      </c>
      <c r="F520" s="56">
        <v>454750</v>
      </c>
      <c r="G520" s="80">
        <v>0.25</v>
      </c>
      <c r="H520" s="86"/>
      <c r="J520" s="18"/>
      <c r="K520" s="16"/>
      <c r="L520" s="86"/>
      <c r="M520" s="54"/>
      <c r="N520" s="54"/>
      <c r="O520" s="54"/>
      <c r="P520" s="90">
        <v>186899000</v>
      </c>
      <c r="Q520" s="73">
        <v>7815000</v>
      </c>
      <c r="R520" s="73">
        <f>IF(Tabela3[[#This Row],[Ativo || Passivo]]&gt;0,Tabela3[[#This Row],[Ativo || Passivo]]-Tabela3[[#This Row],[Patrimônio Líquido]],0)</f>
        <v>0</v>
      </c>
      <c r="S520" s="73">
        <f>Tabela3[[#This Row],[Cotação]]*Tabela3[[#This Row],[Total Ações]]</f>
        <v>163710000</v>
      </c>
      <c r="T520" s="37">
        <f>IF(Tabela3[[#This Row],[Passivo Circulante]]&gt;0,Tabela3[[#This Row],[Ativo Circulante]]/Tabela3[[#This Row],[Passivo Circulante]],0)</f>
        <v>0</v>
      </c>
      <c r="U520" s="37">
        <f>SUMPRODUCT(N([Liquidez Corrente]&gt;0),N(RIGHT([PAPEL],LEN([PAPEL])-(LEN([PAPEL])-1))="3"),[Liquidez Corrente])/SUMPRODUCT(N([Liquidez Corrente]&gt;0),N(RIGHT([PAPEL],LEN([PAPEL])-(LEN([PAPEL])-1))="3"))</f>
        <v>2.3035124227477826</v>
      </c>
      <c r="V520" s="18">
        <f>IF(Tabela3[[#This Row],[Lucro Líquido]]&gt;0,Tabela3[[#This Row],[Lucro Líquido]]/Tabela3[[#This Row],[Patrimônio Líquido]],0)/Tabela3[[#This Row],[Ref]]*4</f>
        <v>5.5752037196560709E-2</v>
      </c>
      <c r="W520" s="18">
        <f>SUMPRODUCT(N([Rentabilidade s/ PL]&gt;0),N(RIGHT([PAPEL],LEN([PAPEL])-(LEN([PAPEL])-1))="3"),[Rentabilidade s/ PL])/SUMPRODUCT(N([Rentabilidade s/ PL]&gt;0),N(RIGHT([PAPEL],LEN([PAPEL])-(LEN([PAPEL])-1))="3"))</f>
        <v>0.1507218562047023</v>
      </c>
      <c r="X520" s="18">
        <f>IF(Tabela3[[#This Row],[Dívida]]&gt;0,Tabela3[[#This Row],[Dívida]]/Tabela3[[#This Row],[Patrimônio Líquido]],0)</f>
        <v>0</v>
      </c>
      <c r="Y520" s="18">
        <f>SUMPRODUCT(N([Dívida / PL]&gt;0),N(RIGHT([PAPEL],LEN([PAPEL])-(LEN([PAPEL])-1))="3"),[Dívida / PL])/SUMPRODUCT(N([Dívida / PL]&gt;0),N(RIGHT([PAPEL],LEN([PAPEL])-(LEN([PAPEL])-1))="3"))</f>
        <v>2.2435702141443779</v>
      </c>
      <c r="Z520" s="7">
        <f>Tabela3[[#This Row],[Capital Social]]*20%</f>
        <v>26601969.824000001</v>
      </c>
      <c r="AA520" s="47">
        <f>IF(([Lucro Líquido]*5%)&gt;[Teto R. Legal],[Teto R. Legal],[Lucro Líquido]*5%)</f>
        <v>390750</v>
      </c>
      <c r="AB520" s="47">
        <f>IF([Lucro Líquido]&lt;0,0,[Lucro Líquido]-[Reserva Legal])</f>
        <v>7424250</v>
      </c>
      <c r="AC520" s="47">
        <f>Tabela3[[#This Row],[Lucro Distribuir]]*[%Div]</f>
        <v>1856062.5</v>
      </c>
      <c r="AD520" s="56">
        <f>SUMPRODUCT(N([Nome]=Tabela3[[#This Row],[Nome]]),[Ações])</f>
        <v>454750</v>
      </c>
      <c r="AE520" s="84">
        <f>[Capital Social]/[Total Ações]</f>
        <v>292.49004754260585</v>
      </c>
      <c r="AF520" s="84">
        <f>Tabela3[[#This Row],[Lucro Líquido]]/Tabela3[[#This Row],[Total Ações]]</f>
        <v>17.185266630016493</v>
      </c>
      <c r="AG520" s="84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20" s="84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0" s="7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0" s="84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20" s="7">
        <f>[Div Base]*[Ações]</f>
        <v>1856062.5000000002</v>
      </c>
      <c r="AL520" s="7">
        <f>SUMPRODUCT(N([Nome]=Tabela3[[#This Row],[Nome]]),[Div Base]*[Ações])</f>
        <v>1856062.5000000002</v>
      </c>
      <c r="AM520" s="5">
        <f>[Patrimônio Líquido]/[Total Ações]</f>
        <v>410.99285321605277</v>
      </c>
      <c r="AN520" s="52">
        <f>MAX(Tabela3[[#This Row],[Cotação 1]:[Cotação 5]])</f>
        <v>360</v>
      </c>
      <c r="AO520" s="53">
        <f>[Cotação]/[VPA]</f>
        <v>0.87592764006227963</v>
      </c>
      <c r="AP520" s="37">
        <f>IF(Tabela3[[#This Row],[Lucro/Ação]]&gt;0,Tabela3[[#This Row],[Cotação]]/(Tabela3[[#This Row],[Lucro/Ação]]/[Ref]*4),0)</f>
        <v>15.711132437619961</v>
      </c>
      <c r="AQ520" s="84">
        <f>[Lucro Distribuir]/[Total Ações]</f>
        <v>16.326003298515669</v>
      </c>
      <c r="AR520" s="84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20" s="10" t="str">
        <f>IF(AND([% A.A.]&gt;=5%,SUMPRODUCT(N([Nome]=Tabela3[[#This Row],[Nome]]),[PL])&gt;0,[Rentabilidade s/ PL]&gt;=[Rentabilidade s/ PL Média]),"Sim","Não")</f>
        <v>Não</v>
      </c>
      <c r="AT520" s="22">
        <f>IF([Cotação]&gt;0,Tabela3[[#This Row],[Lucro]]/Tabela3[[#This Row],[Cotação]],0)</f>
        <v>1.1337502290635881E-2</v>
      </c>
      <c r="AU520" s="22">
        <f>((1+Tabela3[[#This Row],[% Yield]])^(1/(3*Tabela3[[#This Row],[Ref]])))^(12)-1</f>
        <v>1.5145162305739479E-2</v>
      </c>
      <c r="AV520" s="10">
        <f>IF([Cotação]&gt;0,($BH$1/Tabela3[[#This Row],[Cotação]]-MOD($BH$1/Tabela3[[#This Row],[Cotação]],100)),)</f>
        <v>0</v>
      </c>
      <c r="AW520" s="7">
        <f>Tabela3[[#This Row],[Ativos]]*[Lucro]</f>
        <v>0</v>
      </c>
      <c r="AX520" s="7">
        <f>SUMPRODUCT(N(Tabela1[Código]=Tabela3[[#This Row],[PAPEL]]),Tabela1[Fechamento])</f>
        <v>0</v>
      </c>
      <c r="AY520" s="7">
        <f>SUMPRODUCT(N(Tabela17[Código]=Tabela3[[#This Row],[PAPEL]]),Tabela17[Fechamento])</f>
        <v>0</v>
      </c>
      <c r="AZ520" s="7">
        <f>SUMPRODUCT(N(Tabela176[Código]=Tabela3[[#This Row],[PAPEL]]),Tabela176[Fechamento])</f>
        <v>0</v>
      </c>
      <c r="BA520" s="7">
        <f>SUMPRODUCT(N(Tabela1768[Código]=Tabela3[[#This Row],[PAPEL]]),Tabela1768[Fechamento])</f>
        <v>360</v>
      </c>
      <c r="BB520" s="7">
        <f>SUMPRODUCT(N(Tabela17683[Código]=Tabela3[[#This Row],[PAPEL]]),Tabela17683[Fechamento])</f>
        <v>0</v>
      </c>
    </row>
    <row r="521" spans="1:54" ht="15">
      <c r="A521" s="3">
        <f>SUBTOTAL(103,[Classificação Setorial])</f>
        <v>519</v>
      </c>
      <c r="C521"/>
      <c r="D521"/>
      <c r="E521"/>
      <c r="F521"/>
      <c r="G521"/>
      <c r="H521"/>
      <c r="I521"/>
      <c r="J521"/>
      <c r="K521"/>
      <c r="L521"/>
      <c r="M521" s="125"/>
      <c r="N521" s="125"/>
      <c r="O521" s="125"/>
      <c r="P521" s="3"/>
      <c r="Q521" s="3"/>
      <c r="R521" s="3"/>
      <c r="S521" s="7"/>
      <c r="T521" s="37"/>
      <c r="U521" s="37"/>
      <c r="V521" s="22"/>
      <c r="W521" s="22"/>
      <c r="X521" s="22"/>
      <c r="Y521" s="22"/>
      <c r="AM521" s="7"/>
      <c r="AN521" s="31"/>
      <c r="AP521"/>
      <c r="AW521" s="7"/>
      <c r="AY521" s="7"/>
    </row>
  </sheetData>
  <hyperlinks>
    <hyperlink ref="B375" r:id="rId1"/>
    <hyperlink ref="B248" r:id="rId2"/>
    <hyperlink ref="B27" r:id="rId3" display="PINE4"/>
    <hyperlink ref="B77" r:id="rId4"/>
    <hyperlink ref="B118" r:id="rId5"/>
    <hyperlink ref="B313" r:id="rId6"/>
    <hyperlink ref="B315" r:id="rId7"/>
    <hyperlink ref="B319" r:id="rId8"/>
    <hyperlink ref="B295" r:id="rId9" display="BRKM3"/>
    <hyperlink ref="B355" r:id="rId10" display="BRKM3"/>
    <hyperlink ref="B230" r:id="rId11"/>
    <hyperlink ref="B234" r:id="rId12"/>
    <hyperlink ref="B430" r:id="rId13"/>
    <hyperlink ref="B184" r:id="rId14" display="BRGE3"/>
    <hyperlink ref="B181" r:id="rId15" display="BRGE3"/>
    <hyperlink ref="B233" r:id="rId16" display="BRGE3"/>
    <hyperlink ref="B176" r:id="rId17" display="BRGE3"/>
    <hyperlink ref="B191" r:id="rId18"/>
    <hyperlink ref="B190" r:id="rId19"/>
    <hyperlink ref="B189" r:id="rId20"/>
    <hyperlink ref="B427" r:id="rId21" display="CPLE3"/>
    <hyperlink ref="B446" r:id="rId22" display="CPLE3"/>
    <hyperlink ref="B391" r:id="rId23"/>
    <hyperlink ref="B420" r:id="rId24" display="BNBR4"/>
    <hyperlink ref="B433" r:id="rId25"/>
    <hyperlink ref="B363" r:id="rId26"/>
    <hyperlink ref="B281" r:id="rId27"/>
    <hyperlink ref="B397" r:id="rId28"/>
    <hyperlink ref="B69" r:id="rId29" display="GTDP4B"/>
    <hyperlink ref="B369" r:id="rId30" display="CEBR3"/>
    <hyperlink ref="B402" r:id="rId31" display="CEBR3"/>
    <hyperlink ref="B337" r:id="rId32"/>
    <hyperlink ref="B506" r:id="rId33" display="MERC4"/>
    <hyperlink ref="B333" r:id="rId34" display="CMIG4"/>
    <hyperlink ref="B408" r:id="rId35" display="CESP3"/>
    <hyperlink ref="B407" r:id="rId36" display="CESP3"/>
    <hyperlink ref="B345" r:id="rId37" display="ELPL4"/>
    <hyperlink ref="B384" r:id="rId38" display="PATI4"/>
    <hyperlink ref="B254" r:id="rId39"/>
    <hyperlink ref="B421" r:id="rId40"/>
    <hyperlink ref="B500" r:id="rId41"/>
    <hyperlink ref="B298" r:id="rId42"/>
    <hyperlink ref="B347" r:id="rId43"/>
    <hyperlink ref="B188" r:id="rId44"/>
    <hyperlink ref="B201" r:id="rId45"/>
    <hyperlink ref="B269" r:id="rId46"/>
    <hyperlink ref="B483" r:id="rId47"/>
    <hyperlink ref="B400" r:id="rId48"/>
    <hyperlink ref="B387" r:id="rId49"/>
    <hyperlink ref="B362" r:id="rId50"/>
    <hyperlink ref="B382" r:id="rId51"/>
    <hyperlink ref="B394" r:id="rId52"/>
    <hyperlink ref="B213" r:id="rId53"/>
    <hyperlink ref="B219" r:id="rId54"/>
    <hyperlink ref="B303" r:id="rId55"/>
    <hyperlink ref="B70" r:id="rId56"/>
    <hyperlink ref="B330" r:id="rId57"/>
    <hyperlink ref="B383" r:id="rId58"/>
    <hyperlink ref="B261" r:id="rId59"/>
    <hyperlink ref="B185" r:id="rId60"/>
    <hyperlink ref="B221" r:id="rId61"/>
    <hyperlink ref="B514" r:id="rId62"/>
    <hyperlink ref="B20" r:id="rId63" display="HBTS5"/>
    <hyperlink ref="B390" r:id="rId64"/>
    <hyperlink ref="B351" r:id="rId65"/>
    <hyperlink ref="B180" r:id="rId66"/>
    <hyperlink ref="B186" r:id="rId67"/>
    <hyperlink ref="B255" r:id="rId68"/>
    <hyperlink ref="B478" r:id="rId69"/>
    <hyperlink ref="B336" r:id="rId70"/>
    <hyperlink ref="B245" r:id="rId71"/>
    <hyperlink ref="B460" r:id="rId72"/>
    <hyperlink ref="B325" r:id="rId73"/>
    <hyperlink ref="B413" r:id="rId74"/>
    <hyperlink ref="B448" r:id="rId75"/>
    <hyperlink ref="B447" r:id="rId76"/>
    <hyperlink ref="B158" r:id="rId77"/>
    <hyperlink ref="B223" r:id="rId78"/>
    <hyperlink ref="B173" r:id="rId79"/>
    <hyperlink ref="B256" r:id="rId80"/>
    <hyperlink ref="B404" r:id="rId81"/>
    <hyperlink ref="B323" r:id="rId82"/>
    <hyperlink ref="B466" r:id="rId83"/>
    <hyperlink ref="B378" r:id="rId84"/>
    <hyperlink ref="B510" r:id="rId85"/>
    <hyperlink ref="B259" r:id="rId86"/>
    <hyperlink ref="B497" r:id="rId87"/>
    <hyperlink ref="B492" r:id="rId88"/>
    <hyperlink ref="B312" r:id="rId89"/>
    <hyperlink ref="B444" r:id="rId90"/>
    <hyperlink ref="B41" r:id="rId91" display="SULA11"/>
    <hyperlink ref="B267" r:id="rId92"/>
    <hyperlink ref="B429" r:id="rId93"/>
    <hyperlink ref="B480" r:id="rId94"/>
    <hyperlink ref="B469" r:id="rId95"/>
    <hyperlink ref="B90" r:id="rId96"/>
    <hyperlink ref="B2" r:id="rId97"/>
    <hyperlink ref="B308" r:id="rId98"/>
    <hyperlink ref="B441" r:id="rId99"/>
    <hyperlink ref="B436" r:id="rId100"/>
    <hyperlink ref="B85" r:id="rId101"/>
    <hyperlink ref="B93" r:id="rId102"/>
    <hyperlink ref="B91" r:id="rId103"/>
    <hyperlink ref="B477" r:id="rId104"/>
    <hyperlink ref="B476" r:id="rId105"/>
    <hyperlink ref="B253" r:id="rId106"/>
    <hyperlink ref="B249" r:id="rId107"/>
    <hyperlink ref="B96:B99" r:id="rId108" display="ENGI11"/>
    <hyperlink ref="B110:B111" r:id="rId109" display="GETI3"/>
    <hyperlink ref="B162" r:id="rId110"/>
    <hyperlink ref="B122" r:id="rId111"/>
    <hyperlink ref="B97:B99" r:id="rId112" display="CSRN3"/>
    <hyperlink ref="B470" r:id="rId113"/>
    <hyperlink ref="B350" r:id="rId114"/>
    <hyperlink ref="B318" r:id="rId115"/>
    <hyperlink ref="B62:B64" r:id="rId116" display="CEEB3"/>
    <hyperlink ref="B69:B71" r:id="rId117" display="CEPE3"/>
    <hyperlink ref="B166:B171" r:id="rId118" display="ENMA3B"/>
    <hyperlink ref="B364" r:id="rId119"/>
    <hyperlink ref="B184:B185" r:id="rId120" display="GEPA3"/>
    <hyperlink ref="B488" r:id="rId121"/>
    <hyperlink ref="B142" r:id="rId122"/>
    <hyperlink ref="B393" r:id="rId123"/>
    <hyperlink ref="B458" r:id="rId124"/>
    <hyperlink ref="B208:B209" r:id="rId125" display="TRPL3"/>
    <hyperlink ref="B386" r:id="rId126"/>
    <hyperlink ref="B218" r:id="rId127"/>
    <hyperlink ref="B110" r:id="rId128" display="EKTR3"/>
    <hyperlink ref="B202" r:id="rId129"/>
    <hyperlink ref="B10" r:id="rId130" display="CASN3"/>
    <hyperlink ref="B462" r:id="rId131"/>
    <hyperlink ref="B265" r:id="rId132"/>
    <hyperlink ref="B226" r:id="rId133" display="SAPR3"/>
    <hyperlink ref="B490" r:id="rId134"/>
    <hyperlink ref="B489" r:id="rId135" display="CGAS3"/>
    <hyperlink ref="B508" r:id="rId136"/>
    <hyperlink ref="B73" r:id="rId137"/>
    <hyperlink ref="B251" r:id="rId138" display="EBTP4"/>
    <hyperlink ref="B145" r:id="rId139"/>
    <hyperlink ref="B137" r:id="rId140" display="MLFT3"/>
    <hyperlink ref="B150" r:id="rId141"/>
    <hyperlink ref="B151" r:id="rId142" display="LFFE3"/>
    <hyperlink ref="B271" r:id="rId143"/>
    <hyperlink ref="B14" r:id="rId144" display="DAYC4"/>
    <hyperlink ref="B238" r:id="rId145"/>
    <hyperlink ref="B206" r:id="rId146" display="IDVL3"/>
    <hyperlink ref="B314" r:id="rId147"/>
    <hyperlink ref="B240" r:id="rId148" display="BMEB3"/>
    <hyperlink ref="B7" r:id="rId149"/>
    <hyperlink ref="B8" r:id="rId150" display="BPMN3"/>
    <hyperlink ref="B317" r:id="rId151"/>
    <hyperlink ref="B67" r:id="rId152" display="SANB11"/>
    <hyperlink ref="B71" r:id="rId153" display="SANB11"/>
    <hyperlink ref="B167" r:id="rId154"/>
    <hyperlink ref="B36" r:id="rId155" display="SFSA4"/>
    <hyperlink ref="B442" r:id="rId156"/>
    <hyperlink ref="B451" r:id="rId157" display="ITUB3"/>
    <hyperlink ref="B296" r:id="rId158"/>
    <hyperlink ref="B28" r:id="rId159" display="PRBC4"/>
    <hyperlink ref="B275" r:id="rId160"/>
    <hyperlink ref="B266" r:id="rId161" display="ITSA3"/>
    <hyperlink ref="B138" r:id="rId162"/>
    <hyperlink ref="B484" r:id="rId163"/>
    <hyperlink ref="B208" r:id="rId164"/>
    <hyperlink ref="B159" r:id="rId165" display="TELB3"/>
    <hyperlink ref="B300" r:id="rId166"/>
    <hyperlink ref="B461" r:id="rId167"/>
    <hyperlink ref="B260" r:id="rId168"/>
    <hyperlink ref="B389" r:id="rId169"/>
    <hyperlink ref="B160" r:id="rId170"/>
    <hyperlink ref="B25" r:id="rId171"/>
    <hyperlink ref="B326" r:id="rId172"/>
    <hyperlink ref="B331" r:id="rId173" display="PETR3"/>
    <hyperlink ref="B82" r:id="rId174"/>
    <hyperlink ref="B83" r:id="rId175"/>
    <hyperlink ref="B26" r:id="rId176"/>
    <hyperlink ref="B388" r:id="rId177"/>
    <hyperlink ref="B305" r:id="rId178" display="FESA3"/>
    <hyperlink ref="B288" r:id="rId179"/>
    <hyperlink ref="B270" r:id="rId180"/>
    <hyperlink ref="B285" r:id="rId181" display="USIM3"/>
    <hyperlink ref="B306" r:id="rId182" display="USIM3"/>
    <hyperlink ref="B311" r:id="rId183"/>
    <hyperlink ref="B340" r:id="rId184" display="GGBR3"/>
    <hyperlink ref="B334" r:id="rId185"/>
    <hyperlink ref="B371" r:id="rId186"/>
    <hyperlink ref="B503" r:id="rId187"/>
    <hyperlink ref="B424" r:id="rId188" display="FBMC3"/>
    <hyperlink ref="B418" r:id="rId189"/>
    <hyperlink ref="B97" r:id="rId190" display="MGEL3"/>
    <hyperlink ref="B439" r:id="rId191"/>
    <hyperlink ref="B195" r:id="rId192"/>
    <hyperlink ref="B48" r:id="rId193" display="TKNO4"/>
    <hyperlink ref="B172" r:id="rId194"/>
    <hyperlink ref="B75" r:id="rId195"/>
    <hyperlink ref="B79" r:id="rId196" display="TIBR3"/>
    <hyperlink ref="B80" r:id="rId197" display="TIBR3"/>
    <hyperlink ref="B280" r:id="rId198"/>
    <hyperlink ref="B284" r:id="rId199" display="ELEK3"/>
    <hyperlink ref="B96" r:id="rId200"/>
    <hyperlink ref="B63" r:id="rId201"/>
    <hyperlink ref="B16" r:id="rId202"/>
    <hyperlink ref="B136" r:id="rId203"/>
    <hyperlink ref="B117" r:id="rId204"/>
    <hyperlink ref="B51" r:id="rId205" display="VALE5"/>
    <hyperlink ref="B164" r:id="rId206"/>
    <hyperlink ref="B152" r:id="rId207"/>
    <hyperlink ref="B113" r:id="rId208" display="SNSY3"/>
    <hyperlink ref="B170" r:id="rId209" display="SNSY3"/>
    <hyperlink ref="B177" r:id="rId210"/>
    <hyperlink ref="B182" r:id="rId211" display="RANI3"/>
    <hyperlink ref="B435" r:id="rId212"/>
    <hyperlink ref="B432" r:id="rId213" display="MSPA3"/>
    <hyperlink ref="B416" r:id="rId214"/>
    <hyperlink ref="B494" r:id="rId215"/>
    <hyperlink ref="B310" r:id="rId216" display="KLBN11"/>
    <hyperlink ref="B309" r:id="rId217" display="KLBN11"/>
    <hyperlink ref="B198" r:id="rId218"/>
    <hyperlink ref="B277" r:id="rId219" display="SUZB3"/>
    <hyperlink ref="B258" r:id="rId220" display="SUZB3"/>
    <hyperlink ref="B246" r:id="rId221" display="EUCA4"/>
    <hyperlink ref="B29" r:id="rId222" display="PTPA4"/>
    <hyperlink ref="B95" r:id="rId223"/>
    <hyperlink ref="B66" r:id="rId224" display="MTIG3"/>
    <hyperlink ref="B449" r:id="rId225"/>
    <hyperlink ref="B450" r:id="rId226" display="PEAB3"/>
    <hyperlink ref="B459" r:id="rId227"/>
    <hyperlink ref="B40" r:id="rId228" display="SULA11"/>
    <hyperlink ref="B342" r:id="rId229"/>
    <hyperlink ref="B109" r:id="rId230"/>
    <hyperlink ref="B115" r:id="rId231" display="BTTL3"/>
    <hyperlink ref="B338" r:id="rId232"/>
    <hyperlink ref="B19" r:id="rId233" display="HBTS5"/>
    <hyperlink ref="B304" r:id="rId234"/>
    <hyperlink ref="B216" r:id="rId235" display="DOCA3"/>
    <hyperlink ref="B81" r:id="rId236"/>
    <hyperlink ref="B72" r:id="rId237" display="JBDU3"/>
    <hyperlink ref="B272" r:id="rId238"/>
    <hyperlink ref="B12" r:id="rId239"/>
    <hyperlink ref="B518" r:id="rId240" display="CORR3"/>
    <hyperlink ref="B257" r:id="rId241"/>
    <hyperlink ref="B23" r:id="rId242" display="MULT3"/>
    <hyperlink ref="B183" r:id="rId243"/>
    <hyperlink ref="B332" r:id="rId244"/>
    <hyperlink ref="B392" r:id="rId245"/>
    <hyperlink ref="B274" r:id="rId246"/>
    <hyperlink ref="B401" r:id="rId247"/>
    <hyperlink ref="B353" r:id="rId248"/>
    <hyperlink ref="B289" r:id="rId249"/>
    <hyperlink ref="B465" r:id="rId250"/>
    <hyperlink ref="B6" r:id="rId251"/>
    <hyperlink ref="B236" r:id="rId252" display="BOBR3"/>
    <hyperlink ref="B405" r:id="rId253"/>
    <hyperlink ref="B329" r:id="rId254"/>
    <hyperlink ref="B349" r:id="rId255" display="LAME3"/>
    <hyperlink ref="B419" r:id="rId256"/>
    <hyperlink ref="B352" r:id="rId257"/>
    <hyperlink ref="B373" r:id="rId258"/>
    <hyperlink ref="B210" r:id="rId259"/>
    <hyperlink ref="B516" r:id="rId260"/>
    <hyperlink ref="B515" r:id="rId261" display="PNVL3"/>
    <hyperlink ref="B376" r:id="rId262" display="PFMR3"/>
    <hyperlink ref="B502" r:id="rId263"/>
    <hyperlink ref="B511" r:id="rId264" display="PCAR3"/>
    <hyperlink ref="B357" r:id="rId265"/>
    <hyperlink ref="B243" r:id="rId266"/>
    <hyperlink ref="B11" r:id="rId267"/>
    <hyperlink ref="B169" r:id="rId268" display="CLAN3"/>
    <hyperlink ref="B61" r:id="rId269"/>
    <hyperlink ref="B5" r:id="rId270"/>
    <hyperlink ref="B283" r:id="rId271" display="BAUH3"/>
    <hyperlink ref="B290" r:id="rId272"/>
    <hyperlink ref="B193" r:id="rId273"/>
    <hyperlink ref="B196" r:id="rId274"/>
    <hyperlink ref="B163" r:id="rId275" display="IGUA3"/>
    <hyperlink ref="B178" r:id="rId276" display="IGUA3"/>
    <hyperlink ref="B144" r:id="rId277"/>
    <hyperlink ref="B367" r:id="rId278"/>
    <hyperlink ref="B380" r:id="rId279" display="JOPA3"/>
    <hyperlink ref="B505" r:id="rId280"/>
    <hyperlink ref="B276" r:id="rId281"/>
    <hyperlink ref="B168" r:id="rId282"/>
    <hyperlink ref="B74" r:id="rId283"/>
    <hyperlink ref="B368" r:id="rId284"/>
    <hyperlink ref="B339" r:id="rId285"/>
    <hyperlink ref="B395" r:id="rId286"/>
    <hyperlink ref="B399" r:id="rId287" display="AHEB3"/>
    <hyperlink ref="B464" r:id="rId288" display="AHEB3"/>
    <hyperlink ref="B207" r:id="rId289"/>
    <hyperlink ref="B520" r:id="rId290"/>
    <hyperlink ref="B199" r:id="rId291"/>
    <hyperlink ref="B192" r:id="rId292"/>
    <hyperlink ref="B194" r:id="rId293" display="WHRL3"/>
    <hyperlink ref="B107" r:id="rId294"/>
    <hyperlink ref="B114" r:id="rId295" display="BMTO3"/>
    <hyperlink ref="B237" r:id="rId296"/>
    <hyperlink ref="B406" r:id="rId297"/>
    <hyperlink ref="B239" r:id="rId298" display="VVAR11"/>
    <hyperlink ref="B54" r:id="rId299" display="VVAR11"/>
    <hyperlink ref="B217" r:id="rId300"/>
    <hyperlink ref="B431" r:id="rId301"/>
    <hyperlink ref="B292" r:id="rId302"/>
    <hyperlink ref="B301" r:id="rId303" display="CEDO3"/>
    <hyperlink ref="B55" r:id="rId304"/>
    <hyperlink ref="B56" r:id="rId305" display="TOYB3"/>
    <hyperlink ref="B214" r:id="rId306"/>
    <hyperlink ref="B78" r:id="rId307" display="ESTR3"/>
    <hyperlink ref="B24" r:id="rId308"/>
    <hyperlink ref="B346" r:id="rId309" display="NAFG3"/>
    <hyperlink ref="B101" r:id="rId310"/>
    <hyperlink ref="B84" r:id="rId311" display="HETA3"/>
    <hyperlink ref="B153" r:id="rId312"/>
    <hyperlink ref="B157" r:id="rId313" display="CTNM3"/>
    <hyperlink ref="B212" r:id="rId314"/>
    <hyperlink ref="B232" r:id="rId315" display="CTSA3"/>
    <hyperlink ref="B13" r:id="rId316" display="CTSA3"/>
    <hyperlink ref="B228" r:id="rId317"/>
    <hyperlink ref="B222" r:id="rId318" display="DOHL3"/>
    <hyperlink ref="B456" r:id="rId319"/>
    <hyperlink ref="B487" r:id="rId320" display="ECPR3"/>
    <hyperlink ref="B141" r:id="rId321"/>
    <hyperlink ref="B102" r:id="rId322" display="CTKA3"/>
    <hyperlink ref="B156" r:id="rId323"/>
    <hyperlink ref="B127" r:id="rId324" display="PTNT3"/>
    <hyperlink ref="B422" r:id="rId325"/>
    <hyperlink ref="B131" r:id="rId326"/>
    <hyperlink ref="B46" r:id="rId327"/>
    <hyperlink ref="B98" r:id="rId328" display="TENE3"/>
    <hyperlink ref="B47" r:id="rId329" display="TENE3"/>
    <hyperlink ref="B108" r:id="rId330" display="TENE3"/>
    <hyperlink ref="B307" r:id="rId331"/>
    <hyperlink ref="B320" r:id="rId332" display="ALPA3"/>
    <hyperlink ref="B9" r:id="rId333"/>
    <hyperlink ref="B155" r:id="rId334" display="CAMB3"/>
    <hyperlink ref="B18" r:id="rId335"/>
    <hyperlink ref="B53" r:id="rId336"/>
    <hyperlink ref="B279" r:id="rId337"/>
    <hyperlink ref="B344" r:id="rId338"/>
    <hyperlink ref="B443" r:id="rId339"/>
    <hyperlink ref="B437" r:id="rId340" display="NETC3"/>
    <hyperlink ref="B428" r:id="rId341"/>
    <hyperlink ref="B3" r:id="rId342" display="ABRE11"/>
    <hyperlink ref="B4" r:id="rId343" display="ABRE11"/>
    <hyperlink ref="B414" r:id="rId344"/>
    <hyperlink ref="B396" r:id="rId345" display="SLED3"/>
    <hyperlink ref="B354" r:id="rId346"/>
    <hyperlink ref="B454" r:id="rId347"/>
    <hyperlink ref="B235" r:id="rId348"/>
    <hyperlink ref="B425" r:id="rId349"/>
    <hyperlink ref="B359" r:id="rId350"/>
    <hyperlink ref="B370" r:id="rId351" display="CGRA3"/>
    <hyperlink ref="B509" r:id="rId352"/>
    <hyperlink ref="B504" r:id="rId353" display="GUAR3"/>
    <hyperlink ref="B21" r:id="rId354"/>
    <hyperlink ref="B499" r:id="rId355" display="LHER3"/>
    <hyperlink ref="B495" r:id="rId356"/>
    <hyperlink ref="B328" r:id="rId357"/>
    <hyperlink ref="B88" r:id="rId358"/>
    <hyperlink ref="B92" r:id="rId359" display="SPRI3"/>
    <hyperlink ref="B87" r:id="rId360" display="SPRI3"/>
    <hyperlink ref="B132" r:id="rId361"/>
    <hyperlink ref="B513" r:id="rId362"/>
    <hyperlink ref="B519" r:id="rId363" display="CALI3"/>
    <hyperlink ref="B175" r:id="rId364"/>
    <hyperlink ref="B322" r:id="rId365"/>
    <hyperlink ref="B286" r:id="rId366"/>
    <hyperlink ref="B242" r:id="rId367"/>
    <hyperlink ref="B426" r:id="rId368"/>
    <hyperlink ref="B174" r:id="rId369"/>
    <hyperlink ref="B241" r:id="rId370"/>
    <hyperlink ref="B200" r:id="rId371"/>
    <hyperlink ref="B224" r:id="rId372"/>
    <hyperlink ref="B247" r:id="rId373"/>
    <hyperlink ref="B126" r:id="rId374"/>
    <hyperlink ref="B291" r:id="rId375"/>
    <hyperlink ref="B134" r:id="rId376"/>
    <hyperlink ref="B215" r:id="rId377"/>
    <hyperlink ref="B100" r:id="rId378" display="SGEN3"/>
    <hyperlink ref="B250" r:id="rId379"/>
    <hyperlink ref="B187" r:id="rId380"/>
    <hyperlink ref="B76" r:id="rId381"/>
    <hyperlink ref="B148" r:id="rId382"/>
    <hyperlink ref="B135" r:id="rId383" display="AZEV3"/>
    <hyperlink ref="B165" r:id="rId384"/>
    <hyperlink ref="B166" r:id="rId385" display="LIXC3"/>
    <hyperlink ref="B124" r:id="rId386"/>
    <hyperlink ref="B121" r:id="rId387" display="SULT3"/>
    <hyperlink ref="B22" r:id="rId388"/>
    <hyperlink ref="B297" r:id="rId389" display="MEND3"/>
    <hyperlink ref="B316" r:id="rId390" display="MEND3"/>
    <hyperlink ref="B475" r:id="rId391"/>
    <hyperlink ref="B474" r:id="rId392" display="SOND3"/>
    <hyperlink ref="B479" r:id="rId393" display="SOND3"/>
    <hyperlink ref="B64" r:id="rId394"/>
    <hyperlink ref="B60" r:id="rId395" display="TCNO3"/>
    <hyperlink ref="B211" r:id="rId396"/>
    <hyperlink ref="B327" r:id="rId397"/>
    <hyperlink ref="B385" r:id="rId398"/>
    <hyperlink ref="B231" r:id="rId399" display="CTAX11"/>
    <hyperlink ref="B179" r:id="rId400" display="CTAX11"/>
    <hyperlink ref="B154" r:id="rId401"/>
    <hyperlink ref="B86" r:id="rId402"/>
    <hyperlink ref="B15" r:id="rId403" display="DTCY3"/>
    <hyperlink ref="B423" r:id="rId404"/>
    <hyperlink ref="B455" r:id="rId405"/>
    <hyperlink ref="B381" r:id="rId406"/>
    <hyperlink ref="B360" r:id="rId407"/>
    <hyperlink ref="B264" r:id="rId408"/>
    <hyperlink ref="B324" r:id="rId409"/>
    <hyperlink ref="B123" r:id="rId410"/>
    <hyperlink ref="B104" r:id="rId411" display="IMBI3"/>
    <hyperlink ref="B116" r:id="rId412"/>
    <hyperlink ref="B356" r:id="rId413"/>
    <hyperlink ref="B38" r:id="rId414" display="STBP11"/>
    <hyperlink ref="B39" r:id="rId415" display="STBP11"/>
    <hyperlink ref="B17" r:id="rId416"/>
    <hyperlink ref="B299" r:id="rId417" display="GOLL3"/>
    <hyperlink ref="B244" r:id="rId418"/>
    <hyperlink ref="B171" r:id="rId419"/>
    <hyperlink ref="B52" r:id="rId420" display="VSPT3"/>
    <hyperlink ref="B268" r:id="rId421"/>
    <hyperlink ref="B485" r:id="rId422"/>
    <hyperlink ref="B452" r:id="rId423" display="LUXM3"/>
    <hyperlink ref="B335" r:id="rId424"/>
    <hyperlink ref="B374" r:id="rId425"/>
    <hyperlink ref="B501" r:id="rId426"/>
    <hyperlink ref="B507" r:id="rId427" display="SGAS3"/>
    <hyperlink ref="B143" r:id="rId428"/>
    <hyperlink ref="B146" r:id="rId429"/>
    <hyperlink ref="B130" r:id="rId430" display="FJTA3"/>
    <hyperlink ref="B440" r:id="rId431"/>
    <hyperlink ref="B417" r:id="rId432" display="EALT3"/>
    <hyperlink ref="B496" r:id="rId433"/>
    <hyperlink ref="B361" r:id="rId434" display="MTSA3"/>
    <hyperlink ref="B512" r:id="rId435" display="BALM3"/>
    <hyperlink ref="B471" r:id="rId436"/>
    <hyperlink ref="B203" r:id="rId437"/>
    <hyperlink ref="B129" r:id="rId438" display="HAGA3"/>
    <hyperlink ref="B149" r:id="rId439"/>
    <hyperlink ref="B65" r:id="rId440" display="CCHI3"/>
    <hyperlink ref="B68" r:id="rId441"/>
    <hyperlink ref="B273" r:id="rId442"/>
    <hyperlink ref="B481" r:id="rId443"/>
    <hyperlink ref="B473" r:id="rId444" display="BDLL3"/>
    <hyperlink ref="B220" r:id="rId445"/>
    <hyperlink ref="B111" r:id="rId446"/>
    <hyperlink ref="B105" r:id="rId447" display="INEP3"/>
    <hyperlink ref="B467" r:id="rId448"/>
    <hyperlink ref="B37" r:id="rId449"/>
    <hyperlink ref="B293" r:id="rId450" display="SHUL3"/>
    <hyperlink ref="B453" r:id="rId451"/>
    <hyperlink ref="B398" r:id="rId452"/>
    <hyperlink ref="B57" r:id="rId453"/>
    <hyperlink ref="B58" r:id="rId454" display="CBMA3"/>
    <hyperlink ref="B341" r:id="rId455"/>
    <hyperlink ref="B491" r:id="rId456"/>
    <hyperlink ref="B263" r:id="rId457" display="DHBI3"/>
    <hyperlink ref="B412" r:id="rId458"/>
    <hyperlink ref="B205" r:id="rId459"/>
    <hyperlink ref="B409" r:id="rId460"/>
    <hyperlink ref="B204" r:id="rId461"/>
    <hyperlink ref="B209" r:id="rId462" display="POMO3"/>
    <hyperlink ref="B35" r:id="rId463"/>
    <hyperlink ref="B445" r:id="rId464" display="RSUL3"/>
    <hyperlink ref="B89" r:id="rId465"/>
    <hyperlink ref="B252" r:id="rId466"/>
    <hyperlink ref="B262" r:id="rId467" display="RAPT3"/>
    <hyperlink ref="B62" r:id="rId468"/>
    <hyperlink ref="B59" r:id="rId469" display="RCSL3"/>
    <hyperlink ref="B358" r:id="rId470"/>
    <hyperlink ref="B197" r:id="rId471"/>
    <hyperlink ref="B133" r:id="rId472" display="MWET3"/>
    <hyperlink ref="B343" r:id="rId473"/>
    <hyperlink ref="B366" r:id="rId474" display="GETI3"/>
    <hyperlink ref="B278" r:id="rId475"/>
    <hyperlink ref="B294" r:id="rId476" display="CSRN3"/>
    <hyperlink ref="B282" r:id="rId477" display="CSRN3"/>
    <hyperlink ref="B403" r:id="rId478"/>
    <hyperlink ref="B365" r:id="rId479" display="EKTR3"/>
    <hyperlink ref="B434" r:id="rId480"/>
    <hyperlink ref="B457" r:id="rId481" display="CEEB3"/>
    <hyperlink ref="B34" r:id="rId482" display="CEEB3"/>
    <hyperlink ref="B229" r:id="rId483"/>
    <hyperlink ref="B30" r:id="rId484" display="AFLU3"/>
    <hyperlink ref="B31" r:id="rId485" display="AFLU3"/>
    <hyperlink ref="B125" r:id="rId486"/>
    <hyperlink ref="B120" r:id="rId487" display="CELP3"/>
    <hyperlink ref="B106" r:id="rId488" display="CELP3"/>
    <hyperlink ref="B94" r:id="rId489" display="CELP3"/>
    <hyperlink ref="B438" r:id="rId490" display="BSLI3"/>
    <hyperlink ref="B321" r:id="rId491"/>
  </hyperlinks>
  <pageMargins left="0.7" right="0.7" top="0.75" bottom="0.75" header="0.3" footer="0.3"/>
  <pageSetup paperSize="9" orientation="portrait" r:id="rId492"/>
  <tableParts count="1">
    <tablePart r:id="rId49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1696</v>
      </c>
      <c r="E7" s="3" t="s">
        <v>1697</v>
      </c>
      <c r="F7" s="3" t="s">
        <v>1485</v>
      </c>
      <c r="G7" s="3" t="s">
        <v>1698</v>
      </c>
      <c r="H7" s="20">
        <v>41717</v>
      </c>
      <c r="J7" s="3">
        <f>IF($A7="",0,VALUE(CONCATENATE(LEFT(D7,LEN(D7)-3),",",RIGHT(D7,2))))</f>
        <v>11.2</v>
      </c>
      <c r="K7" s="3">
        <f t="shared" ref="K7:M22" si="0">IF($A7="",0,VALUE(CONCATENATE(LEFT(E7,LEN(E7)-3),",",RIGHT(E7,2))))</f>
        <v>11.19</v>
      </c>
      <c r="L7" s="3">
        <f t="shared" si="0"/>
        <v>11.29</v>
      </c>
      <c r="M7" s="3">
        <f t="shared" si="0"/>
        <v>10.9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41717</v>
      </c>
      <c r="S7" s="5">
        <f t="shared" ref="S7:S38" si="3">J7</f>
        <v>11.2</v>
      </c>
      <c r="T7" s="5">
        <f t="shared" ref="T7:T38" si="4">K7</f>
        <v>11.19</v>
      </c>
      <c r="U7" s="5">
        <f t="shared" ref="U7:U38" si="5">L7</f>
        <v>11.29</v>
      </c>
      <c r="V7" s="5">
        <f t="shared" ref="V7:V38" si="6">M7</f>
        <v>10.9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1590</v>
      </c>
      <c r="E8" s="3" t="s">
        <v>1591</v>
      </c>
      <c r="F8" s="3" t="s">
        <v>1591</v>
      </c>
      <c r="G8" s="3" t="s">
        <v>1590</v>
      </c>
      <c r="H8" s="20">
        <v>41717</v>
      </c>
      <c r="J8" s="3">
        <f t="shared" ref="J8:M71" si="7">IF($A8="",0,VALUE(CONCATENATE(LEFT(D8,LEN(D8)-3),",",RIGHT(D8,2))))</f>
        <v>6.8</v>
      </c>
      <c r="K8" s="3">
        <f t="shared" si="0"/>
        <v>7.13</v>
      </c>
      <c r="L8" s="3">
        <f t="shared" si="0"/>
        <v>7.13</v>
      </c>
      <c r="M8" s="3">
        <f t="shared" si="0"/>
        <v>6.8</v>
      </c>
      <c r="P8" s="14" t="s">
        <v>67</v>
      </c>
      <c r="Q8" s="10" t="str">
        <f t="shared" si="1"/>
        <v>AES ELPA    -ON</v>
      </c>
      <c r="R8" s="20">
        <f t="shared" si="2"/>
        <v>41717</v>
      </c>
      <c r="S8" s="5">
        <f t="shared" si="3"/>
        <v>6.8</v>
      </c>
      <c r="T8" s="5">
        <f t="shared" si="4"/>
        <v>7.13</v>
      </c>
      <c r="U8" s="5">
        <f t="shared" si="5"/>
        <v>7.13</v>
      </c>
      <c r="V8" s="5">
        <f t="shared" si="6"/>
        <v>6.8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1375</v>
      </c>
      <c r="E9" s="3" t="s">
        <v>1375</v>
      </c>
      <c r="F9" s="3" t="s">
        <v>1375</v>
      </c>
      <c r="G9" s="3" t="s">
        <v>1375</v>
      </c>
      <c r="H9" s="20">
        <v>41717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41717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1699</v>
      </c>
      <c r="E10" s="3" t="s">
        <v>1700</v>
      </c>
      <c r="F10" s="3" t="s">
        <v>1676</v>
      </c>
      <c r="G10" s="3" t="s">
        <v>1701</v>
      </c>
      <c r="H10" s="20">
        <v>41717</v>
      </c>
      <c r="J10" s="3">
        <f t="shared" si="7"/>
        <v>19.02</v>
      </c>
      <c r="K10" s="3">
        <f t="shared" si="0"/>
        <v>19.77</v>
      </c>
      <c r="L10" s="3">
        <f t="shared" si="0"/>
        <v>19.899999999999999</v>
      </c>
      <c r="M10" s="3">
        <f t="shared" si="0"/>
        <v>18.96</v>
      </c>
      <c r="P10" s="15" t="s">
        <v>24</v>
      </c>
      <c r="Q10" s="10" t="str">
        <f t="shared" si="1"/>
        <v xml:space="preserve">BRASIL      -ON  </v>
      </c>
      <c r="R10" s="20">
        <f t="shared" si="2"/>
        <v>41717</v>
      </c>
      <c r="S10" s="5">
        <f t="shared" si="3"/>
        <v>19.02</v>
      </c>
      <c r="T10" s="5">
        <f t="shared" si="4"/>
        <v>19.77</v>
      </c>
      <c r="U10" s="5">
        <f t="shared" si="5"/>
        <v>19.899999999999999</v>
      </c>
      <c r="V10" s="5">
        <f t="shared" si="6"/>
        <v>18.96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194</v>
      </c>
      <c r="D11" s="3" t="s">
        <v>1702</v>
      </c>
      <c r="E11" s="3" t="s">
        <v>1703</v>
      </c>
      <c r="F11" s="3" t="s">
        <v>1704</v>
      </c>
      <c r="G11" s="3" t="s">
        <v>1705</v>
      </c>
      <c r="H11" s="20">
        <v>41717</v>
      </c>
      <c r="J11" s="3">
        <f t="shared" si="7"/>
        <v>28.76</v>
      </c>
      <c r="K11" s="3">
        <f t="shared" si="0"/>
        <v>29.14</v>
      </c>
      <c r="L11" s="3">
        <f t="shared" si="0"/>
        <v>29.36</v>
      </c>
      <c r="M11" s="3">
        <f t="shared" si="0"/>
        <v>28.72</v>
      </c>
      <c r="P11" s="14" t="s">
        <v>192</v>
      </c>
      <c r="Q11" s="10" t="str">
        <f t="shared" si="1"/>
        <v xml:space="preserve">BRADESCO    -ON  </v>
      </c>
      <c r="R11" s="20">
        <f t="shared" si="2"/>
        <v>41717</v>
      </c>
      <c r="S11" s="5">
        <f t="shared" si="3"/>
        <v>28.76</v>
      </c>
      <c r="T11" s="5">
        <f t="shared" si="4"/>
        <v>29.14</v>
      </c>
      <c r="U11" s="5">
        <f t="shared" si="5"/>
        <v>29.36</v>
      </c>
      <c r="V11" s="5">
        <f t="shared" si="6"/>
        <v>28.72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195</v>
      </c>
      <c r="D12" s="3" t="s">
        <v>1706</v>
      </c>
      <c r="E12" s="3" t="s">
        <v>1707</v>
      </c>
      <c r="F12" s="3" t="s">
        <v>1708</v>
      </c>
      <c r="G12" s="3" t="s">
        <v>1709</v>
      </c>
      <c r="H12" s="20">
        <v>41717</v>
      </c>
      <c r="J12" s="3">
        <f t="shared" si="7"/>
        <v>27.25</v>
      </c>
      <c r="K12" s="3">
        <f t="shared" si="0"/>
        <v>27.48</v>
      </c>
      <c r="L12" s="3">
        <f t="shared" si="0"/>
        <v>27.59</v>
      </c>
      <c r="M12" s="3">
        <f t="shared" si="0"/>
        <v>27.02</v>
      </c>
      <c r="P12" s="14" t="s">
        <v>193</v>
      </c>
      <c r="Q12" s="10" t="str">
        <f t="shared" si="1"/>
        <v xml:space="preserve">BRADESCO    -PN  </v>
      </c>
      <c r="R12" s="51">
        <f t="shared" si="2"/>
        <v>41717</v>
      </c>
      <c r="S12" s="5">
        <f t="shared" si="3"/>
        <v>27.25</v>
      </c>
      <c r="T12" s="5">
        <f t="shared" si="4"/>
        <v>27.48</v>
      </c>
      <c r="U12" s="5">
        <f t="shared" si="5"/>
        <v>27.59</v>
      </c>
      <c r="V12" s="5">
        <f t="shared" si="6"/>
        <v>27.02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1310</v>
      </c>
      <c r="D13" s="3" t="s">
        <v>1304</v>
      </c>
      <c r="E13" s="3" t="s">
        <v>1376</v>
      </c>
      <c r="F13" s="3" t="s">
        <v>1376</v>
      </c>
      <c r="G13" s="3" t="s">
        <v>1340</v>
      </c>
      <c r="H13" s="20">
        <v>41717</v>
      </c>
      <c r="J13" s="3">
        <f t="shared" si="7"/>
        <v>0.42</v>
      </c>
      <c r="K13" s="3">
        <f t="shared" si="0"/>
        <v>0.43</v>
      </c>
      <c r="L13" s="3">
        <f t="shared" si="0"/>
        <v>0.43</v>
      </c>
      <c r="M13" s="3">
        <f t="shared" si="0"/>
        <v>0.41</v>
      </c>
      <c r="P13" s="15" t="s">
        <v>58</v>
      </c>
      <c r="Q13" s="10" t="str">
        <f t="shared" si="1"/>
        <v xml:space="preserve">BANESTES    -ON  </v>
      </c>
      <c r="R13" s="51">
        <f t="shared" si="2"/>
        <v>41717</v>
      </c>
      <c r="S13" s="5">
        <f t="shared" si="3"/>
        <v>0.42</v>
      </c>
      <c r="T13" s="5">
        <f t="shared" si="4"/>
        <v>0.43</v>
      </c>
      <c r="U13" s="5">
        <f t="shared" si="5"/>
        <v>0.43</v>
      </c>
      <c r="V13" s="5">
        <f t="shared" si="6"/>
        <v>0.41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1311</v>
      </c>
      <c r="D14" s="3" t="s">
        <v>1304</v>
      </c>
      <c r="E14" s="3" t="s">
        <v>1304</v>
      </c>
      <c r="F14" s="3" t="s">
        <v>1304</v>
      </c>
      <c r="G14" s="3" t="s">
        <v>1304</v>
      </c>
      <c r="H14" s="20">
        <v>41717</v>
      </c>
      <c r="J14" s="3">
        <f t="shared" si="7"/>
        <v>0.42</v>
      </c>
      <c r="K14" s="3">
        <f t="shared" si="0"/>
        <v>0.42</v>
      </c>
      <c r="L14" s="3">
        <f t="shared" si="0"/>
        <v>0.42</v>
      </c>
      <c r="M14" s="3">
        <f t="shared" si="0"/>
        <v>0.42</v>
      </c>
      <c r="P14" s="15" t="s">
        <v>59</v>
      </c>
      <c r="Q14" s="10" t="str">
        <f t="shared" si="1"/>
        <v xml:space="preserve">BANESTES    -PN  </v>
      </c>
      <c r="R14" s="20">
        <f t="shared" si="2"/>
        <v>41717</v>
      </c>
      <c r="S14" s="5">
        <f t="shared" si="3"/>
        <v>0.42</v>
      </c>
      <c r="T14" s="5">
        <f t="shared" si="4"/>
        <v>0.42</v>
      </c>
      <c r="U14" s="5">
        <f t="shared" si="5"/>
        <v>0.42</v>
      </c>
      <c r="V14" s="5">
        <f t="shared" si="6"/>
        <v>0.42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1417</v>
      </c>
      <c r="D15" s="3" t="s">
        <v>425</v>
      </c>
      <c r="E15" s="3" t="s">
        <v>388</v>
      </c>
      <c r="F15" s="3" t="s">
        <v>388</v>
      </c>
      <c r="G15" s="3" t="s">
        <v>388</v>
      </c>
      <c r="H15" s="20">
        <v>41717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196</v>
      </c>
      <c r="Q15" s="10" t="str">
        <f t="shared" si="1"/>
        <v>BANESE      -ON</v>
      </c>
      <c r="R15" s="51">
        <f t="shared" si="2"/>
        <v>41717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1418</v>
      </c>
      <c r="D16" s="3" t="s">
        <v>1408</v>
      </c>
      <c r="E16" s="3" t="s">
        <v>1408</v>
      </c>
      <c r="F16" s="3" t="s">
        <v>1408</v>
      </c>
      <c r="G16" s="3" t="s">
        <v>1408</v>
      </c>
      <c r="H16" s="20">
        <v>41717</v>
      </c>
      <c r="J16" s="3">
        <f t="shared" si="7"/>
        <v>43</v>
      </c>
      <c r="K16" s="3">
        <f t="shared" si="0"/>
        <v>43</v>
      </c>
      <c r="L16" s="3">
        <f t="shared" si="0"/>
        <v>43</v>
      </c>
      <c r="M16" s="3">
        <f t="shared" si="0"/>
        <v>43</v>
      </c>
      <c r="P16" s="15" t="s">
        <v>197</v>
      </c>
      <c r="Q16" s="10" t="str">
        <f t="shared" si="1"/>
        <v>BANESE      -PN</v>
      </c>
      <c r="R16" s="51">
        <f t="shared" si="2"/>
        <v>41717</v>
      </c>
      <c r="S16" s="5">
        <f t="shared" si="3"/>
        <v>43</v>
      </c>
      <c r="T16" s="5">
        <f t="shared" si="4"/>
        <v>43</v>
      </c>
      <c r="U16" s="5">
        <f t="shared" si="5"/>
        <v>43</v>
      </c>
      <c r="V16" s="5">
        <f t="shared" si="6"/>
        <v>43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203</v>
      </c>
      <c r="D17" s="3" t="s">
        <v>425</v>
      </c>
      <c r="E17" s="3" t="s">
        <v>738</v>
      </c>
      <c r="F17" s="3" t="s">
        <v>738</v>
      </c>
      <c r="G17" s="3" t="s">
        <v>738</v>
      </c>
      <c r="H17" s="20">
        <v>41717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202</v>
      </c>
      <c r="Q17" s="10" t="str">
        <f t="shared" si="1"/>
        <v xml:space="preserve">BICBANCO    -ON  </v>
      </c>
      <c r="R17" s="51">
        <f t="shared" si="2"/>
        <v>41717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106</v>
      </c>
      <c r="D18" s="3" t="s">
        <v>1662</v>
      </c>
      <c r="E18" s="3" t="s">
        <v>1710</v>
      </c>
      <c r="F18" s="3" t="s">
        <v>1710</v>
      </c>
      <c r="G18" s="3" t="s">
        <v>1662</v>
      </c>
      <c r="H18" s="20">
        <v>41717</v>
      </c>
      <c r="J18" s="3">
        <f t="shared" si="7"/>
        <v>7.04</v>
      </c>
      <c r="K18" s="3">
        <f t="shared" si="0"/>
        <v>7.15</v>
      </c>
      <c r="L18" s="3">
        <f t="shared" si="0"/>
        <v>7.15</v>
      </c>
      <c r="M18" s="3">
        <f t="shared" si="0"/>
        <v>7.04</v>
      </c>
      <c r="P18" s="14" t="s">
        <v>10</v>
      </c>
      <c r="Q18" s="10" t="str">
        <f t="shared" si="1"/>
        <v xml:space="preserve">BICBANCO    -PN  </v>
      </c>
      <c r="R18" s="51">
        <f t="shared" si="2"/>
        <v>41717</v>
      </c>
      <c r="S18" s="5">
        <f t="shared" si="3"/>
        <v>7.04</v>
      </c>
      <c r="T18" s="5">
        <f t="shared" si="4"/>
        <v>7.15</v>
      </c>
      <c r="U18" s="5">
        <f t="shared" si="5"/>
        <v>7.15</v>
      </c>
      <c r="V18" s="5">
        <f t="shared" si="6"/>
        <v>7.04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1419</v>
      </c>
      <c r="D19" s="3" t="s">
        <v>425</v>
      </c>
      <c r="E19" s="3" t="s">
        <v>460</v>
      </c>
      <c r="F19" s="3" t="s">
        <v>460</v>
      </c>
      <c r="G19" s="3" t="s">
        <v>460</v>
      </c>
      <c r="H19" s="20">
        <v>41717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204</v>
      </c>
      <c r="Q19" s="10" t="str">
        <f t="shared" si="1"/>
        <v>MERC INVEST -ON</v>
      </c>
      <c r="R19" s="51">
        <f t="shared" si="2"/>
        <v>41717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1420</v>
      </c>
      <c r="D20" s="3" t="s">
        <v>1302</v>
      </c>
      <c r="E20" s="3" t="s">
        <v>1302</v>
      </c>
      <c r="F20" s="3" t="s">
        <v>1302</v>
      </c>
      <c r="G20" s="3" t="s">
        <v>1302</v>
      </c>
      <c r="H20" s="20">
        <v>41717</v>
      </c>
      <c r="J20" s="3">
        <f t="shared" si="7"/>
        <v>0.21</v>
      </c>
      <c r="K20" s="3">
        <f t="shared" si="0"/>
        <v>0.21</v>
      </c>
      <c r="L20" s="3">
        <f t="shared" si="0"/>
        <v>0.21</v>
      </c>
      <c r="M20" s="3">
        <f t="shared" si="0"/>
        <v>0.21</v>
      </c>
      <c r="P20" s="14" t="s">
        <v>61</v>
      </c>
      <c r="Q20" s="10" t="str">
        <f t="shared" si="1"/>
        <v>MERC INVEST -PN</v>
      </c>
      <c r="R20" s="20">
        <f t="shared" si="2"/>
        <v>41717</v>
      </c>
      <c r="S20" s="5">
        <f t="shared" si="3"/>
        <v>0.21</v>
      </c>
      <c r="T20" s="5">
        <f t="shared" si="4"/>
        <v>0.21</v>
      </c>
      <c r="U20" s="5">
        <f t="shared" si="5"/>
        <v>0.21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207</v>
      </c>
      <c r="D21" s="3" t="s">
        <v>1711</v>
      </c>
      <c r="E21" s="3" t="s">
        <v>1711</v>
      </c>
      <c r="F21" s="3" t="s">
        <v>1711</v>
      </c>
      <c r="G21" s="3" t="s">
        <v>1711</v>
      </c>
      <c r="H21" s="20">
        <v>41717</v>
      </c>
      <c r="J21" s="3">
        <f t="shared" si="7"/>
        <v>25.08</v>
      </c>
      <c r="K21" s="3">
        <f t="shared" si="0"/>
        <v>25.08</v>
      </c>
      <c r="L21" s="3">
        <f t="shared" si="0"/>
        <v>25.08</v>
      </c>
      <c r="M21" s="3">
        <f t="shared" si="0"/>
        <v>25.08</v>
      </c>
      <c r="P21" s="15" t="s">
        <v>205</v>
      </c>
      <c r="Q21" s="10" t="str">
        <f t="shared" si="1"/>
        <v>NORD BRASIL -ON</v>
      </c>
      <c r="R21" s="51">
        <f t="shared" si="2"/>
        <v>41717</v>
      </c>
      <c r="S21" s="5">
        <f t="shared" si="3"/>
        <v>25.08</v>
      </c>
      <c r="T21" s="5">
        <f t="shared" si="4"/>
        <v>25.08</v>
      </c>
      <c r="U21" s="5">
        <f t="shared" si="5"/>
        <v>25.08</v>
      </c>
      <c r="V21" s="5">
        <f t="shared" si="6"/>
        <v>25.08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208</v>
      </c>
      <c r="D22" s="3" t="s">
        <v>1280</v>
      </c>
      <c r="E22" s="3" t="s">
        <v>1280</v>
      </c>
      <c r="F22" s="3" t="s">
        <v>1280</v>
      </c>
      <c r="G22" s="3" t="s">
        <v>1280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206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739</v>
      </c>
      <c r="D23" s="3" t="s">
        <v>425</v>
      </c>
      <c r="E23" s="3" t="s">
        <v>885</v>
      </c>
      <c r="F23" s="3" t="s">
        <v>885</v>
      </c>
      <c r="G23" s="3" t="s">
        <v>885</v>
      </c>
      <c r="H23" s="20">
        <v>41717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215</v>
      </c>
      <c r="Q23" s="10" t="str">
        <f t="shared" si="1"/>
        <v>ALFA CONSORC-PNE</v>
      </c>
      <c r="R23" s="51">
        <f t="shared" si="2"/>
        <v>41717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220</v>
      </c>
      <c r="D24" s="3" t="s">
        <v>885</v>
      </c>
      <c r="E24" s="3" t="s">
        <v>885</v>
      </c>
      <c r="F24" s="3" t="s">
        <v>885</v>
      </c>
      <c r="G24" s="3" t="s">
        <v>885</v>
      </c>
      <c r="H24" s="20">
        <v>41717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216</v>
      </c>
      <c r="Q24" s="10" t="str">
        <f t="shared" si="1"/>
        <v>ALFA CONSORC-PNF</v>
      </c>
      <c r="R24" s="51">
        <f t="shared" si="2"/>
        <v>41717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217</v>
      </c>
      <c r="D25" s="3" t="s">
        <v>885</v>
      </c>
      <c r="E25" s="3" t="s">
        <v>885</v>
      </c>
      <c r="F25" s="3" t="s">
        <v>885</v>
      </c>
      <c r="G25" s="3" t="s">
        <v>885</v>
      </c>
      <c r="H25" s="20">
        <v>41717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211</v>
      </c>
      <c r="Q25" s="10" t="str">
        <f t="shared" si="1"/>
        <v>ALFA CONSORC-ON</v>
      </c>
      <c r="R25" s="20">
        <f t="shared" si="2"/>
        <v>41717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740</v>
      </c>
      <c r="D26" s="3" t="s">
        <v>425</v>
      </c>
      <c r="E26" s="3" t="s">
        <v>218</v>
      </c>
      <c r="F26" s="3" t="s">
        <v>218</v>
      </c>
      <c r="G26" s="3" t="s">
        <v>218</v>
      </c>
      <c r="H26" s="20">
        <v>41717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212</v>
      </c>
      <c r="Q26" s="10" t="str">
        <f t="shared" si="1"/>
        <v>ALFA CONSORC-PNA</v>
      </c>
      <c r="R26" s="20">
        <f t="shared" si="2"/>
        <v>41717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741</v>
      </c>
      <c r="D27" s="3" t="s">
        <v>425</v>
      </c>
      <c r="E27" s="3" t="s">
        <v>742</v>
      </c>
      <c r="F27" s="3" t="s">
        <v>742</v>
      </c>
      <c r="G27" s="3" t="s">
        <v>742</v>
      </c>
      <c r="H27" s="20">
        <v>41717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41717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743</v>
      </c>
      <c r="D28" s="3" t="s">
        <v>425</v>
      </c>
      <c r="E28" s="3" t="s">
        <v>219</v>
      </c>
      <c r="F28" s="3" t="s">
        <v>219</v>
      </c>
      <c r="G28" s="3" t="s">
        <v>219</v>
      </c>
      <c r="H28" s="20">
        <v>41717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213</v>
      </c>
      <c r="Q28" s="10" t="str">
        <f t="shared" si="1"/>
        <v>ALFA CONSORC-PNC</v>
      </c>
      <c r="R28" s="20">
        <f t="shared" si="2"/>
        <v>41717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744</v>
      </c>
      <c r="D29" s="3" t="s">
        <v>425</v>
      </c>
      <c r="E29" s="3" t="s">
        <v>745</v>
      </c>
      <c r="F29" s="3" t="s">
        <v>745</v>
      </c>
      <c r="G29" s="3" t="s">
        <v>745</v>
      </c>
      <c r="H29" s="20">
        <v>41717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214</v>
      </c>
      <c r="Q29" s="10" t="str">
        <f t="shared" si="1"/>
        <v>ALFA CONSORC-PND</v>
      </c>
      <c r="R29" s="20">
        <f t="shared" si="2"/>
        <v>41717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746</v>
      </c>
      <c r="D30" s="3" t="s">
        <v>1484</v>
      </c>
      <c r="E30" s="3" t="s">
        <v>1484</v>
      </c>
      <c r="F30" s="3" t="s">
        <v>1484</v>
      </c>
      <c r="G30" s="3" t="s">
        <v>1484</v>
      </c>
      <c r="H30" s="20">
        <v>41717</v>
      </c>
      <c r="J30" s="3">
        <f t="shared" si="7"/>
        <v>6</v>
      </c>
      <c r="K30" s="3">
        <f t="shared" si="7"/>
        <v>6</v>
      </c>
      <c r="L30" s="3">
        <f t="shared" si="7"/>
        <v>6</v>
      </c>
      <c r="M30" s="3">
        <f t="shared" si="7"/>
        <v>6</v>
      </c>
      <c r="P30" s="14" t="s">
        <v>190</v>
      </c>
      <c r="Q30" s="10" t="str">
        <f t="shared" si="1"/>
        <v>ALFA INVEST -ON</v>
      </c>
      <c r="R30" s="20">
        <f t="shared" si="2"/>
        <v>41717</v>
      </c>
      <c r="S30" s="5">
        <f t="shared" si="3"/>
        <v>6</v>
      </c>
      <c r="T30" s="5">
        <f t="shared" si="4"/>
        <v>6</v>
      </c>
      <c r="U30" s="5">
        <f t="shared" si="5"/>
        <v>6</v>
      </c>
      <c r="V30" s="5">
        <f t="shared" si="6"/>
        <v>6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747</v>
      </c>
      <c r="D31" s="3" t="s">
        <v>1712</v>
      </c>
      <c r="E31" s="3" t="s">
        <v>1713</v>
      </c>
      <c r="F31" s="3" t="s">
        <v>1713</v>
      </c>
      <c r="G31" s="3" t="s">
        <v>1714</v>
      </c>
      <c r="H31" s="20">
        <v>41717</v>
      </c>
      <c r="J31" s="3">
        <f t="shared" si="7"/>
        <v>5.68</v>
      </c>
      <c r="K31" s="3">
        <f t="shared" si="7"/>
        <v>5.69</v>
      </c>
      <c r="L31" s="3">
        <f t="shared" si="7"/>
        <v>5.69</v>
      </c>
      <c r="M31" s="3">
        <f t="shared" si="7"/>
        <v>5.64</v>
      </c>
      <c r="P31" s="10" t="s">
        <v>191</v>
      </c>
      <c r="Q31" s="10" t="str">
        <f t="shared" si="1"/>
        <v>ALFA INVEST -PN</v>
      </c>
      <c r="R31" s="20">
        <f t="shared" si="2"/>
        <v>41717</v>
      </c>
      <c r="S31" s="5">
        <f t="shared" si="3"/>
        <v>5.68</v>
      </c>
      <c r="T31" s="5">
        <f t="shared" si="4"/>
        <v>5.69</v>
      </c>
      <c r="U31" s="5">
        <f t="shared" si="5"/>
        <v>5.69</v>
      </c>
      <c r="V31" s="5">
        <f t="shared" si="6"/>
        <v>5.64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200</v>
      </c>
      <c r="D32" s="3" t="s">
        <v>425</v>
      </c>
      <c r="E32" s="3" t="s">
        <v>394</v>
      </c>
      <c r="F32" s="3" t="s">
        <v>394</v>
      </c>
      <c r="G32" s="3" t="s">
        <v>394</v>
      </c>
      <c r="H32" s="20">
        <v>41717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198</v>
      </c>
      <c r="Q32" s="10" t="str">
        <f t="shared" si="1"/>
        <v xml:space="preserve">BANRISUL    -ON  </v>
      </c>
      <c r="R32" s="20">
        <f t="shared" si="2"/>
        <v>41717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201</v>
      </c>
      <c r="D33" s="3" t="s">
        <v>1084</v>
      </c>
      <c r="E33" s="3" t="s">
        <v>1084</v>
      </c>
      <c r="F33" s="3" t="s">
        <v>1084</v>
      </c>
      <c r="G33" s="3" t="s">
        <v>1084</v>
      </c>
      <c r="H33" s="20">
        <v>41717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199</v>
      </c>
      <c r="Q33" s="10" t="str">
        <f t="shared" si="1"/>
        <v xml:space="preserve">BANRISUL    -PNA </v>
      </c>
      <c r="R33" s="51">
        <f t="shared" si="2"/>
        <v>41717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107</v>
      </c>
      <c r="D34" s="3" t="s">
        <v>1715</v>
      </c>
      <c r="E34" s="3" t="s">
        <v>1716</v>
      </c>
      <c r="F34" s="3" t="s">
        <v>1717</v>
      </c>
      <c r="G34" s="3" t="s">
        <v>1718</v>
      </c>
      <c r="H34" s="20">
        <v>41717</v>
      </c>
      <c r="J34" s="3">
        <f t="shared" si="7"/>
        <v>11.31</v>
      </c>
      <c r="K34" s="3">
        <f t="shared" si="7"/>
        <v>11.43</v>
      </c>
      <c r="L34" s="3">
        <f t="shared" si="7"/>
        <v>11.56</v>
      </c>
      <c r="M34" s="3">
        <f t="shared" si="7"/>
        <v>11.18</v>
      </c>
      <c r="P34" s="10" t="s">
        <v>23</v>
      </c>
      <c r="Q34" s="10" t="str">
        <f t="shared" si="1"/>
        <v xml:space="preserve">BANRISUL    -PNB </v>
      </c>
      <c r="R34" s="20">
        <f t="shared" si="2"/>
        <v>41717</v>
      </c>
      <c r="S34" s="5">
        <f t="shared" si="3"/>
        <v>11.31</v>
      </c>
      <c r="T34" s="5">
        <f t="shared" si="4"/>
        <v>11.43</v>
      </c>
      <c r="U34" s="5">
        <f t="shared" si="5"/>
        <v>11.56</v>
      </c>
      <c r="V34" s="5">
        <f t="shared" si="6"/>
        <v>11.18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1421</v>
      </c>
      <c r="D35" s="3" t="s">
        <v>425</v>
      </c>
      <c r="E35" s="3" t="s">
        <v>985</v>
      </c>
      <c r="F35" s="3" t="s">
        <v>985</v>
      </c>
      <c r="G35" s="3" t="s">
        <v>985</v>
      </c>
      <c r="H35" s="20">
        <v>41717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209</v>
      </c>
      <c r="Q35" s="10" t="str">
        <f t="shared" si="1"/>
        <v>BRB BANCO   -ON</v>
      </c>
      <c r="R35" s="20">
        <f t="shared" si="2"/>
        <v>41717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1422</v>
      </c>
      <c r="D36" s="3" t="s">
        <v>425</v>
      </c>
      <c r="E36" s="3" t="s">
        <v>613</v>
      </c>
      <c r="F36" s="3" t="s">
        <v>613</v>
      </c>
      <c r="G36" s="3" t="s">
        <v>613</v>
      </c>
      <c r="H36" s="20">
        <v>41717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210</v>
      </c>
      <c r="Q36" s="10" t="str">
        <f t="shared" si="1"/>
        <v>BRB BANCO   -PN</v>
      </c>
      <c r="R36" s="51">
        <f t="shared" si="2"/>
        <v>41717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174</v>
      </c>
      <c r="D37" s="3" t="s">
        <v>425</v>
      </c>
      <c r="E37" s="3" t="s">
        <v>155</v>
      </c>
      <c r="F37" s="3" t="s">
        <v>155</v>
      </c>
      <c r="G37" s="3" t="s">
        <v>155</v>
      </c>
      <c r="H37" s="20">
        <v>41717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173</v>
      </c>
      <c r="Q37" s="10" t="str">
        <f t="shared" si="1"/>
        <v>CASAN       -ON</v>
      </c>
      <c r="R37" s="51">
        <f t="shared" si="2"/>
        <v>41717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108</v>
      </c>
      <c r="D38" s="3" t="s">
        <v>1358</v>
      </c>
      <c r="E38" s="3" t="s">
        <v>1364</v>
      </c>
      <c r="F38" s="3" t="s">
        <v>1364</v>
      </c>
      <c r="G38" s="3" t="s">
        <v>1358</v>
      </c>
      <c r="H38" s="20">
        <v>41717</v>
      </c>
      <c r="J38" s="3">
        <f t="shared" si="7"/>
        <v>13.6</v>
      </c>
      <c r="K38" s="3">
        <f t="shared" si="7"/>
        <v>14</v>
      </c>
      <c r="L38" s="3">
        <f t="shared" si="7"/>
        <v>14</v>
      </c>
      <c r="M38" s="3">
        <f t="shared" si="7"/>
        <v>13.6</v>
      </c>
      <c r="P38" s="14" t="s">
        <v>90</v>
      </c>
      <c r="Q38" s="10" t="str">
        <f t="shared" si="1"/>
        <v>CEB         -ON</v>
      </c>
      <c r="R38" s="51">
        <f t="shared" si="2"/>
        <v>41717</v>
      </c>
      <c r="S38" s="5">
        <f t="shared" si="3"/>
        <v>13.6</v>
      </c>
      <c r="T38" s="5">
        <f t="shared" si="4"/>
        <v>14</v>
      </c>
      <c r="U38" s="5">
        <f t="shared" si="5"/>
        <v>14</v>
      </c>
      <c r="V38" s="5">
        <f t="shared" si="6"/>
        <v>13.6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109</v>
      </c>
      <c r="D39" s="3" t="s">
        <v>735</v>
      </c>
      <c r="E39" s="3" t="s">
        <v>423</v>
      </c>
      <c r="F39" s="3" t="s">
        <v>735</v>
      </c>
      <c r="G39" s="3" t="s">
        <v>423</v>
      </c>
      <c r="H39" s="20">
        <v>41717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41717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110</v>
      </c>
      <c r="D40" s="3" t="s">
        <v>1543</v>
      </c>
      <c r="E40" s="3" t="s">
        <v>1543</v>
      </c>
      <c r="F40" s="3" t="s">
        <v>1543</v>
      </c>
      <c r="G40" s="3" t="s">
        <v>1543</v>
      </c>
      <c r="H40" s="20">
        <v>41717</v>
      </c>
      <c r="J40" s="3">
        <f t="shared" si="7"/>
        <v>17.100000000000001</v>
      </c>
      <c r="K40" s="3">
        <f t="shared" si="7"/>
        <v>17.100000000000001</v>
      </c>
      <c r="L40" s="3">
        <f t="shared" si="7"/>
        <v>17.100000000000001</v>
      </c>
      <c r="M40" s="3">
        <f t="shared" si="7"/>
        <v>17.100000000000001</v>
      </c>
      <c r="P40" s="14" t="s">
        <v>69</v>
      </c>
      <c r="Q40" s="10" t="str">
        <f t="shared" si="8"/>
        <v>CEB         -PNB</v>
      </c>
      <c r="R40" s="20">
        <f t="shared" si="9"/>
        <v>41717</v>
      </c>
      <c r="S40" s="5">
        <f t="shared" si="10"/>
        <v>17.100000000000001</v>
      </c>
      <c r="T40" s="5">
        <f t="shared" si="11"/>
        <v>17.100000000000001</v>
      </c>
      <c r="U40" s="5">
        <f t="shared" si="12"/>
        <v>17.100000000000001</v>
      </c>
      <c r="V40" s="5">
        <f t="shared" si="13"/>
        <v>17.100000000000001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630</v>
      </c>
      <c r="D41" s="3" t="s">
        <v>1377</v>
      </c>
      <c r="E41" s="3" t="s">
        <v>887</v>
      </c>
      <c r="F41" s="3" t="s">
        <v>887</v>
      </c>
      <c r="G41" s="3" t="s">
        <v>1377</v>
      </c>
      <c r="H41" s="20">
        <v>41717</v>
      </c>
      <c r="J41" s="3">
        <f t="shared" si="7"/>
        <v>26</v>
      </c>
      <c r="K41" s="3">
        <f t="shared" si="7"/>
        <v>27.3</v>
      </c>
      <c r="L41" s="3">
        <f t="shared" si="7"/>
        <v>27.3</v>
      </c>
      <c r="M41" s="3">
        <f t="shared" si="7"/>
        <v>26</v>
      </c>
      <c r="P41" s="14" t="s">
        <v>88</v>
      </c>
      <c r="Q41" s="10" t="str">
        <f t="shared" si="8"/>
        <v>COELBA      -ON</v>
      </c>
      <c r="R41" s="46">
        <f t="shared" si="9"/>
        <v>41717</v>
      </c>
      <c r="S41" s="6">
        <f t="shared" si="10"/>
        <v>26</v>
      </c>
      <c r="T41" s="6">
        <f t="shared" si="11"/>
        <v>27.3</v>
      </c>
      <c r="U41" s="6">
        <f t="shared" si="12"/>
        <v>27.3</v>
      </c>
      <c r="V41" s="6">
        <f t="shared" si="13"/>
        <v>26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631</v>
      </c>
      <c r="D42" s="3" t="s">
        <v>425</v>
      </c>
      <c r="E42" s="3" t="s">
        <v>111</v>
      </c>
      <c r="F42" s="3" t="s">
        <v>111</v>
      </c>
      <c r="G42" s="3" t="s">
        <v>111</v>
      </c>
      <c r="H42" s="20">
        <v>41717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41717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112</v>
      </c>
      <c r="D43" s="3" t="s">
        <v>425</v>
      </c>
      <c r="E43" s="3" t="s">
        <v>986</v>
      </c>
      <c r="F43" s="3" t="s">
        <v>986</v>
      </c>
      <c r="G43" s="3" t="s">
        <v>986</v>
      </c>
      <c r="H43" s="20">
        <v>41717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41717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113</v>
      </c>
      <c r="D44" s="3" t="s">
        <v>1312</v>
      </c>
      <c r="E44" s="3" t="s">
        <v>1312</v>
      </c>
      <c r="F44" s="3" t="s">
        <v>1312</v>
      </c>
      <c r="G44" s="3" t="s">
        <v>1312</v>
      </c>
      <c r="H44" s="20">
        <v>41717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41717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114</v>
      </c>
      <c r="D45" s="3" t="s">
        <v>1424</v>
      </c>
      <c r="E45" s="3" t="s">
        <v>1385</v>
      </c>
      <c r="F45" s="3" t="s">
        <v>1486</v>
      </c>
      <c r="G45" s="3" t="s">
        <v>1424</v>
      </c>
      <c r="H45" s="20">
        <v>41717</v>
      </c>
      <c r="J45" s="3">
        <f t="shared" si="7"/>
        <v>18.25</v>
      </c>
      <c r="K45" s="3">
        <f t="shared" si="7"/>
        <v>18.399999999999999</v>
      </c>
      <c r="L45" s="3">
        <f t="shared" si="7"/>
        <v>18.43</v>
      </c>
      <c r="M45" s="3">
        <f t="shared" si="7"/>
        <v>18.25</v>
      </c>
      <c r="P45" s="14" t="s">
        <v>72</v>
      </c>
      <c r="Q45" s="10" t="str">
        <f t="shared" si="8"/>
        <v xml:space="preserve">CESP        -ON  </v>
      </c>
      <c r="R45" s="46">
        <f t="shared" si="9"/>
        <v>41717</v>
      </c>
      <c r="S45" s="6">
        <f t="shared" si="10"/>
        <v>18.25</v>
      </c>
      <c r="T45" s="6">
        <f t="shared" si="11"/>
        <v>18.399999999999999</v>
      </c>
      <c r="U45" s="6">
        <f t="shared" si="12"/>
        <v>18.43</v>
      </c>
      <c r="V45" s="6">
        <f t="shared" si="13"/>
        <v>18.25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115</v>
      </c>
      <c r="D46" s="3" t="s">
        <v>1719</v>
      </c>
      <c r="E46" s="3" t="s">
        <v>1720</v>
      </c>
      <c r="F46" s="3" t="s">
        <v>1720</v>
      </c>
      <c r="G46" s="3" t="s">
        <v>1721</v>
      </c>
      <c r="H46" s="20">
        <v>41717</v>
      </c>
      <c r="J46" s="3">
        <f t="shared" si="7"/>
        <v>22.13</v>
      </c>
      <c r="K46" s="3">
        <f t="shared" si="7"/>
        <v>22.65</v>
      </c>
      <c r="L46" s="3">
        <f t="shared" si="7"/>
        <v>22.65</v>
      </c>
      <c r="M46" s="3">
        <f t="shared" si="7"/>
        <v>22.12</v>
      </c>
      <c r="P46" s="14" t="s">
        <v>86</v>
      </c>
      <c r="Q46" s="10" t="str">
        <f t="shared" si="8"/>
        <v xml:space="preserve">CESP        -PNA </v>
      </c>
      <c r="R46" s="46">
        <f t="shared" si="9"/>
        <v>41717</v>
      </c>
      <c r="S46" s="6">
        <f t="shared" si="10"/>
        <v>22.13</v>
      </c>
      <c r="T46" s="6">
        <f t="shared" si="11"/>
        <v>22.65</v>
      </c>
      <c r="U46" s="6">
        <f t="shared" si="12"/>
        <v>22.65</v>
      </c>
      <c r="V46" s="6">
        <f t="shared" si="13"/>
        <v>22.12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116</v>
      </c>
      <c r="D47" s="3" t="s">
        <v>1722</v>
      </c>
      <c r="E47" s="3" t="s">
        <v>1723</v>
      </c>
      <c r="F47" s="3" t="s">
        <v>1724</v>
      </c>
      <c r="G47" s="3" t="s">
        <v>1722</v>
      </c>
      <c r="H47" s="20">
        <v>41717</v>
      </c>
      <c r="J47" s="3">
        <f t="shared" si="7"/>
        <v>21.84</v>
      </c>
      <c r="K47" s="3">
        <f t="shared" si="7"/>
        <v>22.76</v>
      </c>
      <c r="L47" s="3">
        <f t="shared" si="7"/>
        <v>22.81</v>
      </c>
      <c r="M47" s="3">
        <f t="shared" si="7"/>
        <v>21.84</v>
      </c>
      <c r="P47" s="14" t="s">
        <v>87</v>
      </c>
      <c r="Q47" s="10" t="str">
        <f t="shared" si="8"/>
        <v xml:space="preserve">CESP        -PNB </v>
      </c>
      <c r="R47" s="20">
        <f t="shared" si="9"/>
        <v>41717</v>
      </c>
      <c r="S47" s="5">
        <f t="shared" si="10"/>
        <v>21.84</v>
      </c>
      <c r="T47" s="5">
        <f t="shared" si="11"/>
        <v>22.76</v>
      </c>
      <c r="U47" s="5">
        <f t="shared" si="12"/>
        <v>22.81</v>
      </c>
      <c r="V47" s="5">
        <f t="shared" si="13"/>
        <v>21.84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117</v>
      </c>
      <c r="D48" s="3" t="s">
        <v>1595</v>
      </c>
      <c r="E48" s="3" t="s">
        <v>1725</v>
      </c>
      <c r="F48" s="3" t="s">
        <v>1595</v>
      </c>
      <c r="G48" s="3" t="s">
        <v>1725</v>
      </c>
      <c r="H48" s="20">
        <v>41717</v>
      </c>
      <c r="J48" s="3">
        <f t="shared" si="7"/>
        <v>15.49</v>
      </c>
      <c r="K48" s="3">
        <f t="shared" si="7"/>
        <v>15.47</v>
      </c>
      <c r="L48" s="3">
        <f t="shared" si="7"/>
        <v>15.49</v>
      </c>
      <c r="M48" s="3">
        <f t="shared" si="7"/>
        <v>15.47</v>
      </c>
      <c r="P48" s="14" t="s">
        <v>71</v>
      </c>
      <c r="Q48" s="10" t="str">
        <f t="shared" si="8"/>
        <v xml:space="preserve">CELESC      -PN  </v>
      </c>
      <c r="R48" s="20">
        <f t="shared" si="9"/>
        <v>41717</v>
      </c>
      <c r="S48" s="5">
        <f t="shared" si="10"/>
        <v>15.49</v>
      </c>
      <c r="T48" s="5">
        <f t="shared" si="11"/>
        <v>15.47</v>
      </c>
      <c r="U48" s="5">
        <f t="shared" si="12"/>
        <v>15.49</v>
      </c>
      <c r="V48" s="5">
        <f t="shared" si="13"/>
        <v>15.47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118</v>
      </c>
      <c r="D49" s="3" t="s">
        <v>1358</v>
      </c>
      <c r="E49" s="3" t="s">
        <v>1726</v>
      </c>
      <c r="F49" s="3" t="s">
        <v>1727</v>
      </c>
      <c r="G49" s="3" t="s">
        <v>1728</v>
      </c>
      <c r="H49" s="20">
        <v>41717</v>
      </c>
      <c r="J49" s="3">
        <f t="shared" si="7"/>
        <v>13.6</v>
      </c>
      <c r="K49" s="3">
        <f t="shared" si="7"/>
        <v>13.72</v>
      </c>
      <c r="L49" s="3">
        <f t="shared" si="7"/>
        <v>13.78</v>
      </c>
      <c r="M49" s="3">
        <f t="shared" si="7"/>
        <v>13.56</v>
      </c>
      <c r="P49" s="26" t="s">
        <v>31</v>
      </c>
      <c r="Q49" s="10" t="str">
        <f t="shared" si="8"/>
        <v xml:space="preserve">CEMIG       -ON  </v>
      </c>
      <c r="R49" s="20">
        <f t="shared" si="9"/>
        <v>41717</v>
      </c>
      <c r="S49" s="5">
        <f t="shared" si="10"/>
        <v>13.6</v>
      </c>
      <c r="T49" s="5">
        <f t="shared" si="11"/>
        <v>13.72</v>
      </c>
      <c r="U49" s="5">
        <f t="shared" si="12"/>
        <v>13.78</v>
      </c>
      <c r="V49" s="5">
        <f t="shared" si="13"/>
        <v>13.56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119</v>
      </c>
      <c r="D50" s="3" t="s">
        <v>1729</v>
      </c>
      <c r="E50" s="3" t="s">
        <v>1730</v>
      </c>
      <c r="F50" s="3" t="s">
        <v>1731</v>
      </c>
      <c r="G50" s="3" t="s">
        <v>1631</v>
      </c>
      <c r="H50" s="20">
        <v>41717</v>
      </c>
      <c r="J50" s="3">
        <f t="shared" si="7"/>
        <v>13.45</v>
      </c>
      <c r="K50" s="3">
        <f t="shared" si="7"/>
        <v>13.5</v>
      </c>
      <c r="L50" s="3">
        <f t="shared" si="7"/>
        <v>13.57</v>
      </c>
      <c r="M50" s="3">
        <f t="shared" si="7"/>
        <v>13.19</v>
      </c>
      <c r="P50" s="26" t="s">
        <v>30</v>
      </c>
      <c r="Q50" s="10" t="str">
        <f t="shared" si="8"/>
        <v xml:space="preserve">CEMIG       -PN  </v>
      </c>
      <c r="R50" s="46">
        <f t="shared" si="9"/>
        <v>41717</v>
      </c>
      <c r="S50" s="6">
        <f t="shared" si="10"/>
        <v>13.45</v>
      </c>
      <c r="T50" s="6">
        <f t="shared" si="11"/>
        <v>13.5</v>
      </c>
      <c r="U50" s="6">
        <f t="shared" si="12"/>
        <v>13.57</v>
      </c>
      <c r="V50" s="6">
        <f t="shared" si="13"/>
        <v>13.19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120</v>
      </c>
      <c r="D51" s="3" t="s">
        <v>1488</v>
      </c>
      <c r="E51" s="3" t="s">
        <v>1488</v>
      </c>
      <c r="F51" s="3" t="s">
        <v>1488</v>
      </c>
      <c r="G51" s="3" t="s">
        <v>1423</v>
      </c>
      <c r="H51" s="20">
        <v>41717</v>
      </c>
      <c r="J51" s="3">
        <f t="shared" si="7"/>
        <v>48.9</v>
      </c>
      <c r="K51" s="3">
        <f t="shared" si="7"/>
        <v>48.9</v>
      </c>
      <c r="L51" s="3">
        <f t="shared" si="7"/>
        <v>48.9</v>
      </c>
      <c r="M51" s="3">
        <f t="shared" si="7"/>
        <v>48.8</v>
      </c>
      <c r="P51" s="14" t="s">
        <v>93</v>
      </c>
      <c r="Q51" s="10" t="str">
        <f t="shared" si="8"/>
        <v>COELCE      -ON</v>
      </c>
      <c r="R51" s="46">
        <f t="shared" si="9"/>
        <v>41717</v>
      </c>
      <c r="S51" s="6">
        <f t="shared" si="10"/>
        <v>48.9</v>
      </c>
      <c r="T51" s="6">
        <f t="shared" si="11"/>
        <v>48.9</v>
      </c>
      <c r="U51" s="6">
        <f t="shared" si="12"/>
        <v>48.9</v>
      </c>
      <c r="V51" s="6">
        <f t="shared" si="13"/>
        <v>48.8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121</v>
      </c>
      <c r="D52" s="3" t="s">
        <v>1732</v>
      </c>
      <c r="E52" s="3" t="s">
        <v>1733</v>
      </c>
      <c r="F52" s="3" t="s">
        <v>1733</v>
      </c>
      <c r="G52" s="3" t="s">
        <v>1734</v>
      </c>
      <c r="H52" s="20">
        <v>41717</v>
      </c>
      <c r="J52" s="3">
        <f t="shared" si="7"/>
        <v>35.97</v>
      </c>
      <c r="K52" s="3">
        <f t="shared" si="7"/>
        <v>36.28</v>
      </c>
      <c r="L52" s="3">
        <f t="shared" si="7"/>
        <v>36.28</v>
      </c>
      <c r="M52" s="3">
        <f t="shared" si="7"/>
        <v>35.86</v>
      </c>
      <c r="P52" s="10" t="s">
        <v>81</v>
      </c>
      <c r="Q52" s="10" t="str">
        <f t="shared" si="8"/>
        <v>COELCE      -PNA</v>
      </c>
      <c r="R52" s="51">
        <f t="shared" si="9"/>
        <v>41717</v>
      </c>
      <c r="S52" s="5">
        <f t="shared" si="10"/>
        <v>35.97</v>
      </c>
      <c r="T52" s="5">
        <f t="shared" si="11"/>
        <v>36.28</v>
      </c>
      <c r="U52" s="5">
        <f t="shared" si="12"/>
        <v>36.28</v>
      </c>
      <c r="V52" s="5">
        <f t="shared" si="13"/>
        <v>35.86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122</v>
      </c>
      <c r="D53" s="3" t="s">
        <v>1735</v>
      </c>
      <c r="E53" s="3" t="s">
        <v>1634</v>
      </c>
      <c r="F53" s="3" t="s">
        <v>1584</v>
      </c>
      <c r="G53" s="3" t="s">
        <v>1507</v>
      </c>
      <c r="H53" s="20">
        <v>41717</v>
      </c>
      <c r="J53" s="3">
        <f t="shared" si="7"/>
        <v>17.09</v>
      </c>
      <c r="K53" s="3">
        <f t="shared" si="7"/>
        <v>16.96</v>
      </c>
      <c r="L53" s="3">
        <f t="shared" si="7"/>
        <v>17.22</v>
      </c>
      <c r="M53" s="3">
        <f t="shared" si="7"/>
        <v>16.91</v>
      </c>
      <c r="P53" s="26" t="s">
        <v>32</v>
      </c>
      <c r="Q53" s="10" t="str">
        <f t="shared" si="8"/>
        <v xml:space="preserve">CPFL ENERGIA-ON  </v>
      </c>
      <c r="R53" s="51">
        <f t="shared" si="9"/>
        <v>41717</v>
      </c>
      <c r="S53" s="5">
        <f t="shared" si="10"/>
        <v>17.09</v>
      </c>
      <c r="T53" s="5">
        <f t="shared" si="11"/>
        <v>16.96</v>
      </c>
      <c r="U53" s="5">
        <f t="shared" si="12"/>
        <v>17.22</v>
      </c>
      <c r="V53" s="5">
        <f t="shared" si="13"/>
        <v>16.91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123</v>
      </c>
      <c r="D54" s="3" t="s">
        <v>1602</v>
      </c>
      <c r="E54" s="3" t="s">
        <v>1603</v>
      </c>
      <c r="F54" s="3" t="s">
        <v>1425</v>
      </c>
      <c r="G54" s="3" t="s">
        <v>1736</v>
      </c>
      <c r="H54" s="20">
        <v>41717</v>
      </c>
      <c r="J54" s="3">
        <f t="shared" si="7"/>
        <v>18.78</v>
      </c>
      <c r="K54" s="3">
        <f t="shared" si="7"/>
        <v>19.05</v>
      </c>
      <c r="L54" s="3">
        <f t="shared" si="7"/>
        <v>19.190000000000001</v>
      </c>
      <c r="M54" s="3">
        <f t="shared" si="7"/>
        <v>18.420000000000002</v>
      </c>
      <c r="P54" s="26" t="s">
        <v>34</v>
      </c>
      <c r="Q54" s="10" t="str">
        <f t="shared" si="8"/>
        <v xml:space="preserve">COPEL       -ON  </v>
      </c>
      <c r="R54" s="51">
        <f t="shared" si="9"/>
        <v>41717</v>
      </c>
      <c r="S54" s="5">
        <f t="shared" si="10"/>
        <v>18.78</v>
      </c>
      <c r="T54" s="5">
        <f t="shared" si="11"/>
        <v>19.05</v>
      </c>
      <c r="U54" s="5">
        <f t="shared" si="12"/>
        <v>19.190000000000001</v>
      </c>
      <c r="V54" s="5">
        <f t="shared" si="13"/>
        <v>18.420000000000002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124</v>
      </c>
      <c r="D55" s="3" t="s">
        <v>425</v>
      </c>
      <c r="E55" s="3" t="s">
        <v>125</v>
      </c>
      <c r="F55" s="3" t="s">
        <v>125</v>
      </c>
      <c r="G55" s="3" t="s">
        <v>125</v>
      </c>
      <c r="H55" s="20">
        <v>41717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41717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126</v>
      </c>
      <c r="D56" s="3" t="s">
        <v>1737</v>
      </c>
      <c r="E56" s="3" t="s">
        <v>1738</v>
      </c>
      <c r="F56" s="3" t="s">
        <v>1739</v>
      </c>
      <c r="G56" s="3" t="s">
        <v>1737</v>
      </c>
      <c r="H56" s="20">
        <v>41717</v>
      </c>
      <c r="J56" s="3">
        <f t="shared" si="7"/>
        <v>25.73</v>
      </c>
      <c r="K56" s="3">
        <f t="shared" si="7"/>
        <v>26.32</v>
      </c>
      <c r="L56" s="3">
        <f t="shared" si="7"/>
        <v>26.57</v>
      </c>
      <c r="M56" s="3">
        <f t="shared" si="7"/>
        <v>25.73</v>
      </c>
      <c r="P56" s="14" t="s">
        <v>100</v>
      </c>
      <c r="Q56" s="10" t="str">
        <f t="shared" si="8"/>
        <v xml:space="preserve">COPEL       -PNB </v>
      </c>
      <c r="R56" s="51">
        <f t="shared" si="9"/>
        <v>41717</v>
      </c>
      <c r="S56" s="5">
        <f t="shared" si="10"/>
        <v>25.73</v>
      </c>
      <c r="T56" s="5">
        <f t="shared" si="11"/>
        <v>26.32</v>
      </c>
      <c r="U56" s="5">
        <f t="shared" si="12"/>
        <v>26.57</v>
      </c>
      <c r="V56" s="5">
        <f t="shared" si="13"/>
        <v>25.73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176</v>
      </c>
      <c r="D57" s="3" t="s">
        <v>1740</v>
      </c>
      <c r="E57" s="3" t="s">
        <v>1741</v>
      </c>
      <c r="F57" s="3" t="s">
        <v>1742</v>
      </c>
      <c r="G57" s="3" t="s">
        <v>1743</v>
      </c>
      <c r="H57" s="20">
        <v>41717</v>
      </c>
      <c r="J57" s="3">
        <f t="shared" si="7"/>
        <v>33.58</v>
      </c>
      <c r="K57" s="3">
        <f t="shared" si="7"/>
        <v>34.78</v>
      </c>
      <c r="L57" s="3">
        <f t="shared" si="7"/>
        <v>35.08</v>
      </c>
      <c r="M57" s="3">
        <f t="shared" si="7"/>
        <v>33.229999999999997</v>
      </c>
      <c r="P57" s="14" t="s">
        <v>175</v>
      </c>
      <c r="Q57" s="10" t="str">
        <f t="shared" si="8"/>
        <v xml:space="preserve">COPASA      -ON  </v>
      </c>
      <c r="R57" s="20">
        <f t="shared" si="9"/>
        <v>41717</v>
      </c>
      <c r="S57" s="5">
        <f t="shared" si="10"/>
        <v>33.58</v>
      </c>
      <c r="T57" s="5">
        <f t="shared" si="11"/>
        <v>34.78</v>
      </c>
      <c r="U57" s="5">
        <f t="shared" si="12"/>
        <v>35.08</v>
      </c>
      <c r="V57" s="5">
        <f t="shared" si="13"/>
        <v>33.229999999999997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632</v>
      </c>
      <c r="D58" s="3" t="s">
        <v>1342</v>
      </c>
      <c r="E58" s="3" t="s">
        <v>1342</v>
      </c>
      <c r="F58" s="3" t="s">
        <v>1342</v>
      </c>
      <c r="G58" s="3" t="s">
        <v>1342</v>
      </c>
      <c r="H58" s="20">
        <v>41717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4" t="s">
        <v>95</v>
      </c>
      <c r="Q58" s="10" t="str">
        <f t="shared" si="8"/>
        <v>COSERN      -ON</v>
      </c>
      <c r="R58" s="51">
        <f t="shared" si="9"/>
        <v>41717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633</v>
      </c>
      <c r="D59" s="3" t="s">
        <v>425</v>
      </c>
      <c r="E59" s="3" t="s">
        <v>127</v>
      </c>
      <c r="F59" s="3" t="s">
        <v>127</v>
      </c>
      <c r="G59" s="3" t="s">
        <v>127</v>
      </c>
      <c r="H59" s="20">
        <v>41717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41717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634</v>
      </c>
      <c r="D60" s="3" t="s">
        <v>1343</v>
      </c>
      <c r="E60" s="3" t="s">
        <v>1343</v>
      </c>
      <c r="F60" s="3" t="s">
        <v>1343</v>
      </c>
      <c r="G60" s="3" t="s">
        <v>1343</v>
      </c>
      <c r="H60" s="20">
        <v>41717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4" t="s">
        <v>68</v>
      </c>
      <c r="Q60" s="10" t="str">
        <f t="shared" si="8"/>
        <v>COSERN      -PNB</v>
      </c>
      <c r="R60" s="51">
        <f t="shared" si="9"/>
        <v>41717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128</v>
      </c>
      <c r="D61" s="3" t="s">
        <v>1392</v>
      </c>
      <c r="E61" s="3" t="s">
        <v>1744</v>
      </c>
      <c r="F61" s="3" t="s">
        <v>1745</v>
      </c>
      <c r="G61" s="3" t="s">
        <v>1392</v>
      </c>
      <c r="H61" s="20">
        <v>41717</v>
      </c>
      <c r="J61" s="3">
        <f t="shared" si="7"/>
        <v>8.52</v>
      </c>
      <c r="K61" s="3">
        <f t="shared" si="7"/>
        <v>8.5399999999999991</v>
      </c>
      <c r="L61" s="3">
        <f t="shared" si="7"/>
        <v>8.58</v>
      </c>
      <c r="M61" s="3">
        <f t="shared" si="7"/>
        <v>8.52</v>
      </c>
      <c r="P61" s="10" t="s">
        <v>15</v>
      </c>
      <c r="Q61" s="10" t="str">
        <f t="shared" si="8"/>
        <v xml:space="preserve">DAYCOVAL    -PN  </v>
      </c>
      <c r="R61" s="51">
        <f t="shared" si="9"/>
        <v>41717</v>
      </c>
      <c r="S61" s="5">
        <f t="shared" si="10"/>
        <v>8.52</v>
      </c>
      <c r="T61" s="5">
        <f t="shared" si="11"/>
        <v>8.5399999999999991</v>
      </c>
      <c r="U61" s="5">
        <f t="shared" si="12"/>
        <v>8.58</v>
      </c>
      <c r="V61" s="5">
        <f t="shared" si="13"/>
        <v>8.52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129</v>
      </c>
      <c r="D62" s="3" t="s">
        <v>1491</v>
      </c>
      <c r="E62" s="3" t="s">
        <v>1491</v>
      </c>
      <c r="F62" s="3" t="s">
        <v>1491</v>
      </c>
      <c r="G62" s="3" t="s">
        <v>1491</v>
      </c>
      <c r="H62" s="20">
        <v>41717</v>
      </c>
      <c r="J62" s="3">
        <f t="shared" si="7"/>
        <v>1.31</v>
      </c>
      <c r="K62" s="3">
        <f t="shared" si="7"/>
        <v>1.31</v>
      </c>
      <c r="L62" s="3">
        <f t="shared" si="7"/>
        <v>1.31</v>
      </c>
      <c r="M62" s="3">
        <f t="shared" si="7"/>
        <v>1.31</v>
      </c>
      <c r="P62" s="14" t="s">
        <v>97</v>
      </c>
      <c r="Q62" s="10" t="str">
        <f t="shared" si="8"/>
        <v xml:space="preserve">CEEE-GT     -ON  </v>
      </c>
      <c r="R62" s="51">
        <f t="shared" si="9"/>
        <v>41717</v>
      </c>
      <c r="S62" s="5">
        <f t="shared" si="10"/>
        <v>1.31</v>
      </c>
      <c r="T62" s="5">
        <f t="shared" si="11"/>
        <v>1.31</v>
      </c>
      <c r="U62" s="5">
        <f t="shared" si="12"/>
        <v>1.31</v>
      </c>
      <c r="V62" s="5">
        <f t="shared" si="13"/>
        <v>1.31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130</v>
      </c>
      <c r="D63" s="3" t="s">
        <v>523</v>
      </c>
      <c r="E63" s="3" t="s">
        <v>1536</v>
      </c>
      <c r="F63" s="3" t="s">
        <v>523</v>
      </c>
      <c r="G63" s="3" t="s">
        <v>1536</v>
      </c>
      <c r="H63" s="20">
        <v>41717</v>
      </c>
      <c r="J63" s="3">
        <f t="shared" si="7"/>
        <v>1.7</v>
      </c>
      <c r="K63" s="3">
        <f t="shared" si="7"/>
        <v>1.57</v>
      </c>
      <c r="L63" s="3">
        <f t="shared" si="7"/>
        <v>1.7</v>
      </c>
      <c r="M63" s="3">
        <f t="shared" si="7"/>
        <v>1.57</v>
      </c>
      <c r="P63" s="14" t="s">
        <v>98</v>
      </c>
      <c r="Q63" s="10" t="str">
        <f t="shared" si="8"/>
        <v xml:space="preserve">CEEE-GT     -PN  </v>
      </c>
      <c r="R63" s="51">
        <f t="shared" si="9"/>
        <v>41717</v>
      </c>
      <c r="S63" s="5">
        <f t="shared" si="10"/>
        <v>1.7</v>
      </c>
      <c r="T63" s="5">
        <f t="shared" si="11"/>
        <v>1.57</v>
      </c>
      <c r="U63" s="5">
        <f t="shared" si="12"/>
        <v>1.7</v>
      </c>
      <c r="V63" s="5">
        <f t="shared" si="13"/>
        <v>1.57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131</v>
      </c>
      <c r="D64" s="3" t="s">
        <v>1329</v>
      </c>
      <c r="E64" s="3" t="s">
        <v>1746</v>
      </c>
      <c r="F64" s="3" t="s">
        <v>1579</v>
      </c>
      <c r="G64" s="3" t="s">
        <v>1329</v>
      </c>
      <c r="H64" s="20">
        <v>41717</v>
      </c>
      <c r="J64" s="3">
        <f t="shared" si="7"/>
        <v>5.15</v>
      </c>
      <c r="K64" s="3">
        <f t="shared" si="7"/>
        <v>5.35</v>
      </c>
      <c r="L64" s="3">
        <f t="shared" si="7"/>
        <v>5.37</v>
      </c>
      <c r="M64" s="3">
        <f t="shared" si="7"/>
        <v>5.15</v>
      </c>
      <c r="P64" s="15" t="s">
        <v>2</v>
      </c>
      <c r="Q64" s="10" t="str">
        <f t="shared" si="8"/>
        <v xml:space="preserve">ELETROBRAS  -ON  </v>
      </c>
      <c r="R64" s="51">
        <f t="shared" si="9"/>
        <v>41717</v>
      </c>
      <c r="S64" s="5">
        <f t="shared" si="10"/>
        <v>5.15</v>
      </c>
      <c r="T64" s="5">
        <f t="shared" si="11"/>
        <v>5.35</v>
      </c>
      <c r="U64" s="5">
        <f t="shared" si="12"/>
        <v>5.37</v>
      </c>
      <c r="V64" s="5">
        <f t="shared" si="13"/>
        <v>5.15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132</v>
      </c>
      <c r="D65" s="3" t="s">
        <v>1747</v>
      </c>
      <c r="E65" s="3" t="s">
        <v>1748</v>
      </c>
      <c r="F65" s="3" t="s">
        <v>1749</v>
      </c>
      <c r="G65" s="3" t="s">
        <v>1346</v>
      </c>
      <c r="H65" s="20">
        <v>41717</v>
      </c>
      <c r="J65" s="3">
        <f t="shared" si="7"/>
        <v>9.4499999999999993</v>
      </c>
      <c r="K65" s="3">
        <f t="shared" si="7"/>
        <v>9.67</v>
      </c>
      <c r="L65" s="3">
        <f t="shared" si="7"/>
        <v>9.6999999999999993</v>
      </c>
      <c r="M65" s="3">
        <f t="shared" si="7"/>
        <v>9.39</v>
      </c>
      <c r="P65" s="26" t="s">
        <v>27</v>
      </c>
      <c r="Q65" s="10" t="str">
        <f t="shared" si="8"/>
        <v xml:space="preserve">ELETROBRAS  -PNB </v>
      </c>
      <c r="R65" s="51">
        <f t="shared" si="9"/>
        <v>41717</v>
      </c>
      <c r="S65" s="5">
        <f t="shared" si="10"/>
        <v>9.4499999999999993</v>
      </c>
      <c r="T65" s="5">
        <f t="shared" si="11"/>
        <v>9.67</v>
      </c>
      <c r="U65" s="5">
        <f t="shared" si="12"/>
        <v>9.6999999999999993</v>
      </c>
      <c r="V65" s="5">
        <f t="shared" si="13"/>
        <v>9.39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163</v>
      </c>
      <c r="D66" s="3" t="s">
        <v>395</v>
      </c>
      <c r="E66" s="3" t="s">
        <v>395</v>
      </c>
      <c r="F66" s="3" t="s">
        <v>395</v>
      </c>
      <c r="G66" s="3" t="s">
        <v>395</v>
      </c>
      <c r="H66" s="20">
        <v>41717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4" t="s">
        <v>162</v>
      </c>
      <c r="Q66" s="10" t="str">
        <f t="shared" si="8"/>
        <v xml:space="preserve">ELETROPAULO -ON  </v>
      </c>
      <c r="R66" s="51">
        <f t="shared" si="9"/>
        <v>41717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133</v>
      </c>
      <c r="D67" s="3" t="s">
        <v>1208</v>
      </c>
      <c r="E67" s="3" t="s">
        <v>1750</v>
      </c>
      <c r="F67" s="3" t="s">
        <v>1751</v>
      </c>
      <c r="G67" s="3" t="s">
        <v>1208</v>
      </c>
      <c r="H67" s="20">
        <v>41717</v>
      </c>
      <c r="J67" s="3">
        <f t="shared" si="7"/>
        <v>7.8</v>
      </c>
      <c r="K67" s="3">
        <f t="shared" si="7"/>
        <v>7.94</v>
      </c>
      <c r="L67" s="3">
        <f t="shared" si="7"/>
        <v>8.01</v>
      </c>
      <c r="M67" s="3">
        <f t="shared" si="7"/>
        <v>7.8</v>
      </c>
      <c r="P67" s="43" t="s">
        <v>1</v>
      </c>
      <c r="Q67" s="10" t="str">
        <f t="shared" si="8"/>
        <v xml:space="preserve">ELETROPAULO -PN  </v>
      </c>
      <c r="R67" s="51">
        <f t="shared" si="9"/>
        <v>41717</v>
      </c>
      <c r="S67" s="5">
        <f t="shared" si="10"/>
        <v>7.8</v>
      </c>
      <c r="T67" s="5">
        <f t="shared" si="11"/>
        <v>7.94</v>
      </c>
      <c r="U67" s="5">
        <f t="shared" si="12"/>
        <v>8.01</v>
      </c>
      <c r="V67" s="5">
        <f t="shared" si="13"/>
        <v>7.8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165</v>
      </c>
      <c r="D68" s="3" t="s">
        <v>1307</v>
      </c>
      <c r="E68" s="3" t="s">
        <v>1307</v>
      </c>
      <c r="F68" s="3" t="s">
        <v>1307</v>
      </c>
      <c r="G68" s="3" t="s">
        <v>1307</v>
      </c>
      <c r="H68" s="20">
        <v>41717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164</v>
      </c>
      <c r="Q68" s="10" t="str">
        <f t="shared" si="8"/>
        <v>EMAE        -PN</v>
      </c>
      <c r="R68" s="46">
        <f t="shared" si="9"/>
        <v>41717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135</v>
      </c>
      <c r="D69" s="3" t="s">
        <v>1752</v>
      </c>
      <c r="E69" s="3" t="s">
        <v>1753</v>
      </c>
      <c r="F69" s="3" t="s">
        <v>1540</v>
      </c>
      <c r="G69" s="3" t="s">
        <v>1492</v>
      </c>
      <c r="H69" s="20">
        <v>41717</v>
      </c>
      <c r="J69" s="3">
        <f t="shared" si="7"/>
        <v>9.0399999999999991</v>
      </c>
      <c r="K69" s="3">
        <f t="shared" si="7"/>
        <v>9.1199999999999992</v>
      </c>
      <c r="L69" s="3">
        <f t="shared" si="7"/>
        <v>9.1999999999999993</v>
      </c>
      <c r="M69" s="3">
        <f t="shared" si="7"/>
        <v>8.99</v>
      </c>
      <c r="P69" s="14" t="s">
        <v>28</v>
      </c>
      <c r="Q69" s="10" t="str">
        <f t="shared" si="8"/>
        <v xml:space="preserve">ENERGIAS BR -ON  </v>
      </c>
      <c r="R69" s="51">
        <f t="shared" si="9"/>
        <v>41717</v>
      </c>
      <c r="S69" s="5">
        <f t="shared" si="10"/>
        <v>9.0399999999999991</v>
      </c>
      <c r="T69" s="5">
        <f t="shared" si="11"/>
        <v>9.1199999999999992</v>
      </c>
      <c r="U69" s="5">
        <f t="shared" si="12"/>
        <v>9.1999999999999993</v>
      </c>
      <c r="V69" s="5">
        <f t="shared" si="13"/>
        <v>8.99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1428</v>
      </c>
      <c r="D70" s="3" t="s">
        <v>1495</v>
      </c>
      <c r="E70" s="3" t="s">
        <v>1597</v>
      </c>
      <c r="F70" s="3" t="s">
        <v>1495</v>
      </c>
      <c r="G70" s="3" t="s">
        <v>1597</v>
      </c>
      <c r="H70" s="20">
        <v>41717</v>
      </c>
      <c r="J70" s="3">
        <f t="shared" si="7"/>
        <v>12</v>
      </c>
      <c r="K70" s="3">
        <f t="shared" si="7"/>
        <v>10.71</v>
      </c>
      <c r="L70" s="3">
        <f t="shared" si="7"/>
        <v>12</v>
      </c>
      <c r="M70" s="3">
        <f t="shared" si="7"/>
        <v>10.71</v>
      </c>
      <c r="P70" s="14" t="s">
        <v>85</v>
      </c>
      <c r="Q70" s="10" t="str">
        <f t="shared" si="8"/>
        <v>ENERGISA    -UNT</v>
      </c>
      <c r="R70" s="51">
        <f t="shared" si="9"/>
        <v>41717</v>
      </c>
      <c r="S70" s="5">
        <f t="shared" si="10"/>
        <v>12</v>
      </c>
      <c r="T70" s="5">
        <f t="shared" si="11"/>
        <v>10.71</v>
      </c>
      <c r="U70" s="5">
        <f t="shared" si="12"/>
        <v>12</v>
      </c>
      <c r="V70" s="5">
        <f t="shared" si="13"/>
        <v>10.71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1429</v>
      </c>
      <c r="D71" s="3" t="s">
        <v>1598</v>
      </c>
      <c r="E71" s="3" t="s">
        <v>1599</v>
      </c>
      <c r="F71" s="3" t="s">
        <v>1599</v>
      </c>
      <c r="G71" s="3" t="s">
        <v>1598</v>
      </c>
      <c r="H71" s="20">
        <v>41717</v>
      </c>
      <c r="J71" s="3">
        <f t="shared" si="7"/>
        <v>2.39</v>
      </c>
      <c r="K71" s="3">
        <f t="shared" si="7"/>
        <v>2.4700000000000002</v>
      </c>
      <c r="L71" s="3">
        <f t="shared" si="7"/>
        <v>2.4700000000000002</v>
      </c>
      <c r="M71" s="3">
        <f t="shared" si="7"/>
        <v>2.39</v>
      </c>
      <c r="P71" s="14" t="s">
        <v>166</v>
      </c>
      <c r="Q71" s="10" t="str">
        <f t="shared" ref="Q71:Q102" si="14">IF(A71="","",C71)</f>
        <v>ENERGISA    -ON</v>
      </c>
      <c r="R71" s="51">
        <f t="shared" ref="R71:R102" si="15">IF(A71="","",H71)</f>
        <v>41717</v>
      </c>
      <c r="S71" s="5">
        <f t="shared" ref="S71:S102" si="16">J71</f>
        <v>2.39</v>
      </c>
      <c r="T71" s="5">
        <f t="shared" ref="T71:T102" si="17">K71</f>
        <v>2.4700000000000002</v>
      </c>
      <c r="U71" s="5">
        <f t="shared" ref="U71:U102" si="18">L71</f>
        <v>2.4700000000000002</v>
      </c>
      <c r="V71" s="5">
        <f t="shared" ref="V71:V102" si="19">M71</f>
        <v>2.39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1430</v>
      </c>
      <c r="D72" s="3" t="s">
        <v>1754</v>
      </c>
      <c r="E72" s="3" t="s">
        <v>1754</v>
      </c>
      <c r="F72" s="3" t="s">
        <v>1754</v>
      </c>
      <c r="G72" s="3" t="s">
        <v>1754</v>
      </c>
      <c r="H72" s="20">
        <v>41717</v>
      </c>
      <c r="J72" s="3">
        <f t="shared" ref="J72:M135" si="20">IF($A72="",0,VALUE(CONCATENATE(LEFT(D72,LEN(D72)-3),",",RIGHT(D72,2))))</f>
        <v>1.94</v>
      </c>
      <c r="K72" s="3">
        <f t="shared" si="20"/>
        <v>1.94</v>
      </c>
      <c r="L72" s="3">
        <f t="shared" si="20"/>
        <v>1.94</v>
      </c>
      <c r="M72" s="3">
        <f t="shared" si="20"/>
        <v>1.94</v>
      </c>
      <c r="P72" s="14" t="s">
        <v>64</v>
      </c>
      <c r="Q72" s="10" t="str">
        <f t="shared" si="14"/>
        <v>ENERGISA    -PN</v>
      </c>
      <c r="R72" s="46">
        <f t="shared" si="15"/>
        <v>41717</v>
      </c>
      <c r="S72" s="6">
        <f t="shared" si="16"/>
        <v>1.94</v>
      </c>
      <c r="T72" s="6">
        <f t="shared" si="17"/>
        <v>1.94</v>
      </c>
      <c r="U72" s="5">
        <f t="shared" si="18"/>
        <v>1.94</v>
      </c>
      <c r="V72" s="5">
        <f t="shared" si="19"/>
        <v>1.94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136</v>
      </c>
      <c r="D73" s="3" t="s">
        <v>1755</v>
      </c>
      <c r="E73" s="3" t="s">
        <v>1755</v>
      </c>
      <c r="F73" s="3" t="s">
        <v>1755</v>
      </c>
      <c r="G73" s="3" t="s">
        <v>1755</v>
      </c>
      <c r="H73" s="20">
        <v>41717</v>
      </c>
      <c r="J73" s="3">
        <f t="shared" si="20"/>
        <v>15.24</v>
      </c>
      <c r="K73" s="3">
        <f t="shared" si="20"/>
        <v>15.24</v>
      </c>
      <c r="L73" s="3">
        <f t="shared" si="20"/>
        <v>15.24</v>
      </c>
      <c r="M73" s="3">
        <f t="shared" si="20"/>
        <v>15.24</v>
      </c>
      <c r="P73" s="14" t="s">
        <v>94</v>
      </c>
      <c r="Q73" s="10" t="str">
        <f t="shared" si="14"/>
        <v xml:space="preserve">CEMAR       -ON  </v>
      </c>
      <c r="R73" s="51">
        <f t="shared" si="15"/>
        <v>41717</v>
      </c>
      <c r="S73" s="5">
        <f t="shared" si="16"/>
        <v>15.24</v>
      </c>
      <c r="T73" s="5">
        <f t="shared" si="17"/>
        <v>15.24</v>
      </c>
      <c r="U73" s="5">
        <f t="shared" si="18"/>
        <v>15.24</v>
      </c>
      <c r="V73" s="5">
        <f t="shared" si="19"/>
        <v>15.24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137</v>
      </c>
      <c r="D74" s="3" t="s">
        <v>1756</v>
      </c>
      <c r="E74" s="3" t="s">
        <v>1757</v>
      </c>
      <c r="F74" s="3" t="s">
        <v>389</v>
      </c>
      <c r="G74" s="3" t="s">
        <v>1758</v>
      </c>
      <c r="H74" s="20">
        <v>41717</v>
      </c>
      <c r="J74" s="3">
        <f t="shared" si="20"/>
        <v>19.239999999999998</v>
      </c>
      <c r="K74" s="3">
        <f t="shared" si="20"/>
        <v>19.2</v>
      </c>
      <c r="L74" s="3">
        <f t="shared" si="20"/>
        <v>19.5</v>
      </c>
      <c r="M74" s="3">
        <f t="shared" si="20"/>
        <v>18.97</v>
      </c>
      <c r="P74" s="26" t="s">
        <v>35</v>
      </c>
      <c r="Q74" s="10" t="str">
        <f t="shared" si="14"/>
        <v xml:space="preserve">EQUATORIAL  -ON  </v>
      </c>
      <c r="R74" s="51">
        <f t="shared" si="15"/>
        <v>41717</v>
      </c>
      <c r="S74" s="5">
        <f t="shared" si="16"/>
        <v>19.239999999999998</v>
      </c>
      <c r="T74" s="5">
        <f t="shared" si="17"/>
        <v>19.2</v>
      </c>
      <c r="U74" s="5">
        <f t="shared" si="18"/>
        <v>19.5</v>
      </c>
      <c r="V74" s="5">
        <f t="shared" si="19"/>
        <v>18.97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230</v>
      </c>
      <c r="D75" s="3" t="s">
        <v>425</v>
      </c>
      <c r="E75" s="3" t="s">
        <v>227</v>
      </c>
      <c r="F75" s="3" t="s">
        <v>227</v>
      </c>
      <c r="G75" s="3" t="s">
        <v>227</v>
      </c>
      <c r="H75" s="20">
        <v>41717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228</v>
      </c>
      <c r="Q75" s="10" t="str">
        <f t="shared" si="14"/>
        <v xml:space="preserve">FERBASA     -ON  </v>
      </c>
      <c r="R75" s="51">
        <f t="shared" si="15"/>
        <v>41717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229</v>
      </c>
      <c r="D76" s="3" t="s">
        <v>1759</v>
      </c>
      <c r="E76" s="3" t="s">
        <v>1760</v>
      </c>
      <c r="F76" s="3" t="s">
        <v>1759</v>
      </c>
      <c r="G76" s="3" t="s">
        <v>1761</v>
      </c>
      <c r="H76" s="20">
        <v>41717</v>
      </c>
      <c r="J76" s="3">
        <f t="shared" si="20"/>
        <v>11.48</v>
      </c>
      <c r="K76" s="3">
        <f t="shared" si="20"/>
        <v>11.09</v>
      </c>
      <c r="L76" s="3">
        <f t="shared" si="20"/>
        <v>11.48</v>
      </c>
      <c r="M76" s="3">
        <f t="shared" si="20"/>
        <v>10.98</v>
      </c>
      <c r="P76" s="15" t="s">
        <v>79</v>
      </c>
      <c r="Q76" s="10" t="str">
        <f t="shared" si="14"/>
        <v xml:space="preserve">FERBASA     -PN  </v>
      </c>
      <c r="R76" s="51">
        <f t="shared" si="15"/>
        <v>41717</v>
      </c>
      <c r="S76" s="5">
        <f t="shared" si="16"/>
        <v>11.48</v>
      </c>
      <c r="T76" s="5">
        <f t="shared" si="17"/>
        <v>11.09</v>
      </c>
      <c r="U76" s="5">
        <f t="shared" si="18"/>
        <v>11.48</v>
      </c>
      <c r="V76" s="5">
        <f t="shared" si="19"/>
        <v>10.98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333</v>
      </c>
      <c r="D77" s="3" t="s">
        <v>425</v>
      </c>
      <c r="E77" s="3" t="s">
        <v>159</v>
      </c>
      <c r="F77" s="3" t="s">
        <v>159</v>
      </c>
      <c r="G77" s="3" t="s">
        <v>159</v>
      </c>
      <c r="H77" s="20">
        <v>41717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158</v>
      </c>
      <c r="Q77" s="10" t="str">
        <f t="shared" si="14"/>
        <v>GER PARANAP -ON</v>
      </c>
      <c r="R77" s="51">
        <f t="shared" si="15"/>
        <v>41717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334</v>
      </c>
      <c r="D78" s="3" t="s">
        <v>1762</v>
      </c>
      <c r="E78" s="3" t="s">
        <v>1762</v>
      </c>
      <c r="F78" s="3" t="s">
        <v>1762</v>
      </c>
      <c r="G78" s="3" t="s">
        <v>1762</v>
      </c>
      <c r="H78" s="20">
        <v>41717</v>
      </c>
      <c r="J78" s="3">
        <f t="shared" si="20"/>
        <v>53</v>
      </c>
      <c r="K78" s="3">
        <f t="shared" si="20"/>
        <v>53</v>
      </c>
      <c r="L78" s="3">
        <f t="shared" si="20"/>
        <v>53</v>
      </c>
      <c r="M78" s="3">
        <f t="shared" si="20"/>
        <v>53</v>
      </c>
      <c r="P78" s="26" t="s">
        <v>38</v>
      </c>
      <c r="Q78" s="10" t="str">
        <f t="shared" si="14"/>
        <v>GER PARANAP -PN</v>
      </c>
      <c r="R78" s="51">
        <f t="shared" si="15"/>
        <v>41717</v>
      </c>
      <c r="S78" s="5">
        <f t="shared" si="16"/>
        <v>53</v>
      </c>
      <c r="T78" s="5">
        <f t="shared" si="17"/>
        <v>53</v>
      </c>
      <c r="U78" s="5">
        <f t="shared" si="18"/>
        <v>53</v>
      </c>
      <c r="V78" s="5">
        <f t="shared" si="19"/>
        <v>53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138</v>
      </c>
      <c r="D79" s="3" t="s">
        <v>1763</v>
      </c>
      <c r="E79" s="3" t="s">
        <v>1527</v>
      </c>
      <c r="F79" s="3" t="s">
        <v>1764</v>
      </c>
      <c r="G79" s="3" t="s">
        <v>1765</v>
      </c>
      <c r="H79" s="20">
        <v>41717</v>
      </c>
      <c r="J79" s="3">
        <f t="shared" si="20"/>
        <v>14.84</v>
      </c>
      <c r="K79" s="3">
        <f t="shared" si="20"/>
        <v>14.7</v>
      </c>
      <c r="L79" s="3">
        <f t="shared" si="20"/>
        <v>14.88</v>
      </c>
      <c r="M79" s="3">
        <f t="shared" si="20"/>
        <v>14.64</v>
      </c>
      <c r="P79" s="26" t="s">
        <v>29</v>
      </c>
      <c r="Q79" s="10" t="str">
        <f t="shared" si="14"/>
        <v>AES TIETE   -ON</v>
      </c>
      <c r="R79" s="51">
        <f t="shared" si="15"/>
        <v>41717</v>
      </c>
      <c r="S79" s="5">
        <f t="shared" si="16"/>
        <v>14.84</v>
      </c>
      <c r="T79" s="5">
        <f t="shared" si="17"/>
        <v>14.7</v>
      </c>
      <c r="U79" s="5">
        <f t="shared" si="18"/>
        <v>14.88</v>
      </c>
      <c r="V79" s="5">
        <f t="shared" si="19"/>
        <v>14.64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139</v>
      </c>
      <c r="D80" s="3" t="s">
        <v>1766</v>
      </c>
      <c r="E80" s="3" t="s">
        <v>1767</v>
      </c>
      <c r="F80" s="3" t="s">
        <v>1768</v>
      </c>
      <c r="G80" s="3" t="s">
        <v>1507</v>
      </c>
      <c r="H80" s="20">
        <v>41717</v>
      </c>
      <c r="J80" s="3">
        <f t="shared" si="20"/>
        <v>17.28</v>
      </c>
      <c r="K80" s="3">
        <f t="shared" si="20"/>
        <v>16.989999999999998</v>
      </c>
      <c r="L80" s="3">
        <f t="shared" si="20"/>
        <v>17.34</v>
      </c>
      <c r="M80" s="3">
        <f t="shared" si="20"/>
        <v>16.91</v>
      </c>
      <c r="P80" s="26" t="s">
        <v>33</v>
      </c>
      <c r="Q80" s="10" t="str">
        <f t="shared" si="14"/>
        <v>AES TIETE   -PN</v>
      </c>
      <c r="R80" s="51">
        <f t="shared" si="15"/>
        <v>41717</v>
      </c>
      <c r="S80" s="5">
        <f t="shared" si="16"/>
        <v>17.28</v>
      </c>
      <c r="T80" s="5">
        <f t="shared" si="17"/>
        <v>16.989999999999998</v>
      </c>
      <c r="U80" s="5">
        <f t="shared" si="18"/>
        <v>17.34</v>
      </c>
      <c r="V80" s="5">
        <f t="shared" si="19"/>
        <v>16.91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169</v>
      </c>
      <c r="D81" s="3" t="s">
        <v>1331</v>
      </c>
      <c r="E81" s="3" t="s">
        <v>396</v>
      </c>
      <c r="F81" s="3" t="s">
        <v>396</v>
      </c>
      <c r="G81" s="3" t="s">
        <v>1331</v>
      </c>
      <c r="H81" s="20">
        <v>41717</v>
      </c>
      <c r="J81" s="3">
        <f t="shared" si="20"/>
        <v>0.09</v>
      </c>
      <c r="K81" s="3">
        <f t="shared" si="20"/>
        <v>0.12</v>
      </c>
      <c r="L81" s="3">
        <f t="shared" si="20"/>
        <v>0.12</v>
      </c>
      <c r="M81" s="3">
        <f t="shared" si="20"/>
        <v>0.09</v>
      </c>
      <c r="P81" s="14" t="s">
        <v>167</v>
      </c>
      <c r="Q81" s="10" t="str">
        <f t="shared" si="14"/>
        <v xml:space="preserve">GTD PART    -ON  </v>
      </c>
      <c r="R81" s="51">
        <f t="shared" si="15"/>
        <v>41717</v>
      </c>
      <c r="S81" s="5">
        <f t="shared" si="16"/>
        <v>0.09</v>
      </c>
      <c r="T81" s="5">
        <f t="shared" si="17"/>
        <v>0.12</v>
      </c>
      <c r="U81" s="5">
        <f t="shared" si="18"/>
        <v>0.12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170</v>
      </c>
      <c r="D82" s="3" t="s">
        <v>1331</v>
      </c>
      <c r="E82" s="3" t="s">
        <v>396</v>
      </c>
      <c r="F82" s="3" t="s">
        <v>396</v>
      </c>
      <c r="G82" s="3" t="s">
        <v>1331</v>
      </c>
      <c r="H82" s="20">
        <v>41717</v>
      </c>
      <c r="J82" s="3">
        <f t="shared" si="20"/>
        <v>0.09</v>
      </c>
      <c r="K82" s="3">
        <f t="shared" si="20"/>
        <v>0.12</v>
      </c>
      <c r="L82" s="3">
        <f t="shared" si="20"/>
        <v>0.12</v>
      </c>
      <c r="M82" s="3">
        <f t="shared" si="20"/>
        <v>0.09</v>
      </c>
      <c r="P82" s="14" t="s">
        <v>168</v>
      </c>
      <c r="Q82" s="10" t="str">
        <f t="shared" si="14"/>
        <v xml:space="preserve">GTD PART    -PN  </v>
      </c>
      <c r="R82" s="51">
        <f t="shared" si="15"/>
        <v>41717</v>
      </c>
      <c r="S82" s="5">
        <f t="shared" si="16"/>
        <v>0.09</v>
      </c>
      <c r="T82" s="5">
        <f t="shared" si="17"/>
        <v>0.12</v>
      </c>
      <c r="U82" s="5">
        <f t="shared" si="18"/>
        <v>0.12</v>
      </c>
      <c r="V82" s="5">
        <f t="shared" si="19"/>
        <v>0.09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224</v>
      </c>
      <c r="D83" s="3" t="s">
        <v>1434</v>
      </c>
      <c r="E83" s="3" t="s">
        <v>1498</v>
      </c>
      <c r="F83" s="3" t="s">
        <v>1498</v>
      </c>
      <c r="G83" s="3" t="s">
        <v>1769</v>
      </c>
      <c r="H83" s="20">
        <v>41717</v>
      </c>
      <c r="J83" s="3">
        <f t="shared" si="20"/>
        <v>8.74</v>
      </c>
      <c r="K83" s="3">
        <f t="shared" si="20"/>
        <v>8.83</v>
      </c>
      <c r="L83" s="3">
        <f t="shared" si="20"/>
        <v>8.83</v>
      </c>
      <c r="M83" s="3">
        <f t="shared" si="20"/>
        <v>8.6199999999999992</v>
      </c>
      <c r="P83" s="15" t="s">
        <v>223</v>
      </c>
      <c r="Q83" s="10" t="str">
        <f t="shared" si="14"/>
        <v xml:space="preserve">ITAUSA      -ON  </v>
      </c>
      <c r="R83" s="51">
        <f t="shared" si="15"/>
        <v>41717</v>
      </c>
      <c r="S83" s="5">
        <f t="shared" si="16"/>
        <v>8.74</v>
      </c>
      <c r="T83" s="5">
        <f t="shared" si="17"/>
        <v>8.83</v>
      </c>
      <c r="U83" s="5">
        <f t="shared" si="18"/>
        <v>8.83</v>
      </c>
      <c r="V83" s="5">
        <f t="shared" si="19"/>
        <v>8.6199999999999992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140</v>
      </c>
      <c r="D84" s="3" t="s">
        <v>1770</v>
      </c>
      <c r="E84" s="3" t="s">
        <v>1379</v>
      </c>
      <c r="F84" s="3" t="s">
        <v>1633</v>
      </c>
      <c r="G84" s="3" t="s">
        <v>1771</v>
      </c>
      <c r="H84" s="45">
        <v>41717</v>
      </c>
      <c r="J84" s="3">
        <f t="shared" si="20"/>
        <v>8.23</v>
      </c>
      <c r="K84" s="3">
        <f t="shared" si="20"/>
        <v>8.3000000000000007</v>
      </c>
      <c r="L84" s="3">
        <f t="shared" si="20"/>
        <v>8.3699999999999992</v>
      </c>
      <c r="M84" s="3">
        <f t="shared" si="20"/>
        <v>8.18</v>
      </c>
      <c r="P84" s="15" t="s">
        <v>16</v>
      </c>
      <c r="Q84" s="10" t="str">
        <f t="shared" si="14"/>
        <v xml:space="preserve">ITAUSA      -PN  </v>
      </c>
      <c r="R84" s="51">
        <f t="shared" si="15"/>
        <v>41717</v>
      </c>
      <c r="S84" s="5">
        <f t="shared" si="16"/>
        <v>8.23</v>
      </c>
      <c r="T84" s="5">
        <f t="shared" si="17"/>
        <v>8.3000000000000007</v>
      </c>
      <c r="U84" s="5">
        <f t="shared" si="18"/>
        <v>8.3699999999999992</v>
      </c>
      <c r="V84" s="5">
        <f t="shared" si="19"/>
        <v>8.18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222</v>
      </c>
      <c r="D85" s="3" t="s">
        <v>1525</v>
      </c>
      <c r="E85" s="3" t="s">
        <v>1703</v>
      </c>
      <c r="F85" s="3" t="s">
        <v>1772</v>
      </c>
      <c r="G85" s="3" t="s">
        <v>1773</v>
      </c>
      <c r="H85" s="45">
        <v>41717</v>
      </c>
      <c r="J85" s="3">
        <f t="shared" si="20"/>
        <v>29.57</v>
      </c>
      <c r="K85" s="3">
        <f t="shared" si="20"/>
        <v>29.14</v>
      </c>
      <c r="L85" s="3">
        <f t="shared" si="20"/>
        <v>29.75</v>
      </c>
      <c r="M85" s="3">
        <f t="shared" si="20"/>
        <v>29.07</v>
      </c>
      <c r="P85" s="10" t="s">
        <v>221</v>
      </c>
      <c r="Q85" s="10" t="str">
        <f t="shared" si="14"/>
        <v xml:space="preserve">ITAUUNIBANCO-ON  </v>
      </c>
      <c r="R85" s="51">
        <f t="shared" si="15"/>
        <v>41717</v>
      </c>
      <c r="S85" s="5">
        <f t="shared" si="16"/>
        <v>29.57</v>
      </c>
      <c r="T85" s="5">
        <f t="shared" si="17"/>
        <v>29.14</v>
      </c>
      <c r="U85" s="5">
        <f t="shared" si="18"/>
        <v>29.75</v>
      </c>
      <c r="V85" s="5">
        <f t="shared" si="19"/>
        <v>29.07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141</v>
      </c>
      <c r="D86" s="3" t="s">
        <v>1774</v>
      </c>
      <c r="E86" s="3" t="s">
        <v>1775</v>
      </c>
      <c r="F86" s="3" t="s">
        <v>1776</v>
      </c>
      <c r="G86" s="3" t="s">
        <v>1777</v>
      </c>
      <c r="H86" s="45">
        <v>41717</v>
      </c>
      <c r="J86" s="3">
        <f t="shared" si="20"/>
        <v>30.37</v>
      </c>
      <c r="K86" s="3">
        <f t="shared" si="20"/>
        <v>30.67</v>
      </c>
      <c r="L86" s="3">
        <f t="shared" si="20"/>
        <v>30.86</v>
      </c>
      <c r="M86" s="3">
        <f t="shared" si="20"/>
        <v>30.27</v>
      </c>
      <c r="P86" s="10" t="s">
        <v>80</v>
      </c>
      <c r="Q86" s="10" t="str">
        <f t="shared" si="14"/>
        <v xml:space="preserve">ITAUUNIBANCO-PN  </v>
      </c>
      <c r="R86" s="51">
        <f t="shared" si="15"/>
        <v>41717</v>
      </c>
      <c r="S86" s="5">
        <f t="shared" si="16"/>
        <v>30.37</v>
      </c>
      <c r="T86" s="5">
        <f t="shared" si="17"/>
        <v>30.67</v>
      </c>
      <c r="U86" s="5">
        <f t="shared" si="18"/>
        <v>30.86</v>
      </c>
      <c r="V86" s="5">
        <f t="shared" si="19"/>
        <v>30.27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182</v>
      </c>
      <c r="D87" s="3" t="s">
        <v>1715</v>
      </c>
      <c r="E87" s="3" t="s">
        <v>1715</v>
      </c>
      <c r="F87" s="3" t="s">
        <v>1715</v>
      </c>
      <c r="G87" s="3" t="s">
        <v>1715</v>
      </c>
      <c r="H87" s="45">
        <v>41717</v>
      </c>
      <c r="J87" s="3">
        <f t="shared" si="20"/>
        <v>11.31</v>
      </c>
      <c r="K87" s="3">
        <f t="shared" si="20"/>
        <v>11.31</v>
      </c>
      <c r="L87" s="3">
        <f t="shared" si="20"/>
        <v>11.31</v>
      </c>
      <c r="M87" s="3">
        <f t="shared" si="20"/>
        <v>11.31</v>
      </c>
      <c r="P87" s="15" t="s">
        <v>181</v>
      </c>
      <c r="Q87" s="10" t="str">
        <f t="shared" si="14"/>
        <v xml:space="preserve">KLABIN S/A  -ON  </v>
      </c>
      <c r="R87" s="51">
        <f t="shared" si="15"/>
        <v>41717</v>
      </c>
      <c r="S87" s="5">
        <f t="shared" si="16"/>
        <v>11.31</v>
      </c>
      <c r="T87" s="5">
        <f t="shared" si="17"/>
        <v>11.31</v>
      </c>
      <c r="U87" s="5">
        <f t="shared" si="18"/>
        <v>11.31</v>
      </c>
      <c r="V87" s="5">
        <f t="shared" si="19"/>
        <v>11.31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142</v>
      </c>
      <c r="D88" s="3" t="s">
        <v>1589</v>
      </c>
      <c r="E88" s="3" t="s">
        <v>1778</v>
      </c>
      <c r="F88" s="3" t="s">
        <v>1779</v>
      </c>
      <c r="G88" s="3" t="s">
        <v>1780</v>
      </c>
      <c r="H88" s="45">
        <v>41717</v>
      </c>
      <c r="J88" s="3">
        <f t="shared" si="20"/>
        <v>10.91</v>
      </c>
      <c r="K88" s="3">
        <f t="shared" si="20"/>
        <v>11.24</v>
      </c>
      <c r="L88" s="3">
        <f t="shared" si="20"/>
        <v>11.39</v>
      </c>
      <c r="M88" s="3">
        <f t="shared" si="20"/>
        <v>10.88</v>
      </c>
      <c r="P88" s="15" t="s">
        <v>54</v>
      </c>
      <c r="Q88" s="10" t="str">
        <f t="shared" si="14"/>
        <v xml:space="preserve">KLABIN S/A  -PN  </v>
      </c>
      <c r="R88" s="51">
        <f t="shared" si="15"/>
        <v>41717</v>
      </c>
      <c r="S88" s="5">
        <f t="shared" si="16"/>
        <v>10.91</v>
      </c>
      <c r="T88" s="5">
        <f t="shared" si="17"/>
        <v>11.24</v>
      </c>
      <c r="U88" s="5">
        <f t="shared" si="18"/>
        <v>11.39</v>
      </c>
      <c r="V88" s="5">
        <f t="shared" si="19"/>
        <v>10.88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143</v>
      </c>
      <c r="D89" s="3" t="s">
        <v>1554</v>
      </c>
      <c r="E89" s="3" t="s">
        <v>1507</v>
      </c>
      <c r="F89" s="3" t="s">
        <v>1781</v>
      </c>
      <c r="G89" s="3" t="s">
        <v>1554</v>
      </c>
      <c r="H89" s="45">
        <v>41717</v>
      </c>
      <c r="J89" s="3">
        <f t="shared" si="20"/>
        <v>16.54</v>
      </c>
      <c r="K89" s="3">
        <f t="shared" si="20"/>
        <v>16.91</v>
      </c>
      <c r="L89" s="3">
        <f t="shared" si="20"/>
        <v>17.23</v>
      </c>
      <c r="M89" s="3">
        <f t="shared" si="20"/>
        <v>16.54</v>
      </c>
      <c r="P89" s="43" t="s">
        <v>55</v>
      </c>
      <c r="Q89" s="10" t="str">
        <f t="shared" si="14"/>
        <v xml:space="preserve">LIGHT S/A   -ON  </v>
      </c>
      <c r="R89" s="51">
        <f t="shared" si="15"/>
        <v>41717</v>
      </c>
      <c r="S89" s="5">
        <f t="shared" si="16"/>
        <v>16.54</v>
      </c>
      <c r="T89" s="5">
        <f t="shared" si="17"/>
        <v>16.91</v>
      </c>
      <c r="U89" s="5">
        <f t="shared" si="18"/>
        <v>17.23</v>
      </c>
      <c r="V89" s="5">
        <f t="shared" si="19"/>
        <v>16.54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161</v>
      </c>
      <c r="D90" s="3" t="s">
        <v>1293</v>
      </c>
      <c r="E90" s="3" t="s">
        <v>1294</v>
      </c>
      <c r="F90" s="3" t="s">
        <v>1293</v>
      </c>
      <c r="G90" s="3" t="s">
        <v>1295</v>
      </c>
      <c r="H90" s="45">
        <v>41717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160</v>
      </c>
      <c r="Q90" s="10" t="str">
        <f t="shared" si="14"/>
        <v>ELETROPAR   -ON</v>
      </c>
      <c r="R90" s="51">
        <f t="shared" si="15"/>
        <v>41717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144</v>
      </c>
      <c r="D91" s="3" t="s">
        <v>1782</v>
      </c>
      <c r="E91" s="61" t="s">
        <v>1783</v>
      </c>
      <c r="F91" s="61" t="s">
        <v>1784</v>
      </c>
      <c r="G91" s="3" t="s">
        <v>1785</v>
      </c>
      <c r="H91" s="45">
        <v>41717</v>
      </c>
      <c r="J91" s="3">
        <f t="shared" si="20"/>
        <v>7.48</v>
      </c>
      <c r="K91" s="3">
        <f t="shared" si="20"/>
        <v>7.59</v>
      </c>
      <c r="L91" s="3">
        <f t="shared" si="20"/>
        <v>7.6</v>
      </c>
      <c r="M91" s="3">
        <f t="shared" si="20"/>
        <v>7.32</v>
      </c>
      <c r="P91" s="10" t="s">
        <v>74</v>
      </c>
      <c r="Q91" s="10" t="str">
        <f t="shared" si="14"/>
        <v xml:space="preserve">PINE        -PN  </v>
      </c>
      <c r="R91" s="51">
        <f t="shared" si="15"/>
        <v>41717</v>
      </c>
      <c r="S91" s="5">
        <f t="shared" si="16"/>
        <v>7.48</v>
      </c>
      <c r="T91" s="5">
        <f t="shared" si="17"/>
        <v>7.59</v>
      </c>
      <c r="U91" s="5">
        <f t="shared" si="18"/>
        <v>7.6</v>
      </c>
      <c r="V91" s="5">
        <f t="shared" si="19"/>
        <v>7.32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145</v>
      </c>
      <c r="D92" s="3" t="s">
        <v>1502</v>
      </c>
      <c r="E92" s="3" t="s">
        <v>1515</v>
      </c>
      <c r="F92" s="3" t="s">
        <v>1515</v>
      </c>
      <c r="G92" s="3" t="s">
        <v>1502</v>
      </c>
      <c r="H92" s="45">
        <v>41717</v>
      </c>
      <c r="J92" s="3">
        <f t="shared" si="20"/>
        <v>9.9499999999999993</v>
      </c>
      <c r="K92" s="3">
        <f t="shared" si="20"/>
        <v>10.27</v>
      </c>
      <c r="L92" s="3">
        <f t="shared" si="20"/>
        <v>10.27</v>
      </c>
      <c r="M92" s="3">
        <f t="shared" si="20"/>
        <v>9.9499999999999993</v>
      </c>
      <c r="P92" s="16" t="s">
        <v>82</v>
      </c>
      <c r="Q92" s="10" t="str">
        <f t="shared" si="14"/>
        <v xml:space="preserve">PARANA      -PN  </v>
      </c>
      <c r="R92" s="51">
        <f t="shared" si="15"/>
        <v>41717</v>
      </c>
      <c r="S92" s="5">
        <f t="shared" si="16"/>
        <v>9.9499999999999993</v>
      </c>
      <c r="T92" s="5">
        <f t="shared" si="17"/>
        <v>10.27</v>
      </c>
      <c r="U92" s="5">
        <f t="shared" si="18"/>
        <v>10.27</v>
      </c>
      <c r="V92" s="5">
        <f t="shared" si="19"/>
        <v>9.9499999999999993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226</v>
      </c>
      <c r="D93" s="3" t="s">
        <v>1786</v>
      </c>
      <c r="E93" s="3" t="s">
        <v>1787</v>
      </c>
      <c r="F93" s="3" t="s">
        <v>1788</v>
      </c>
      <c r="G93" s="3" t="s">
        <v>1789</v>
      </c>
      <c r="H93" s="45">
        <v>41717</v>
      </c>
      <c r="J93" s="3">
        <f t="shared" si="20"/>
        <v>31.95</v>
      </c>
      <c r="K93" s="3">
        <f t="shared" si="20"/>
        <v>32.770000000000003</v>
      </c>
      <c r="L93" s="3">
        <f t="shared" si="20"/>
        <v>32.93</v>
      </c>
      <c r="M93" s="3">
        <f t="shared" si="20"/>
        <v>31.92</v>
      </c>
      <c r="P93" s="16" t="s">
        <v>225</v>
      </c>
      <c r="Q93" s="10" t="str">
        <f t="shared" si="14"/>
        <v xml:space="preserve">PORTO SEGURO-ON  </v>
      </c>
      <c r="R93" s="51">
        <f t="shared" si="15"/>
        <v>41717</v>
      </c>
      <c r="S93" s="5">
        <f t="shared" si="16"/>
        <v>31.95</v>
      </c>
      <c r="T93" s="5">
        <f t="shared" si="17"/>
        <v>32.770000000000003</v>
      </c>
      <c r="U93" s="5">
        <f t="shared" si="18"/>
        <v>32.93</v>
      </c>
      <c r="V93" s="5">
        <f t="shared" si="19"/>
        <v>31.92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890</v>
      </c>
      <c r="D94" s="3" t="s">
        <v>1399</v>
      </c>
      <c r="E94" s="3" t="s">
        <v>1433</v>
      </c>
      <c r="F94" s="3" t="s">
        <v>1433</v>
      </c>
      <c r="G94" s="3" t="s">
        <v>1399</v>
      </c>
      <c r="H94" s="45">
        <v>41717</v>
      </c>
      <c r="J94" s="3">
        <f t="shared" si="20"/>
        <v>3.21</v>
      </c>
      <c r="K94" s="3">
        <f t="shared" si="20"/>
        <v>3.28</v>
      </c>
      <c r="L94" s="3">
        <f t="shared" si="20"/>
        <v>3.28</v>
      </c>
      <c r="M94" s="3">
        <f t="shared" si="20"/>
        <v>3.21</v>
      </c>
      <c r="P94" s="14" t="s">
        <v>179</v>
      </c>
      <c r="Q94" s="10" t="str">
        <f t="shared" si="14"/>
        <v>CELUL IRANI -ON</v>
      </c>
      <c r="R94" s="51">
        <f t="shared" si="15"/>
        <v>41717</v>
      </c>
      <c r="S94" s="5">
        <f t="shared" si="16"/>
        <v>3.21</v>
      </c>
      <c r="T94" s="5">
        <f t="shared" si="17"/>
        <v>3.28</v>
      </c>
      <c r="U94" s="5">
        <f t="shared" si="18"/>
        <v>3.28</v>
      </c>
      <c r="V94" s="5">
        <f t="shared" si="19"/>
        <v>3.21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891</v>
      </c>
      <c r="D95" s="3" t="s">
        <v>1441</v>
      </c>
      <c r="E95" s="3" t="s">
        <v>1441</v>
      </c>
      <c r="F95" s="3" t="s">
        <v>1441</v>
      </c>
      <c r="G95" s="3" t="s">
        <v>1441</v>
      </c>
      <c r="H95" s="45">
        <v>41717</v>
      </c>
      <c r="J95" s="3">
        <f t="shared" si="20"/>
        <v>3.61</v>
      </c>
      <c r="K95" s="3">
        <f t="shared" si="20"/>
        <v>3.61</v>
      </c>
      <c r="L95" s="3">
        <f t="shared" si="20"/>
        <v>3.61</v>
      </c>
      <c r="M95" s="3">
        <f t="shared" si="20"/>
        <v>3.61</v>
      </c>
      <c r="P95" s="14" t="s">
        <v>180</v>
      </c>
      <c r="Q95" s="10" t="str">
        <f t="shared" si="14"/>
        <v>CELUL IRANI -PN</v>
      </c>
      <c r="R95" s="51">
        <f t="shared" si="15"/>
        <v>41717</v>
      </c>
      <c r="S95" s="5">
        <f t="shared" si="16"/>
        <v>3.61</v>
      </c>
      <c r="T95" s="5">
        <f t="shared" si="17"/>
        <v>3.61</v>
      </c>
      <c r="U95" s="5">
        <f t="shared" si="18"/>
        <v>3.61</v>
      </c>
      <c r="V95" s="5">
        <f t="shared" si="19"/>
        <v>3.61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146</v>
      </c>
      <c r="D96" s="3" t="s">
        <v>1790</v>
      </c>
      <c r="E96" s="3" t="s">
        <v>1790</v>
      </c>
      <c r="F96" s="3" t="s">
        <v>1790</v>
      </c>
      <c r="G96" s="3" t="s">
        <v>1790</v>
      </c>
      <c r="H96" s="51">
        <v>41717</v>
      </c>
      <c r="J96" s="3">
        <f t="shared" si="20"/>
        <v>5.13</v>
      </c>
      <c r="K96" s="3">
        <f t="shared" si="20"/>
        <v>5.13</v>
      </c>
      <c r="L96" s="3">
        <f t="shared" si="20"/>
        <v>5.13</v>
      </c>
      <c r="M96" s="3">
        <f t="shared" si="20"/>
        <v>5.13</v>
      </c>
      <c r="P96" s="14" t="s">
        <v>65</v>
      </c>
      <c r="Q96" s="10" t="str">
        <f t="shared" si="14"/>
        <v>REDENTOR    -ON</v>
      </c>
      <c r="R96" s="51">
        <f t="shared" si="15"/>
        <v>41717</v>
      </c>
      <c r="S96" s="5">
        <f t="shared" si="16"/>
        <v>5.13</v>
      </c>
      <c r="T96" s="5">
        <f t="shared" si="17"/>
        <v>5.13</v>
      </c>
      <c r="U96" s="5">
        <f t="shared" si="18"/>
        <v>5.13</v>
      </c>
      <c r="V96" s="5">
        <f t="shared" si="19"/>
        <v>5.13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188</v>
      </c>
      <c r="D97" s="3" t="s">
        <v>1325</v>
      </c>
      <c r="E97" s="3" t="s">
        <v>1325</v>
      </c>
      <c r="F97" s="3" t="s">
        <v>1325</v>
      </c>
      <c r="G97" s="3" t="s">
        <v>1325</v>
      </c>
      <c r="H97" s="51">
        <v>41717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5" t="s">
        <v>186</v>
      </c>
      <c r="Q97" s="10" t="str">
        <f t="shared" si="14"/>
        <v>ALFA HOLDING-ON</v>
      </c>
      <c r="R97" s="51">
        <f t="shared" si="15"/>
        <v>41717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751</v>
      </c>
      <c r="D98" s="3" t="s">
        <v>1296</v>
      </c>
      <c r="E98" s="3" t="s">
        <v>1296</v>
      </c>
      <c r="F98" s="3" t="s">
        <v>1296</v>
      </c>
      <c r="G98" s="3" t="s">
        <v>1296</v>
      </c>
      <c r="H98" s="51">
        <v>41717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41717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189</v>
      </c>
      <c r="D99" s="3" t="s">
        <v>1305</v>
      </c>
      <c r="E99" s="3" t="s">
        <v>1305</v>
      </c>
      <c r="F99" s="3" t="s">
        <v>1305</v>
      </c>
      <c r="G99" s="3" t="s">
        <v>1305</v>
      </c>
      <c r="H99" s="51">
        <v>41717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5" t="s">
        <v>187</v>
      </c>
      <c r="Q99" s="10" t="str">
        <f t="shared" si="14"/>
        <v>ALFA HOLDING-PNB</v>
      </c>
      <c r="R99" s="51">
        <f t="shared" si="15"/>
        <v>41717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635</v>
      </c>
      <c r="D100" s="3" t="s">
        <v>425</v>
      </c>
      <c r="E100" s="3" t="s">
        <v>178</v>
      </c>
      <c r="F100" s="3" t="s">
        <v>178</v>
      </c>
      <c r="G100" s="3" t="s">
        <v>178</v>
      </c>
      <c r="H100" s="51">
        <v>41717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177</v>
      </c>
      <c r="Q100" s="10" t="str">
        <f t="shared" si="14"/>
        <v>SANEPAR     -ON</v>
      </c>
      <c r="R100" s="51">
        <f t="shared" si="15"/>
        <v>41717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636</v>
      </c>
      <c r="D101" s="3" t="s">
        <v>1307</v>
      </c>
      <c r="E101" s="3" t="s">
        <v>1791</v>
      </c>
      <c r="F101" s="3" t="s">
        <v>1307</v>
      </c>
      <c r="G101" s="3" t="s">
        <v>1792</v>
      </c>
      <c r="H101" s="51">
        <v>41717</v>
      </c>
      <c r="J101" s="3">
        <f t="shared" si="20"/>
        <v>5.49</v>
      </c>
      <c r="K101" s="3">
        <f t="shared" si="20"/>
        <v>5.39</v>
      </c>
      <c r="L101" s="3">
        <f t="shared" si="20"/>
        <v>5.49</v>
      </c>
      <c r="M101" s="3">
        <f t="shared" si="20"/>
        <v>5.31</v>
      </c>
      <c r="P101" s="14" t="s">
        <v>66</v>
      </c>
      <c r="Q101" s="10" t="str">
        <f t="shared" si="14"/>
        <v>SANEPAR     -PN</v>
      </c>
      <c r="R101" s="51">
        <f t="shared" si="15"/>
        <v>41717</v>
      </c>
      <c r="S101" s="5">
        <f t="shared" si="16"/>
        <v>5.49</v>
      </c>
      <c r="T101" s="5">
        <f t="shared" si="17"/>
        <v>5.39</v>
      </c>
      <c r="U101" s="5">
        <f t="shared" si="18"/>
        <v>5.49</v>
      </c>
      <c r="V101" s="5">
        <f t="shared" si="19"/>
        <v>5.31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147</v>
      </c>
      <c r="D102" s="3" t="s">
        <v>1793</v>
      </c>
      <c r="E102" s="3" t="s">
        <v>1794</v>
      </c>
      <c r="F102" s="3" t="s">
        <v>1795</v>
      </c>
      <c r="G102" s="3" t="s">
        <v>1796</v>
      </c>
      <c r="H102" s="51">
        <v>41717</v>
      </c>
      <c r="J102" s="3">
        <f t="shared" si="20"/>
        <v>20.98</v>
      </c>
      <c r="K102" s="3">
        <f t="shared" si="20"/>
        <v>21.05</v>
      </c>
      <c r="L102" s="3">
        <f t="shared" si="20"/>
        <v>21.3</v>
      </c>
      <c r="M102" s="3">
        <f t="shared" si="20"/>
        <v>20.59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41717</v>
      </c>
      <c r="S102" s="5">
        <f t="shared" si="16"/>
        <v>20.98</v>
      </c>
      <c r="T102" s="5">
        <f t="shared" si="17"/>
        <v>21.05</v>
      </c>
      <c r="U102" s="5">
        <f t="shared" si="18"/>
        <v>21.3</v>
      </c>
      <c r="V102" s="5">
        <f t="shared" si="19"/>
        <v>20.59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148</v>
      </c>
      <c r="D103" s="3" t="s">
        <v>1383</v>
      </c>
      <c r="E103" s="3" t="s">
        <v>1370</v>
      </c>
      <c r="F103" s="3" t="s">
        <v>1383</v>
      </c>
      <c r="G103" s="3" t="s">
        <v>1370</v>
      </c>
      <c r="H103" s="51">
        <v>41717</v>
      </c>
      <c r="J103" s="3">
        <f t="shared" si="20"/>
        <v>2.99</v>
      </c>
      <c r="K103" s="3">
        <f t="shared" si="20"/>
        <v>2.95</v>
      </c>
      <c r="L103" s="3">
        <f t="shared" si="20"/>
        <v>2.99</v>
      </c>
      <c r="M103" s="3">
        <f t="shared" si="20"/>
        <v>2.95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41717</v>
      </c>
      <c r="S103" s="5">
        <f t="shared" ref="S103:S112" si="23">J103</f>
        <v>2.99</v>
      </c>
      <c r="T103" s="5">
        <f t="shared" ref="T103:T112" si="24">K103</f>
        <v>2.95</v>
      </c>
      <c r="U103" s="5">
        <f t="shared" ref="U103:U112" si="25">L103</f>
        <v>2.99</v>
      </c>
      <c r="V103" s="5">
        <f t="shared" ref="V103:V112" si="26">M103</f>
        <v>2.95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149</v>
      </c>
      <c r="D104" s="3" t="s">
        <v>1330</v>
      </c>
      <c r="E104" s="3" t="s">
        <v>1797</v>
      </c>
      <c r="F104" s="3" t="s">
        <v>1798</v>
      </c>
      <c r="G104" s="3" t="s">
        <v>1769</v>
      </c>
      <c r="H104" s="51">
        <v>41717</v>
      </c>
      <c r="J104" s="3">
        <f t="shared" si="20"/>
        <v>8.6999999999999993</v>
      </c>
      <c r="K104" s="3">
        <f t="shared" si="20"/>
        <v>8.92</v>
      </c>
      <c r="L104" s="3">
        <f t="shared" si="20"/>
        <v>8.98</v>
      </c>
      <c r="M104" s="3">
        <f t="shared" si="20"/>
        <v>8.6199999999999992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41717</v>
      </c>
      <c r="S104" s="5">
        <f t="shared" si="23"/>
        <v>8.6999999999999993</v>
      </c>
      <c r="T104" s="5">
        <f t="shared" si="24"/>
        <v>8.92</v>
      </c>
      <c r="U104" s="5">
        <f t="shared" si="25"/>
        <v>8.98</v>
      </c>
      <c r="V104" s="5">
        <f t="shared" si="26"/>
        <v>8.6199999999999992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185</v>
      </c>
      <c r="D105" s="3" t="s">
        <v>425</v>
      </c>
      <c r="E105" s="3" t="s">
        <v>1208</v>
      </c>
      <c r="F105" s="3" t="s">
        <v>1208</v>
      </c>
      <c r="G105" s="3" t="s">
        <v>1208</v>
      </c>
      <c r="H105" s="51">
        <v>41717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183</v>
      </c>
      <c r="Q105" s="10" t="str">
        <f t="shared" si="21"/>
        <v xml:space="preserve">SUZANO PAPEL-PNB </v>
      </c>
      <c r="R105" s="51">
        <f t="shared" si="22"/>
        <v>41717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150</v>
      </c>
      <c r="D106" s="3" t="s">
        <v>1799</v>
      </c>
      <c r="E106" s="3" t="s">
        <v>1505</v>
      </c>
      <c r="F106" s="3" t="s">
        <v>227</v>
      </c>
      <c r="G106" s="3" t="s">
        <v>1359</v>
      </c>
      <c r="H106" s="51">
        <v>41717</v>
      </c>
      <c r="J106" s="3">
        <f t="shared" si="20"/>
        <v>18.760000000000002</v>
      </c>
      <c r="K106" s="3">
        <f t="shared" si="20"/>
        <v>18.64</v>
      </c>
      <c r="L106" s="3">
        <f t="shared" si="20"/>
        <v>19</v>
      </c>
      <c r="M106" s="3">
        <f t="shared" si="20"/>
        <v>18.5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41717</v>
      </c>
      <c r="S106" s="5">
        <f t="shared" si="23"/>
        <v>18.760000000000002</v>
      </c>
      <c r="T106" s="5">
        <f t="shared" si="24"/>
        <v>18.64</v>
      </c>
      <c r="U106" s="5">
        <f t="shared" si="25"/>
        <v>19</v>
      </c>
      <c r="V106" s="5">
        <f t="shared" si="26"/>
        <v>18.5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172</v>
      </c>
      <c r="D107" s="3" t="s">
        <v>1800</v>
      </c>
      <c r="E107" s="3" t="s">
        <v>1801</v>
      </c>
      <c r="F107" s="3" t="s">
        <v>1802</v>
      </c>
      <c r="G107" s="3" t="s">
        <v>1803</v>
      </c>
      <c r="H107" s="51">
        <v>41717</v>
      </c>
      <c r="J107" s="3">
        <f t="shared" si="20"/>
        <v>32.75</v>
      </c>
      <c r="K107" s="3">
        <f t="shared" si="20"/>
        <v>32.65</v>
      </c>
      <c r="L107" s="3">
        <f t="shared" si="20"/>
        <v>33.299999999999997</v>
      </c>
      <c r="M107" s="3">
        <f t="shared" si="20"/>
        <v>32.19</v>
      </c>
      <c r="P107" s="14" t="s">
        <v>171</v>
      </c>
      <c r="Q107" s="10" t="str">
        <f t="shared" si="21"/>
        <v xml:space="preserve">TRACTEBEL   -ON  </v>
      </c>
      <c r="R107" s="51">
        <f t="shared" si="22"/>
        <v>41717</v>
      </c>
      <c r="S107" s="5">
        <f t="shared" si="23"/>
        <v>32.75</v>
      </c>
      <c r="T107" s="5">
        <f t="shared" si="24"/>
        <v>32.65</v>
      </c>
      <c r="U107" s="5">
        <f t="shared" si="25"/>
        <v>33.299999999999997</v>
      </c>
      <c r="V107" s="5">
        <f t="shared" si="26"/>
        <v>32.19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156</v>
      </c>
      <c r="D108" s="3" t="s">
        <v>1218</v>
      </c>
      <c r="E108" s="3" t="s">
        <v>1361</v>
      </c>
      <c r="F108" s="3" t="s">
        <v>1361</v>
      </c>
      <c r="G108" s="3" t="s">
        <v>1218</v>
      </c>
      <c r="H108" s="51">
        <v>41717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4" t="s">
        <v>153</v>
      </c>
      <c r="Q108" s="10" t="str">
        <f t="shared" si="21"/>
        <v xml:space="preserve">TRAN PAULIST-ON  </v>
      </c>
      <c r="R108" s="51">
        <f t="shared" si="22"/>
        <v>41717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157</v>
      </c>
      <c r="D109" s="3" t="s">
        <v>1804</v>
      </c>
      <c r="E109" s="3" t="s">
        <v>1805</v>
      </c>
      <c r="F109" s="3" t="s">
        <v>1806</v>
      </c>
      <c r="G109" s="3" t="s">
        <v>1807</v>
      </c>
      <c r="H109" s="51">
        <v>41717</v>
      </c>
      <c r="J109" s="3">
        <f t="shared" si="20"/>
        <v>23.79</v>
      </c>
      <c r="K109" s="3">
        <f t="shared" si="20"/>
        <v>23.59</v>
      </c>
      <c r="L109" s="3">
        <f t="shared" si="20"/>
        <v>24.33</v>
      </c>
      <c r="M109" s="3">
        <f t="shared" si="20"/>
        <v>23.48</v>
      </c>
      <c r="P109" s="14" t="s">
        <v>154</v>
      </c>
      <c r="Q109" s="10" t="str">
        <f t="shared" si="21"/>
        <v xml:space="preserve">TRAN PAULIST-PN  </v>
      </c>
      <c r="R109" s="51">
        <f t="shared" si="22"/>
        <v>41717</v>
      </c>
      <c r="S109" s="5">
        <f t="shared" si="23"/>
        <v>23.79</v>
      </c>
      <c r="T109" s="5">
        <f t="shared" si="24"/>
        <v>23.59</v>
      </c>
      <c r="U109" s="5">
        <f t="shared" si="25"/>
        <v>24.33</v>
      </c>
      <c r="V109" s="5">
        <f t="shared" si="26"/>
        <v>23.48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151</v>
      </c>
      <c r="D110" s="3" t="s">
        <v>1374</v>
      </c>
      <c r="E110" s="3" t="s">
        <v>1374</v>
      </c>
      <c r="F110" s="3" t="s">
        <v>1374</v>
      </c>
      <c r="G110" s="3" t="s">
        <v>1374</v>
      </c>
      <c r="H110" s="51">
        <v>41717</v>
      </c>
      <c r="J110" s="3">
        <f t="shared" si="20"/>
        <v>0.64</v>
      </c>
      <c r="K110" s="3">
        <f t="shared" si="20"/>
        <v>0.64</v>
      </c>
      <c r="L110" s="3">
        <f t="shared" si="20"/>
        <v>0.64</v>
      </c>
      <c r="M110" s="3">
        <f t="shared" si="20"/>
        <v>0.64</v>
      </c>
      <c r="P110" s="15" t="s">
        <v>73</v>
      </c>
      <c r="Q110" s="10" t="str">
        <f t="shared" si="21"/>
        <v>UNIPAR      -PNA</v>
      </c>
      <c r="R110" s="51">
        <f t="shared" si="22"/>
        <v>41717</v>
      </c>
      <c r="S110" s="5">
        <f t="shared" si="23"/>
        <v>0.64</v>
      </c>
      <c r="T110" s="5">
        <f t="shared" si="24"/>
        <v>0.64</v>
      </c>
      <c r="U110" s="5">
        <f t="shared" si="25"/>
        <v>0.64</v>
      </c>
      <c r="V110" s="5">
        <f t="shared" si="26"/>
        <v>0.64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152</v>
      </c>
      <c r="D111" s="3" t="s">
        <v>1340</v>
      </c>
      <c r="E111" s="3" t="s">
        <v>1340</v>
      </c>
      <c r="F111" s="3" t="s">
        <v>1304</v>
      </c>
      <c r="G111" s="3" t="s">
        <v>1353</v>
      </c>
      <c r="H111" s="51">
        <v>41717</v>
      </c>
      <c r="J111" s="3">
        <f t="shared" si="20"/>
        <v>0.41</v>
      </c>
      <c r="K111" s="3">
        <f t="shared" si="20"/>
        <v>0.41</v>
      </c>
      <c r="L111" s="3">
        <f t="shared" si="20"/>
        <v>0.42</v>
      </c>
      <c r="M111" s="3">
        <f t="shared" si="20"/>
        <v>0.4</v>
      </c>
      <c r="P111" s="14" t="s">
        <v>39</v>
      </c>
      <c r="Q111" s="10" t="str">
        <f t="shared" si="21"/>
        <v>UNIPAR      -PNB</v>
      </c>
      <c r="R111" s="51">
        <f t="shared" si="22"/>
        <v>41717</v>
      </c>
      <c r="S111" s="5">
        <f t="shared" si="23"/>
        <v>0.41</v>
      </c>
      <c r="T111" s="5">
        <f t="shared" si="24"/>
        <v>0.41</v>
      </c>
      <c r="U111" s="5">
        <f t="shared" si="25"/>
        <v>0.42</v>
      </c>
      <c r="V111" s="5">
        <f t="shared" si="26"/>
        <v>0.4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407</v>
      </c>
      <c r="D112" s="3" t="s">
        <v>1435</v>
      </c>
      <c r="E112" s="3" t="s">
        <v>1435</v>
      </c>
      <c r="F112" s="3" t="s">
        <v>1435</v>
      </c>
      <c r="G112" s="3" t="s">
        <v>1435</v>
      </c>
      <c r="H112" s="51">
        <v>41717</v>
      </c>
      <c r="J112" s="3">
        <f t="shared" ref="J112:J121" si="27">IF($A112="",0,VALUE(CONCATENATE(LEFT(D112,LEN(D112)-3),",",RIGHT(D112,2))))</f>
        <v>18.489999999999998</v>
      </c>
      <c r="K112" s="3">
        <f t="shared" si="20"/>
        <v>18.489999999999998</v>
      </c>
      <c r="L112" s="3">
        <f t="shared" si="20"/>
        <v>18.489999999999998</v>
      </c>
      <c r="M112" s="3">
        <f t="shared" si="20"/>
        <v>18.489999999999998</v>
      </c>
      <c r="P112" s="3" t="s">
        <v>404</v>
      </c>
      <c r="Q112" s="10" t="str">
        <f t="shared" si="21"/>
        <v>PANATLANTICA-ON</v>
      </c>
      <c r="R112" s="51">
        <f t="shared" si="22"/>
        <v>41717</v>
      </c>
      <c r="S112" s="5">
        <f t="shared" si="23"/>
        <v>18.489999999999998</v>
      </c>
      <c r="T112" s="5">
        <f t="shared" si="24"/>
        <v>18.489999999999998</v>
      </c>
      <c r="U112" s="5">
        <f t="shared" si="25"/>
        <v>18.489999999999998</v>
      </c>
      <c r="V112" s="5">
        <f t="shared" si="26"/>
        <v>18.489999999999998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424</v>
      </c>
      <c r="D7" s="3" t="s">
        <v>425</v>
      </c>
      <c r="E7" s="3" t="s">
        <v>426</v>
      </c>
      <c r="F7" s="3" t="s">
        <v>425</v>
      </c>
      <c r="G7" s="3" t="s">
        <v>425</v>
      </c>
      <c r="H7" s="51" t="s">
        <v>425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438</v>
      </c>
      <c r="D8" s="3" t="s">
        <v>1384</v>
      </c>
      <c r="E8" s="3" t="s">
        <v>1384</v>
      </c>
      <c r="F8" s="3" t="s">
        <v>1384</v>
      </c>
      <c r="G8" s="3" t="s">
        <v>1384</v>
      </c>
      <c r="H8" s="51">
        <v>41717</v>
      </c>
      <c r="J8" s="3">
        <f t="shared" ref="J8:M71" si="7">IF($A8="",0,VALUE(CONCATENATE(LEFT(D8,LEN(D8)-3),",",RIGHT(D8,2))))</f>
        <v>2.5299999999999998</v>
      </c>
      <c r="K8" s="3">
        <f t="shared" si="0"/>
        <v>2.5299999999999998</v>
      </c>
      <c r="L8" s="3">
        <f t="shared" si="0"/>
        <v>2.5299999999999998</v>
      </c>
      <c r="M8" s="3">
        <f t="shared" si="0"/>
        <v>2.5299999999999998</v>
      </c>
      <c r="P8" s="15" t="s">
        <v>437</v>
      </c>
      <c r="Q8" s="10" t="str">
        <f t="shared" si="1"/>
        <v>AFLUENTE T  -ON</v>
      </c>
      <c r="R8" s="51">
        <f t="shared" si="2"/>
        <v>41717</v>
      </c>
      <c r="S8" s="5">
        <f t="shared" si="3"/>
        <v>2.5299999999999998</v>
      </c>
      <c r="T8" s="5">
        <f t="shared" si="4"/>
        <v>2.5299999999999998</v>
      </c>
      <c r="U8" s="5">
        <f t="shared" si="5"/>
        <v>2.5299999999999998</v>
      </c>
      <c r="V8" s="5">
        <f t="shared" si="6"/>
        <v>2.5299999999999998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433</v>
      </c>
      <c r="D9" s="3" t="s">
        <v>425</v>
      </c>
      <c r="E9" s="3" t="s">
        <v>434</v>
      </c>
      <c r="F9" s="3" t="s">
        <v>434</v>
      </c>
      <c r="G9" s="3" t="s">
        <v>434</v>
      </c>
      <c r="H9" s="51">
        <v>41717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430</v>
      </c>
      <c r="Q9" s="10" t="str">
        <f t="shared" si="1"/>
        <v>AFLUENTE    -ON</v>
      </c>
      <c r="R9" s="51">
        <f t="shared" si="2"/>
        <v>41717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435</v>
      </c>
      <c r="D10" s="3" t="s">
        <v>425</v>
      </c>
      <c r="E10" s="3" t="s">
        <v>426</v>
      </c>
      <c r="F10" s="3" t="s">
        <v>425</v>
      </c>
      <c r="G10" s="3" t="s">
        <v>425</v>
      </c>
      <c r="H10" s="51" t="s">
        <v>425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436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337</v>
      </c>
      <c r="D12" s="3" t="s">
        <v>1808</v>
      </c>
      <c r="E12" s="3" t="s">
        <v>1509</v>
      </c>
      <c r="F12" s="3" t="s">
        <v>1652</v>
      </c>
      <c r="G12" s="3" t="s">
        <v>1381</v>
      </c>
      <c r="H12" s="51">
        <v>41717</v>
      </c>
      <c r="J12" s="3">
        <f t="shared" si="7"/>
        <v>17.690000000000001</v>
      </c>
      <c r="K12" s="3">
        <f t="shared" si="0"/>
        <v>17.75</v>
      </c>
      <c r="L12" s="3">
        <f t="shared" si="0"/>
        <v>18.03</v>
      </c>
      <c r="M12" s="3">
        <f t="shared" si="0"/>
        <v>17.350000000000001</v>
      </c>
      <c r="P12" s="14" t="s">
        <v>336</v>
      </c>
      <c r="Q12" s="10" t="str">
        <f t="shared" si="1"/>
        <v xml:space="preserve">ALIANSCE    -ON  </v>
      </c>
      <c r="R12" s="46">
        <f t="shared" si="2"/>
        <v>41717</v>
      </c>
      <c r="S12" s="6">
        <f t="shared" si="3"/>
        <v>17.690000000000001</v>
      </c>
      <c r="T12" s="6">
        <f t="shared" si="4"/>
        <v>17.75</v>
      </c>
      <c r="U12" s="6">
        <f t="shared" si="5"/>
        <v>18.03</v>
      </c>
      <c r="V12" s="6">
        <f t="shared" si="6"/>
        <v>17.350000000000001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442</v>
      </c>
      <c r="D13" s="3" t="s">
        <v>1381</v>
      </c>
      <c r="E13" s="3" t="s">
        <v>1526</v>
      </c>
      <c r="F13" s="3" t="s">
        <v>1508</v>
      </c>
      <c r="G13" s="3" t="s">
        <v>1367</v>
      </c>
      <c r="H13" s="51">
        <v>41717</v>
      </c>
      <c r="J13" s="3">
        <f t="shared" si="7"/>
        <v>17.350000000000001</v>
      </c>
      <c r="K13" s="3">
        <f t="shared" si="0"/>
        <v>17.41</v>
      </c>
      <c r="L13" s="3">
        <f t="shared" si="0"/>
        <v>17.64</v>
      </c>
      <c r="M13" s="3">
        <f t="shared" si="0"/>
        <v>17.2</v>
      </c>
      <c r="P13" s="14" t="s">
        <v>439</v>
      </c>
      <c r="Q13" s="10" t="str">
        <f t="shared" si="1"/>
        <v xml:space="preserve">ALUPAR      -UNT </v>
      </c>
      <c r="R13" s="51">
        <f t="shared" si="2"/>
        <v>41717</v>
      </c>
      <c r="S13" s="5">
        <f t="shared" si="3"/>
        <v>17.350000000000001</v>
      </c>
      <c r="T13" s="5">
        <f t="shared" si="4"/>
        <v>17.41</v>
      </c>
      <c r="U13" s="5">
        <f t="shared" si="5"/>
        <v>17.64</v>
      </c>
      <c r="V13" s="5">
        <f t="shared" si="6"/>
        <v>17.2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443</v>
      </c>
      <c r="D14" s="3" t="s">
        <v>425</v>
      </c>
      <c r="E14" s="3" t="s">
        <v>426</v>
      </c>
      <c r="F14" s="3" t="s">
        <v>425</v>
      </c>
      <c r="G14" s="3" t="s">
        <v>425</v>
      </c>
      <c r="H14" s="51" t="s">
        <v>425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440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444</v>
      </c>
      <c r="D15" s="3" t="s">
        <v>425</v>
      </c>
      <c r="E15" s="3" t="s">
        <v>426</v>
      </c>
      <c r="F15" s="3" t="s">
        <v>425</v>
      </c>
      <c r="G15" s="3" t="s">
        <v>425</v>
      </c>
      <c r="H15" s="51" t="s">
        <v>425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441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298</v>
      </c>
      <c r="D16" s="3" t="s">
        <v>1296</v>
      </c>
      <c r="E16" s="3" t="s">
        <v>1296</v>
      </c>
      <c r="F16" s="3" t="s">
        <v>1296</v>
      </c>
      <c r="G16" s="3" t="s">
        <v>1296</v>
      </c>
      <c r="H16" s="51">
        <v>41717</v>
      </c>
      <c r="J16" s="3">
        <f t="shared" si="7"/>
        <v>5.25</v>
      </c>
      <c r="K16" s="3">
        <f t="shared" si="0"/>
        <v>5.25</v>
      </c>
      <c r="L16" s="3">
        <f t="shared" si="0"/>
        <v>5.25</v>
      </c>
      <c r="M16" s="3">
        <f t="shared" si="0"/>
        <v>5.25</v>
      </c>
      <c r="P16" s="14" t="s">
        <v>297</v>
      </c>
      <c r="Q16" s="10" t="str">
        <f t="shared" si="1"/>
        <v>BAHEMA      -ON</v>
      </c>
      <c r="R16" s="51">
        <f t="shared" si="2"/>
        <v>41717</v>
      </c>
      <c r="S16" s="5">
        <f t="shared" si="3"/>
        <v>5.25</v>
      </c>
      <c r="T16" s="5">
        <f t="shared" si="4"/>
        <v>5.25</v>
      </c>
      <c r="U16" s="5">
        <f t="shared" si="5"/>
        <v>5.25</v>
      </c>
      <c r="V16" s="5">
        <f t="shared" si="6"/>
        <v>5.25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244</v>
      </c>
      <c r="D17" s="3" t="s">
        <v>1809</v>
      </c>
      <c r="E17" s="3" t="s">
        <v>1810</v>
      </c>
      <c r="F17" s="3" t="s">
        <v>1811</v>
      </c>
      <c r="G17" s="3" t="s">
        <v>1812</v>
      </c>
      <c r="H17" s="51">
        <v>41717</v>
      </c>
      <c r="J17" s="3">
        <f t="shared" si="7"/>
        <v>23.29</v>
      </c>
      <c r="K17" s="3">
        <f t="shared" si="0"/>
        <v>23.8</v>
      </c>
      <c r="L17" s="3">
        <f t="shared" si="0"/>
        <v>23.97</v>
      </c>
      <c r="M17" s="3">
        <f t="shared" si="0"/>
        <v>23.21</v>
      </c>
      <c r="P17" s="15" t="s">
        <v>25</v>
      </c>
      <c r="Q17" s="10" t="str">
        <f t="shared" si="1"/>
        <v xml:space="preserve">BBSEGURIDADE-ON  </v>
      </c>
      <c r="R17" s="51">
        <f t="shared" si="2"/>
        <v>41717</v>
      </c>
      <c r="S17" s="5">
        <f t="shared" si="3"/>
        <v>23.29</v>
      </c>
      <c r="T17" s="5">
        <f t="shared" si="4"/>
        <v>23.8</v>
      </c>
      <c r="U17" s="5">
        <f t="shared" si="5"/>
        <v>23.97</v>
      </c>
      <c r="V17" s="5">
        <f t="shared" si="6"/>
        <v>23.21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289</v>
      </c>
      <c r="D18" s="3" t="s">
        <v>1559</v>
      </c>
      <c r="E18" s="3" t="s">
        <v>1813</v>
      </c>
      <c r="F18" s="3" t="s">
        <v>1813</v>
      </c>
      <c r="G18" s="3" t="s">
        <v>1559</v>
      </c>
      <c r="H18" s="51">
        <v>41717</v>
      </c>
      <c r="J18" s="3">
        <f t="shared" si="7"/>
        <v>15.85</v>
      </c>
      <c r="K18" s="3">
        <f t="shared" si="0"/>
        <v>15.9</v>
      </c>
      <c r="L18" s="3">
        <f t="shared" si="0"/>
        <v>15.9</v>
      </c>
      <c r="M18" s="3">
        <f t="shared" si="0"/>
        <v>15.85</v>
      </c>
      <c r="P18" s="10" t="s">
        <v>286</v>
      </c>
      <c r="Q18" s="10" t="str">
        <f t="shared" si="1"/>
        <v xml:space="preserve">BRADESPAR   -ON  </v>
      </c>
      <c r="R18" s="51">
        <f t="shared" si="2"/>
        <v>41717</v>
      </c>
      <c r="S18" s="5">
        <f t="shared" si="3"/>
        <v>15.85</v>
      </c>
      <c r="T18" s="5">
        <f t="shared" si="4"/>
        <v>15.9</v>
      </c>
      <c r="U18" s="5">
        <f t="shared" si="5"/>
        <v>15.9</v>
      </c>
      <c r="V18" s="5">
        <f t="shared" si="6"/>
        <v>15.85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290</v>
      </c>
      <c r="D19" s="3" t="s">
        <v>1814</v>
      </c>
      <c r="E19" s="3" t="s">
        <v>1699</v>
      </c>
      <c r="F19" s="3" t="s">
        <v>1600</v>
      </c>
      <c r="G19" s="3" t="s">
        <v>1815</v>
      </c>
      <c r="H19" s="51">
        <v>41717</v>
      </c>
      <c r="J19" s="3">
        <f t="shared" si="7"/>
        <v>19.14</v>
      </c>
      <c r="K19" s="3">
        <f t="shared" si="0"/>
        <v>19.02</v>
      </c>
      <c r="L19" s="3">
        <f t="shared" si="0"/>
        <v>19.29</v>
      </c>
      <c r="M19" s="3">
        <f t="shared" si="0"/>
        <v>18.79</v>
      </c>
      <c r="P19" s="10" t="s">
        <v>287</v>
      </c>
      <c r="Q19" s="10" t="str">
        <f t="shared" si="1"/>
        <v xml:space="preserve">BRADESPAR   -PN  </v>
      </c>
      <c r="R19" s="51">
        <f t="shared" si="2"/>
        <v>41717</v>
      </c>
      <c r="S19" s="5">
        <f t="shared" si="3"/>
        <v>19.14</v>
      </c>
      <c r="T19" s="5">
        <f t="shared" si="4"/>
        <v>19.02</v>
      </c>
      <c r="U19" s="5">
        <f t="shared" si="5"/>
        <v>19.29</v>
      </c>
      <c r="V19" s="5">
        <f t="shared" si="6"/>
        <v>18.79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270</v>
      </c>
      <c r="D20" s="3" t="s">
        <v>1604</v>
      </c>
      <c r="E20" s="3" t="s">
        <v>1096</v>
      </c>
      <c r="F20" s="3" t="s">
        <v>1816</v>
      </c>
      <c r="G20" s="3" t="s">
        <v>1817</v>
      </c>
      <c r="H20" s="51">
        <v>41717</v>
      </c>
      <c r="J20" s="3">
        <f t="shared" si="7"/>
        <v>44.5</v>
      </c>
      <c r="K20" s="3">
        <f t="shared" si="0"/>
        <v>44</v>
      </c>
      <c r="L20" s="3">
        <f t="shared" si="0"/>
        <v>44.55</v>
      </c>
      <c r="M20" s="3">
        <f t="shared" si="0"/>
        <v>43.85</v>
      </c>
      <c r="P20" s="10" t="s">
        <v>268</v>
      </c>
      <c r="Q20" s="10" t="str">
        <f t="shared" si="1"/>
        <v xml:space="preserve">BRF SA      -ON  </v>
      </c>
      <c r="R20" s="51">
        <f t="shared" si="2"/>
        <v>41717</v>
      </c>
      <c r="S20" s="5">
        <f t="shared" si="3"/>
        <v>44.5</v>
      </c>
      <c r="T20" s="5">
        <f t="shared" si="4"/>
        <v>44</v>
      </c>
      <c r="U20" s="5">
        <f t="shared" si="5"/>
        <v>44.55</v>
      </c>
      <c r="V20" s="5">
        <f t="shared" si="6"/>
        <v>43.85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360</v>
      </c>
      <c r="D21" s="3" t="s">
        <v>1327</v>
      </c>
      <c r="E21" s="3" t="s">
        <v>1818</v>
      </c>
      <c r="F21" s="3" t="s">
        <v>1595</v>
      </c>
      <c r="G21" s="3" t="s">
        <v>1512</v>
      </c>
      <c r="H21" s="51">
        <v>41717</v>
      </c>
      <c r="J21" s="3">
        <f t="shared" si="7"/>
        <v>15.3</v>
      </c>
      <c r="K21" s="3">
        <f t="shared" si="0"/>
        <v>15.1</v>
      </c>
      <c r="L21" s="3">
        <f t="shared" si="0"/>
        <v>15.49</v>
      </c>
      <c r="M21" s="3">
        <f t="shared" si="0"/>
        <v>14.78</v>
      </c>
      <c r="P21" s="14" t="s">
        <v>358</v>
      </c>
      <c r="Q21" s="10" t="str">
        <f t="shared" si="1"/>
        <v xml:space="preserve">BR INSURANCE-ON  </v>
      </c>
      <c r="R21" s="51">
        <f t="shared" si="2"/>
        <v>41717</v>
      </c>
      <c r="S21" s="5">
        <f t="shared" si="3"/>
        <v>15.3</v>
      </c>
      <c r="T21" s="5">
        <f t="shared" si="4"/>
        <v>15.1</v>
      </c>
      <c r="U21" s="5">
        <f t="shared" si="5"/>
        <v>15.49</v>
      </c>
      <c r="V21" s="5">
        <f t="shared" si="6"/>
        <v>14.78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256</v>
      </c>
      <c r="D22" s="3" t="s">
        <v>1819</v>
      </c>
      <c r="E22" s="3" t="s">
        <v>1820</v>
      </c>
      <c r="F22" s="3" t="s">
        <v>1821</v>
      </c>
      <c r="G22" s="3" t="s">
        <v>1822</v>
      </c>
      <c r="H22" s="51">
        <v>41717</v>
      </c>
      <c r="J22" s="3">
        <f t="shared" si="7"/>
        <v>12.32</v>
      </c>
      <c r="K22" s="3">
        <f t="shared" si="0"/>
        <v>12.76</v>
      </c>
      <c r="L22" s="3">
        <f t="shared" si="0"/>
        <v>13.2</v>
      </c>
      <c r="M22" s="3">
        <f t="shared" si="0"/>
        <v>12.3</v>
      </c>
      <c r="P22" s="14" t="s">
        <v>253</v>
      </c>
      <c r="Q22" s="10" t="str">
        <f t="shared" si="1"/>
        <v xml:space="preserve">BRASKEM     -ON  </v>
      </c>
      <c r="R22" s="51">
        <f t="shared" si="2"/>
        <v>41717</v>
      </c>
      <c r="S22" s="5">
        <f t="shared" si="3"/>
        <v>12.32</v>
      </c>
      <c r="T22" s="5">
        <f t="shared" si="4"/>
        <v>12.76</v>
      </c>
      <c r="U22" s="5">
        <f t="shared" si="5"/>
        <v>13.2</v>
      </c>
      <c r="V22" s="5">
        <f t="shared" si="6"/>
        <v>12.3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257</v>
      </c>
      <c r="D23" s="3" t="s">
        <v>1571</v>
      </c>
      <c r="E23" s="3" t="s">
        <v>1823</v>
      </c>
      <c r="F23" s="3" t="s">
        <v>1542</v>
      </c>
      <c r="G23" s="3" t="s">
        <v>1824</v>
      </c>
      <c r="H23" s="51">
        <v>41717</v>
      </c>
      <c r="J23" s="3">
        <f t="shared" si="7"/>
        <v>16.09</v>
      </c>
      <c r="K23" s="3">
        <f t="shared" si="7"/>
        <v>16.38</v>
      </c>
      <c r="L23" s="3">
        <f t="shared" si="7"/>
        <v>16.78</v>
      </c>
      <c r="M23" s="3">
        <f t="shared" si="7"/>
        <v>15.82</v>
      </c>
      <c r="P23" s="14" t="s">
        <v>254</v>
      </c>
      <c r="Q23" s="10" t="str">
        <f t="shared" si="1"/>
        <v xml:space="preserve">BRASKEM     -PNA </v>
      </c>
      <c r="R23" s="51">
        <f t="shared" si="2"/>
        <v>41717</v>
      </c>
      <c r="S23" s="5">
        <f t="shared" si="3"/>
        <v>16.09</v>
      </c>
      <c r="T23" s="5">
        <f t="shared" si="4"/>
        <v>16.38</v>
      </c>
      <c r="U23" s="5">
        <f t="shared" si="5"/>
        <v>16.78</v>
      </c>
      <c r="V23" s="5">
        <f t="shared" si="6"/>
        <v>15.82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258</v>
      </c>
      <c r="D24" s="3" t="s">
        <v>713</v>
      </c>
      <c r="E24" s="3" t="s">
        <v>713</v>
      </c>
      <c r="F24" s="3" t="s">
        <v>713</v>
      </c>
      <c r="G24" s="3" t="s">
        <v>713</v>
      </c>
      <c r="H24" s="51">
        <v>41717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255</v>
      </c>
      <c r="Q24" s="10" t="str">
        <f t="shared" si="1"/>
        <v xml:space="preserve">BRASKEM     -PNB </v>
      </c>
      <c r="R24" s="51">
        <f t="shared" si="2"/>
        <v>41717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339</v>
      </c>
      <c r="D25" s="3" t="s">
        <v>1825</v>
      </c>
      <c r="E25" s="3" t="s">
        <v>1825</v>
      </c>
      <c r="F25" s="3" t="s">
        <v>1506</v>
      </c>
      <c r="G25" s="3" t="s">
        <v>1826</v>
      </c>
      <c r="H25" s="51">
        <v>41717</v>
      </c>
      <c r="J25" s="3">
        <f t="shared" si="7"/>
        <v>18.2</v>
      </c>
      <c r="K25" s="3">
        <f t="shared" si="7"/>
        <v>18.2</v>
      </c>
      <c r="L25" s="3">
        <f t="shared" si="7"/>
        <v>18.559999999999999</v>
      </c>
      <c r="M25" s="3">
        <f t="shared" si="7"/>
        <v>18.12</v>
      </c>
      <c r="P25" s="10" t="s">
        <v>338</v>
      </c>
      <c r="Q25" s="10" t="str">
        <f t="shared" si="1"/>
        <v xml:space="preserve">BR MALLS PAR-ON  </v>
      </c>
      <c r="R25" s="51">
        <f t="shared" si="2"/>
        <v>41717</v>
      </c>
      <c r="S25" s="5">
        <f t="shared" si="3"/>
        <v>18.2</v>
      </c>
      <c r="T25" s="5">
        <f t="shared" si="4"/>
        <v>18.2</v>
      </c>
      <c r="U25" s="5">
        <f t="shared" si="5"/>
        <v>18.559999999999999</v>
      </c>
      <c r="V25" s="5">
        <f t="shared" si="6"/>
        <v>18.12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341</v>
      </c>
      <c r="D26" s="3" t="s">
        <v>1827</v>
      </c>
      <c r="E26" s="3" t="s">
        <v>1388</v>
      </c>
      <c r="F26" s="3" t="s">
        <v>1781</v>
      </c>
      <c r="G26" s="3" t="s">
        <v>1828</v>
      </c>
      <c r="H26" s="51">
        <v>41717</v>
      </c>
      <c r="J26" s="3">
        <f t="shared" si="7"/>
        <v>16.760000000000002</v>
      </c>
      <c r="K26" s="3">
        <f t="shared" si="7"/>
        <v>16.850000000000001</v>
      </c>
      <c r="L26" s="3">
        <f t="shared" si="7"/>
        <v>17.23</v>
      </c>
      <c r="M26" s="3">
        <f t="shared" si="7"/>
        <v>16.66</v>
      </c>
      <c r="P26" s="15" t="s">
        <v>340</v>
      </c>
      <c r="Q26" s="10" t="str">
        <f t="shared" si="1"/>
        <v xml:space="preserve">BR PROPERT  -ON  </v>
      </c>
      <c r="R26" s="51">
        <f t="shared" si="2"/>
        <v>41717</v>
      </c>
      <c r="S26" s="5">
        <f t="shared" si="3"/>
        <v>16.760000000000002</v>
      </c>
      <c r="T26" s="5">
        <f t="shared" si="4"/>
        <v>16.850000000000001</v>
      </c>
      <c r="U26" s="5">
        <f t="shared" si="5"/>
        <v>17.23</v>
      </c>
      <c r="V26" s="5">
        <f t="shared" si="6"/>
        <v>16.66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366</v>
      </c>
      <c r="D27" s="3" t="s">
        <v>707</v>
      </c>
      <c r="E27" s="3" t="s">
        <v>1829</v>
      </c>
      <c r="F27" s="3" t="s">
        <v>1830</v>
      </c>
      <c r="G27" s="3" t="s">
        <v>1831</v>
      </c>
      <c r="H27" s="51">
        <v>41717</v>
      </c>
      <c r="J27" s="3">
        <f t="shared" si="7"/>
        <v>10.3</v>
      </c>
      <c r="K27" s="3">
        <f t="shared" si="7"/>
        <v>10.34</v>
      </c>
      <c r="L27" s="3">
        <f t="shared" si="7"/>
        <v>10.44</v>
      </c>
      <c r="M27" s="3">
        <f t="shared" si="7"/>
        <v>10.210000000000001</v>
      </c>
      <c r="P27" s="15" t="s">
        <v>364</v>
      </c>
      <c r="Q27" s="10" t="str">
        <f t="shared" si="1"/>
        <v xml:space="preserve">BMFBOVESPA  -ON  </v>
      </c>
      <c r="R27" s="51">
        <f t="shared" si="2"/>
        <v>41717</v>
      </c>
      <c r="S27" s="5">
        <f t="shared" si="3"/>
        <v>10.3</v>
      </c>
      <c r="T27" s="5">
        <f t="shared" si="4"/>
        <v>10.34</v>
      </c>
      <c r="U27" s="5">
        <f t="shared" si="5"/>
        <v>10.44</v>
      </c>
      <c r="V27" s="5">
        <f t="shared" si="6"/>
        <v>10.210000000000001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446</v>
      </c>
      <c r="D28" s="3" t="s">
        <v>1605</v>
      </c>
      <c r="E28" s="3" t="s">
        <v>1605</v>
      </c>
      <c r="F28" s="3" t="s">
        <v>1605</v>
      </c>
      <c r="G28" s="3" t="s">
        <v>1605</v>
      </c>
      <c r="H28" s="51">
        <v>41717</v>
      </c>
      <c r="J28" s="3">
        <f t="shared" si="7"/>
        <v>1.07</v>
      </c>
      <c r="K28" s="3">
        <f t="shared" si="7"/>
        <v>1.07</v>
      </c>
      <c r="L28" s="3">
        <f t="shared" si="7"/>
        <v>1.07</v>
      </c>
      <c r="M28" s="3">
        <f t="shared" si="7"/>
        <v>1.07</v>
      </c>
      <c r="P28" s="15" t="s">
        <v>445</v>
      </c>
      <c r="Q28" s="10" t="str">
        <f t="shared" si="1"/>
        <v>AMPLA ENERG -ON *</v>
      </c>
      <c r="R28" s="51">
        <f t="shared" si="2"/>
        <v>41717</v>
      </c>
      <c r="S28" s="5">
        <f t="shared" si="3"/>
        <v>1.07</v>
      </c>
      <c r="T28" s="5">
        <f t="shared" si="4"/>
        <v>1.07</v>
      </c>
      <c r="U28" s="5">
        <f t="shared" si="5"/>
        <v>1.07</v>
      </c>
      <c r="V28" s="5">
        <f t="shared" si="6"/>
        <v>1.07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343</v>
      </c>
      <c r="D29" s="3" t="s">
        <v>1606</v>
      </c>
      <c r="E29" s="3" t="s">
        <v>1606</v>
      </c>
      <c r="F29" s="3" t="s">
        <v>1606</v>
      </c>
      <c r="G29" s="3" t="s">
        <v>1606</v>
      </c>
      <c r="H29" s="51">
        <v>41717</v>
      </c>
      <c r="J29" s="3">
        <f>IF($A29="",0,VALUE(CONCATENATE(LEFT(D29,LEN(D29)-3),",",RIGHT(D29,2))))</f>
        <v>18.91</v>
      </c>
      <c r="K29" s="3">
        <f t="shared" si="7"/>
        <v>18.91</v>
      </c>
      <c r="L29" s="3">
        <f t="shared" si="7"/>
        <v>18.91</v>
      </c>
      <c r="M29" s="3">
        <f t="shared" si="7"/>
        <v>18.91</v>
      </c>
      <c r="P29" s="15" t="s">
        <v>342</v>
      </c>
      <c r="Q29" s="10" t="str">
        <f t="shared" si="1"/>
        <v xml:space="preserve">CYRE COM-CCP-ON  </v>
      </c>
      <c r="R29" s="51">
        <f t="shared" si="2"/>
        <v>41717</v>
      </c>
      <c r="S29" s="5">
        <f t="shared" si="3"/>
        <v>18.91</v>
      </c>
      <c r="T29" s="5">
        <f t="shared" si="4"/>
        <v>18.91</v>
      </c>
      <c r="U29" s="5">
        <f t="shared" si="5"/>
        <v>18.91</v>
      </c>
      <c r="V29" s="5">
        <f t="shared" si="6"/>
        <v>18.91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626</v>
      </c>
      <c r="D30" s="3" t="s">
        <v>425</v>
      </c>
      <c r="E30" s="3" t="s">
        <v>426</v>
      </c>
      <c r="F30" s="3" t="s">
        <v>425</v>
      </c>
      <c r="G30" s="3" t="s">
        <v>425</v>
      </c>
      <c r="H30" s="51" t="s">
        <v>425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466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458</v>
      </c>
      <c r="D31" s="3" t="s">
        <v>1516</v>
      </c>
      <c r="E31" s="3" t="s">
        <v>1362</v>
      </c>
      <c r="F31" s="3" t="s">
        <v>1362</v>
      </c>
      <c r="G31" s="3" t="s">
        <v>1516</v>
      </c>
      <c r="H31" s="51">
        <v>41717</v>
      </c>
      <c r="J31" s="3">
        <f t="shared" si="7"/>
        <v>1.1000000000000001</v>
      </c>
      <c r="K31" s="3">
        <f t="shared" si="7"/>
        <v>1.2</v>
      </c>
      <c r="L31" s="3">
        <f t="shared" si="7"/>
        <v>1.2</v>
      </c>
      <c r="M31" s="3">
        <f t="shared" si="7"/>
        <v>1.1000000000000001</v>
      </c>
      <c r="P31" s="14" t="s">
        <v>454</v>
      </c>
      <c r="Q31" s="10" t="str">
        <f t="shared" si="1"/>
        <v>CELPA       -ON</v>
      </c>
      <c r="R31" s="51">
        <f t="shared" si="2"/>
        <v>41717</v>
      </c>
      <c r="S31" s="5">
        <f t="shared" si="3"/>
        <v>1.1000000000000001</v>
      </c>
      <c r="T31" s="5">
        <f t="shared" si="4"/>
        <v>1.2</v>
      </c>
      <c r="U31" s="5">
        <f t="shared" si="5"/>
        <v>1.2</v>
      </c>
      <c r="V31" s="5">
        <f t="shared" si="6"/>
        <v>1.1000000000000001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459</v>
      </c>
      <c r="D32" s="3" t="s">
        <v>460</v>
      </c>
      <c r="E32" s="3" t="s">
        <v>460</v>
      </c>
      <c r="F32" s="3" t="s">
        <v>460</v>
      </c>
      <c r="G32" s="3" t="s">
        <v>460</v>
      </c>
      <c r="H32" s="51">
        <v>41717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455</v>
      </c>
      <c r="Q32" s="10" t="str">
        <f t="shared" si="1"/>
        <v>CELPA       -PNA</v>
      </c>
      <c r="R32" s="51">
        <f t="shared" si="2"/>
        <v>41717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461</v>
      </c>
      <c r="D33" s="3" t="s">
        <v>425</v>
      </c>
      <c r="E33" s="3" t="s">
        <v>462</v>
      </c>
      <c r="F33" s="3" t="s">
        <v>462</v>
      </c>
      <c r="G33" s="3" t="s">
        <v>462</v>
      </c>
      <c r="H33" s="51">
        <v>41717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456</v>
      </c>
      <c r="Q33" s="10" t="str">
        <f t="shared" si="1"/>
        <v>CELPA       -PNB</v>
      </c>
      <c r="R33" s="51">
        <f t="shared" si="2"/>
        <v>41717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463</v>
      </c>
      <c r="D34" s="3" t="s">
        <v>390</v>
      </c>
      <c r="E34" s="3" t="s">
        <v>390</v>
      </c>
      <c r="F34" s="3" t="s">
        <v>390</v>
      </c>
      <c r="G34" s="3" t="s">
        <v>390</v>
      </c>
      <c r="H34" s="51">
        <v>41717</v>
      </c>
      <c r="J34" s="3">
        <f t="shared" si="7"/>
        <v>0.5</v>
      </c>
      <c r="K34" s="3">
        <f t="shared" si="7"/>
        <v>0.5</v>
      </c>
      <c r="L34" s="3">
        <f t="shared" si="7"/>
        <v>0.5</v>
      </c>
      <c r="M34" s="3">
        <f t="shared" si="7"/>
        <v>0.5</v>
      </c>
      <c r="P34" s="15" t="s">
        <v>457</v>
      </c>
      <c r="Q34" s="10" t="str">
        <f t="shared" si="1"/>
        <v>CELPA       -PNC</v>
      </c>
      <c r="R34" s="51">
        <f t="shared" si="2"/>
        <v>41717</v>
      </c>
      <c r="S34" s="5">
        <f t="shared" si="3"/>
        <v>0.5</v>
      </c>
      <c r="T34" s="5">
        <f t="shared" si="4"/>
        <v>0.5</v>
      </c>
      <c r="U34" s="5">
        <f t="shared" si="5"/>
        <v>0.5</v>
      </c>
      <c r="V34" s="5">
        <f t="shared" si="6"/>
        <v>0.5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370</v>
      </c>
      <c r="D35" s="3" t="s">
        <v>1832</v>
      </c>
      <c r="E35" s="3" t="s">
        <v>1833</v>
      </c>
      <c r="F35" s="3" t="s">
        <v>1834</v>
      </c>
      <c r="G35" s="3" t="s">
        <v>1835</v>
      </c>
      <c r="H35" s="51">
        <v>41717</v>
      </c>
      <c r="J35" s="3">
        <f t="shared" si="7"/>
        <v>68.900000000000006</v>
      </c>
      <c r="K35" s="3">
        <f t="shared" si="7"/>
        <v>69.510000000000005</v>
      </c>
      <c r="L35" s="3">
        <f t="shared" si="7"/>
        <v>69.8</v>
      </c>
      <c r="M35" s="3">
        <f t="shared" si="7"/>
        <v>68.33</v>
      </c>
      <c r="P35" s="43" t="s">
        <v>368</v>
      </c>
      <c r="Q35" s="10" t="str">
        <f t="shared" si="1"/>
        <v xml:space="preserve">CIELO       -ON  </v>
      </c>
      <c r="R35" s="51">
        <f t="shared" si="2"/>
        <v>41717</v>
      </c>
      <c r="S35" s="5">
        <f t="shared" si="3"/>
        <v>68.900000000000006</v>
      </c>
      <c r="T35" s="5">
        <f t="shared" si="4"/>
        <v>69.510000000000005</v>
      </c>
      <c r="U35" s="5">
        <f t="shared" si="5"/>
        <v>69.8</v>
      </c>
      <c r="V35" s="5">
        <f t="shared" si="6"/>
        <v>68.33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627</v>
      </c>
      <c r="D36" s="3" t="s">
        <v>425</v>
      </c>
      <c r="E36" s="3" t="s">
        <v>266</v>
      </c>
      <c r="F36" s="3" t="s">
        <v>266</v>
      </c>
      <c r="G36" s="3" t="s">
        <v>266</v>
      </c>
      <c r="H36" s="51">
        <v>41717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264</v>
      </c>
      <c r="Q36" s="10" t="str">
        <f t="shared" si="1"/>
        <v>CACIQUE     -ON</v>
      </c>
      <c r="R36" s="51">
        <f t="shared" si="2"/>
        <v>41717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628</v>
      </c>
      <c r="D37" s="3" t="s">
        <v>881</v>
      </c>
      <c r="E37" s="3" t="s">
        <v>1313</v>
      </c>
      <c r="F37" s="3" t="s">
        <v>1313</v>
      </c>
      <c r="G37" s="3" t="s">
        <v>881</v>
      </c>
      <c r="H37" s="51">
        <v>41717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265</v>
      </c>
      <c r="Q37" s="10" t="str">
        <f t="shared" si="1"/>
        <v>CACIQUE     -PN</v>
      </c>
      <c r="R37" s="51">
        <f t="shared" si="2"/>
        <v>41717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453</v>
      </c>
      <c r="D38" s="3" t="s">
        <v>425</v>
      </c>
      <c r="E38" s="3" t="s">
        <v>737</v>
      </c>
      <c r="F38" s="3" t="s">
        <v>737</v>
      </c>
      <c r="G38" s="3" t="s">
        <v>737</v>
      </c>
      <c r="H38" s="51">
        <v>41717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452</v>
      </c>
      <c r="Q38" s="10" t="str">
        <f t="shared" si="1"/>
        <v xml:space="preserve">CELESC      -ON  </v>
      </c>
      <c r="R38" s="51">
        <f t="shared" si="2"/>
        <v>41717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357</v>
      </c>
      <c r="D39" s="3" t="s">
        <v>1517</v>
      </c>
      <c r="E39" s="3" t="s">
        <v>1517</v>
      </c>
      <c r="F39" s="3" t="s">
        <v>1517</v>
      </c>
      <c r="G39" s="3" t="s">
        <v>1517</v>
      </c>
      <c r="H39" s="51">
        <v>41717</v>
      </c>
      <c r="J39" s="3">
        <f t="shared" si="7"/>
        <v>4.04</v>
      </c>
      <c r="K39" s="3">
        <f t="shared" si="7"/>
        <v>4.04</v>
      </c>
      <c r="L39" s="3">
        <f t="shared" si="7"/>
        <v>4.04</v>
      </c>
      <c r="M39" s="3">
        <f t="shared" si="7"/>
        <v>4.04</v>
      </c>
      <c r="P39" s="10" t="s">
        <v>355</v>
      </c>
      <c r="Q39" s="10" t="str">
        <f t="shared" ref="Q39:Q70" si="8">IF(A39="","",C39)</f>
        <v>ALFA FINANC -ON</v>
      </c>
      <c r="R39" s="51">
        <f t="shared" ref="R39:R70" si="9">IF(A39="","",H39)</f>
        <v>41717</v>
      </c>
      <c r="S39" s="5">
        <f t="shared" ref="S39:S70" si="10">J39</f>
        <v>4.04</v>
      </c>
      <c r="T39" s="5">
        <f t="shared" ref="T39:T70" si="11">K39</f>
        <v>4.04</v>
      </c>
      <c r="U39" s="5">
        <f t="shared" ref="U39:U70" si="12">L39</f>
        <v>4.04</v>
      </c>
      <c r="V39" s="5">
        <f t="shared" ref="V39:V70" si="13">M39</f>
        <v>4.04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752</v>
      </c>
      <c r="D40" s="3" t="s">
        <v>1522</v>
      </c>
      <c r="E40" s="3" t="s">
        <v>1522</v>
      </c>
      <c r="F40" s="3" t="s">
        <v>1522</v>
      </c>
      <c r="G40" s="3" t="s">
        <v>1522</v>
      </c>
      <c r="H40" s="51">
        <v>41717</v>
      </c>
      <c r="J40" s="3">
        <f t="shared" si="7"/>
        <v>3.84</v>
      </c>
      <c r="K40" s="3">
        <f t="shared" si="7"/>
        <v>3.84</v>
      </c>
      <c r="L40" s="3">
        <f t="shared" si="7"/>
        <v>3.84</v>
      </c>
      <c r="M40" s="3">
        <f t="shared" si="7"/>
        <v>3.84</v>
      </c>
      <c r="P40" s="14" t="s">
        <v>356</v>
      </c>
      <c r="Q40" s="10" t="str">
        <f t="shared" si="8"/>
        <v>ALFA FINANC -PN</v>
      </c>
      <c r="R40" s="51">
        <f t="shared" si="9"/>
        <v>41717</v>
      </c>
      <c r="S40" s="5">
        <f t="shared" si="10"/>
        <v>3.84</v>
      </c>
      <c r="T40" s="5">
        <f t="shared" si="11"/>
        <v>3.84</v>
      </c>
      <c r="U40" s="5">
        <f t="shared" si="12"/>
        <v>3.84</v>
      </c>
      <c r="V40" s="5">
        <f t="shared" si="13"/>
        <v>3.84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242</v>
      </c>
      <c r="D41" s="3" t="s">
        <v>125</v>
      </c>
      <c r="E41" s="3" t="s">
        <v>125</v>
      </c>
      <c r="F41" s="3" t="s">
        <v>125</v>
      </c>
      <c r="G41" s="3" t="s">
        <v>125</v>
      </c>
      <c r="H41" s="51">
        <v>41717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240</v>
      </c>
      <c r="Q41" s="10" t="str">
        <f t="shared" si="8"/>
        <v>SEG AL BAHIA-ON</v>
      </c>
      <c r="R41" s="51">
        <f t="shared" si="9"/>
        <v>41717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243</v>
      </c>
      <c r="D42" s="3" t="s">
        <v>1332</v>
      </c>
      <c r="E42" s="3" t="s">
        <v>125</v>
      </c>
      <c r="F42" s="3" t="s">
        <v>125</v>
      </c>
      <c r="G42" s="3" t="s">
        <v>1332</v>
      </c>
      <c r="H42" s="51">
        <v>41717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241</v>
      </c>
      <c r="Q42" s="10" t="str">
        <f t="shared" si="8"/>
        <v>SEG AL BAHIA-PN</v>
      </c>
      <c r="R42" s="51">
        <f t="shared" si="9"/>
        <v>41717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261</v>
      </c>
      <c r="D43" s="3" t="s">
        <v>1836</v>
      </c>
      <c r="E43" s="3" t="s">
        <v>1837</v>
      </c>
      <c r="F43" s="3" t="s">
        <v>1580</v>
      </c>
      <c r="G43" s="3" t="s">
        <v>1838</v>
      </c>
      <c r="H43" s="51">
        <v>41717</v>
      </c>
      <c r="J43" s="3">
        <f t="shared" si="7"/>
        <v>33.01</v>
      </c>
      <c r="K43" s="3">
        <f t="shared" si="7"/>
        <v>33.700000000000003</v>
      </c>
      <c r="L43" s="3">
        <f t="shared" si="7"/>
        <v>34.18</v>
      </c>
      <c r="M43" s="3">
        <f t="shared" si="7"/>
        <v>32.9</v>
      </c>
      <c r="P43" s="14" t="s">
        <v>260</v>
      </c>
      <c r="Q43" s="10" t="str">
        <f t="shared" si="8"/>
        <v xml:space="preserve">COSAN       -ON  </v>
      </c>
      <c r="R43" s="51">
        <f t="shared" si="9"/>
        <v>41717</v>
      </c>
      <c r="S43" s="5">
        <f t="shared" si="10"/>
        <v>33.01</v>
      </c>
      <c r="T43" s="5">
        <f t="shared" si="11"/>
        <v>33.700000000000003</v>
      </c>
      <c r="U43" s="5">
        <f t="shared" si="12"/>
        <v>34.18</v>
      </c>
      <c r="V43" s="5">
        <f t="shared" si="13"/>
        <v>32.9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369</v>
      </c>
      <c r="D44" s="3" t="s">
        <v>1839</v>
      </c>
      <c r="E44" s="3" t="s">
        <v>1840</v>
      </c>
      <c r="F44" s="3" t="s">
        <v>1841</v>
      </c>
      <c r="G44" s="3" t="s">
        <v>1839</v>
      </c>
      <c r="H44" s="51">
        <v>41717</v>
      </c>
      <c r="J44" s="3">
        <f t="shared" si="7"/>
        <v>24.41</v>
      </c>
      <c r="K44" s="3">
        <f t="shared" si="7"/>
        <v>25.23</v>
      </c>
      <c r="L44" s="3">
        <f t="shared" si="7"/>
        <v>25.43</v>
      </c>
      <c r="M44" s="3">
        <f t="shared" si="7"/>
        <v>24.41</v>
      </c>
      <c r="P44" s="14" t="s">
        <v>367</v>
      </c>
      <c r="Q44" s="10" t="str">
        <f t="shared" si="8"/>
        <v xml:space="preserve">CETIP       -ON  </v>
      </c>
      <c r="R44" s="51">
        <f t="shared" si="9"/>
        <v>41717</v>
      </c>
      <c r="S44" s="5">
        <f t="shared" si="10"/>
        <v>24.41</v>
      </c>
      <c r="T44" s="5">
        <f t="shared" si="11"/>
        <v>25.23</v>
      </c>
      <c r="U44" s="5">
        <f t="shared" si="12"/>
        <v>25.43</v>
      </c>
      <c r="V44" s="5">
        <f t="shared" si="13"/>
        <v>24.41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311</v>
      </c>
      <c r="D45" s="3" t="s">
        <v>1842</v>
      </c>
      <c r="E45" s="3" t="s">
        <v>1843</v>
      </c>
      <c r="F45" s="3" t="s">
        <v>1698</v>
      </c>
      <c r="G45" s="3" t="s">
        <v>1844</v>
      </c>
      <c r="H45" s="51">
        <v>41717</v>
      </c>
      <c r="J45" s="3">
        <f t="shared" si="7"/>
        <v>10.68</v>
      </c>
      <c r="K45" s="3">
        <f t="shared" si="7"/>
        <v>10.75</v>
      </c>
      <c r="L45" s="3">
        <f t="shared" si="7"/>
        <v>10.9</v>
      </c>
      <c r="M45" s="3">
        <f t="shared" si="7"/>
        <v>10.55</v>
      </c>
      <c r="P45" s="14" t="s">
        <v>309</v>
      </c>
      <c r="Q45" s="10" t="str">
        <f t="shared" si="8"/>
        <v xml:space="preserve">DURATEX     -ON  </v>
      </c>
      <c r="R45" s="51">
        <f t="shared" si="9"/>
        <v>41717</v>
      </c>
      <c r="S45" s="5">
        <f t="shared" si="10"/>
        <v>10.68</v>
      </c>
      <c r="T45" s="5">
        <f t="shared" si="11"/>
        <v>10.75</v>
      </c>
      <c r="U45" s="5">
        <f t="shared" si="12"/>
        <v>10.9</v>
      </c>
      <c r="V45" s="5">
        <f t="shared" si="13"/>
        <v>10.55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372</v>
      </c>
      <c r="D46" s="3" t="s">
        <v>1437</v>
      </c>
      <c r="E46" s="3" t="s">
        <v>1438</v>
      </c>
      <c r="F46" s="3" t="s">
        <v>1437</v>
      </c>
      <c r="G46" s="3" t="s">
        <v>1438</v>
      </c>
      <c r="H46" s="51">
        <v>41717</v>
      </c>
      <c r="J46" s="3">
        <f t="shared" si="7"/>
        <v>7.4</v>
      </c>
      <c r="K46" s="3">
        <f t="shared" si="7"/>
        <v>7.38</v>
      </c>
      <c r="L46" s="3">
        <f t="shared" si="7"/>
        <v>7.4</v>
      </c>
      <c r="M46" s="3">
        <f t="shared" si="7"/>
        <v>7.38</v>
      </c>
      <c r="P46" s="14" t="s">
        <v>371</v>
      </c>
      <c r="Q46" s="10" t="str">
        <f t="shared" si="8"/>
        <v>EMBRATEL PAR-PN *</v>
      </c>
      <c r="R46" s="46">
        <f t="shared" si="9"/>
        <v>41717</v>
      </c>
      <c r="S46" s="6">
        <f t="shared" si="10"/>
        <v>7.4</v>
      </c>
      <c r="T46" s="6">
        <f t="shared" si="11"/>
        <v>7.38</v>
      </c>
      <c r="U46" s="6">
        <f t="shared" si="12"/>
        <v>7.4</v>
      </c>
      <c r="V46" s="6">
        <f t="shared" si="13"/>
        <v>7.38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391</v>
      </c>
      <c r="D47" s="3" t="s">
        <v>1297</v>
      </c>
      <c r="E47" s="3" t="s">
        <v>1298</v>
      </c>
      <c r="F47" s="3" t="s">
        <v>1297</v>
      </c>
      <c r="G47" s="3" t="s">
        <v>1298</v>
      </c>
      <c r="H47" s="51">
        <v>41717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251</v>
      </c>
      <c r="Q47" s="10" t="str">
        <f t="shared" si="8"/>
        <v>ELEKEIROZ   -ON</v>
      </c>
      <c r="R47" s="51">
        <f t="shared" si="9"/>
        <v>41717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392</v>
      </c>
      <c r="D48" s="3" t="s">
        <v>1345</v>
      </c>
      <c r="E48" s="3" t="s">
        <v>1346</v>
      </c>
      <c r="F48" s="3" t="s">
        <v>1346</v>
      </c>
      <c r="G48" s="3" t="s">
        <v>1345</v>
      </c>
      <c r="H48" s="51">
        <v>41717</v>
      </c>
      <c r="J48" s="3">
        <f t="shared" si="7"/>
        <v>8.81</v>
      </c>
      <c r="K48" s="3">
        <f t="shared" si="7"/>
        <v>9.39</v>
      </c>
      <c r="L48" s="3">
        <f t="shared" si="7"/>
        <v>9.39</v>
      </c>
      <c r="M48" s="3">
        <f t="shared" si="7"/>
        <v>8.81</v>
      </c>
      <c r="P48" s="14" t="s">
        <v>252</v>
      </c>
      <c r="Q48" s="10" t="str">
        <f t="shared" si="8"/>
        <v>ELEKEIROZ   -PN</v>
      </c>
      <c r="R48" s="51">
        <f t="shared" si="9"/>
        <v>41717</v>
      </c>
      <c r="S48" s="5">
        <f t="shared" si="10"/>
        <v>8.81</v>
      </c>
      <c r="T48" s="5">
        <f t="shared" si="11"/>
        <v>9.39</v>
      </c>
      <c r="U48" s="5">
        <f t="shared" si="12"/>
        <v>9.39</v>
      </c>
      <c r="V48" s="5">
        <f t="shared" si="13"/>
        <v>8.81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448</v>
      </c>
      <c r="D49" s="3" t="s">
        <v>425</v>
      </c>
      <c r="E49" s="3" t="s">
        <v>449</v>
      </c>
      <c r="F49" s="3" t="s">
        <v>449</v>
      </c>
      <c r="G49" s="3" t="s">
        <v>449</v>
      </c>
      <c r="H49" s="51">
        <v>41717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447</v>
      </c>
      <c r="Q49" s="10" t="str">
        <f t="shared" si="8"/>
        <v xml:space="preserve">ELETROBRAS  -PNA </v>
      </c>
      <c r="R49" s="51">
        <f t="shared" si="9"/>
        <v>41717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331</v>
      </c>
      <c r="D50" s="3" t="s">
        <v>1596</v>
      </c>
      <c r="E50" s="3" t="s">
        <v>1745</v>
      </c>
      <c r="F50" s="3" t="s">
        <v>1769</v>
      </c>
      <c r="G50" s="3" t="s">
        <v>1596</v>
      </c>
      <c r="H50" s="51">
        <v>41717</v>
      </c>
      <c r="J50" s="3">
        <f t="shared" si="7"/>
        <v>8.5299999999999994</v>
      </c>
      <c r="K50" s="3">
        <f t="shared" si="7"/>
        <v>8.58</v>
      </c>
      <c r="L50" s="3">
        <f t="shared" si="7"/>
        <v>8.6199999999999992</v>
      </c>
      <c r="M50" s="3">
        <f t="shared" si="7"/>
        <v>8.5299999999999994</v>
      </c>
      <c r="P50" s="15" t="s">
        <v>329</v>
      </c>
      <c r="Q50" s="10" t="str">
        <f t="shared" si="8"/>
        <v xml:space="preserve">ETERNIT     -ON  </v>
      </c>
      <c r="R50" s="46">
        <f t="shared" si="9"/>
        <v>41717</v>
      </c>
      <c r="S50" s="6">
        <f t="shared" si="10"/>
        <v>8.5299999999999994</v>
      </c>
      <c r="T50" s="6">
        <f t="shared" si="11"/>
        <v>8.58</v>
      </c>
      <c r="U50" s="6">
        <f t="shared" si="12"/>
        <v>8.6199999999999992</v>
      </c>
      <c r="V50" s="6">
        <f t="shared" si="13"/>
        <v>8.5299999999999994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313</v>
      </c>
      <c r="D51" s="3" t="s">
        <v>1845</v>
      </c>
      <c r="E51" s="3" t="s">
        <v>1329</v>
      </c>
      <c r="F51" s="3" t="s">
        <v>1504</v>
      </c>
      <c r="G51" s="3" t="s">
        <v>1845</v>
      </c>
      <c r="H51" s="51">
        <v>41717</v>
      </c>
      <c r="J51" s="3">
        <f t="shared" si="7"/>
        <v>5.12</v>
      </c>
      <c r="K51" s="3">
        <f t="shared" si="7"/>
        <v>5.15</v>
      </c>
      <c r="L51" s="3">
        <f t="shared" si="7"/>
        <v>5.22</v>
      </c>
      <c r="M51" s="3">
        <f t="shared" si="7"/>
        <v>5.12</v>
      </c>
      <c r="P51" s="14" t="s">
        <v>312</v>
      </c>
      <c r="Q51" s="10" t="str">
        <f t="shared" si="8"/>
        <v xml:space="preserve">EUCATEX     -PN  </v>
      </c>
      <c r="R51" s="51">
        <f t="shared" si="9"/>
        <v>41717</v>
      </c>
      <c r="S51" s="5">
        <f t="shared" si="10"/>
        <v>5.12</v>
      </c>
      <c r="T51" s="5">
        <f t="shared" si="11"/>
        <v>5.15</v>
      </c>
      <c r="U51" s="5">
        <f t="shared" si="12"/>
        <v>5.22</v>
      </c>
      <c r="V51" s="5">
        <f t="shared" si="13"/>
        <v>5.12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465</v>
      </c>
      <c r="D52" s="3" t="s">
        <v>1495</v>
      </c>
      <c r="E52" s="3" t="s">
        <v>1495</v>
      </c>
      <c r="F52" s="3" t="s">
        <v>1495</v>
      </c>
      <c r="G52" s="3" t="s">
        <v>1495</v>
      </c>
      <c r="H52" s="51">
        <v>41717</v>
      </c>
      <c r="J52" s="3">
        <f t="shared" si="7"/>
        <v>12</v>
      </c>
      <c r="K52" s="3">
        <f t="shared" si="7"/>
        <v>12</v>
      </c>
      <c r="L52" s="3">
        <f t="shared" si="7"/>
        <v>12</v>
      </c>
      <c r="M52" s="3">
        <f t="shared" si="7"/>
        <v>12</v>
      </c>
      <c r="P52" s="10" t="s">
        <v>464</v>
      </c>
      <c r="Q52" s="10" t="str">
        <f t="shared" si="8"/>
        <v>CELGPAR     -ON</v>
      </c>
      <c r="R52" s="51">
        <f t="shared" si="9"/>
        <v>41717</v>
      </c>
      <c r="S52" s="5">
        <f t="shared" si="10"/>
        <v>12</v>
      </c>
      <c r="T52" s="5">
        <f t="shared" si="11"/>
        <v>12</v>
      </c>
      <c r="U52" s="5">
        <f t="shared" si="12"/>
        <v>12</v>
      </c>
      <c r="V52" s="5">
        <f t="shared" si="13"/>
        <v>12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293</v>
      </c>
      <c r="D53" s="3" t="s">
        <v>1364</v>
      </c>
      <c r="E53" s="3" t="s">
        <v>1364</v>
      </c>
      <c r="F53" s="3" t="s">
        <v>1364</v>
      </c>
      <c r="G53" s="3" t="s">
        <v>1364</v>
      </c>
      <c r="H53" s="51">
        <v>41717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4" t="s">
        <v>292</v>
      </c>
      <c r="Q53" s="10" t="str">
        <f t="shared" si="8"/>
        <v>HABITASUL   -PNA</v>
      </c>
      <c r="R53" s="51">
        <f t="shared" si="9"/>
        <v>41717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345</v>
      </c>
      <c r="D54" s="3" t="s">
        <v>423</v>
      </c>
      <c r="E54" s="61" t="s">
        <v>1846</v>
      </c>
      <c r="F54" s="61" t="s">
        <v>1847</v>
      </c>
      <c r="G54" s="61" t="s">
        <v>1520</v>
      </c>
      <c r="H54" s="51">
        <v>41717</v>
      </c>
      <c r="J54" s="3">
        <f t="shared" si="7"/>
        <v>21</v>
      </c>
      <c r="K54" s="3">
        <f t="shared" si="7"/>
        <v>20.61</v>
      </c>
      <c r="L54" s="3">
        <f t="shared" si="7"/>
        <v>21.06</v>
      </c>
      <c r="M54" s="3">
        <f t="shared" si="7"/>
        <v>20.399999999999999</v>
      </c>
      <c r="P54" s="14" t="s">
        <v>344</v>
      </c>
      <c r="Q54" s="10" t="str">
        <f t="shared" si="8"/>
        <v xml:space="preserve">IGUATEMI    -ON  </v>
      </c>
      <c r="R54" s="51">
        <f t="shared" si="9"/>
        <v>41717</v>
      </c>
      <c r="S54" s="5">
        <f t="shared" si="10"/>
        <v>21</v>
      </c>
      <c r="T54" s="5">
        <f t="shared" si="11"/>
        <v>20.61</v>
      </c>
      <c r="U54" s="5">
        <f t="shared" si="12"/>
        <v>21.06</v>
      </c>
      <c r="V54" s="5">
        <f t="shared" si="13"/>
        <v>20.399999999999999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272</v>
      </c>
      <c r="D55" s="3" t="s">
        <v>1784</v>
      </c>
      <c r="E55" s="3" t="s">
        <v>1848</v>
      </c>
      <c r="F55" s="3" t="s">
        <v>1784</v>
      </c>
      <c r="G55" s="3" t="s">
        <v>1848</v>
      </c>
      <c r="H55" s="51">
        <v>41717</v>
      </c>
      <c r="J55" s="3">
        <f t="shared" si="7"/>
        <v>7.6</v>
      </c>
      <c r="K55" s="3">
        <f t="shared" si="7"/>
        <v>7.39</v>
      </c>
      <c r="L55" s="3">
        <f t="shared" si="7"/>
        <v>7.6</v>
      </c>
      <c r="M55" s="3">
        <f t="shared" si="7"/>
        <v>7.39</v>
      </c>
      <c r="P55" s="43" t="s">
        <v>271</v>
      </c>
      <c r="Q55" s="10" t="str">
        <f t="shared" si="8"/>
        <v xml:space="preserve">JBS         -ON  </v>
      </c>
      <c r="R55" s="51">
        <f t="shared" si="9"/>
        <v>41717</v>
      </c>
      <c r="S55" s="5">
        <f t="shared" si="10"/>
        <v>7.6</v>
      </c>
      <c r="T55" s="5">
        <f t="shared" si="11"/>
        <v>7.39</v>
      </c>
      <c r="U55" s="5">
        <f t="shared" si="12"/>
        <v>7.6</v>
      </c>
      <c r="V55" s="5">
        <f t="shared" si="13"/>
        <v>7.39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247</v>
      </c>
      <c r="D56" s="3" t="s">
        <v>1397</v>
      </c>
      <c r="E56" s="3" t="s">
        <v>1397</v>
      </c>
      <c r="F56" s="3" t="s">
        <v>1397</v>
      </c>
      <c r="G56" s="3" t="s">
        <v>1397</v>
      </c>
      <c r="H56" s="51">
        <v>41717</v>
      </c>
      <c r="J56" s="3">
        <f t="shared" si="7"/>
        <v>17.05</v>
      </c>
      <c r="K56" s="3">
        <f t="shared" si="7"/>
        <v>17.05</v>
      </c>
      <c r="L56" s="3">
        <f t="shared" si="7"/>
        <v>17.05</v>
      </c>
      <c r="M56" s="3">
        <f t="shared" si="7"/>
        <v>17.05</v>
      </c>
      <c r="P56" s="15" t="s">
        <v>245</v>
      </c>
      <c r="Q56" s="10" t="str">
        <f t="shared" si="8"/>
        <v>JOSAPAR     -ON</v>
      </c>
      <c r="R56" s="51">
        <f t="shared" si="9"/>
        <v>41717</v>
      </c>
      <c r="S56" s="5">
        <f t="shared" si="10"/>
        <v>17.05</v>
      </c>
      <c r="T56" s="5">
        <f t="shared" si="11"/>
        <v>17.05</v>
      </c>
      <c r="U56" s="5">
        <f t="shared" si="12"/>
        <v>17.05</v>
      </c>
      <c r="V56" s="5">
        <f t="shared" si="13"/>
        <v>17.05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248</v>
      </c>
      <c r="D57" s="3" t="s">
        <v>1347</v>
      </c>
      <c r="E57" s="3" t="s">
        <v>1347</v>
      </c>
      <c r="F57" s="3" t="s">
        <v>1347</v>
      </c>
      <c r="G57" s="3" t="s">
        <v>1347</v>
      </c>
      <c r="H57" s="51">
        <v>41717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10" t="s">
        <v>246</v>
      </c>
      <c r="Q57" s="10" t="str">
        <f t="shared" si="8"/>
        <v>JOSAPAR     -PN</v>
      </c>
      <c r="R57" s="51">
        <f t="shared" si="9"/>
        <v>41717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306</v>
      </c>
      <c r="D58" s="3" t="s">
        <v>1460</v>
      </c>
      <c r="E58" s="3" t="s">
        <v>1518</v>
      </c>
      <c r="F58" s="3" t="s">
        <v>1365</v>
      </c>
      <c r="G58" s="3" t="s">
        <v>1460</v>
      </c>
      <c r="H58" s="51">
        <v>41717</v>
      </c>
      <c r="J58" s="3">
        <f t="shared" si="7"/>
        <v>3.73</v>
      </c>
      <c r="K58" s="3">
        <f t="shared" si="7"/>
        <v>3.79</v>
      </c>
      <c r="L58" s="3">
        <f t="shared" si="7"/>
        <v>3.8</v>
      </c>
      <c r="M58" s="3">
        <f t="shared" si="7"/>
        <v>3.73</v>
      </c>
      <c r="P58" s="14" t="s">
        <v>305</v>
      </c>
      <c r="Q58" s="10" t="str">
        <f t="shared" si="8"/>
        <v xml:space="preserve">LOCAMERICA  -ON  </v>
      </c>
      <c r="R58" s="51">
        <f t="shared" si="9"/>
        <v>41717</v>
      </c>
      <c r="S58" s="5">
        <f t="shared" si="10"/>
        <v>3.73</v>
      </c>
      <c r="T58" s="5">
        <f t="shared" si="11"/>
        <v>3.79</v>
      </c>
      <c r="U58" s="5">
        <f t="shared" si="12"/>
        <v>3.8</v>
      </c>
      <c r="V58" s="5">
        <f t="shared" si="13"/>
        <v>3.73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318</v>
      </c>
      <c r="D59" s="3" t="s">
        <v>708</v>
      </c>
      <c r="E59" s="61" t="s">
        <v>1849</v>
      </c>
      <c r="F59" s="61" t="s">
        <v>1850</v>
      </c>
      <c r="G59" s="61" t="s">
        <v>1386</v>
      </c>
      <c r="H59" s="51">
        <v>41717</v>
      </c>
      <c r="J59" s="3">
        <f t="shared" si="7"/>
        <v>5</v>
      </c>
      <c r="K59" s="3">
        <f t="shared" si="7"/>
        <v>4.9800000000000004</v>
      </c>
      <c r="L59" s="3">
        <f t="shared" si="7"/>
        <v>5.05</v>
      </c>
      <c r="M59" s="3">
        <f t="shared" si="7"/>
        <v>4.9400000000000004</v>
      </c>
      <c r="P59" s="14" t="s">
        <v>317</v>
      </c>
      <c r="Q59" s="10" t="str">
        <f t="shared" si="8"/>
        <v xml:space="preserve">MAGNESITA SA-ON  </v>
      </c>
      <c r="R59" s="46">
        <f t="shared" si="9"/>
        <v>41717</v>
      </c>
      <c r="S59" s="6">
        <f t="shared" si="10"/>
        <v>5</v>
      </c>
      <c r="T59" s="6">
        <f t="shared" si="11"/>
        <v>4.9800000000000004</v>
      </c>
      <c r="U59" s="6">
        <f t="shared" si="12"/>
        <v>5.05</v>
      </c>
      <c r="V59" s="6">
        <f t="shared" si="13"/>
        <v>4.9400000000000004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1439</v>
      </c>
      <c r="D60" s="3" t="s">
        <v>425</v>
      </c>
      <c r="E60" s="61">
        <v>83591</v>
      </c>
      <c r="F60" s="61">
        <v>83591</v>
      </c>
      <c r="G60" s="61">
        <v>83591</v>
      </c>
      <c r="H60" s="51">
        <v>41717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352</v>
      </c>
      <c r="Q60" s="10" t="str">
        <f t="shared" si="8"/>
        <v>MERC FINANC -ON</v>
      </c>
      <c r="R60" s="51">
        <f t="shared" si="9"/>
        <v>41717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1440</v>
      </c>
      <c r="D61" s="3" t="s">
        <v>1207</v>
      </c>
      <c r="E61" s="3" t="s">
        <v>1207</v>
      </c>
      <c r="F61" s="3" t="s">
        <v>1207</v>
      </c>
      <c r="G61" s="3" t="s">
        <v>1207</v>
      </c>
      <c r="H61" s="51">
        <v>41717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353</v>
      </c>
      <c r="Q61" s="10" t="str">
        <f t="shared" si="8"/>
        <v>MERC FINANC -PN</v>
      </c>
      <c r="R61" s="51">
        <f t="shared" si="9"/>
        <v>41717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892</v>
      </c>
      <c r="D62" s="3" t="s">
        <v>425</v>
      </c>
      <c r="E62" s="3" t="s">
        <v>753</v>
      </c>
      <c r="F62" s="3" t="s">
        <v>753</v>
      </c>
      <c r="G62" s="3" t="s">
        <v>753</v>
      </c>
      <c r="H62" s="51">
        <v>41717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294</v>
      </c>
      <c r="Q62" s="10" t="str">
        <f t="shared" si="8"/>
        <v>MONT ARANHA -ON</v>
      </c>
      <c r="R62" s="51">
        <f t="shared" si="9"/>
        <v>41717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347</v>
      </c>
      <c r="D63" s="3" t="s">
        <v>1851</v>
      </c>
      <c r="E63" s="3" t="s">
        <v>1852</v>
      </c>
      <c r="F63" s="3" t="s">
        <v>1853</v>
      </c>
      <c r="G63" s="3" t="s">
        <v>1854</v>
      </c>
      <c r="H63" s="51">
        <v>41717</v>
      </c>
      <c r="J63" s="3">
        <f t="shared" si="7"/>
        <v>46.99</v>
      </c>
      <c r="K63" s="3">
        <f t="shared" si="7"/>
        <v>46.34</v>
      </c>
      <c r="L63" s="3">
        <f t="shared" si="7"/>
        <v>47.12</v>
      </c>
      <c r="M63" s="3">
        <f t="shared" si="7"/>
        <v>46.12</v>
      </c>
      <c r="P63" s="14" t="s">
        <v>346</v>
      </c>
      <c r="Q63" s="10" t="str">
        <f t="shared" si="8"/>
        <v xml:space="preserve">MULTIPLAN   -ON  </v>
      </c>
      <c r="R63" s="51">
        <f t="shared" si="9"/>
        <v>41717</v>
      </c>
      <c r="S63" s="5">
        <f t="shared" si="10"/>
        <v>46.99</v>
      </c>
      <c r="T63" s="5">
        <f t="shared" si="11"/>
        <v>46.34</v>
      </c>
      <c r="U63" s="5">
        <f t="shared" si="12"/>
        <v>47.12</v>
      </c>
      <c r="V63" s="5">
        <f t="shared" si="13"/>
        <v>46.12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323</v>
      </c>
      <c r="D64" s="3" t="s">
        <v>679</v>
      </c>
      <c r="E64" s="3" t="s">
        <v>679</v>
      </c>
      <c r="F64" s="3" t="s">
        <v>679</v>
      </c>
      <c r="G64" s="3" t="s">
        <v>679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281</v>
      </c>
      <c r="D65" s="3" t="s">
        <v>1521</v>
      </c>
      <c r="E65" s="3" t="s">
        <v>1518</v>
      </c>
      <c r="F65" s="3" t="s">
        <v>1855</v>
      </c>
      <c r="G65" s="3" t="s">
        <v>1521</v>
      </c>
      <c r="H65" s="51">
        <v>41717</v>
      </c>
      <c r="J65" s="3">
        <f t="shared" si="7"/>
        <v>3.71</v>
      </c>
      <c r="K65" s="3">
        <f t="shared" si="7"/>
        <v>3.79</v>
      </c>
      <c r="L65" s="3">
        <f t="shared" si="7"/>
        <v>3.81</v>
      </c>
      <c r="M65" s="3">
        <f t="shared" si="7"/>
        <v>3.71</v>
      </c>
      <c r="P65" s="14" t="s">
        <v>279</v>
      </c>
      <c r="Q65" s="10" t="str">
        <f t="shared" si="8"/>
        <v xml:space="preserve">OI          -ON  </v>
      </c>
      <c r="R65" s="51">
        <f t="shared" si="9"/>
        <v>41717</v>
      </c>
      <c r="S65" s="5">
        <f t="shared" si="10"/>
        <v>3.71</v>
      </c>
      <c r="T65" s="5">
        <f t="shared" si="11"/>
        <v>3.79</v>
      </c>
      <c r="U65" s="5">
        <f t="shared" si="12"/>
        <v>3.81</v>
      </c>
      <c r="V65" s="5">
        <f t="shared" si="13"/>
        <v>3.71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282</v>
      </c>
      <c r="D66" s="3" t="s">
        <v>1856</v>
      </c>
      <c r="E66" s="3" t="s">
        <v>1857</v>
      </c>
      <c r="F66" s="3" t="s">
        <v>1523</v>
      </c>
      <c r="G66" s="3" t="s">
        <v>1630</v>
      </c>
      <c r="H66" s="51">
        <v>41717</v>
      </c>
      <c r="J66" s="3">
        <f t="shared" si="7"/>
        <v>3.48</v>
      </c>
      <c r="K66" s="3">
        <f t="shared" si="7"/>
        <v>3.49</v>
      </c>
      <c r="L66" s="3">
        <f t="shared" si="7"/>
        <v>3.52</v>
      </c>
      <c r="M66" s="3">
        <f t="shared" si="7"/>
        <v>3.42</v>
      </c>
      <c r="P66" s="10" t="s">
        <v>280</v>
      </c>
      <c r="Q66" s="10" t="str">
        <f t="shared" si="8"/>
        <v xml:space="preserve">OI          -PN  </v>
      </c>
      <c r="R66" s="51">
        <f t="shared" si="9"/>
        <v>41717</v>
      </c>
      <c r="S66" s="5">
        <f t="shared" si="10"/>
        <v>3.48</v>
      </c>
      <c r="T66" s="5">
        <f t="shared" si="11"/>
        <v>3.49</v>
      </c>
      <c r="U66" s="5">
        <f t="shared" si="12"/>
        <v>3.52</v>
      </c>
      <c r="V66" s="5">
        <f t="shared" si="13"/>
        <v>3.42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326</v>
      </c>
      <c r="D67" s="3" t="s">
        <v>1511</v>
      </c>
      <c r="E67" s="3" t="s">
        <v>1524</v>
      </c>
      <c r="F67" s="3" t="s">
        <v>1524</v>
      </c>
      <c r="G67" s="3" t="s">
        <v>1511</v>
      </c>
      <c r="H67" s="51">
        <v>41717</v>
      </c>
      <c r="J67" s="3">
        <f t="shared" si="7"/>
        <v>18.510000000000002</v>
      </c>
      <c r="K67" s="3">
        <f t="shared" si="7"/>
        <v>19.25</v>
      </c>
      <c r="L67" s="3">
        <f t="shared" si="7"/>
        <v>19.25</v>
      </c>
      <c r="M67" s="3">
        <f t="shared" si="7"/>
        <v>18.510000000000002</v>
      </c>
      <c r="P67" s="14" t="s">
        <v>324</v>
      </c>
      <c r="Q67" s="10" t="str">
        <f t="shared" si="8"/>
        <v>PANATLANTICA-PN</v>
      </c>
      <c r="R67" s="51">
        <f t="shared" si="9"/>
        <v>41717</v>
      </c>
      <c r="S67" s="5">
        <f t="shared" si="10"/>
        <v>18.510000000000002</v>
      </c>
      <c r="T67" s="5">
        <f t="shared" si="11"/>
        <v>19.25</v>
      </c>
      <c r="U67" s="5">
        <f t="shared" si="12"/>
        <v>19.25</v>
      </c>
      <c r="V67" s="5">
        <f t="shared" si="13"/>
        <v>18.510000000000002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235</v>
      </c>
      <c r="D68" s="3" t="s">
        <v>1858</v>
      </c>
      <c r="E68" s="3" t="s">
        <v>1413</v>
      </c>
      <c r="F68" s="3" t="s">
        <v>1645</v>
      </c>
      <c r="G68" s="3" t="s">
        <v>1859</v>
      </c>
      <c r="H68" s="51">
        <v>41717</v>
      </c>
      <c r="J68" s="3">
        <f t="shared" si="7"/>
        <v>12.35</v>
      </c>
      <c r="K68" s="3">
        <f t="shared" si="7"/>
        <v>12.95</v>
      </c>
      <c r="L68" s="3">
        <f t="shared" si="7"/>
        <v>12.97</v>
      </c>
      <c r="M68" s="3">
        <f t="shared" si="7"/>
        <v>12.34</v>
      </c>
      <c r="P68" s="14" t="s">
        <v>20</v>
      </c>
      <c r="Q68" s="10" t="str">
        <f t="shared" si="8"/>
        <v>PETROBRAS   -ON</v>
      </c>
      <c r="R68" s="51">
        <f t="shared" si="9"/>
        <v>41717</v>
      </c>
      <c r="S68" s="5">
        <f t="shared" si="10"/>
        <v>12.35</v>
      </c>
      <c r="T68" s="5">
        <f t="shared" si="11"/>
        <v>12.95</v>
      </c>
      <c r="U68" s="5">
        <f t="shared" si="12"/>
        <v>12.97</v>
      </c>
      <c r="V68" s="5">
        <f t="shared" si="13"/>
        <v>12.34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232</v>
      </c>
      <c r="D69" s="3" t="s">
        <v>1413</v>
      </c>
      <c r="E69" s="3" t="s">
        <v>1730</v>
      </c>
      <c r="F69" s="3" t="s">
        <v>1860</v>
      </c>
      <c r="G69" s="3" t="s">
        <v>1572</v>
      </c>
      <c r="H69" s="51">
        <v>41717</v>
      </c>
      <c r="J69" s="3">
        <f t="shared" si="7"/>
        <v>12.95</v>
      </c>
      <c r="K69" s="3">
        <f t="shared" si="7"/>
        <v>13.5</v>
      </c>
      <c r="L69" s="3">
        <f t="shared" si="7"/>
        <v>13.53</v>
      </c>
      <c r="M69" s="3">
        <f t="shared" si="7"/>
        <v>12.93</v>
      </c>
      <c r="P69" s="14" t="s">
        <v>21</v>
      </c>
      <c r="Q69" s="10" t="str">
        <f t="shared" si="8"/>
        <v>PETROBRAS   -PN</v>
      </c>
      <c r="R69" s="51">
        <f t="shared" si="9"/>
        <v>41717</v>
      </c>
      <c r="S69" s="5">
        <f t="shared" si="10"/>
        <v>12.95</v>
      </c>
      <c r="T69" s="5">
        <f t="shared" si="11"/>
        <v>13.5</v>
      </c>
      <c r="U69" s="5">
        <f t="shared" si="12"/>
        <v>13.53</v>
      </c>
      <c r="V69" s="5">
        <f t="shared" si="13"/>
        <v>12.93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316</v>
      </c>
      <c r="D70" s="3" t="s">
        <v>1750</v>
      </c>
      <c r="E70" s="3" t="s">
        <v>1657</v>
      </c>
      <c r="F70" s="3" t="s">
        <v>1750</v>
      </c>
      <c r="G70" s="3" t="s">
        <v>1861</v>
      </c>
      <c r="H70" s="51">
        <v>41717</v>
      </c>
      <c r="J70" s="3">
        <f t="shared" si="7"/>
        <v>7.94</v>
      </c>
      <c r="K70" s="3">
        <f t="shared" si="7"/>
        <v>7.88</v>
      </c>
      <c r="L70" s="3">
        <f t="shared" si="7"/>
        <v>7.94</v>
      </c>
      <c r="M70" s="3">
        <f t="shared" si="7"/>
        <v>7.85</v>
      </c>
      <c r="P70" s="14" t="s">
        <v>315</v>
      </c>
      <c r="Q70" s="10" t="str">
        <f t="shared" si="8"/>
        <v xml:space="preserve">PROVIDENCIA -ON  </v>
      </c>
      <c r="R70" s="51">
        <f t="shared" si="9"/>
        <v>41717</v>
      </c>
      <c r="S70" s="5">
        <f t="shared" si="10"/>
        <v>7.94</v>
      </c>
      <c r="T70" s="5">
        <f t="shared" si="11"/>
        <v>7.88</v>
      </c>
      <c r="U70" s="5">
        <f t="shared" si="12"/>
        <v>7.94</v>
      </c>
      <c r="V70" s="5">
        <f t="shared" si="13"/>
        <v>7.85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393</v>
      </c>
      <c r="D71" s="3" t="s">
        <v>1314</v>
      </c>
      <c r="E71" s="3" t="s">
        <v>629</v>
      </c>
      <c r="F71" s="3" t="s">
        <v>629</v>
      </c>
      <c r="G71" s="3" t="s">
        <v>1314</v>
      </c>
      <c r="H71" s="51">
        <v>41717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307</v>
      </c>
      <c r="Q71" s="10" t="str">
        <f t="shared" ref="Q71:Q102" si="14">IF(A71="","",C71)</f>
        <v>EVORA       -PN</v>
      </c>
      <c r="R71" s="46">
        <f t="shared" ref="R71:R102" si="15">IF(A71="","",H71)</f>
        <v>41717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238</v>
      </c>
      <c r="D72" s="3" t="s">
        <v>1363</v>
      </c>
      <c r="E72" s="3" t="s">
        <v>1862</v>
      </c>
      <c r="F72" s="3" t="s">
        <v>1744</v>
      </c>
      <c r="G72" s="3" t="s">
        <v>1863</v>
      </c>
      <c r="H72" s="51">
        <v>41717</v>
      </c>
      <c r="J72" s="3">
        <f t="shared" ref="J72:M135" si="20">IF($A72="",0,VALUE(CONCATENATE(LEFT(D72,LEN(D72)-3),",",RIGHT(D72,2))))</f>
        <v>8.4</v>
      </c>
      <c r="K72" s="3">
        <f t="shared" si="20"/>
        <v>8.43</v>
      </c>
      <c r="L72" s="3">
        <f t="shared" si="20"/>
        <v>8.5399999999999991</v>
      </c>
      <c r="M72" s="3">
        <f t="shared" si="20"/>
        <v>8.2799999999999994</v>
      </c>
      <c r="P72" s="15" t="s">
        <v>237</v>
      </c>
      <c r="Q72" s="10" t="str">
        <f t="shared" si="14"/>
        <v xml:space="preserve">QGEP PART   -ON  </v>
      </c>
      <c r="R72" s="51">
        <f t="shared" si="15"/>
        <v>41717</v>
      </c>
      <c r="S72" s="5">
        <f t="shared" si="16"/>
        <v>8.4</v>
      </c>
      <c r="T72" s="5">
        <f t="shared" si="17"/>
        <v>8.43</v>
      </c>
      <c r="U72" s="5">
        <f t="shared" si="18"/>
        <v>8.5399999999999991</v>
      </c>
      <c r="V72" s="5">
        <f t="shared" si="19"/>
        <v>8.2799999999999994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351</v>
      </c>
      <c r="D73" s="3" t="s">
        <v>1864</v>
      </c>
      <c r="E73" s="3" t="s">
        <v>1865</v>
      </c>
      <c r="F73" s="3" t="s">
        <v>1866</v>
      </c>
      <c r="G73" s="3" t="s">
        <v>1867</v>
      </c>
      <c r="H73" s="51">
        <v>41717</v>
      </c>
      <c r="J73" s="3">
        <f t="shared" si="20"/>
        <v>35.700000000000003</v>
      </c>
      <c r="K73" s="3">
        <f t="shared" si="20"/>
        <v>35.81</v>
      </c>
      <c r="L73" s="3">
        <f t="shared" si="20"/>
        <v>36.29</v>
      </c>
      <c r="M73" s="3">
        <f t="shared" si="20"/>
        <v>35.49</v>
      </c>
      <c r="P73" s="14" t="s">
        <v>349</v>
      </c>
      <c r="Q73" s="10" t="str">
        <f t="shared" si="14"/>
        <v xml:space="preserve">SAO CARLOS  -ON  </v>
      </c>
      <c r="R73" s="51">
        <f t="shared" si="15"/>
        <v>41717</v>
      </c>
      <c r="S73" s="5">
        <f t="shared" si="16"/>
        <v>35.700000000000003</v>
      </c>
      <c r="T73" s="5">
        <f t="shared" si="17"/>
        <v>35.81</v>
      </c>
      <c r="U73" s="5">
        <f t="shared" si="18"/>
        <v>36.29</v>
      </c>
      <c r="V73" s="5">
        <f t="shared" si="19"/>
        <v>35.49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263</v>
      </c>
      <c r="D74" s="3" t="s">
        <v>1500</v>
      </c>
      <c r="E74" s="3" t="s">
        <v>1868</v>
      </c>
      <c r="F74" s="3" t="s">
        <v>1869</v>
      </c>
      <c r="G74" s="3" t="s">
        <v>1870</v>
      </c>
      <c r="H74" s="51">
        <v>41717</v>
      </c>
      <c r="J74" s="3">
        <f t="shared" si="20"/>
        <v>29.69</v>
      </c>
      <c r="K74" s="3">
        <f t="shared" si="20"/>
        <v>29.76</v>
      </c>
      <c r="L74" s="3">
        <f t="shared" si="20"/>
        <v>29.9</v>
      </c>
      <c r="M74" s="3">
        <f t="shared" si="20"/>
        <v>29.67</v>
      </c>
      <c r="P74" s="15" t="s">
        <v>262</v>
      </c>
      <c r="Q74" s="10" t="str">
        <f t="shared" si="14"/>
        <v xml:space="preserve">SAO MARTINHO-ON  </v>
      </c>
      <c r="R74" s="51">
        <f t="shared" si="15"/>
        <v>41717</v>
      </c>
      <c r="S74" s="5">
        <f t="shared" si="16"/>
        <v>29.69</v>
      </c>
      <c r="T74" s="5">
        <f t="shared" si="17"/>
        <v>29.76</v>
      </c>
      <c r="U74" s="5">
        <f t="shared" si="18"/>
        <v>29.9</v>
      </c>
      <c r="V74" s="5">
        <f t="shared" si="19"/>
        <v>29.67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350</v>
      </c>
      <c r="D75" s="3" t="s">
        <v>1871</v>
      </c>
      <c r="E75" s="3" t="s">
        <v>1654</v>
      </c>
      <c r="F75" s="3" t="s">
        <v>1872</v>
      </c>
      <c r="G75" s="3" t="s">
        <v>1873</v>
      </c>
      <c r="H75" s="51">
        <v>41717</v>
      </c>
      <c r="J75" s="3">
        <f t="shared" si="20"/>
        <v>17.7</v>
      </c>
      <c r="K75" s="3">
        <f t="shared" si="20"/>
        <v>17.93</v>
      </c>
      <c r="L75" s="3">
        <f t="shared" si="20"/>
        <v>18.02</v>
      </c>
      <c r="M75" s="3">
        <f t="shared" si="20"/>
        <v>17.61</v>
      </c>
      <c r="P75" s="14" t="s">
        <v>348</v>
      </c>
      <c r="Q75" s="10" t="str">
        <f t="shared" si="14"/>
        <v xml:space="preserve">SIERRABRASIL-ON  </v>
      </c>
      <c r="R75" s="51">
        <f t="shared" si="15"/>
        <v>41717</v>
      </c>
      <c r="S75" s="5">
        <f t="shared" si="16"/>
        <v>17.7</v>
      </c>
      <c r="T75" s="5">
        <f t="shared" si="17"/>
        <v>17.93</v>
      </c>
      <c r="U75" s="5">
        <f t="shared" si="18"/>
        <v>18.02</v>
      </c>
      <c r="V75" s="5">
        <f t="shared" si="19"/>
        <v>17.61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239</v>
      </c>
      <c r="D76" s="3" t="s">
        <v>1874</v>
      </c>
      <c r="E76" s="3" t="s">
        <v>1875</v>
      </c>
      <c r="F76" s="3" t="s">
        <v>1513</v>
      </c>
      <c r="G76" s="3" t="s">
        <v>1875</v>
      </c>
      <c r="H76" s="51">
        <v>41717</v>
      </c>
      <c r="J76" s="3">
        <f t="shared" si="20"/>
        <v>14.71</v>
      </c>
      <c r="K76" s="3">
        <f t="shared" si="20"/>
        <v>14.69</v>
      </c>
      <c r="L76" s="3">
        <f t="shared" si="20"/>
        <v>14.95</v>
      </c>
      <c r="M76" s="3">
        <f t="shared" si="20"/>
        <v>14.69</v>
      </c>
      <c r="P76" s="14" t="s">
        <v>57</v>
      </c>
      <c r="Q76" s="10" t="str">
        <f t="shared" si="14"/>
        <v xml:space="preserve">SUL AMERICA -UNT </v>
      </c>
      <c r="R76" s="51">
        <f t="shared" si="15"/>
        <v>41717</v>
      </c>
      <c r="S76" s="5">
        <f t="shared" si="16"/>
        <v>14.71</v>
      </c>
      <c r="T76" s="5">
        <f t="shared" si="17"/>
        <v>14.69</v>
      </c>
      <c r="U76" s="5">
        <f t="shared" si="18"/>
        <v>14.95</v>
      </c>
      <c r="V76" s="5">
        <f t="shared" si="19"/>
        <v>14.69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249</v>
      </c>
      <c r="D77" s="3" t="s">
        <v>1876</v>
      </c>
      <c r="E77" s="3" t="s">
        <v>1876</v>
      </c>
      <c r="F77" s="3" t="s">
        <v>1411</v>
      </c>
      <c r="G77" s="3" t="s">
        <v>1528</v>
      </c>
      <c r="H77" s="51">
        <v>41717</v>
      </c>
      <c r="J77" s="3">
        <f t="shared" si="20"/>
        <v>1.76</v>
      </c>
      <c r="K77" s="3">
        <f t="shared" si="20"/>
        <v>1.76</v>
      </c>
      <c r="L77" s="3">
        <f t="shared" si="20"/>
        <v>1.8</v>
      </c>
      <c r="M77" s="3">
        <f t="shared" si="20"/>
        <v>1.72</v>
      </c>
      <c r="P77" s="15" t="s">
        <v>78</v>
      </c>
      <c r="Q77" s="10" t="str">
        <f t="shared" si="14"/>
        <v xml:space="preserve">TEREOS      -ON  </v>
      </c>
      <c r="R77" s="51">
        <f t="shared" si="15"/>
        <v>41717</v>
      </c>
      <c r="S77" s="5">
        <f t="shared" si="16"/>
        <v>1.76</v>
      </c>
      <c r="T77" s="5">
        <f t="shared" si="17"/>
        <v>1.76</v>
      </c>
      <c r="U77" s="5">
        <f t="shared" si="18"/>
        <v>1.8</v>
      </c>
      <c r="V77" s="5">
        <f t="shared" si="19"/>
        <v>1.72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278</v>
      </c>
      <c r="D78" s="3" t="s">
        <v>1779</v>
      </c>
      <c r="E78" s="3" t="s">
        <v>1555</v>
      </c>
      <c r="F78" s="3" t="s">
        <v>1613</v>
      </c>
      <c r="G78" s="3" t="s">
        <v>1877</v>
      </c>
      <c r="H78" s="51">
        <v>41717</v>
      </c>
      <c r="J78" s="3">
        <f t="shared" si="20"/>
        <v>11.39</v>
      </c>
      <c r="K78" s="3">
        <f t="shared" si="20"/>
        <v>11.4</v>
      </c>
      <c r="L78" s="3">
        <f t="shared" si="20"/>
        <v>11.47</v>
      </c>
      <c r="M78" s="3">
        <f t="shared" si="20"/>
        <v>11.32</v>
      </c>
      <c r="P78" s="15" t="s">
        <v>276</v>
      </c>
      <c r="Q78" s="10" t="str">
        <f t="shared" si="14"/>
        <v xml:space="preserve">TIM PART S/A-ON  </v>
      </c>
      <c r="R78" s="51">
        <f t="shared" si="15"/>
        <v>41717</v>
      </c>
      <c r="S78" s="5">
        <f t="shared" si="16"/>
        <v>11.39</v>
      </c>
      <c r="T78" s="5">
        <f t="shared" si="17"/>
        <v>11.4</v>
      </c>
      <c r="U78" s="5">
        <f t="shared" si="18"/>
        <v>11.47</v>
      </c>
      <c r="V78" s="5">
        <f t="shared" si="19"/>
        <v>11.32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328</v>
      </c>
      <c r="D79" s="3" t="s">
        <v>425</v>
      </c>
      <c r="E79" s="3" t="s">
        <v>1209</v>
      </c>
      <c r="F79" s="3" t="s">
        <v>1209</v>
      </c>
      <c r="G79" s="3" t="s">
        <v>1209</v>
      </c>
      <c r="H79" s="51">
        <v>41717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327</v>
      </c>
      <c r="Q79" s="10" t="str">
        <f t="shared" si="14"/>
        <v>TEKNO       -PN</v>
      </c>
      <c r="R79" s="51">
        <f t="shared" si="15"/>
        <v>41717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363</v>
      </c>
      <c r="D80" s="3" t="s">
        <v>1393</v>
      </c>
      <c r="E80" s="3" t="s">
        <v>1878</v>
      </c>
      <c r="F80" s="3" t="s">
        <v>1878</v>
      </c>
      <c r="G80" s="3" t="s">
        <v>1879</v>
      </c>
      <c r="H80" s="51">
        <v>41717</v>
      </c>
      <c r="J80" s="3">
        <f t="shared" si="20"/>
        <v>12.6</v>
      </c>
      <c r="K80" s="3">
        <f t="shared" si="20"/>
        <v>12.69</v>
      </c>
      <c r="L80" s="3">
        <f t="shared" si="20"/>
        <v>12.69</v>
      </c>
      <c r="M80" s="3">
        <f t="shared" si="20"/>
        <v>12.55</v>
      </c>
      <c r="P80" s="15" t="s">
        <v>361</v>
      </c>
      <c r="Q80" s="10" t="str">
        <f t="shared" si="14"/>
        <v xml:space="preserve">TARPON INV  -ON  </v>
      </c>
      <c r="R80" s="51">
        <f t="shared" si="15"/>
        <v>41717</v>
      </c>
      <c r="S80" s="5">
        <f t="shared" si="16"/>
        <v>12.6</v>
      </c>
      <c r="T80" s="5">
        <f t="shared" si="17"/>
        <v>12.69</v>
      </c>
      <c r="U80" s="5">
        <f t="shared" si="18"/>
        <v>12.69</v>
      </c>
      <c r="V80" s="5">
        <f t="shared" si="19"/>
        <v>12.55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296</v>
      </c>
      <c r="D81" s="3" t="s">
        <v>1880</v>
      </c>
      <c r="E81" s="3" t="s">
        <v>1881</v>
      </c>
      <c r="F81" s="3" t="s">
        <v>1882</v>
      </c>
      <c r="G81" s="3" t="s">
        <v>1883</v>
      </c>
      <c r="H81" s="51">
        <v>41717</v>
      </c>
      <c r="J81" s="3">
        <f t="shared" si="20"/>
        <v>51.65</v>
      </c>
      <c r="K81" s="3">
        <f t="shared" si="20"/>
        <v>52.57</v>
      </c>
      <c r="L81" s="3">
        <f t="shared" si="20"/>
        <v>53.17</v>
      </c>
      <c r="M81" s="3">
        <f t="shared" si="20"/>
        <v>51.08</v>
      </c>
      <c r="P81" s="14" t="s">
        <v>295</v>
      </c>
      <c r="Q81" s="10" t="str">
        <f t="shared" si="14"/>
        <v xml:space="preserve">ULTRAPAR    -ON  </v>
      </c>
      <c r="R81" s="51">
        <f t="shared" si="15"/>
        <v>41717</v>
      </c>
      <c r="S81" s="5">
        <f t="shared" si="16"/>
        <v>51.65</v>
      </c>
      <c r="T81" s="5">
        <f t="shared" si="17"/>
        <v>52.57</v>
      </c>
      <c r="U81" s="5">
        <f t="shared" si="18"/>
        <v>53.17</v>
      </c>
      <c r="V81" s="5">
        <f t="shared" si="19"/>
        <v>51.08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414</v>
      </c>
      <c r="D82" s="3" t="s">
        <v>1368</v>
      </c>
      <c r="E82" s="3" t="s">
        <v>1324</v>
      </c>
      <c r="F82" s="3" t="s">
        <v>1324</v>
      </c>
      <c r="G82" s="3" t="s">
        <v>1529</v>
      </c>
      <c r="H82" s="51">
        <v>41717</v>
      </c>
      <c r="J82" s="3">
        <f t="shared" si="20"/>
        <v>0.56999999999999995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0.56000000000000005</v>
      </c>
      <c r="P82" s="14" t="s">
        <v>413</v>
      </c>
      <c r="Q82" s="10" t="str">
        <f t="shared" si="14"/>
        <v>UNIPAR      -ON</v>
      </c>
      <c r="R82" s="51">
        <f t="shared" si="15"/>
        <v>41717</v>
      </c>
      <c r="S82" s="5">
        <f t="shared" si="16"/>
        <v>0.56999999999999995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0.56000000000000005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321</v>
      </c>
      <c r="D83" s="3" t="s">
        <v>1884</v>
      </c>
      <c r="E83" s="3" t="s">
        <v>1885</v>
      </c>
      <c r="F83" s="3" t="s">
        <v>1886</v>
      </c>
      <c r="G83" s="3" t="s">
        <v>1887</v>
      </c>
      <c r="H83" s="51">
        <v>41717</v>
      </c>
      <c r="J83" s="3">
        <f t="shared" si="20"/>
        <v>26.5</v>
      </c>
      <c r="K83" s="3">
        <f t="shared" si="20"/>
        <v>26.64</v>
      </c>
      <c r="L83" s="3">
        <f t="shared" si="20"/>
        <v>26.88</v>
      </c>
      <c r="M83" s="3">
        <f t="shared" si="20"/>
        <v>26.24</v>
      </c>
      <c r="P83" s="14" t="s">
        <v>320</v>
      </c>
      <c r="Q83" s="10" t="str">
        <f t="shared" si="14"/>
        <v xml:space="preserve">VALE        -PNA </v>
      </c>
      <c r="R83" s="46">
        <f t="shared" si="15"/>
        <v>41717</v>
      </c>
      <c r="S83" s="6">
        <f t="shared" si="16"/>
        <v>26.5</v>
      </c>
      <c r="T83" s="6">
        <f t="shared" si="17"/>
        <v>26.64</v>
      </c>
      <c r="U83" s="6">
        <f t="shared" si="18"/>
        <v>26.88</v>
      </c>
      <c r="V83" s="6">
        <f t="shared" si="19"/>
        <v>26.24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274</v>
      </c>
      <c r="D84" s="3" t="s">
        <v>425</v>
      </c>
      <c r="E84" s="3" t="s">
        <v>882</v>
      </c>
      <c r="F84" s="3" t="s">
        <v>882</v>
      </c>
      <c r="G84" s="3" t="s">
        <v>882</v>
      </c>
      <c r="H84" s="51">
        <v>41717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273</v>
      </c>
      <c r="Q84" s="10" t="str">
        <f t="shared" si="14"/>
        <v xml:space="preserve">VIGOR FOOD  -ON  </v>
      </c>
      <c r="R84" s="51">
        <f t="shared" si="15"/>
        <v>41717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1444</v>
      </c>
      <c r="D85" s="3" t="s">
        <v>1888</v>
      </c>
      <c r="E85" s="3" t="s">
        <v>1889</v>
      </c>
      <c r="F85" s="3" t="s">
        <v>1890</v>
      </c>
      <c r="G85" s="3" t="s">
        <v>1891</v>
      </c>
      <c r="H85" s="51">
        <v>41717</v>
      </c>
      <c r="J85" s="3">
        <f t="shared" si="20"/>
        <v>38.28</v>
      </c>
      <c r="K85" s="3">
        <f t="shared" si="20"/>
        <v>38.35</v>
      </c>
      <c r="L85" s="3">
        <f t="shared" si="20"/>
        <v>38.450000000000003</v>
      </c>
      <c r="M85" s="3">
        <f t="shared" si="20"/>
        <v>38.04</v>
      </c>
      <c r="P85" s="15" t="s">
        <v>284</v>
      </c>
      <c r="Q85" s="10" t="str">
        <f t="shared" si="14"/>
        <v xml:space="preserve">TELEF BRASIL-ON  </v>
      </c>
      <c r="R85" s="51">
        <f t="shared" si="15"/>
        <v>41717</v>
      </c>
      <c r="S85" s="5">
        <f t="shared" si="16"/>
        <v>38.28</v>
      </c>
      <c r="T85" s="5">
        <f t="shared" si="17"/>
        <v>38.35</v>
      </c>
      <c r="U85" s="5">
        <f t="shared" si="18"/>
        <v>38.450000000000003</v>
      </c>
      <c r="V85" s="5">
        <f t="shared" si="19"/>
        <v>38.04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1445</v>
      </c>
      <c r="D86" s="3" t="s">
        <v>1892</v>
      </c>
      <c r="E86" s="3" t="s">
        <v>1893</v>
      </c>
      <c r="F86" s="3" t="s">
        <v>1894</v>
      </c>
      <c r="G86" s="3" t="s">
        <v>1895</v>
      </c>
      <c r="H86" s="51">
        <v>41717</v>
      </c>
      <c r="J86" s="3">
        <f t="shared" si="20"/>
        <v>44.52</v>
      </c>
      <c r="K86" s="3">
        <f t="shared" si="20"/>
        <v>44.82</v>
      </c>
      <c r="L86" s="3">
        <f t="shared" si="20"/>
        <v>44.92</v>
      </c>
      <c r="M86" s="3">
        <f t="shared" si="20"/>
        <v>44.27</v>
      </c>
      <c r="P86" s="15" t="s">
        <v>285</v>
      </c>
      <c r="Q86" s="10" t="str">
        <f t="shared" si="14"/>
        <v xml:space="preserve">TELEF BRASIL-PN  </v>
      </c>
      <c r="R86" s="51">
        <f t="shared" si="15"/>
        <v>41717</v>
      </c>
      <c r="S86" s="5">
        <f t="shared" si="16"/>
        <v>44.52</v>
      </c>
      <c r="T86" s="5">
        <f t="shared" si="17"/>
        <v>44.82</v>
      </c>
      <c r="U86" s="5">
        <f t="shared" si="18"/>
        <v>44.92</v>
      </c>
      <c r="V86" s="5">
        <f t="shared" si="19"/>
        <v>44.27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468</v>
      </c>
      <c r="D87" s="3" t="s">
        <v>425</v>
      </c>
      <c r="E87" s="3" t="s">
        <v>469</v>
      </c>
      <c r="F87" s="3" t="s">
        <v>469</v>
      </c>
      <c r="G87" s="3" t="s">
        <v>469</v>
      </c>
      <c r="H87" s="51">
        <v>41717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467</v>
      </c>
      <c r="Q87" s="10" t="str">
        <f t="shared" si="14"/>
        <v>CELPE       -ON</v>
      </c>
      <c r="R87" s="51">
        <f t="shared" si="15"/>
        <v>41717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471</v>
      </c>
      <c r="D88" s="3" t="s">
        <v>425</v>
      </c>
      <c r="E88" s="3" t="s">
        <v>472</v>
      </c>
      <c r="F88" s="3" t="s">
        <v>472</v>
      </c>
      <c r="G88" s="3" t="s">
        <v>472</v>
      </c>
      <c r="H88" s="51">
        <v>41717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470</v>
      </c>
      <c r="Q88" s="10" t="str">
        <f t="shared" si="14"/>
        <v>COELCE      -PNB</v>
      </c>
      <c r="R88" s="51">
        <f t="shared" si="15"/>
        <v>41717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475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473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476</v>
      </c>
      <c r="D90" s="3" t="s">
        <v>425</v>
      </c>
      <c r="E90" s="3" t="s">
        <v>426</v>
      </c>
      <c r="F90" s="3" t="s">
        <v>425</v>
      </c>
      <c r="G90" s="3" t="s">
        <v>425</v>
      </c>
      <c r="H90" s="51" t="s">
        <v>425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474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479</v>
      </c>
      <c r="D91" s="3" t="s">
        <v>460</v>
      </c>
      <c r="E91" s="3" t="s">
        <v>460</v>
      </c>
      <c r="F91" s="3" t="s">
        <v>460</v>
      </c>
      <c r="G91" s="3" t="s">
        <v>460</v>
      </c>
      <c r="H91" s="51">
        <v>41717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477</v>
      </c>
      <c r="Q91" s="10" t="str">
        <f t="shared" si="14"/>
        <v xml:space="preserve">CEEE-D      -ON  </v>
      </c>
      <c r="R91" s="51">
        <f t="shared" si="15"/>
        <v>41717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480</v>
      </c>
      <c r="D92" s="3" t="s">
        <v>1530</v>
      </c>
      <c r="E92" s="3" t="s">
        <v>1530</v>
      </c>
      <c r="F92" s="3" t="s">
        <v>1530</v>
      </c>
      <c r="G92" s="3" t="s">
        <v>1530</v>
      </c>
      <c r="H92" s="51">
        <v>41717</v>
      </c>
      <c r="J92" s="3">
        <f t="shared" si="20"/>
        <v>1.59</v>
      </c>
      <c r="K92" s="3">
        <f t="shared" si="20"/>
        <v>1.59</v>
      </c>
      <c r="L92" s="3">
        <f t="shared" si="20"/>
        <v>1.59</v>
      </c>
      <c r="M92" s="3">
        <f t="shared" si="20"/>
        <v>1.59</v>
      </c>
      <c r="P92" s="16" t="s">
        <v>478</v>
      </c>
      <c r="Q92" s="10" t="str">
        <f t="shared" si="14"/>
        <v xml:space="preserve">CEEE-D      -PN  </v>
      </c>
      <c r="R92" s="51">
        <f t="shared" si="15"/>
        <v>41717</v>
      </c>
      <c r="S92" s="5">
        <f t="shared" si="16"/>
        <v>1.59</v>
      </c>
      <c r="T92" s="5">
        <f t="shared" si="17"/>
        <v>1.59</v>
      </c>
      <c r="U92" s="5">
        <f t="shared" si="18"/>
        <v>1.59</v>
      </c>
      <c r="V92" s="5">
        <f t="shared" si="19"/>
        <v>1.59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484</v>
      </c>
      <c r="D93" s="3" t="s">
        <v>425</v>
      </c>
      <c r="E93" s="3" t="s">
        <v>423</v>
      </c>
      <c r="F93" s="3" t="s">
        <v>423</v>
      </c>
      <c r="G93" s="3" t="s">
        <v>423</v>
      </c>
      <c r="H93" s="51">
        <v>41717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482</v>
      </c>
      <c r="Q93" s="10" t="str">
        <f t="shared" si="14"/>
        <v>ELEKTRO     -ON</v>
      </c>
      <c r="R93" s="51">
        <f t="shared" si="15"/>
        <v>41717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485</v>
      </c>
      <c r="D94" s="3" t="s">
        <v>1301</v>
      </c>
      <c r="E94" s="3" t="s">
        <v>1301</v>
      </c>
      <c r="F94" s="3" t="s">
        <v>1301</v>
      </c>
      <c r="G94" s="3" t="s">
        <v>1301</v>
      </c>
      <c r="H94" s="51">
        <v>41717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483</v>
      </c>
      <c r="Q94" s="10" t="str">
        <f t="shared" si="14"/>
        <v>ELEKTRO     -PN</v>
      </c>
      <c r="R94" s="51">
        <f t="shared" si="15"/>
        <v>41717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488</v>
      </c>
      <c r="D95" s="3" t="s">
        <v>1448</v>
      </c>
      <c r="E95" s="3" t="s">
        <v>1896</v>
      </c>
      <c r="F95" s="3" t="s">
        <v>1897</v>
      </c>
      <c r="G95" s="3" t="s">
        <v>1530</v>
      </c>
      <c r="H95" s="51">
        <v>41717</v>
      </c>
      <c r="J95" s="3">
        <f t="shared" si="20"/>
        <v>1.63</v>
      </c>
      <c r="K95" s="3">
        <f t="shared" si="20"/>
        <v>1.67</v>
      </c>
      <c r="L95" s="3">
        <f t="shared" si="20"/>
        <v>1.69</v>
      </c>
      <c r="M95" s="3">
        <f t="shared" si="20"/>
        <v>1.59</v>
      </c>
      <c r="P95" s="14" t="s">
        <v>487</v>
      </c>
      <c r="Q95" s="10" t="str">
        <f t="shared" si="14"/>
        <v xml:space="preserve">ENEVA       -ON  </v>
      </c>
      <c r="R95" s="51">
        <f t="shared" si="15"/>
        <v>41717</v>
      </c>
      <c r="S95" s="5">
        <f t="shared" si="16"/>
        <v>1.63</v>
      </c>
      <c r="T95" s="5">
        <f t="shared" si="17"/>
        <v>1.67</v>
      </c>
      <c r="U95" s="5">
        <f t="shared" si="18"/>
        <v>1.69</v>
      </c>
      <c r="V95" s="5">
        <f t="shared" si="19"/>
        <v>1.59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491</v>
      </c>
      <c r="D96" s="3" t="s">
        <v>1339</v>
      </c>
      <c r="E96" s="3" t="s">
        <v>1339</v>
      </c>
      <c r="F96" s="3" t="s">
        <v>1339</v>
      </c>
      <c r="G96" s="3" t="s">
        <v>1339</v>
      </c>
      <c r="H96" s="51">
        <v>41717</v>
      </c>
      <c r="J96" s="3">
        <f t="shared" si="20"/>
        <v>0.8</v>
      </c>
      <c r="K96" s="3">
        <f t="shared" si="20"/>
        <v>0.8</v>
      </c>
      <c r="L96" s="3">
        <f t="shared" si="20"/>
        <v>0.8</v>
      </c>
      <c r="M96" s="3">
        <f t="shared" si="20"/>
        <v>0.8</v>
      </c>
      <c r="P96" s="14" t="s">
        <v>489</v>
      </c>
      <c r="Q96" s="10" t="str">
        <f t="shared" si="14"/>
        <v>REDE ENERGIA-ON</v>
      </c>
      <c r="R96" s="51">
        <f t="shared" si="15"/>
        <v>41717</v>
      </c>
      <c r="S96" s="5">
        <f t="shared" si="16"/>
        <v>0.8</v>
      </c>
      <c r="T96" s="5">
        <f t="shared" si="17"/>
        <v>0.8</v>
      </c>
      <c r="U96" s="5">
        <f t="shared" si="18"/>
        <v>0.8</v>
      </c>
      <c r="V96" s="5">
        <f t="shared" si="19"/>
        <v>0.8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492</v>
      </c>
      <c r="D97" s="3" t="s">
        <v>1323</v>
      </c>
      <c r="E97" s="3" t="s">
        <v>1323</v>
      </c>
      <c r="F97" s="3" t="s">
        <v>1323</v>
      </c>
      <c r="G97" s="3" t="s">
        <v>1323</v>
      </c>
      <c r="H97" s="51">
        <v>41717</v>
      </c>
      <c r="J97" s="3">
        <f t="shared" si="20"/>
        <v>0.81</v>
      </c>
      <c r="K97" s="3">
        <f t="shared" si="20"/>
        <v>0.81</v>
      </c>
      <c r="L97" s="3">
        <f t="shared" si="20"/>
        <v>0.81</v>
      </c>
      <c r="M97" s="3">
        <f t="shared" si="20"/>
        <v>0.81</v>
      </c>
      <c r="P97" s="15" t="s">
        <v>490</v>
      </c>
      <c r="Q97" s="10" t="str">
        <f t="shared" si="14"/>
        <v>REDE ENERGIA-PN</v>
      </c>
      <c r="R97" s="51">
        <f t="shared" si="15"/>
        <v>41717</v>
      </c>
      <c r="S97" s="5">
        <f t="shared" si="16"/>
        <v>0.81</v>
      </c>
      <c r="T97" s="5">
        <f t="shared" si="17"/>
        <v>0.81</v>
      </c>
      <c r="U97" s="5">
        <f t="shared" si="18"/>
        <v>0.81</v>
      </c>
      <c r="V97" s="5">
        <f t="shared" si="19"/>
        <v>0.81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496</v>
      </c>
      <c r="D98" s="3" t="s">
        <v>1898</v>
      </c>
      <c r="E98" s="3" t="s">
        <v>1898</v>
      </c>
      <c r="F98" s="3" t="s">
        <v>1898</v>
      </c>
      <c r="G98" s="3" t="s">
        <v>1898</v>
      </c>
      <c r="H98" s="51">
        <v>41717</v>
      </c>
      <c r="J98" s="3">
        <f t="shared" si="20"/>
        <v>40.380000000000003</v>
      </c>
      <c r="K98" s="3">
        <f t="shared" si="20"/>
        <v>40.380000000000003</v>
      </c>
      <c r="L98" s="3">
        <f t="shared" si="20"/>
        <v>40.380000000000003</v>
      </c>
      <c r="M98" s="3">
        <f t="shared" si="20"/>
        <v>40.380000000000003</v>
      </c>
      <c r="P98" s="10" t="s">
        <v>493</v>
      </c>
      <c r="Q98" s="10" t="str">
        <f t="shared" si="14"/>
        <v xml:space="preserve">RENOVA      -UNT </v>
      </c>
      <c r="R98" s="51">
        <f t="shared" si="15"/>
        <v>41717</v>
      </c>
      <c r="S98" s="5">
        <f t="shared" si="16"/>
        <v>40.380000000000003</v>
      </c>
      <c r="T98" s="5">
        <f t="shared" si="17"/>
        <v>40.380000000000003</v>
      </c>
      <c r="U98" s="5">
        <f t="shared" si="18"/>
        <v>40.380000000000003</v>
      </c>
      <c r="V98" s="5">
        <f t="shared" si="19"/>
        <v>40.380000000000003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497</v>
      </c>
      <c r="D99" s="3" t="s">
        <v>425</v>
      </c>
      <c r="E99" s="61">
        <v>202604</v>
      </c>
      <c r="F99" s="61">
        <v>202604</v>
      </c>
      <c r="G99" s="61">
        <v>202604</v>
      </c>
      <c r="H99" s="51">
        <v>41717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494</v>
      </c>
      <c r="Q99" s="10" t="str">
        <f t="shared" si="14"/>
        <v xml:space="preserve">RENOVA      -ON  </v>
      </c>
      <c r="R99" s="51">
        <f t="shared" si="15"/>
        <v>41717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498</v>
      </c>
      <c r="D100" s="3" t="s">
        <v>425</v>
      </c>
      <c r="E100" s="3" t="s">
        <v>426</v>
      </c>
      <c r="F100" s="3" t="s">
        <v>425</v>
      </c>
      <c r="G100" s="3" t="s">
        <v>425</v>
      </c>
      <c r="H100" s="51" t="s">
        <v>425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495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501</v>
      </c>
      <c r="D101" s="3" t="s">
        <v>425</v>
      </c>
      <c r="E101" s="3" t="s">
        <v>426</v>
      </c>
      <c r="F101" s="3" t="s">
        <v>425</v>
      </c>
      <c r="G101" s="3" t="s">
        <v>425</v>
      </c>
      <c r="H101" s="51" t="s">
        <v>425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499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502</v>
      </c>
      <c r="D102" s="3" t="s">
        <v>425</v>
      </c>
      <c r="E102" s="3" t="s">
        <v>426</v>
      </c>
      <c r="F102" s="3" t="s">
        <v>425</v>
      </c>
      <c r="G102" s="3" t="s">
        <v>425</v>
      </c>
      <c r="H102" s="51" t="s">
        <v>425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500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505</v>
      </c>
      <c r="D103" s="3" t="s">
        <v>425</v>
      </c>
      <c r="E103" s="3" t="s">
        <v>426</v>
      </c>
      <c r="F103" s="3" t="s">
        <v>425</v>
      </c>
      <c r="G103" s="3" t="s">
        <v>425</v>
      </c>
      <c r="H103" s="51" t="s">
        <v>425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504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509</v>
      </c>
      <c r="D104" s="3" t="s">
        <v>1610</v>
      </c>
      <c r="E104" s="3" t="s">
        <v>1532</v>
      </c>
      <c r="F104" s="3" t="s">
        <v>1611</v>
      </c>
      <c r="G104" s="3" t="s">
        <v>1610</v>
      </c>
      <c r="H104" s="51">
        <v>41717</v>
      </c>
      <c r="J104" s="3">
        <f t="shared" si="20"/>
        <v>49.9</v>
      </c>
      <c r="K104" s="3">
        <f t="shared" si="20"/>
        <v>50.2</v>
      </c>
      <c r="L104" s="3">
        <f t="shared" si="20"/>
        <v>50.29</v>
      </c>
      <c r="M104" s="3">
        <f t="shared" si="20"/>
        <v>49.9</v>
      </c>
      <c r="P104" s="15" t="s">
        <v>507</v>
      </c>
      <c r="Q104" s="10" t="str">
        <f t="shared" si="21"/>
        <v>COMGAS      -ON</v>
      </c>
      <c r="R104" s="51">
        <f t="shared" si="22"/>
        <v>41717</v>
      </c>
      <c r="S104" s="5">
        <f t="shared" si="23"/>
        <v>49.9</v>
      </c>
      <c r="T104" s="5">
        <f t="shared" si="24"/>
        <v>50.2</v>
      </c>
      <c r="U104" s="5">
        <f t="shared" si="25"/>
        <v>50.29</v>
      </c>
      <c r="V104" s="5">
        <f t="shared" si="26"/>
        <v>49.9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510</v>
      </c>
      <c r="D105" s="3" t="s">
        <v>1899</v>
      </c>
      <c r="E105" s="3" t="s">
        <v>1900</v>
      </c>
      <c r="F105" s="3" t="s">
        <v>1901</v>
      </c>
      <c r="G105" s="3" t="s">
        <v>1902</v>
      </c>
      <c r="H105" s="51">
        <v>41717</v>
      </c>
      <c r="J105" s="3">
        <f t="shared" si="20"/>
        <v>50.66</v>
      </c>
      <c r="K105" s="3">
        <f t="shared" si="20"/>
        <v>49.99</v>
      </c>
      <c r="L105" s="3">
        <f t="shared" si="20"/>
        <v>50.87</v>
      </c>
      <c r="M105" s="3">
        <f t="shared" si="20"/>
        <v>49.84</v>
      </c>
      <c r="P105" s="15" t="s">
        <v>508</v>
      </c>
      <c r="Q105" s="10" t="str">
        <f t="shared" si="21"/>
        <v>COMGAS      -PNA</v>
      </c>
      <c r="R105" s="51">
        <f t="shared" si="22"/>
        <v>41717</v>
      </c>
      <c r="S105" s="5">
        <f t="shared" si="23"/>
        <v>50.66</v>
      </c>
      <c r="T105" s="5">
        <f t="shared" si="24"/>
        <v>49.99</v>
      </c>
      <c r="U105" s="5">
        <f t="shared" si="25"/>
        <v>50.87</v>
      </c>
      <c r="V105" s="5">
        <f t="shared" si="26"/>
        <v>49.84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512</v>
      </c>
      <c r="D106" s="3" t="s">
        <v>886</v>
      </c>
      <c r="E106" s="3" t="s">
        <v>886</v>
      </c>
      <c r="F106" s="3" t="s">
        <v>886</v>
      </c>
      <c r="G106" s="3" t="s">
        <v>886</v>
      </c>
      <c r="H106" s="51">
        <v>41717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511</v>
      </c>
      <c r="Q106" s="10" t="str">
        <f t="shared" si="21"/>
        <v>CEG         -ON *</v>
      </c>
      <c r="R106" s="51">
        <f t="shared" si="22"/>
        <v>41717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514</v>
      </c>
      <c r="D107" s="3" t="s">
        <v>1369</v>
      </c>
      <c r="E107" s="3" t="s">
        <v>1309</v>
      </c>
      <c r="F107" s="3" t="s">
        <v>1309</v>
      </c>
      <c r="G107" s="3" t="s">
        <v>1369</v>
      </c>
      <c r="H107" s="51">
        <v>41717</v>
      </c>
      <c r="J107" s="3">
        <f t="shared" si="20"/>
        <v>0.13</v>
      </c>
      <c r="K107" s="3">
        <f t="shared" si="20"/>
        <v>0.14000000000000001</v>
      </c>
      <c r="L107" s="3">
        <f t="shared" si="20"/>
        <v>0.14000000000000001</v>
      </c>
      <c r="M107" s="3">
        <f t="shared" si="20"/>
        <v>0.13</v>
      </c>
      <c r="P107" s="14" t="s">
        <v>513</v>
      </c>
      <c r="Q107" s="10" t="str">
        <f t="shared" si="21"/>
        <v>INEPAR TEL  -ON</v>
      </c>
      <c r="R107" s="51">
        <f t="shared" si="22"/>
        <v>41717</v>
      </c>
      <c r="S107" s="5">
        <f t="shared" si="23"/>
        <v>0.13</v>
      </c>
      <c r="T107" s="5">
        <f t="shared" si="24"/>
        <v>0.14000000000000001</v>
      </c>
      <c r="U107" s="5">
        <f t="shared" si="25"/>
        <v>0.14000000000000001</v>
      </c>
      <c r="V107" s="5">
        <f t="shared" si="26"/>
        <v>0.13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517</v>
      </c>
      <c r="D108" s="3" t="s">
        <v>1333</v>
      </c>
      <c r="E108" s="3" t="s">
        <v>1333</v>
      </c>
      <c r="F108" s="3" t="s">
        <v>1333</v>
      </c>
      <c r="G108" s="3" t="s">
        <v>1333</v>
      </c>
      <c r="H108" s="51">
        <v>41717</v>
      </c>
      <c r="J108" s="3">
        <f t="shared" si="20"/>
        <v>7.2</v>
      </c>
      <c r="K108" s="3">
        <f t="shared" si="20"/>
        <v>7.2</v>
      </c>
      <c r="L108" s="3">
        <f t="shared" si="20"/>
        <v>7.2</v>
      </c>
      <c r="M108" s="3">
        <f t="shared" si="20"/>
        <v>7.2</v>
      </c>
      <c r="P108" s="14" t="s">
        <v>516</v>
      </c>
      <c r="Q108" s="10" t="str">
        <f t="shared" si="21"/>
        <v>EMBRATEL PAR-ON *</v>
      </c>
      <c r="R108" s="51">
        <f t="shared" si="22"/>
        <v>41717</v>
      </c>
      <c r="S108" s="5">
        <f t="shared" si="23"/>
        <v>7.2</v>
      </c>
      <c r="T108" s="5">
        <f t="shared" si="24"/>
        <v>7.2</v>
      </c>
      <c r="U108" s="5">
        <f t="shared" si="25"/>
        <v>7.2</v>
      </c>
      <c r="V108" s="5">
        <f t="shared" si="26"/>
        <v>7.2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520</v>
      </c>
      <c r="D109" s="3" t="s">
        <v>425</v>
      </c>
      <c r="E109" s="3" t="s">
        <v>521</v>
      </c>
      <c r="F109" s="3" t="s">
        <v>521</v>
      </c>
      <c r="G109" s="3" t="s">
        <v>521</v>
      </c>
      <c r="H109" s="51">
        <v>41717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518</v>
      </c>
      <c r="Q109" s="10" t="str">
        <f t="shared" si="21"/>
        <v>JEREISSATI  -ON</v>
      </c>
      <c r="R109" s="51">
        <f t="shared" si="22"/>
        <v>41717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522</v>
      </c>
      <c r="D110" s="3" t="s">
        <v>1533</v>
      </c>
      <c r="E110" s="3" t="s">
        <v>1533</v>
      </c>
      <c r="F110" s="3" t="s">
        <v>1533</v>
      </c>
      <c r="G110" s="3" t="s">
        <v>1533</v>
      </c>
      <c r="H110" s="51">
        <v>41717</v>
      </c>
      <c r="J110" s="3">
        <f t="shared" si="20"/>
        <v>1.54</v>
      </c>
      <c r="K110" s="3">
        <f t="shared" si="20"/>
        <v>1.54</v>
      </c>
      <c r="L110" s="3">
        <f t="shared" si="20"/>
        <v>1.54</v>
      </c>
      <c r="M110" s="3">
        <f t="shared" si="20"/>
        <v>1.54</v>
      </c>
      <c r="P110" s="15" t="s">
        <v>519</v>
      </c>
      <c r="Q110" s="10" t="str">
        <f t="shared" si="21"/>
        <v>JEREISSATI  -PN</v>
      </c>
      <c r="R110" s="51">
        <f t="shared" si="22"/>
        <v>41717</v>
      </c>
      <c r="S110" s="5">
        <f t="shared" si="23"/>
        <v>1.54</v>
      </c>
      <c r="T110" s="5">
        <f t="shared" si="24"/>
        <v>1.54</v>
      </c>
      <c r="U110" s="5">
        <f t="shared" si="25"/>
        <v>1.54</v>
      </c>
      <c r="V110" s="5">
        <f t="shared" si="26"/>
        <v>1.54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527</v>
      </c>
      <c r="D111" s="3" t="s">
        <v>1389</v>
      </c>
      <c r="E111" s="3" t="s">
        <v>1389</v>
      </c>
      <c r="F111" s="3" t="s">
        <v>1389</v>
      </c>
      <c r="G111" s="3" t="s">
        <v>1389</v>
      </c>
      <c r="H111" s="51">
        <v>41717</v>
      </c>
      <c r="J111" s="3">
        <f t="shared" si="20"/>
        <v>1.99</v>
      </c>
      <c r="K111" s="3">
        <f t="shared" si="20"/>
        <v>1.99</v>
      </c>
      <c r="L111" s="3">
        <f t="shared" si="20"/>
        <v>1.99</v>
      </c>
      <c r="M111" s="3">
        <f t="shared" si="20"/>
        <v>1.99</v>
      </c>
      <c r="P111" s="14" t="s">
        <v>524</v>
      </c>
      <c r="Q111" s="10" t="str">
        <f t="shared" si="21"/>
        <v>LA FONTE TEL-ON</v>
      </c>
      <c r="R111" s="51">
        <f t="shared" si="22"/>
        <v>41717</v>
      </c>
      <c r="S111" s="5">
        <f t="shared" si="23"/>
        <v>1.99</v>
      </c>
      <c r="T111" s="5">
        <f t="shared" si="24"/>
        <v>1.99</v>
      </c>
      <c r="U111" s="5">
        <f t="shared" si="25"/>
        <v>1.99</v>
      </c>
      <c r="V111" s="5">
        <f t="shared" si="26"/>
        <v>1.99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528</v>
      </c>
      <c r="D112" s="3" t="s">
        <v>1336</v>
      </c>
      <c r="E112" s="3" t="s">
        <v>655</v>
      </c>
      <c r="F112" s="3" t="s">
        <v>1336</v>
      </c>
      <c r="G112" s="3" t="s">
        <v>655</v>
      </c>
      <c r="H112" s="51">
        <v>41717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525</v>
      </c>
      <c r="Q112" s="10" t="str">
        <f t="shared" si="21"/>
        <v>LA FONTE TEL-PN</v>
      </c>
      <c r="R112" s="51">
        <f t="shared" si="22"/>
        <v>41717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816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533</v>
      </c>
      <c r="D7" s="3" t="s">
        <v>425</v>
      </c>
      <c r="E7" s="3" t="s">
        <v>534</v>
      </c>
      <c r="F7" s="3" t="s">
        <v>534</v>
      </c>
      <c r="G7" s="3" t="s">
        <v>534</v>
      </c>
      <c r="H7" s="51">
        <v>41717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531</v>
      </c>
      <c r="Q7" s="10" t="str">
        <f t="shared" ref="Q7:Q38" si="1">IF(A7="","",C7)</f>
        <v xml:space="preserve">INDUSVAL    -ON  </v>
      </c>
      <c r="R7" s="51">
        <f t="shared" ref="R7:R38" si="2">IF(A7="","",H7)</f>
        <v>41717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535</v>
      </c>
      <c r="D8" s="3" t="s">
        <v>1903</v>
      </c>
      <c r="E8" s="3" t="s">
        <v>1904</v>
      </c>
      <c r="F8" s="3" t="s">
        <v>1905</v>
      </c>
      <c r="G8" s="3" t="s">
        <v>1904</v>
      </c>
      <c r="H8" s="51">
        <v>41717</v>
      </c>
      <c r="J8" s="3">
        <f t="shared" ref="J8:M71" si="7">IF($A8="",0,VALUE(CONCATENATE(LEFT(D8,LEN(D8)-3),",",RIGHT(D8,2))))</f>
        <v>4.42</v>
      </c>
      <c r="K8" s="3">
        <f t="shared" si="0"/>
        <v>4.3499999999999996</v>
      </c>
      <c r="L8" s="3">
        <f t="shared" si="0"/>
        <v>4.5</v>
      </c>
      <c r="M8" s="3">
        <f t="shared" si="0"/>
        <v>4.3499999999999996</v>
      </c>
      <c r="P8" s="15" t="s">
        <v>532</v>
      </c>
      <c r="Q8" s="10" t="str">
        <f t="shared" si="1"/>
        <v xml:space="preserve">INDUSVAL    -PN  </v>
      </c>
      <c r="R8" s="51">
        <f t="shared" si="2"/>
        <v>41717</v>
      </c>
      <c r="S8" s="5">
        <f t="shared" si="3"/>
        <v>4.42</v>
      </c>
      <c r="T8" s="5">
        <f t="shared" si="4"/>
        <v>4.3499999999999996</v>
      </c>
      <c r="U8" s="5">
        <f t="shared" si="5"/>
        <v>4.5</v>
      </c>
      <c r="V8" s="5">
        <f t="shared" si="6"/>
        <v>4.3499999999999996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538</v>
      </c>
      <c r="D9" s="3" t="s">
        <v>1609</v>
      </c>
      <c r="E9" s="3" t="s">
        <v>1609</v>
      </c>
      <c r="F9" s="3" t="s">
        <v>1609</v>
      </c>
      <c r="G9" s="3" t="s">
        <v>1609</v>
      </c>
      <c r="H9" s="51">
        <v>41717</v>
      </c>
      <c r="J9" s="3">
        <f t="shared" si="7"/>
        <v>11.5</v>
      </c>
      <c r="K9" s="3">
        <f t="shared" si="0"/>
        <v>11.5</v>
      </c>
      <c r="L9" s="3">
        <f t="shared" si="0"/>
        <v>11.5</v>
      </c>
      <c r="M9" s="3">
        <f t="shared" si="0"/>
        <v>11.5</v>
      </c>
      <c r="P9" s="14" t="s">
        <v>536</v>
      </c>
      <c r="Q9" s="10" t="str">
        <f t="shared" si="1"/>
        <v>MERC BRASIL -ON</v>
      </c>
      <c r="R9" s="51">
        <f t="shared" si="2"/>
        <v>41717</v>
      </c>
      <c r="S9" s="5">
        <f t="shared" si="3"/>
        <v>11.5</v>
      </c>
      <c r="T9" s="5">
        <f t="shared" si="4"/>
        <v>11.5</v>
      </c>
      <c r="U9" s="5">
        <f t="shared" si="5"/>
        <v>11.5</v>
      </c>
      <c r="V9" s="5">
        <f t="shared" si="6"/>
        <v>11.5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1447</v>
      </c>
      <c r="D10" s="3" t="s">
        <v>1534</v>
      </c>
      <c r="E10" s="3" t="s">
        <v>1534</v>
      </c>
      <c r="F10" s="3" t="s">
        <v>1534</v>
      </c>
      <c r="G10" s="3" t="s">
        <v>1534</v>
      </c>
      <c r="H10" s="51">
        <v>41717</v>
      </c>
      <c r="J10" s="3">
        <f t="shared" si="7"/>
        <v>6.61</v>
      </c>
      <c r="K10" s="3">
        <f t="shared" si="0"/>
        <v>6.61</v>
      </c>
      <c r="L10" s="3">
        <f t="shared" si="0"/>
        <v>6.61</v>
      </c>
      <c r="M10" s="3">
        <f t="shared" si="0"/>
        <v>6.61</v>
      </c>
      <c r="P10" s="14" t="s">
        <v>537</v>
      </c>
      <c r="Q10" s="10" t="str">
        <f t="shared" si="1"/>
        <v>MERC BRASIL -PN</v>
      </c>
      <c r="R10" s="46">
        <f t="shared" si="2"/>
        <v>41717</v>
      </c>
      <c r="S10" s="6">
        <f t="shared" si="3"/>
        <v>6.61</v>
      </c>
      <c r="T10" s="6">
        <f t="shared" si="4"/>
        <v>6.61</v>
      </c>
      <c r="U10" s="5">
        <f t="shared" si="5"/>
        <v>6.61</v>
      </c>
      <c r="V10" s="5">
        <f t="shared" si="6"/>
        <v>6.61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541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539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542</v>
      </c>
      <c r="D12" s="3" t="s">
        <v>1906</v>
      </c>
      <c r="E12" s="3" t="s">
        <v>1907</v>
      </c>
      <c r="F12" s="3" t="s">
        <v>1908</v>
      </c>
      <c r="G12" s="3" t="s">
        <v>1612</v>
      </c>
      <c r="H12" s="51">
        <v>41717</v>
      </c>
      <c r="J12" s="3">
        <f t="shared" si="7"/>
        <v>3.41</v>
      </c>
      <c r="K12" s="3">
        <f t="shared" si="0"/>
        <v>3.5</v>
      </c>
      <c r="L12" s="3">
        <f t="shared" si="0"/>
        <v>3.57</v>
      </c>
      <c r="M12" s="3">
        <f t="shared" si="0"/>
        <v>3.39</v>
      </c>
      <c r="P12" s="14" t="s">
        <v>540</v>
      </c>
      <c r="Q12" s="10" t="str">
        <f t="shared" si="1"/>
        <v xml:space="preserve">PANAMERICANO-PN  </v>
      </c>
      <c r="R12" s="46">
        <f t="shared" si="2"/>
        <v>41717</v>
      </c>
      <c r="S12" s="6">
        <f t="shared" si="3"/>
        <v>3.41</v>
      </c>
      <c r="T12" s="6">
        <f t="shared" si="4"/>
        <v>3.5</v>
      </c>
      <c r="U12" s="6">
        <f t="shared" si="5"/>
        <v>3.57</v>
      </c>
      <c r="V12" s="6">
        <f t="shared" si="6"/>
        <v>3.39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546</v>
      </c>
      <c r="D13" s="3" t="s">
        <v>425</v>
      </c>
      <c r="E13" s="3" t="s">
        <v>397</v>
      </c>
      <c r="F13" s="3" t="s">
        <v>397</v>
      </c>
      <c r="G13" s="3" t="s">
        <v>397</v>
      </c>
      <c r="H13" s="51">
        <v>41717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545</v>
      </c>
      <c r="Q13" s="10" t="str">
        <f t="shared" si="1"/>
        <v>PATAGONIA   -DR3</v>
      </c>
      <c r="R13" s="51">
        <f t="shared" si="2"/>
        <v>41717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550</v>
      </c>
      <c r="D14" s="3" t="s">
        <v>1497</v>
      </c>
      <c r="E14" s="3" t="s">
        <v>1909</v>
      </c>
      <c r="F14" s="3" t="s">
        <v>1910</v>
      </c>
      <c r="G14" s="3" t="s">
        <v>1496</v>
      </c>
      <c r="H14" s="51">
        <v>41717</v>
      </c>
      <c r="J14" s="3">
        <f t="shared" si="7"/>
        <v>11.51</v>
      </c>
      <c r="K14" s="3">
        <f t="shared" si="0"/>
        <v>11.76</v>
      </c>
      <c r="L14" s="3">
        <f t="shared" si="0"/>
        <v>11.79</v>
      </c>
      <c r="M14" s="3">
        <f t="shared" si="0"/>
        <v>11.42</v>
      </c>
      <c r="P14" s="15" t="s">
        <v>547</v>
      </c>
      <c r="Q14" s="10" t="str">
        <f t="shared" si="1"/>
        <v xml:space="preserve">SANTANDER BR-UNT </v>
      </c>
      <c r="R14" s="51">
        <f t="shared" si="2"/>
        <v>41717</v>
      </c>
      <c r="S14" s="5">
        <f t="shared" si="3"/>
        <v>11.51</v>
      </c>
      <c r="T14" s="5">
        <f t="shared" si="4"/>
        <v>11.76</v>
      </c>
      <c r="U14" s="5">
        <f t="shared" si="5"/>
        <v>11.79</v>
      </c>
      <c r="V14" s="5">
        <f t="shared" si="6"/>
        <v>11.42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551</v>
      </c>
      <c r="D15" s="3" t="s">
        <v>552</v>
      </c>
      <c r="E15" s="3" t="s">
        <v>552</v>
      </c>
      <c r="F15" s="3" t="s">
        <v>396</v>
      </c>
      <c r="G15" s="3" t="s">
        <v>749</v>
      </c>
      <c r="H15" s="51">
        <v>41717</v>
      </c>
      <c r="J15" s="3">
        <f t="shared" si="7"/>
        <v>0.11</v>
      </c>
      <c r="K15" s="3">
        <f t="shared" si="0"/>
        <v>0.11</v>
      </c>
      <c r="L15" s="3">
        <f t="shared" si="0"/>
        <v>0.12</v>
      </c>
      <c r="M15" s="3">
        <f t="shared" si="0"/>
        <v>0.1</v>
      </c>
      <c r="P15" s="14" t="s">
        <v>548</v>
      </c>
      <c r="Q15" s="10" t="str">
        <f t="shared" si="1"/>
        <v xml:space="preserve">SANTANDER BR-ON  </v>
      </c>
      <c r="R15" s="51">
        <f t="shared" si="2"/>
        <v>41717</v>
      </c>
      <c r="S15" s="5">
        <f t="shared" si="3"/>
        <v>0.11</v>
      </c>
      <c r="T15" s="5">
        <f t="shared" si="4"/>
        <v>0.11</v>
      </c>
      <c r="U15" s="5">
        <f t="shared" si="5"/>
        <v>0.12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553</v>
      </c>
      <c r="D16" s="3" t="s">
        <v>396</v>
      </c>
      <c r="E16" s="3" t="s">
        <v>396</v>
      </c>
      <c r="F16" s="3" t="s">
        <v>396</v>
      </c>
      <c r="G16" s="3" t="s">
        <v>552</v>
      </c>
      <c r="H16" s="51">
        <v>41717</v>
      </c>
      <c r="J16" s="3">
        <f t="shared" si="7"/>
        <v>0.12</v>
      </c>
      <c r="K16" s="3">
        <f t="shared" si="0"/>
        <v>0.12</v>
      </c>
      <c r="L16" s="3">
        <f t="shared" si="0"/>
        <v>0.12</v>
      </c>
      <c r="M16" s="3">
        <f t="shared" si="0"/>
        <v>0.11</v>
      </c>
      <c r="P16" s="14" t="s">
        <v>549</v>
      </c>
      <c r="Q16" s="10" t="str">
        <f t="shared" si="1"/>
        <v xml:space="preserve">SANTANDER BR-PN  </v>
      </c>
      <c r="R16" s="51">
        <f t="shared" si="2"/>
        <v>41717</v>
      </c>
      <c r="S16" s="5">
        <f t="shared" si="3"/>
        <v>0.12</v>
      </c>
      <c r="T16" s="5">
        <f t="shared" si="4"/>
        <v>0.12</v>
      </c>
      <c r="U16" s="5">
        <f t="shared" si="5"/>
        <v>0.12</v>
      </c>
      <c r="V16" s="5">
        <f t="shared" si="6"/>
        <v>0.11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555</v>
      </c>
      <c r="D17" s="3" t="s">
        <v>425</v>
      </c>
      <c r="E17" s="3" t="s">
        <v>426</v>
      </c>
      <c r="F17" s="3" t="s">
        <v>425</v>
      </c>
      <c r="G17" s="3" t="s">
        <v>425</v>
      </c>
      <c r="H17" s="51" t="s">
        <v>425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554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558</v>
      </c>
      <c r="D18" s="3" t="s">
        <v>1911</v>
      </c>
      <c r="E18" s="3" t="s">
        <v>1531</v>
      </c>
      <c r="F18" s="3" t="s">
        <v>1911</v>
      </c>
      <c r="G18" s="3" t="s">
        <v>1531</v>
      </c>
      <c r="H18" s="51">
        <v>41717</v>
      </c>
      <c r="J18" s="3">
        <f t="shared" si="7"/>
        <v>1.56</v>
      </c>
      <c r="K18" s="3">
        <f t="shared" si="0"/>
        <v>1.55</v>
      </c>
      <c r="L18" s="3">
        <f t="shared" si="0"/>
        <v>1.56</v>
      </c>
      <c r="M18" s="3">
        <f t="shared" si="0"/>
        <v>1.55</v>
      </c>
      <c r="P18" s="10" t="s">
        <v>557</v>
      </c>
      <c r="Q18" s="10" t="str">
        <f t="shared" si="1"/>
        <v xml:space="preserve">IDEIASNET   -ON  </v>
      </c>
      <c r="R18" s="51">
        <f t="shared" si="2"/>
        <v>41717</v>
      </c>
      <c r="S18" s="5">
        <f t="shared" si="3"/>
        <v>1.56</v>
      </c>
      <c r="T18" s="5">
        <f t="shared" si="4"/>
        <v>1.55</v>
      </c>
      <c r="U18" s="5">
        <f t="shared" si="5"/>
        <v>1.56</v>
      </c>
      <c r="V18" s="5">
        <f t="shared" si="6"/>
        <v>1.55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563</v>
      </c>
      <c r="D19" s="3" t="s">
        <v>1912</v>
      </c>
      <c r="E19" s="3" t="s">
        <v>1608</v>
      </c>
      <c r="F19" s="3" t="s">
        <v>1912</v>
      </c>
      <c r="G19" s="3" t="s">
        <v>1913</v>
      </c>
      <c r="H19" s="51">
        <v>41717</v>
      </c>
      <c r="J19" s="3">
        <f t="shared" si="7"/>
        <v>46.98</v>
      </c>
      <c r="K19" s="3">
        <f t="shared" si="0"/>
        <v>46.5</v>
      </c>
      <c r="L19" s="3">
        <f t="shared" si="0"/>
        <v>46.98</v>
      </c>
      <c r="M19" s="3">
        <f t="shared" si="0"/>
        <v>46.22</v>
      </c>
      <c r="P19" s="10" t="s">
        <v>560</v>
      </c>
      <c r="Q19" s="10" t="str">
        <f t="shared" si="1"/>
        <v xml:space="preserve">LINX        -ON  </v>
      </c>
      <c r="R19" s="51">
        <f t="shared" si="2"/>
        <v>41717</v>
      </c>
      <c r="S19" s="5">
        <f t="shared" si="3"/>
        <v>46.98</v>
      </c>
      <c r="T19" s="5">
        <f t="shared" si="4"/>
        <v>46.5</v>
      </c>
      <c r="U19" s="5">
        <f t="shared" si="5"/>
        <v>46.98</v>
      </c>
      <c r="V19" s="5">
        <f t="shared" si="6"/>
        <v>46.22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564</v>
      </c>
      <c r="D20" s="3" t="s">
        <v>1334</v>
      </c>
      <c r="E20" s="3" t="s">
        <v>1334</v>
      </c>
      <c r="F20" s="3" t="s">
        <v>1334</v>
      </c>
      <c r="G20" s="3" t="s">
        <v>1334</v>
      </c>
      <c r="H20" s="51">
        <v>41717</v>
      </c>
      <c r="J20" s="3">
        <f t="shared" si="7"/>
        <v>4.4000000000000004</v>
      </c>
      <c r="K20" s="3">
        <f t="shared" si="0"/>
        <v>4.4000000000000004</v>
      </c>
      <c r="L20" s="3">
        <f t="shared" si="0"/>
        <v>4.4000000000000004</v>
      </c>
      <c r="M20" s="3">
        <f t="shared" si="0"/>
        <v>4.4000000000000004</v>
      </c>
      <c r="P20" s="10" t="s">
        <v>561</v>
      </c>
      <c r="Q20" s="10" t="str">
        <f t="shared" si="1"/>
        <v>TELEBRAS    -ON</v>
      </c>
      <c r="R20" s="51">
        <f t="shared" si="2"/>
        <v>41717</v>
      </c>
      <c r="S20" s="5">
        <f t="shared" si="3"/>
        <v>4.4000000000000004</v>
      </c>
      <c r="T20" s="5">
        <f t="shared" si="4"/>
        <v>4.4000000000000004</v>
      </c>
      <c r="U20" s="5">
        <f t="shared" si="5"/>
        <v>4.4000000000000004</v>
      </c>
      <c r="V20" s="5">
        <f t="shared" si="6"/>
        <v>4.4000000000000004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565</v>
      </c>
      <c r="D21" s="3" t="s">
        <v>1449</v>
      </c>
      <c r="E21" s="3" t="s">
        <v>1914</v>
      </c>
      <c r="F21" s="3" t="s">
        <v>1915</v>
      </c>
      <c r="G21" s="3" t="s">
        <v>1449</v>
      </c>
      <c r="H21" s="51">
        <v>41717</v>
      </c>
      <c r="J21" s="3">
        <f t="shared" si="7"/>
        <v>2.2999999999999998</v>
      </c>
      <c r="K21" s="3">
        <f t="shared" si="0"/>
        <v>2.3199999999999998</v>
      </c>
      <c r="L21" s="3">
        <f t="shared" si="0"/>
        <v>2.36</v>
      </c>
      <c r="M21" s="3">
        <f t="shared" si="0"/>
        <v>2.2999999999999998</v>
      </c>
      <c r="P21" s="14" t="s">
        <v>562</v>
      </c>
      <c r="Q21" s="10" t="str">
        <f t="shared" si="1"/>
        <v>TELEBRAS    -PN</v>
      </c>
      <c r="R21" s="51">
        <f t="shared" si="2"/>
        <v>41717</v>
      </c>
      <c r="S21" s="5">
        <f t="shared" si="3"/>
        <v>2.2999999999999998</v>
      </c>
      <c r="T21" s="5">
        <f t="shared" si="4"/>
        <v>2.3199999999999998</v>
      </c>
      <c r="U21" s="5">
        <f t="shared" si="5"/>
        <v>2.36</v>
      </c>
      <c r="V21" s="5">
        <f t="shared" si="6"/>
        <v>2.2999999999999998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567</v>
      </c>
      <c r="D22" s="3" t="s">
        <v>707</v>
      </c>
      <c r="E22" s="3" t="s">
        <v>754</v>
      </c>
      <c r="F22" s="3" t="s">
        <v>754</v>
      </c>
      <c r="G22" s="3" t="s">
        <v>755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566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569</v>
      </c>
      <c r="D23" s="3" t="s">
        <v>1916</v>
      </c>
      <c r="E23" s="3" t="s">
        <v>1917</v>
      </c>
      <c r="F23" s="3" t="s">
        <v>1918</v>
      </c>
      <c r="G23" s="3" t="s">
        <v>1919</v>
      </c>
      <c r="H23" s="51">
        <v>41717</v>
      </c>
      <c r="J23" s="3">
        <f t="shared" si="7"/>
        <v>32.28</v>
      </c>
      <c r="K23" s="3">
        <f t="shared" si="7"/>
        <v>34.04</v>
      </c>
      <c r="L23" s="3">
        <f t="shared" si="7"/>
        <v>34.1</v>
      </c>
      <c r="M23" s="3">
        <f t="shared" si="7"/>
        <v>32.21</v>
      </c>
      <c r="P23" s="14" t="s">
        <v>568</v>
      </c>
      <c r="Q23" s="10" t="str">
        <f t="shared" si="1"/>
        <v xml:space="preserve">TOTVS       -ON  </v>
      </c>
      <c r="R23" s="51">
        <f t="shared" si="2"/>
        <v>41717</v>
      </c>
      <c r="S23" s="5">
        <f t="shared" si="3"/>
        <v>32.28</v>
      </c>
      <c r="T23" s="5">
        <f t="shared" si="4"/>
        <v>34.04</v>
      </c>
      <c r="U23" s="5">
        <f t="shared" si="5"/>
        <v>34.1</v>
      </c>
      <c r="V23" s="5">
        <f t="shared" si="6"/>
        <v>32.21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574</v>
      </c>
      <c r="D24" s="3" t="s">
        <v>1371</v>
      </c>
      <c r="E24" s="3" t="s">
        <v>1387</v>
      </c>
      <c r="F24" s="3" t="s">
        <v>1683</v>
      </c>
      <c r="G24" s="3" t="s">
        <v>1493</v>
      </c>
      <c r="H24" s="51">
        <v>41717</v>
      </c>
      <c r="J24" s="3">
        <f t="shared" si="7"/>
        <v>7.86</v>
      </c>
      <c r="K24" s="3">
        <f t="shared" si="7"/>
        <v>7.9</v>
      </c>
      <c r="L24" s="3">
        <f t="shared" si="7"/>
        <v>7.95</v>
      </c>
      <c r="M24" s="3">
        <f t="shared" si="7"/>
        <v>7.81</v>
      </c>
      <c r="P24" s="15" t="s">
        <v>571</v>
      </c>
      <c r="Q24" s="10" t="str">
        <f t="shared" si="1"/>
        <v xml:space="preserve">BEMATECH    -ON  </v>
      </c>
      <c r="R24" s="51">
        <f t="shared" si="2"/>
        <v>41717</v>
      </c>
      <c r="S24" s="5">
        <f t="shared" si="3"/>
        <v>7.86</v>
      </c>
      <c r="T24" s="5">
        <f t="shared" si="4"/>
        <v>7.9</v>
      </c>
      <c r="U24" s="5">
        <f t="shared" si="5"/>
        <v>7.95</v>
      </c>
      <c r="V24" s="5">
        <f t="shared" si="6"/>
        <v>7.81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575</v>
      </c>
      <c r="D25" s="3" t="s">
        <v>1404</v>
      </c>
      <c r="E25" s="3" t="s">
        <v>227</v>
      </c>
      <c r="F25" s="3" t="s">
        <v>227</v>
      </c>
      <c r="G25" s="3" t="s">
        <v>1404</v>
      </c>
      <c r="H25" s="51">
        <v>41717</v>
      </c>
      <c r="J25" s="3">
        <f t="shared" si="7"/>
        <v>18</v>
      </c>
      <c r="K25" s="3">
        <f t="shared" si="7"/>
        <v>19</v>
      </c>
      <c r="L25" s="3">
        <f t="shared" si="7"/>
        <v>19</v>
      </c>
      <c r="M25" s="3">
        <f t="shared" si="7"/>
        <v>18</v>
      </c>
      <c r="P25" s="10" t="s">
        <v>572</v>
      </c>
      <c r="Q25" s="10" t="str">
        <f t="shared" si="1"/>
        <v>ITAUTEC     -ON</v>
      </c>
      <c r="R25" s="51">
        <f t="shared" si="2"/>
        <v>41717</v>
      </c>
      <c r="S25" s="5">
        <f t="shared" si="3"/>
        <v>18</v>
      </c>
      <c r="T25" s="5">
        <f t="shared" si="4"/>
        <v>19</v>
      </c>
      <c r="U25" s="5">
        <f t="shared" si="5"/>
        <v>19</v>
      </c>
      <c r="V25" s="5">
        <f t="shared" si="6"/>
        <v>18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576</v>
      </c>
      <c r="D26" s="3" t="s">
        <v>1915</v>
      </c>
      <c r="E26" s="3" t="s">
        <v>1915</v>
      </c>
      <c r="F26" s="3" t="s">
        <v>1614</v>
      </c>
      <c r="G26" s="3" t="s">
        <v>1537</v>
      </c>
      <c r="H26" s="51">
        <v>41717</v>
      </c>
      <c r="J26" s="3">
        <f t="shared" si="7"/>
        <v>2.36</v>
      </c>
      <c r="K26" s="3">
        <f t="shared" si="7"/>
        <v>2.36</v>
      </c>
      <c r="L26" s="3">
        <f t="shared" si="7"/>
        <v>2.38</v>
      </c>
      <c r="M26" s="3">
        <f t="shared" si="7"/>
        <v>2.34</v>
      </c>
      <c r="P26" s="15" t="s">
        <v>573</v>
      </c>
      <c r="Q26" s="10" t="str">
        <f t="shared" si="1"/>
        <v xml:space="preserve">POSITIVO INF-ON  </v>
      </c>
      <c r="R26" s="51">
        <f t="shared" si="2"/>
        <v>41717</v>
      </c>
      <c r="S26" s="5">
        <f t="shared" si="3"/>
        <v>2.36</v>
      </c>
      <c r="T26" s="5">
        <f t="shared" si="4"/>
        <v>2.36</v>
      </c>
      <c r="U26" s="5">
        <f t="shared" si="5"/>
        <v>2.38</v>
      </c>
      <c r="V26" s="5">
        <f t="shared" si="6"/>
        <v>2.34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580</v>
      </c>
      <c r="D27" s="3" t="s">
        <v>1349</v>
      </c>
      <c r="E27" s="3" t="s">
        <v>1390</v>
      </c>
      <c r="F27" s="3" t="s">
        <v>1349</v>
      </c>
      <c r="G27" s="3" t="s">
        <v>1920</v>
      </c>
      <c r="H27" s="51">
        <v>41717</v>
      </c>
      <c r="J27" s="3">
        <f t="shared" si="7"/>
        <v>0.28000000000000003</v>
      </c>
      <c r="K27" s="3">
        <f t="shared" si="7"/>
        <v>0.27</v>
      </c>
      <c r="L27" s="3">
        <f t="shared" si="7"/>
        <v>0.28000000000000003</v>
      </c>
      <c r="M27" s="3">
        <f t="shared" si="7"/>
        <v>0.26</v>
      </c>
      <c r="P27" s="15" t="s">
        <v>578</v>
      </c>
      <c r="Q27" s="10" t="str">
        <f t="shared" si="1"/>
        <v>PET MANGUINH-ON</v>
      </c>
      <c r="R27" s="51">
        <f t="shared" si="2"/>
        <v>41717</v>
      </c>
      <c r="S27" s="5">
        <f t="shared" si="3"/>
        <v>0.28000000000000003</v>
      </c>
      <c r="T27" s="5">
        <f t="shared" si="4"/>
        <v>0.27</v>
      </c>
      <c r="U27" s="5">
        <f t="shared" si="5"/>
        <v>0.28000000000000003</v>
      </c>
      <c r="V27" s="5">
        <f t="shared" si="6"/>
        <v>0.26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581</v>
      </c>
      <c r="D28" s="3" t="s">
        <v>1920</v>
      </c>
      <c r="E28" s="3" t="s">
        <v>1390</v>
      </c>
      <c r="F28" s="3" t="s">
        <v>1390</v>
      </c>
      <c r="G28" s="3" t="s">
        <v>1920</v>
      </c>
      <c r="H28" s="51">
        <v>41717</v>
      </c>
      <c r="J28" s="3">
        <f t="shared" si="7"/>
        <v>0.26</v>
      </c>
      <c r="K28" s="3">
        <f t="shared" si="7"/>
        <v>0.27</v>
      </c>
      <c r="L28" s="3">
        <f t="shared" si="7"/>
        <v>0.27</v>
      </c>
      <c r="M28" s="3">
        <f t="shared" si="7"/>
        <v>0.26</v>
      </c>
      <c r="P28" s="15" t="s">
        <v>579</v>
      </c>
      <c r="Q28" s="10" t="str">
        <f t="shared" si="1"/>
        <v>PET MANGUINH-PN</v>
      </c>
      <c r="R28" s="51">
        <f t="shared" si="2"/>
        <v>41717</v>
      </c>
      <c r="S28" s="5">
        <f t="shared" si="3"/>
        <v>0.26</v>
      </c>
      <c r="T28" s="5">
        <f t="shared" si="4"/>
        <v>0.27</v>
      </c>
      <c r="U28" s="5">
        <f t="shared" si="5"/>
        <v>0.27</v>
      </c>
      <c r="V28" s="5">
        <f t="shared" si="6"/>
        <v>0.26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1350</v>
      </c>
      <c r="D29" s="3" t="s">
        <v>1921</v>
      </c>
      <c r="E29" s="3" t="s">
        <v>1922</v>
      </c>
      <c r="F29" s="3" t="s">
        <v>1921</v>
      </c>
      <c r="G29" s="3" t="s">
        <v>1450</v>
      </c>
      <c r="H29" s="51">
        <v>41717</v>
      </c>
      <c r="J29" s="3">
        <f>IF($A29="",0,VALUE(CONCATENATE(LEFT(D29,LEN(D29)-3),",",RIGHT(D29,2))))</f>
        <v>9.86</v>
      </c>
      <c r="K29" s="3">
        <f t="shared" si="7"/>
        <v>9.73</v>
      </c>
      <c r="L29" s="3">
        <f t="shared" si="7"/>
        <v>9.86</v>
      </c>
      <c r="M29" s="3">
        <f t="shared" si="7"/>
        <v>9.65</v>
      </c>
      <c r="P29" s="15" t="s">
        <v>584</v>
      </c>
      <c r="Q29" s="10" t="str">
        <f t="shared" si="1"/>
        <v xml:space="preserve">SID NACIONAL-ON  </v>
      </c>
      <c r="R29" s="51">
        <f t="shared" si="2"/>
        <v>41717</v>
      </c>
      <c r="S29" s="5">
        <f t="shared" si="3"/>
        <v>9.86</v>
      </c>
      <c r="T29" s="5">
        <f t="shared" si="4"/>
        <v>9.73</v>
      </c>
      <c r="U29" s="5">
        <f t="shared" si="5"/>
        <v>9.86</v>
      </c>
      <c r="V29" s="5">
        <f t="shared" si="6"/>
        <v>9.65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588</v>
      </c>
      <c r="D30" s="3" t="s">
        <v>1923</v>
      </c>
      <c r="E30" s="3" t="s">
        <v>1924</v>
      </c>
      <c r="F30" s="3" t="s">
        <v>1925</v>
      </c>
      <c r="G30" s="3" t="s">
        <v>1923</v>
      </c>
      <c r="H30" s="51">
        <v>41717</v>
      </c>
      <c r="J30" s="3">
        <f t="shared" si="7"/>
        <v>8.31</v>
      </c>
      <c r="K30" s="3">
        <f t="shared" si="7"/>
        <v>8.51</v>
      </c>
      <c r="L30" s="3">
        <f t="shared" si="7"/>
        <v>8.59</v>
      </c>
      <c r="M30" s="3">
        <f t="shared" si="7"/>
        <v>8.31</v>
      </c>
      <c r="P30" s="14" t="s">
        <v>585</v>
      </c>
      <c r="Q30" s="10" t="str">
        <f t="shared" si="1"/>
        <v xml:space="preserve">USIMINAS    -ON  </v>
      </c>
      <c r="R30" s="51">
        <f t="shared" si="2"/>
        <v>41717</v>
      </c>
      <c r="S30" s="5">
        <f t="shared" si="3"/>
        <v>8.31</v>
      </c>
      <c r="T30" s="5">
        <f t="shared" si="4"/>
        <v>8.51</v>
      </c>
      <c r="U30" s="5">
        <f t="shared" si="5"/>
        <v>8.59</v>
      </c>
      <c r="V30" s="5">
        <f t="shared" si="6"/>
        <v>8.31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589</v>
      </c>
      <c r="D31" s="3" t="s">
        <v>1926</v>
      </c>
      <c r="E31" s="3" t="s">
        <v>1927</v>
      </c>
      <c r="F31" s="3" t="s">
        <v>1928</v>
      </c>
      <c r="G31" s="3" t="s">
        <v>1929</v>
      </c>
      <c r="H31" s="51">
        <v>41717</v>
      </c>
      <c r="J31" s="3">
        <f t="shared" si="7"/>
        <v>9.2200000000000006</v>
      </c>
      <c r="K31" s="3">
        <f t="shared" si="7"/>
        <v>9.52</v>
      </c>
      <c r="L31" s="3">
        <f t="shared" si="7"/>
        <v>9.58</v>
      </c>
      <c r="M31" s="3">
        <f t="shared" si="7"/>
        <v>9.15</v>
      </c>
      <c r="P31" s="14" t="s">
        <v>586</v>
      </c>
      <c r="Q31" s="10" t="str">
        <f t="shared" si="1"/>
        <v xml:space="preserve">USIMINAS    -PNA </v>
      </c>
      <c r="R31" s="51">
        <f t="shared" si="2"/>
        <v>41717</v>
      </c>
      <c r="S31" s="5">
        <f t="shared" si="3"/>
        <v>9.2200000000000006</v>
      </c>
      <c r="T31" s="5">
        <f t="shared" si="4"/>
        <v>9.52</v>
      </c>
      <c r="U31" s="5">
        <f t="shared" si="5"/>
        <v>9.58</v>
      </c>
      <c r="V31" s="5">
        <f t="shared" si="6"/>
        <v>9.15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590</v>
      </c>
      <c r="D32" s="3" t="s">
        <v>425</v>
      </c>
      <c r="E32" s="3" t="s">
        <v>591</v>
      </c>
      <c r="F32" s="3" t="s">
        <v>591</v>
      </c>
      <c r="G32" s="3" t="s">
        <v>591</v>
      </c>
      <c r="H32" s="51">
        <v>41717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587</v>
      </c>
      <c r="Q32" s="10" t="str">
        <f t="shared" si="1"/>
        <v xml:space="preserve">USIMINAS    -PNB </v>
      </c>
      <c r="R32" s="51">
        <f t="shared" si="2"/>
        <v>41717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594</v>
      </c>
      <c r="D33" s="3" t="s">
        <v>1594</v>
      </c>
      <c r="E33" s="3" t="s">
        <v>1930</v>
      </c>
      <c r="F33" s="3" t="s">
        <v>1613</v>
      </c>
      <c r="G33" s="3" t="s">
        <v>134</v>
      </c>
      <c r="H33" s="51">
        <v>41717</v>
      </c>
      <c r="J33" s="3">
        <f t="shared" si="7"/>
        <v>11.35</v>
      </c>
      <c r="K33" s="3">
        <f t="shared" si="7"/>
        <v>11.38</v>
      </c>
      <c r="L33" s="3">
        <f t="shared" si="7"/>
        <v>11.47</v>
      </c>
      <c r="M33" s="3">
        <f t="shared" si="7"/>
        <v>11</v>
      </c>
      <c r="P33" s="14" t="s">
        <v>592</v>
      </c>
      <c r="Q33" s="10" t="str">
        <f t="shared" si="1"/>
        <v xml:space="preserve">GERDAU      -ON  </v>
      </c>
      <c r="R33" s="51">
        <f t="shared" si="2"/>
        <v>41717</v>
      </c>
      <c r="S33" s="5">
        <f t="shared" si="3"/>
        <v>11.35</v>
      </c>
      <c r="T33" s="5">
        <f t="shared" si="4"/>
        <v>11.38</v>
      </c>
      <c r="U33" s="5">
        <f t="shared" si="5"/>
        <v>11.47</v>
      </c>
      <c r="V33" s="5">
        <f t="shared" si="6"/>
        <v>11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595</v>
      </c>
      <c r="D34" s="3" t="s">
        <v>1931</v>
      </c>
      <c r="E34" s="3" t="s">
        <v>1932</v>
      </c>
      <c r="F34" s="3" t="s">
        <v>1443</v>
      </c>
      <c r="G34" s="3" t="s">
        <v>1664</v>
      </c>
      <c r="H34" s="51">
        <v>41717</v>
      </c>
      <c r="J34" s="3">
        <f t="shared" si="7"/>
        <v>14.2</v>
      </c>
      <c r="K34" s="3">
        <f t="shared" si="7"/>
        <v>14.33</v>
      </c>
      <c r="L34" s="3">
        <f t="shared" si="7"/>
        <v>14.45</v>
      </c>
      <c r="M34" s="3">
        <f t="shared" si="7"/>
        <v>14.02</v>
      </c>
      <c r="P34" s="14" t="s">
        <v>593</v>
      </c>
      <c r="Q34" s="10" t="str">
        <f t="shared" si="1"/>
        <v xml:space="preserve">GERDAU      -PN  </v>
      </c>
      <c r="R34" s="51">
        <f t="shared" si="2"/>
        <v>41717</v>
      </c>
      <c r="S34" s="5">
        <f t="shared" si="3"/>
        <v>14.2</v>
      </c>
      <c r="T34" s="5">
        <f t="shared" si="4"/>
        <v>14.33</v>
      </c>
      <c r="U34" s="5">
        <f t="shared" si="5"/>
        <v>14.45</v>
      </c>
      <c r="V34" s="5">
        <f t="shared" si="6"/>
        <v>14.02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598</v>
      </c>
      <c r="D35" s="3" t="s">
        <v>1487</v>
      </c>
      <c r="E35" s="3" t="s">
        <v>1933</v>
      </c>
      <c r="F35" s="3" t="s">
        <v>1933</v>
      </c>
      <c r="G35" s="3" t="s">
        <v>1358</v>
      </c>
      <c r="H35" s="51">
        <v>41717</v>
      </c>
      <c r="J35" s="3">
        <f t="shared" si="7"/>
        <v>13.63</v>
      </c>
      <c r="K35" s="3">
        <f t="shared" si="7"/>
        <v>13.82</v>
      </c>
      <c r="L35" s="3">
        <f t="shared" si="7"/>
        <v>13.82</v>
      </c>
      <c r="M35" s="3">
        <f t="shared" si="7"/>
        <v>13.6</v>
      </c>
      <c r="P35" s="14" t="s">
        <v>596</v>
      </c>
      <c r="Q35" s="10" t="str">
        <f t="shared" si="1"/>
        <v xml:space="preserve">GERDAU MET  -ON  </v>
      </c>
      <c r="R35" s="51">
        <f t="shared" si="2"/>
        <v>41717</v>
      </c>
      <c r="S35" s="5">
        <f t="shared" si="3"/>
        <v>13.63</v>
      </c>
      <c r="T35" s="5">
        <f t="shared" si="4"/>
        <v>13.82</v>
      </c>
      <c r="U35" s="5">
        <f t="shared" si="5"/>
        <v>13.82</v>
      </c>
      <c r="V35" s="5">
        <f t="shared" si="6"/>
        <v>13.6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599</v>
      </c>
      <c r="D36" s="3" t="s">
        <v>1934</v>
      </c>
      <c r="E36" s="3" t="s">
        <v>1620</v>
      </c>
      <c r="F36" s="3" t="s">
        <v>1526</v>
      </c>
      <c r="G36" s="3" t="s">
        <v>1301</v>
      </c>
      <c r="H36" s="51">
        <v>41717</v>
      </c>
      <c r="J36" s="3">
        <f t="shared" si="7"/>
        <v>17.27</v>
      </c>
      <c r="K36" s="3">
        <f t="shared" si="7"/>
        <v>17.3</v>
      </c>
      <c r="L36" s="3">
        <f t="shared" si="7"/>
        <v>17.41</v>
      </c>
      <c r="M36" s="3">
        <f t="shared" si="7"/>
        <v>16.98</v>
      </c>
      <c r="P36" s="14" t="s">
        <v>597</v>
      </c>
      <c r="Q36" s="10" t="str">
        <f t="shared" si="1"/>
        <v xml:space="preserve">GERDAU MET  -PN  </v>
      </c>
      <c r="R36" s="51">
        <f t="shared" si="2"/>
        <v>41717</v>
      </c>
      <c r="S36" s="5">
        <f t="shared" si="3"/>
        <v>17.27</v>
      </c>
      <c r="T36" s="5">
        <f t="shared" si="4"/>
        <v>17.3</v>
      </c>
      <c r="U36" s="5">
        <f t="shared" si="5"/>
        <v>17.41</v>
      </c>
      <c r="V36" s="5">
        <f t="shared" si="6"/>
        <v>16.98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602</v>
      </c>
      <c r="D37" s="3" t="s">
        <v>425</v>
      </c>
      <c r="E37" s="3" t="s">
        <v>603</v>
      </c>
      <c r="F37" s="3" t="s">
        <v>603</v>
      </c>
      <c r="G37" s="3" t="s">
        <v>603</v>
      </c>
      <c r="H37" s="51">
        <v>41717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600</v>
      </c>
      <c r="Q37" s="10" t="str">
        <f t="shared" si="1"/>
        <v>FIBAM       -ON</v>
      </c>
      <c r="R37" s="51">
        <f t="shared" si="2"/>
        <v>41717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604</v>
      </c>
      <c r="D38" s="3" t="s">
        <v>608</v>
      </c>
      <c r="E38" s="3" t="s">
        <v>1351</v>
      </c>
      <c r="F38" s="3" t="s">
        <v>1351</v>
      </c>
      <c r="G38" s="3" t="s">
        <v>1326</v>
      </c>
      <c r="H38" s="51">
        <v>41717</v>
      </c>
      <c r="J38" s="3">
        <f t="shared" si="7"/>
        <v>25</v>
      </c>
      <c r="K38" s="3">
        <f t="shared" si="7"/>
        <v>25.49</v>
      </c>
      <c r="L38" s="3">
        <f t="shared" si="7"/>
        <v>25.49</v>
      </c>
      <c r="M38" s="3">
        <f t="shared" si="7"/>
        <v>24.5</v>
      </c>
      <c r="P38" s="15" t="s">
        <v>601</v>
      </c>
      <c r="Q38" s="10" t="str">
        <f t="shared" si="1"/>
        <v>FIBAM       -PN</v>
      </c>
      <c r="R38" s="51">
        <f t="shared" si="2"/>
        <v>41717</v>
      </c>
      <c r="S38" s="5">
        <f t="shared" si="3"/>
        <v>25</v>
      </c>
      <c r="T38" s="5">
        <f t="shared" si="4"/>
        <v>25.49</v>
      </c>
      <c r="U38" s="5">
        <f t="shared" si="5"/>
        <v>25.49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607</v>
      </c>
      <c r="D39" s="3" t="s">
        <v>425</v>
      </c>
      <c r="E39" s="3" t="s">
        <v>608</v>
      </c>
      <c r="F39" s="3" t="s">
        <v>608</v>
      </c>
      <c r="G39" s="3" t="s">
        <v>608</v>
      </c>
      <c r="H39" s="51">
        <v>41717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605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41717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609</v>
      </c>
      <c r="D40" s="3" t="s">
        <v>1615</v>
      </c>
      <c r="E40" s="3" t="s">
        <v>889</v>
      </c>
      <c r="F40" s="3" t="s">
        <v>1615</v>
      </c>
      <c r="G40" s="3" t="s">
        <v>1935</v>
      </c>
      <c r="H40" s="51">
        <v>41717</v>
      </c>
      <c r="J40" s="3">
        <f t="shared" si="7"/>
        <v>0.55000000000000004</v>
      </c>
      <c r="K40" s="3">
        <f t="shared" si="7"/>
        <v>0.54</v>
      </c>
      <c r="L40" s="3">
        <f t="shared" si="7"/>
        <v>0.55000000000000004</v>
      </c>
      <c r="M40" s="3">
        <f t="shared" si="7"/>
        <v>0.53</v>
      </c>
      <c r="P40" s="14" t="s">
        <v>606</v>
      </c>
      <c r="Q40" s="10" t="str">
        <f t="shared" si="8"/>
        <v xml:space="preserve">MANGELS INDL-PN  </v>
      </c>
      <c r="R40" s="51">
        <f t="shared" si="9"/>
        <v>41717</v>
      </c>
      <c r="S40" s="5">
        <f t="shared" si="10"/>
        <v>0.55000000000000004</v>
      </c>
      <c r="T40" s="5">
        <f t="shared" si="11"/>
        <v>0.54</v>
      </c>
      <c r="U40" s="5">
        <f t="shared" si="12"/>
        <v>0.55000000000000004</v>
      </c>
      <c r="V40" s="5">
        <f t="shared" si="13"/>
        <v>0.53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612</v>
      </c>
      <c r="D41" s="3" t="s">
        <v>425</v>
      </c>
      <c r="E41" s="3" t="s">
        <v>613</v>
      </c>
      <c r="F41" s="3" t="s">
        <v>613</v>
      </c>
      <c r="G41" s="3" t="s">
        <v>613</v>
      </c>
      <c r="H41" s="51">
        <v>41717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610</v>
      </c>
      <c r="Q41" s="10" t="str">
        <f t="shared" si="8"/>
        <v>MET DUQUE   -ON</v>
      </c>
      <c r="R41" s="51">
        <f t="shared" si="9"/>
        <v>41717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614</v>
      </c>
      <c r="D42" s="3" t="s">
        <v>184</v>
      </c>
      <c r="E42" s="3" t="s">
        <v>184</v>
      </c>
      <c r="F42" s="3" t="s">
        <v>184</v>
      </c>
      <c r="G42" s="3" t="s">
        <v>184</v>
      </c>
      <c r="H42" s="51">
        <v>41717</v>
      </c>
      <c r="J42" s="3">
        <f t="shared" si="7"/>
        <v>4</v>
      </c>
      <c r="K42" s="3">
        <f t="shared" si="7"/>
        <v>4</v>
      </c>
      <c r="L42" s="3">
        <f t="shared" si="7"/>
        <v>4</v>
      </c>
      <c r="M42" s="3">
        <f t="shared" si="7"/>
        <v>4</v>
      </c>
      <c r="P42" s="14" t="s">
        <v>611</v>
      </c>
      <c r="Q42" s="10" t="str">
        <f t="shared" si="8"/>
        <v>MET DUQUE   -PN</v>
      </c>
      <c r="R42" s="51">
        <f t="shared" si="9"/>
        <v>41717</v>
      </c>
      <c r="S42" s="5">
        <f t="shared" si="10"/>
        <v>4</v>
      </c>
      <c r="T42" s="5">
        <f t="shared" si="11"/>
        <v>4</v>
      </c>
      <c r="U42" s="5">
        <f t="shared" si="12"/>
        <v>4</v>
      </c>
      <c r="V42" s="5">
        <f t="shared" si="13"/>
        <v>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617</v>
      </c>
      <c r="D43" s="3" t="s">
        <v>1936</v>
      </c>
      <c r="E43" s="3" t="s">
        <v>1558</v>
      </c>
      <c r="F43" s="3" t="s">
        <v>1937</v>
      </c>
      <c r="G43" s="3" t="s">
        <v>1565</v>
      </c>
      <c r="H43" s="51">
        <v>41717</v>
      </c>
      <c r="J43" s="3">
        <f t="shared" si="7"/>
        <v>3.11</v>
      </c>
      <c r="K43" s="3">
        <f t="shared" si="7"/>
        <v>3.02</v>
      </c>
      <c r="L43" s="3">
        <f t="shared" si="7"/>
        <v>3.13</v>
      </c>
      <c r="M43" s="3">
        <f t="shared" si="7"/>
        <v>2.96</v>
      </c>
      <c r="P43" s="14" t="s">
        <v>616</v>
      </c>
      <c r="Q43" s="10" t="str">
        <f t="shared" si="8"/>
        <v xml:space="preserve">PARANAPANEMA-ON  </v>
      </c>
      <c r="R43" s="51">
        <f t="shared" si="9"/>
        <v>41717</v>
      </c>
      <c r="S43" s="5">
        <f t="shared" si="10"/>
        <v>3.11</v>
      </c>
      <c r="T43" s="5">
        <f t="shared" si="11"/>
        <v>3.02</v>
      </c>
      <c r="U43" s="5">
        <f t="shared" si="12"/>
        <v>3.13</v>
      </c>
      <c r="V43" s="5">
        <f t="shared" si="13"/>
        <v>2.96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623</v>
      </c>
      <c r="D44" s="3" t="s">
        <v>425</v>
      </c>
      <c r="E44" s="3" t="s">
        <v>515</v>
      </c>
      <c r="F44" s="3" t="s">
        <v>515</v>
      </c>
      <c r="G44" s="3" t="s">
        <v>515</v>
      </c>
      <c r="H44" s="51">
        <v>41717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619</v>
      </c>
      <c r="Q44" s="10" t="str">
        <f t="shared" si="8"/>
        <v>MILLENNIUM  -ON</v>
      </c>
      <c r="R44" s="51">
        <f t="shared" si="9"/>
        <v>41717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624</v>
      </c>
      <c r="D45" s="3" t="s">
        <v>703</v>
      </c>
      <c r="E45" s="3" t="s">
        <v>703</v>
      </c>
      <c r="F45" s="3" t="s">
        <v>703</v>
      </c>
      <c r="G45" s="3" t="s">
        <v>703</v>
      </c>
      <c r="H45" s="51">
        <v>41717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620</v>
      </c>
      <c r="Q45" s="10" t="str">
        <f t="shared" si="8"/>
        <v>MILLENNIUM  -PNA</v>
      </c>
      <c r="R45" s="51">
        <f t="shared" si="9"/>
        <v>41717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625</v>
      </c>
      <c r="D46" s="3" t="s">
        <v>703</v>
      </c>
      <c r="E46" s="3" t="s">
        <v>703</v>
      </c>
      <c r="F46" s="3" t="s">
        <v>703</v>
      </c>
      <c r="G46" s="3" t="s">
        <v>703</v>
      </c>
      <c r="H46" s="51">
        <v>41717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621</v>
      </c>
      <c r="Q46" s="10" t="str">
        <f t="shared" si="8"/>
        <v>MILLENNIUM  -PNB</v>
      </c>
      <c r="R46" s="46">
        <f t="shared" si="9"/>
        <v>41717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638</v>
      </c>
      <c r="D47" s="3" t="s">
        <v>390</v>
      </c>
      <c r="E47" s="3" t="s">
        <v>1935</v>
      </c>
      <c r="F47" s="3" t="s">
        <v>889</v>
      </c>
      <c r="G47" s="3" t="s">
        <v>390</v>
      </c>
      <c r="H47" s="51">
        <v>41717</v>
      </c>
      <c r="J47" s="3">
        <f t="shared" si="7"/>
        <v>0.5</v>
      </c>
      <c r="K47" s="3">
        <f t="shared" si="7"/>
        <v>0.53</v>
      </c>
      <c r="L47" s="3">
        <f t="shared" si="7"/>
        <v>0.54</v>
      </c>
      <c r="M47" s="3">
        <f t="shared" si="7"/>
        <v>0.5</v>
      </c>
      <c r="P47" s="14" t="s">
        <v>637</v>
      </c>
      <c r="Q47" s="10" t="str">
        <f t="shared" si="8"/>
        <v>GPC PART    -ON</v>
      </c>
      <c r="R47" s="51">
        <f t="shared" si="9"/>
        <v>41717</v>
      </c>
      <c r="S47" s="5">
        <f t="shared" si="10"/>
        <v>0.5</v>
      </c>
      <c r="T47" s="5">
        <f t="shared" si="11"/>
        <v>0.53</v>
      </c>
      <c r="U47" s="5">
        <f t="shared" si="12"/>
        <v>0.54</v>
      </c>
      <c r="V47" s="5">
        <f t="shared" si="13"/>
        <v>0.5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640</v>
      </c>
      <c r="D48" s="3" t="s">
        <v>759</v>
      </c>
      <c r="E48" s="3" t="s">
        <v>653</v>
      </c>
      <c r="F48" s="3" t="s">
        <v>653</v>
      </c>
      <c r="G48" s="3" t="s">
        <v>759</v>
      </c>
      <c r="H48" s="51">
        <v>41717</v>
      </c>
      <c r="J48" s="3">
        <f t="shared" si="7"/>
        <v>7.0000000000000007E-2</v>
      </c>
      <c r="K48" s="3">
        <f t="shared" si="7"/>
        <v>0.08</v>
      </c>
      <c r="L48" s="3">
        <f t="shared" si="7"/>
        <v>0.08</v>
      </c>
      <c r="M48" s="3">
        <f t="shared" si="7"/>
        <v>7.0000000000000007E-2</v>
      </c>
      <c r="P48" s="14" t="s">
        <v>639</v>
      </c>
      <c r="Q48" s="10" t="str">
        <f t="shared" si="8"/>
        <v>M G POLIEST -ON</v>
      </c>
      <c r="R48" s="51">
        <f t="shared" si="9"/>
        <v>41717</v>
      </c>
      <c r="S48" s="5">
        <f t="shared" si="10"/>
        <v>7.0000000000000007E-2</v>
      </c>
      <c r="T48" s="5">
        <f t="shared" si="11"/>
        <v>0.08</v>
      </c>
      <c r="U48" s="5">
        <f t="shared" si="12"/>
        <v>0.08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323</v>
      </c>
      <c r="D49" s="3" t="s">
        <v>679</v>
      </c>
      <c r="E49" s="3" t="s">
        <v>679</v>
      </c>
      <c r="F49" s="3" t="s">
        <v>679</v>
      </c>
      <c r="G49" s="3" t="s">
        <v>679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645</v>
      </c>
      <c r="D50" s="3" t="s">
        <v>1938</v>
      </c>
      <c r="E50" s="3" t="s">
        <v>1939</v>
      </c>
      <c r="F50" s="3" t="s">
        <v>1940</v>
      </c>
      <c r="G50" s="3" t="s">
        <v>1938</v>
      </c>
      <c r="H50" s="51">
        <v>41717</v>
      </c>
      <c r="J50" s="3">
        <f t="shared" si="7"/>
        <v>0.91</v>
      </c>
      <c r="K50" s="3">
        <f t="shared" si="7"/>
        <v>0.93</v>
      </c>
      <c r="L50" s="3">
        <f t="shared" si="7"/>
        <v>0.94</v>
      </c>
      <c r="M50" s="3">
        <f t="shared" si="7"/>
        <v>0.91</v>
      </c>
      <c r="P50" s="15" t="s">
        <v>644</v>
      </c>
      <c r="Q50" s="10" t="str">
        <f t="shared" si="8"/>
        <v xml:space="preserve">CCX CARVAO  -ON  </v>
      </c>
      <c r="R50" s="46">
        <f t="shared" si="9"/>
        <v>41717</v>
      </c>
      <c r="S50" s="6">
        <f t="shared" si="10"/>
        <v>0.91</v>
      </c>
      <c r="T50" s="6">
        <f t="shared" si="11"/>
        <v>0.93</v>
      </c>
      <c r="U50" s="6">
        <f t="shared" si="12"/>
        <v>0.94</v>
      </c>
      <c r="V50" s="6">
        <f t="shared" si="13"/>
        <v>0.91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648</v>
      </c>
      <c r="D51" s="3" t="s">
        <v>1941</v>
      </c>
      <c r="E51" s="3" t="s">
        <v>1568</v>
      </c>
      <c r="F51" s="3" t="s">
        <v>1942</v>
      </c>
      <c r="G51" s="3" t="s">
        <v>1943</v>
      </c>
      <c r="H51" s="51">
        <v>41717</v>
      </c>
      <c r="J51" s="3">
        <f t="shared" si="7"/>
        <v>2.68</v>
      </c>
      <c r="K51" s="3">
        <f t="shared" si="7"/>
        <v>2.8</v>
      </c>
      <c r="L51" s="3">
        <f t="shared" si="7"/>
        <v>2.85</v>
      </c>
      <c r="M51" s="3">
        <f t="shared" si="7"/>
        <v>2.63</v>
      </c>
      <c r="P51" s="14" t="s">
        <v>647</v>
      </c>
      <c r="Q51" s="10" t="str">
        <f t="shared" si="8"/>
        <v xml:space="preserve">MMX MINER   -ON  </v>
      </c>
      <c r="R51" s="51">
        <f t="shared" si="9"/>
        <v>41717</v>
      </c>
      <c r="S51" s="5">
        <f t="shared" si="10"/>
        <v>2.68</v>
      </c>
      <c r="T51" s="5">
        <f t="shared" si="11"/>
        <v>2.8</v>
      </c>
      <c r="U51" s="5">
        <f t="shared" si="12"/>
        <v>2.85</v>
      </c>
      <c r="V51" s="5">
        <f t="shared" si="13"/>
        <v>2.63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654</v>
      </c>
      <c r="D52" s="3" t="s">
        <v>425</v>
      </c>
      <c r="E52" s="3" t="s">
        <v>655</v>
      </c>
      <c r="F52" s="3" t="s">
        <v>655</v>
      </c>
      <c r="G52" s="3" t="s">
        <v>655</v>
      </c>
      <c r="H52" s="51">
        <v>41717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649</v>
      </c>
      <c r="Q52" s="10" t="str">
        <f t="shared" si="8"/>
        <v>SANSUY      -ON</v>
      </c>
      <c r="R52" s="51">
        <f t="shared" si="9"/>
        <v>41717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656</v>
      </c>
      <c r="D53" s="3" t="s">
        <v>1354</v>
      </c>
      <c r="E53" s="3" t="s">
        <v>1323</v>
      </c>
      <c r="F53" s="3" t="s">
        <v>1354</v>
      </c>
      <c r="G53" s="3" t="s">
        <v>1547</v>
      </c>
      <c r="H53" s="51">
        <v>41717</v>
      </c>
      <c r="J53" s="3">
        <f t="shared" si="7"/>
        <v>0.82</v>
      </c>
      <c r="K53" s="3">
        <f t="shared" si="7"/>
        <v>0.81</v>
      </c>
      <c r="L53" s="3">
        <f t="shared" si="7"/>
        <v>0.82</v>
      </c>
      <c r="M53" s="3">
        <f t="shared" si="7"/>
        <v>0.76</v>
      </c>
      <c r="P53" s="14" t="s">
        <v>650</v>
      </c>
      <c r="Q53" s="10" t="str">
        <f t="shared" si="8"/>
        <v>SANSUY      -PNA</v>
      </c>
      <c r="R53" s="51">
        <f t="shared" si="9"/>
        <v>41717</v>
      </c>
      <c r="S53" s="5">
        <f t="shared" si="10"/>
        <v>0.82</v>
      </c>
      <c r="T53" s="5">
        <f t="shared" si="11"/>
        <v>0.81</v>
      </c>
      <c r="U53" s="5">
        <f t="shared" si="12"/>
        <v>0.82</v>
      </c>
      <c r="V53" s="5">
        <f t="shared" si="13"/>
        <v>0.76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657</v>
      </c>
      <c r="D54" s="3" t="s">
        <v>425</v>
      </c>
      <c r="E54" s="61" t="s">
        <v>658</v>
      </c>
      <c r="F54" s="61" t="s">
        <v>658</v>
      </c>
      <c r="G54" s="61" t="s">
        <v>658</v>
      </c>
      <c r="H54" s="51">
        <v>41717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651</v>
      </c>
      <c r="Q54" s="10" t="str">
        <f t="shared" si="8"/>
        <v>SANSUY      -PNB</v>
      </c>
      <c r="R54" s="51">
        <f t="shared" si="9"/>
        <v>41717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661</v>
      </c>
      <c r="D55" s="3" t="s">
        <v>425</v>
      </c>
      <c r="E55" s="3" t="s">
        <v>887</v>
      </c>
      <c r="F55" s="3" t="s">
        <v>887</v>
      </c>
      <c r="G55" s="3" t="s">
        <v>887</v>
      </c>
      <c r="H55" s="51">
        <v>41717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659</v>
      </c>
      <c r="Q55" s="10" t="str">
        <f t="shared" si="8"/>
        <v>MELHOR SP   -ON</v>
      </c>
      <c r="R55" s="51">
        <f t="shared" si="9"/>
        <v>41717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662</v>
      </c>
      <c r="D56" s="3" t="s">
        <v>1316</v>
      </c>
      <c r="E56" s="3" t="s">
        <v>1316</v>
      </c>
      <c r="F56" s="3" t="s">
        <v>1316</v>
      </c>
      <c r="G56" s="3" t="s">
        <v>1316</v>
      </c>
      <c r="H56" s="51">
        <v>41717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660</v>
      </c>
      <c r="Q56" s="10" t="str">
        <f t="shared" si="8"/>
        <v>MELHOR SP   -PN</v>
      </c>
      <c r="R56" s="51">
        <f t="shared" si="9"/>
        <v>41717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664</v>
      </c>
      <c r="D57" s="3" t="s">
        <v>1607</v>
      </c>
      <c r="E57" s="3" t="s">
        <v>1944</v>
      </c>
      <c r="F57" s="3" t="s">
        <v>1945</v>
      </c>
      <c r="G57" s="3" t="s">
        <v>1946</v>
      </c>
      <c r="H57" s="51">
        <v>41717</v>
      </c>
      <c r="J57" s="3">
        <f t="shared" si="7"/>
        <v>24.43</v>
      </c>
      <c r="K57" s="3">
        <f t="shared" si="7"/>
        <v>24.85</v>
      </c>
      <c r="L57" s="3">
        <f t="shared" si="7"/>
        <v>25.06</v>
      </c>
      <c r="M57" s="3">
        <f t="shared" si="7"/>
        <v>24.27</v>
      </c>
      <c r="P57" s="10" t="s">
        <v>663</v>
      </c>
      <c r="Q57" s="10" t="str">
        <f t="shared" si="8"/>
        <v xml:space="preserve">FIBRIA      -ON  </v>
      </c>
      <c r="R57" s="51">
        <f t="shared" si="9"/>
        <v>41717</v>
      </c>
      <c r="S57" s="5">
        <f t="shared" si="10"/>
        <v>24.43</v>
      </c>
      <c r="T57" s="5">
        <f t="shared" si="11"/>
        <v>24.85</v>
      </c>
      <c r="U57" s="5">
        <f t="shared" si="12"/>
        <v>25.06</v>
      </c>
      <c r="V57" s="5">
        <f t="shared" si="13"/>
        <v>24.27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666</v>
      </c>
      <c r="D58" s="3" t="s">
        <v>1947</v>
      </c>
      <c r="E58" s="3" t="s">
        <v>1948</v>
      </c>
      <c r="F58" s="3" t="s">
        <v>1949</v>
      </c>
      <c r="G58" s="3" t="s">
        <v>1950</v>
      </c>
      <c r="H58" s="51">
        <v>41717</v>
      </c>
      <c r="J58" s="3">
        <f t="shared" si="7"/>
        <v>55.8</v>
      </c>
      <c r="K58" s="3">
        <f t="shared" si="7"/>
        <v>56.11</v>
      </c>
      <c r="L58" s="3">
        <f t="shared" si="7"/>
        <v>56.94</v>
      </c>
      <c r="M58" s="3">
        <f t="shared" si="7"/>
        <v>54.95</v>
      </c>
      <c r="P58" s="14" t="s">
        <v>665</v>
      </c>
      <c r="Q58" s="10" t="str">
        <f t="shared" si="8"/>
        <v xml:space="preserve">KLABIN S/A  -UNT </v>
      </c>
      <c r="R58" s="51">
        <f t="shared" si="9"/>
        <v>41717</v>
      </c>
      <c r="S58" s="5">
        <f t="shared" si="10"/>
        <v>55.8</v>
      </c>
      <c r="T58" s="5">
        <f t="shared" si="11"/>
        <v>56.11</v>
      </c>
      <c r="U58" s="5">
        <f t="shared" si="12"/>
        <v>56.94</v>
      </c>
      <c r="V58" s="5">
        <f t="shared" si="13"/>
        <v>54.95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668</v>
      </c>
      <c r="D59" s="3" t="s">
        <v>425</v>
      </c>
      <c r="E59" s="61" t="s">
        <v>184</v>
      </c>
      <c r="F59" s="61" t="s">
        <v>184</v>
      </c>
      <c r="G59" s="61" t="s">
        <v>184</v>
      </c>
      <c r="H59" s="51">
        <v>41717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667</v>
      </c>
      <c r="Q59" s="10" t="str">
        <f t="shared" si="8"/>
        <v xml:space="preserve">SUZANO PAPEL-ON  </v>
      </c>
      <c r="R59" s="46">
        <f t="shared" si="9"/>
        <v>41717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670</v>
      </c>
      <c r="D60" s="3" t="s">
        <v>425</v>
      </c>
      <c r="E60" s="61" t="s">
        <v>671</v>
      </c>
      <c r="F60" s="61" t="s">
        <v>671</v>
      </c>
      <c r="G60" s="61" t="s">
        <v>671</v>
      </c>
      <c r="H60" s="51">
        <v>41717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669</v>
      </c>
      <c r="Q60" s="10" t="str">
        <f t="shared" si="8"/>
        <v xml:space="preserve">EUCATEX     -ON  </v>
      </c>
      <c r="R60" s="51">
        <f t="shared" si="9"/>
        <v>41717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675</v>
      </c>
      <c r="D61" s="3" t="s">
        <v>390</v>
      </c>
      <c r="E61" s="3" t="s">
        <v>390</v>
      </c>
      <c r="F61" s="3" t="s">
        <v>390</v>
      </c>
      <c r="G61" s="3" t="s">
        <v>390</v>
      </c>
      <c r="H61" s="51">
        <v>41717</v>
      </c>
      <c r="J61" s="3">
        <f t="shared" si="7"/>
        <v>0.5</v>
      </c>
      <c r="K61" s="3">
        <f t="shared" si="7"/>
        <v>0.5</v>
      </c>
      <c r="L61" s="3">
        <f t="shared" si="7"/>
        <v>0.5</v>
      </c>
      <c r="M61" s="3">
        <f t="shared" si="7"/>
        <v>0.5</v>
      </c>
      <c r="P61" s="14" t="s">
        <v>673</v>
      </c>
      <c r="Q61" s="10" t="str">
        <f t="shared" si="8"/>
        <v>METAL IGUACU-ON</v>
      </c>
      <c r="R61" s="51">
        <f t="shared" si="9"/>
        <v>41717</v>
      </c>
      <c r="S61" s="5">
        <f t="shared" si="10"/>
        <v>0.5</v>
      </c>
      <c r="T61" s="5">
        <f t="shared" si="11"/>
        <v>0.5</v>
      </c>
      <c r="U61" s="5">
        <f t="shared" si="12"/>
        <v>0.5</v>
      </c>
      <c r="V61" s="5">
        <f t="shared" si="13"/>
        <v>0.5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676</v>
      </c>
      <c r="D62" s="3" t="s">
        <v>749</v>
      </c>
      <c r="E62" s="3" t="s">
        <v>552</v>
      </c>
      <c r="F62" s="3" t="s">
        <v>552</v>
      </c>
      <c r="G62" s="3" t="s">
        <v>749</v>
      </c>
      <c r="H62" s="51">
        <v>41717</v>
      </c>
      <c r="J62" s="3">
        <f t="shared" si="7"/>
        <v>0.1</v>
      </c>
      <c r="K62" s="3">
        <f t="shared" si="7"/>
        <v>0.11</v>
      </c>
      <c r="L62" s="3">
        <f t="shared" si="7"/>
        <v>0.11</v>
      </c>
      <c r="M62" s="3">
        <f t="shared" si="7"/>
        <v>0.1</v>
      </c>
      <c r="P62" s="14" t="s">
        <v>674</v>
      </c>
      <c r="Q62" s="10" t="str">
        <f t="shared" si="8"/>
        <v>METAL IGUACU-PN</v>
      </c>
      <c r="R62" s="51">
        <f t="shared" si="9"/>
        <v>41717</v>
      </c>
      <c r="S62" s="5">
        <f t="shared" si="10"/>
        <v>0.1</v>
      </c>
      <c r="T62" s="5">
        <f t="shared" si="11"/>
        <v>0.11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817</v>
      </c>
      <c r="D63" s="3" t="s">
        <v>425</v>
      </c>
      <c r="E63" s="3" t="s">
        <v>390</v>
      </c>
      <c r="F63" s="3" t="s">
        <v>390</v>
      </c>
      <c r="G63" s="3" t="s">
        <v>390</v>
      </c>
      <c r="H63" s="51">
        <v>41717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814</v>
      </c>
      <c r="Q63" s="10" t="str">
        <f t="shared" si="8"/>
        <v>CAF BRASILIA-PN *</v>
      </c>
      <c r="R63" s="51">
        <f t="shared" si="9"/>
        <v>41717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680</v>
      </c>
      <c r="D64" s="3" t="s">
        <v>125</v>
      </c>
      <c r="E64" s="3" t="s">
        <v>125</v>
      </c>
      <c r="F64" s="3" t="s">
        <v>125</v>
      </c>
      <c r="G64" s="3" t="s">
        <v>125</v>
      </c>
      <c r="H64" s="51">
        <v>41717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677</v>
      </c>
      <c r="Q64" s="10" t="str">
        <f t="shared" si="8"/>
        <v>PAR AL BAHIA-ON</v>
      </c>
      <c r="R64" s="51">
        <f t="shared" si="9"/>
        <v>41717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681</v>
      </c>
      <c r="D65" s="3" t="s">
        <v>1335</v>
      </c>
      <c r="E65" s="3" t="s">
        <v>1335</v>
      </c>
      <c r="F65" s="3" t="s">
        <v>1335</v>
      </c>
      <c r="G65" s="3" t="s">
        <v>1335</v>
      </c>
      <c r="H65" s="51">
        <v>41717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678</v>
      </c>
      <c r="Q65" s="10" t="str">
        <f t="shared" si="8"/>
        <v>PAR AL BAHIA-PN</v>
      </c>
      <c r="R65" s="51">
        <f t="shared" si="9"/>
        <v>41717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684</v>
      </c>
      <c r="D66" s="3" t="s">
        <v>425</v>
      </c>
      <c r="E66" s="3" t="s">
        <v>426</v>
      </c>
      <c r="F66" s="3" t="s">
        <v>425</v>
      </c>
      <c r="G66" s="3" t="s">
        <v>425</v>
      </c>
      <c r="H66" s="51" t="s">
        <v>425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682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685</v>
      </c>
      <c r="D67" s="3" t="s">
        <v>425</v>
      </c>
      <c r="E67" s="3" t="s">
        <v>426</v>
      </c>
      <c r="F67" s="3" t="s">
        <v>425</v>
      </c>
      <c r="G67" s="3" t="s">
        <v>425</v>
      </c>
      <c r="H67" s="51" t="s">
        <v>425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683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688</v>
      </c>
      <c r="D68" s="3" t="s">
        <v>1339</v>
      </c>
      <c r="E68" s="3" t="s">
        <v>1339</v>
      </c>
      <c r="F68" s="3" t="s">
        <v>1339</v>
      </c>
      <c r="G68" s="3" t="s">
        <v>1339</v>
      </c>
      <c r="H68" s="51">
        <v>41717</v>
      </c>
      <c r="J68" s="3">
        <f t="shared" si="7"/>
        <v>0.8</v>
      </c>
      <c r="K68" s="3">
        <f t="shared" si="7"/>
        <v>0.8</v>
      </c>
      <c r="L68" s="3">
        <f t="shared" si="7"/>
        <v>0.8</v>
      </c>
      <c r="M68" s="3">
        <f t="shared" si="7"/>
        <v>0.8</v>
      </c>
      <c r="P68" s="14" t="s">
        <v>686</v>
      </c>
      <c r="Q68" s="10" t="str">
        <f t="shared" si="8"/>
        <v>BATTISTELLA -ON</v>
      </c>
      <c r="R68" s="51">
        <f t="shared" si="9"/>
        <v>41717</v>
      </c>
      <c r="S68" s="5">
        <f t="shared" si="10"/>
        <v>0.8</v>
      </c>
      <c r="T68" s="5">
        <f t="shared" si="11"/>
        <v>0.8</v>
      </c>
      <c r="U68" s="5">
        <f t="shared" si="12"/>
        <v>0.8</v>
      </c>
      <c r="V68" s="5">
        <f t="shared" si="13"/>
        <v>0.8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689</v>
      </c>
      <c r="D69" s="3" t="s">
        <v>1548</v>
      </c>
      <c r="E69" s="3" t="s">
        <v>1548</v>
      </c>
      <c r="F69" s="3" t="s">
        <v>1548</v>
      </c>
      <c r="G69" s="3" t="s">
        <v>1548</v>
      </c>
      <c r="H69" s="51">
        <v>41717</v>
      </c>
      <c r="J69" s="3">
        <f t="shared" si="7"/>
        <v>0.86</v>
      </c>
      <c r="K69" s="3">
        <f t="shared" si="7"/>
        <v>0.86</v>
      </c>
      <c r="L69" s="3">
        <f t="shared" si="7"/>
        <v>0.86</v>
      </c>
      <c r="M69" s="3">
        <f t="shared" si="7"/>
        <v>0.86</v>
      </c>
      <c r="P69" s="14" t="s">
        <v>687</v>
      </c>
      <c r="Q69" s="10" t="str">
        <f t="shared" si="8"/>
        <v>BATTISTELLA -PN</v>
      </c>
      <c r="R69" s="51">
        <f t="shared" si="9"/>
        <v>41717</v>
      </c>
      <c r="S69" s="5">
        <f t="shared" si="10"/>
        <v>0.86</v>
      </c>
      <c r="T69" s="5">
        <f t="shared" si="11"/>
        <v>0.86</v>
      </c>
      <c r="U69" s="5">
        <f t="shared" si="12"/>
        <v>0.86</v>
      </c>
      <c r="V69" s="5">
        <f t="shared" si="13"/>
        <v>0.86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692</v>
      </c>
      <c r="D70" s="3" t="s">
        <v>425</v>
      </c>
      <c r="E70" s="3" t="s">
        <v>426</v>
      </c>
      <c r="F70" s="3" t="s">
        <v>425</v>
      </c>
      <c r="G70" s="3" t="s">
        <v>425</v>
      </c>
      <c r="H70" s="51" t="s">
        <v>425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690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693</v>
      </c>
      <c r="D71" s="3" t="s">
        <v>425</v>
      </c>
      <c r="E71" s="3" t="s">
        <v>426</v>
      </c>
      <c r="F71" s="3" t="s">
        <v>425</v>
      </c>
      <c r="G71" s="3" t="s">
        <v>425</v>
      </c>
      <c r="H71" s="51" t="s">
        <v>425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691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696</v>
      </c>
      <c r="D72" s="3" t="s">
        <v>425</v>
      </c>
      <c r="E72" s="3" t="s">
        <v>134</v>
      </c>
      <c r="F72" s="3" t="s">
        <v>134</v>
      </c>
      <c r="G72" s="3" t="s">
        <v>134</v>
      </c>
      <c r="H72" s="51">
        <v>41717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694</v>
      </c>
      <c r="Q72" s="10" t="str">
        <f t="shared" si="14"/>
        <v>DOCAS       -ON</v>
      </c>
      <c r="R72" s="51">
        <f t="shared" si="15"/>
        <v>41717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697</v>
      </c>
      <c r="D73" s="3" t="s">
        <v>425</v>
      </c>
      <c r="E73" s="3" t="s">
        <v>698</v>
      </c>
      <c r="F73" s="3" t="s">
        <v>698</v>
      </c>
      <c r="G73" s="3" t="s">
        <v>698</v>
      </c>
      <c r="H73" s="51">
        <v>41717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695</v>
      </c>
      <c r="Q73" s="10" t="str">
        <f t="shared" si="14"/>
        <v>DOCAS       -PN</v>
      </c>
      <c r="R73" s="51">
        <f t="shared" si="15"/>
        <v>41717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701</v>
      </c>
      <c r="D74" s="3" t="s">
        <v>1391</v>
      </c>
      <c r="E74" s="3" t="s">
        <v>1920</v>
      </c>
      <c r="F74" s="3" t="s">
        <v>1920</v>
      </c>
      <c r="G74" s="3" t="s">
        <v>1391</v>
      </c>
      <c r="H74" s="51">
        <v>41717</v>
      </c>
      <c r="J74" s="3">
        <f t="shared" si="20"/>
        <v>0.25</v>
      </c>
      <c r="K74" s="3">
        <f t="shared" si="20"/>
        <v>0.26</v>
      </c>
      <c r="L74" s="3">
        <f t="shared" si="20"/>
        <v>0.26</v>
      </c>
      <c r="M74" s="3">
        <f t="shared" si="20"/>
        <v>0.25</v>
      </c>
      <c r="P74" s="14" t="s">
        <v>699</v>
      </c>
      <c r="Q74" s="10" t="str">
        <f t="shared" si="14"/>
        <v>J B DUARTE  -ON</v>
      </c>
      <c r="R74" s="51">
        <f t="shared" si="15"/>
        <v>41717</v>
      </c>
      <c r="S74" s="5">
        <f t="shared" si="16"/>
        <v>0.25</v>
      </c>
      <c r="T74" s="5">
        <f t="shared" si="17"/>
        <v>0.26</v>
      </c>
      <c r="U74" s="5">
        <f t="shared" si="18"/>
        <v>0.26</v>
      </c>
      <c r="V74" s="5">
        <f t="shared" si="19"/>
        <v>0.25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702</v>
      </c>
      <c r="D75" s="3" t="s">
        <v>1369</v>
      </c>
      <c r="E75" s="3" t="s">
        <v>1369</v>
      </c>
      <c r="F75" s="3" t="s">
        <v>1369</v>
      </c>
      <c r="G75" s="3" t="s">
        <v>1369</v>
      </c>
      <c r="H75" s="51">
        <v>41717</v>
      </c>
      <c r="J75" s="3">
        <f t="shared" si="20"/>
        <v>0.13</v>
      </c>
      <c r="K75" s="3">
        <f t="shared" si="20"/>
        <v>0.13</v>
      </c>
      <c r="L75" s="3">
        <f t="shared" si="20"/>
        <v>0.13</v>
      </c>
      <c r="M75" s="3">
        <f t="shared" si="20"/>
        <v>0.13</v>
      </c>
      <c r="P75" s="14" t="s">
        <v>700</v>
      </c>
      <c r="Q75" s="10" t="str">
        <f t="shared" si="14"/>
        <v>J B DUARTE  -PN</v>
      </c>
      <c r="R75" s="51">
        <f t="shared" si="15"/>
        <v>41717</v>
      </c>
      <c r="S75" s="5">
        <f t="shared" si="16"/>
        <v>0.13</v>
      </c>
      <c r="T75" s="5">
        <f t="shared" si="17"/>
        <v>0.13</v>
      </c>
      <c r="U75" s="5">
        <f t="shared" si="18"/>
        <v>0.13</v>
      </c>
      <c r="V75" s="5">
        <f t="shared" si="19"/>
        <v>0.13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709</v>
      </c>
      <c r="D76" s="3" t="s">
        <v>1925</v>
      </c>
      <c r="E76" s="3" t="s">
        <v>1745</v>
      </c>
      <c r="F76" s="3" t="s">
        <v>1925</v>
      </c>
      <c r="G76" s="3" t="s">
        <v>1745</v>
      </c>
      <c r="H76" s="51">
        <v>41717</v>
      </c>
      <c r="J76" s="3">
        <f t="shared" si="20"/>
        <v>8.59</v>
      </c>
      <c r="K76" s="3">
        <f t="shared" si="20"/>
        <v>8.58</v>
      </c>
      <c r="L76" s="3">
        <f t="shared" si="20"/>
        <v>8.59</v>
      </c>
      <c r="M76" s="3">
        <f t="shared" si="20"/>
        <v>8.58</v>
      </c>
      <c r="P76" s="14" t="s">
        <v>704</v>
      </c>
      <c r="Q76" s="10" t="str">
        <f t="shared" si="14"/>
        <v xml:space="preserve">BRASILAGRO  -ON  </v>
      </c>
      <c r="R76" s="51">
        <f t="shared" si="15"/>
        <v>41717</v>
      </c>
      <c r="S76" s="5">
        <f t="shared" si="16"/>
        <v>8.59</v>
      </c>
      <c r="T76" s="5">
        <f t="shared" si="17"/>
        <v>8.58</v>
      </c>
      <c r="U76" s="5">
        <f t="shared" si="18"/>
        <v>8.59</v>
      </c>
      <c r="V76" s="5">
        <f t="shared" si="19"/>
        <v>8.58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710</v>
      </c>
      <c r="D77" s="3" t="s">
        <v>425</v>
      </c>
      <c r="E77" s="3" t="s">
        <v>426</v>
      </c>
      <c r="F77" s="3" t="s">
        <v>425</v>
      </c>
      <c r="G77" s="3" t="s">
        <v>425</v>
      </c>
      <c r="H77" s="51" t="s">
        <v>425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705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711</v>
      </c>
      <c r="D78" s="3" t="s">
        <v>425</v>
      </c>
      <c r="E78" s="3" t="s">
        <v>712</v>
      </c>
      <c r="F78" s="3" t="s">
        <v>712</v>
      </c>
      <c r="G78" s="3" t="s">
        <v>712</v>
      </c>
      <c r="H78" s="51">
        <v>41717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706</v>
      </c>
      <c r="Q78" s="10" t="str">
        <f t="shared" si="14"/>
        <v>COR RIBEIRO -PN</v>
      </c>
      <c r="R78" s="51">
        <f t="shared" si="15"/>
        <v>41717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715</v>
      </c>
      <c r="D79" s="3" t="s">
        <v>1951</v>
      </c>
      <c r="E79" s="3" t="s">
        <v>1952</v>
      </c>
      <c r="F79" s="3" t="s">
        <v>1951</v>
      </c>
      <c r="G79" s="3" t="s">
        <v>1952</v>
      </c>
      <c r="H79" s="51">
        <v>41717</v>
      </c>
      <c r="J79" s="3">
        <f t="shared" si="20"/>
        <v>7.92</v>
      </c>
      <c r="K79" s="3">
        <f t="shared" si="20"/>
        <v>7.72</v>
      </c>
      <c r="L79" s="3">
        <f t="shared" si="20"/>
        <v>7.92</v>
      </c>
      <c r="M79" s="3">
        <f t="shared" si="20"/>
        <v>7.72</v>
      </c>
      <c r="P79" s="15" t="s">
        <v>714</v>
      </c>
      <c r="Q79" s="10" t="str">
        <f t="shared" si="14"/>
        <v xml:space="preserve">GENERALSHOPP-ON  </v>
      </c>
      <c r="R79" s="51">
        <f t="shared" si="15"/>
        <v>41717</v>
      </c>
      <c r="S79" s="5">
        <f t="shared" si="16"/>
        <v>7.92</v>
      </c>
      <c r="T79" s="5">
        <f t="shared" si="17"/>
        <v>7.72</v>
      </c>
      <c r="U79" s="5">
        <f t="shared" si="18"/>
        <v>7.92</v>
      </c>
      <c r="V79" s="5">
        <f t="shared" si="19"/>
        <v>7.72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717</v>
      </c>
      <c r="D80" s="3" t="s">
        <v>425</v>
      </c>
      <c r="E80" s="3" t="s">
        <v>426</v>
      </c>
      <c r="F80" s="3" t="s">
        <v>425</v>
      </c>
      <c r="G80" s="3" t="s">
        <v>425</v>
      </c>
      <c r="H80" s="51" t="s">
        <v>425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716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720</v>
      </c>
      <c r="D81" s="3" t="s">
        <v>1366</v>
      </c>
      <c r="E81" s="3" t="s">
        <v>1366</v>
      </c>
      <c r="F81" s="3" t="s">
        <v>1366</v>
      </c>
      <c r="G81" s="3" t="s">
        <v>1366</v>
      </c>
      <c r="H81" s="51">
        <v>41717</v>
      </c>
      <c r="J81" s="3">
        <f t="shared" si="20"/>
        <v>3.7</v>
      </c>
      <c r="K81" s="3">
        <f t="shared" si="20"/>
        <v>3.7</v>
      </c>
      <c r="L81" s="3">
        <f t="shared" si="20"/>
        <v>3.7</v>
      </c>
      <c r="M81" s="3">
        <f t="shared" si="20"/>
        <v>3.7</v>
      </c>
      <c r="P81" s="14" t="s">
        <v>718</v>
      </c>
      <c r="Q81" s="10" t="str">
        <f t="shared" si="14"/>
        <v xml:space="preserve">TEMPO PART  -ON  </v>
      </c>
      <c r="R81" s="51">
        <f t="shared" si="15"/>
        <v>41717</v>
      </c>
      <c r="S81" s="5">
        <f t="shared" si="16"/>
        <v>3.7</v>
      </c>
      <c r="T81" s="5">
        <f t="shared" si="17"/>
        <v>3.7</v>
      </c>
      <c r="U81" s="5">
        <f t="shared" si="18"/>
        <v>3.7</v>
      </c>
      <c r="V81" s="5">
        <f t="shared" si="19"/>
        <v>3.7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722</v>
      </c>
      <c r="D82" s="3" t="s">
        <v>1953</v>
      </c>
      <c r="E82" s="3" t="s">
        <v>1954</v>
      </c>
      <c r="F82" s="3" t="s">
        <v>1955</v>
      </c>
      <c r="G82" s="3" t="s">
        <v>1956</v>
      </c>
      <c r="H82" s="51">
        <v>41717</v>
      </c>
      <c r="J82" s="3">
        <f t="shared" si="20"/>
        <v>14.12</v>
      </c>
      <c r="K82" s="3">
        <f t="shared" si="20"/>
        <v>13.64</v>
      </c>
      <c r="L82" s="3">
        <f t="shared" si="20"/>
        <v>14.6</v>
      </c>
      <c r="M82" s="3">
        <f t="shared" si="20"/>
        <v>13.4</v>
      </c>
      <c r="P82" s="14" t="s">
        <v>721</v>
      </c>
      <c r="Q82" s="10" t="str">
        <f t="shared" si="14"/>
        <v xml:space="preserve">DASA        -ON  </v>
      </c>
      <c r="R82" s="51">
        <f t="shared" si="15"/>
        <v>41717</v>
      </c>
      <c r="S82" s="5">
        <f t="shared" si="16"/>
        <v>14.12</v>
      </c>
      <c r="T82" s="5">
        <f t="shared" si="17"/>
        <v>13.64</v>
      </c>
      <c r="U82" s="5">
        <f t="shared" si="18"/>
        <v>14.6</v>
      </c>
      <c r="V82" s="5">
        <f t="shared" si="19"/>
        <v>13.4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724</v>
      </c>
      <c r="D83" s="3" t="s">
        <v>1957</v>
      </c>
      <c r="E83" s="3" t="s">
        <v>1958</v>
      </c>
      <c r="F83" s="3" t="s">
        <v>1957</v>
      </c>
      <c r="G83" s="3" t="s">
        <v>1592</v>
      </c>
      <c r="H83" s="51">
        <v>41717</v>
      </c>
      <c r="J83" s="3">
        <f t="shared" si="20"/>
        <v>19.3</v>
      </c>
      <c r="K83" s="3">
        <f t="shared" si="20"/>
        <v>19.12</v>
      </c>
      <c r="L83" s="3">
        <f t="shared" si="20"/>
        <v>19.3</v>
      </c>
      <c r="M83" s="3">
        <f t="shared" si="20"/>
        <v>19.03</v>
      </c>
      <c r="P83" s="14" t="s">
        <v>723</v>
      </c>
      <c r="Q83" s="10" t="str">
        <f t="shared" si="14"/>
        <v xml:space="preserve">FLEURY      -ON  </v>
      </c>
      <c r="R83" s="46">
        <f t="shared" si="15"/>
        <v>41717</v>
      </c>
      <c r="S83" s="6">
        <f t="shared" si="16"/>
        <v>19.3</v>
      </c>
      <c r="T83" s="6">
        <f t="shared" si="17"/>
        <v>19.12</v>
      </c>
      <c r="U83" s="6">
        <f t="shared" si="18"/>
        <v>19.3</v>
      </c>
      <c r="V83" s="6">
        <f t="shared" si="19"/>
        <v>19.03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726</v>
      </c>
      <c r="D84" s="3" t="s">
        <v>1431</v>
      </c>
      <c r="E84" s="3" t="s">
        <v>1616</v>
      </c>
      <c r="F84" s="3" t="s">
        <v>1959</v>
      </c>
      <c r="G84" s="3" t="s">
        <v>1960</v>
      </c>
      <c r="H84" s="51">
        <v>41717</v>
      </c>
      <c r="J84" s="3">
        <f t="shared" si="20"/>
        <v>8.8000000000000007</v>
      </c>
      <c r="K84" s="3">
        <f t="shared" si="20"/>
        <v>8.76</v>
      </c>
      <c r="L84" s="3">
        <f t="shared" si="20"/>
        <v>8.82</v>
      </c>
      <c r="M84" s="3">
        <f t="shared" si="20"/>
        <v>8.68</v>
      </c>
      <c r="P84" s="43" t="s">
        <v>725</v>
      </c>
      <c r="Q84" s="10" t="str">
        <f t="shared" si="14"/>
        <v xml:space="preserve">ODONTOPREV  -ON  </v>
      </c>
      <c r="R84" s="51">
        <f t="shared" si="15"/>
        <v>41717</v>
      </c>
      <c r="S84" s="5">
        <f t="shared" si="16"/>
        <v>8.8000000000000007</v>
      </c>
      <c r="T84" s="5">
        <f t="shared" si="17"/>
        <v>8.76</v>
      </c>
      <c r="U84" s="5">
        <f t="shared" si="18"/>
        <v>8.82</v>
      </c>
      <c r="V84" s="5">
        <f t="shared" si="19"/>
        <v>8.68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728</v>
      </c>
      <c r="D85" s="3" t="s">
        <v>1961</v>
      </c>
      <c r="E85" s="3" t="s">
        <v>1793</v>
      </c>
      <c r="F85" s="3" t="s">
        <v>1962</v>
      </c>
      <c r="G85" s="3" t="s">
        <v>1963</v>
      </c>
      <c r="H85" s="51">
        <v>41717</v>
      </c>
      <c r="J85" s="3">
        <f t="shared" si="20"/>
        <v>20.37</v>
      </c>
      <c r="K85" s="3">
        <f t="shared" si="20"/>
        <v>20.98</v>
      </c>
      <c r="L85" s="3">
        <f t="shared" si="20"/>
        <v>21.41</v>
      </c>
      <c r="M85" s="3">
        <f t="shared" si="20"/>
        <v>20.36</v>
      </c>
      <c r="P85" s="15" t="s">
        <v>727</v>
      </c>
      <c r="Q85" s="10" t="str">
        <f t="shared" si="14"/>
        <v xml:space="preserve">QUALICORP   -ON  </v>
      </c>
      <c r="R85" s="51">
        <f t="shared" si="15"/>
        <v>41717</v>
      </c>
      <c r="S85" s="5">
        <f t="shared" si="16"/>
        <v>20.37</v>
      </c>
      <c r="T85" s="5">
        <f t="shared" si="17"/>
        <v>20.98</v>
      </c>
      <c r="U85" s="5">
        <f t="shared" si="18"/>
        <v>21.41</v>
      </c>
      <c r="V85" s="5">
        <f t="shared" si="19"/>
        <v>20.36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730</v>
      </c>
      <c r="D86" s="3" t="s">
        <v>332</v>
      </c>
      <c r="E86" s="3" t="s">
        <v>756</v>
      </c>
      <c r="F86" s="3" t="s">
        <v>756</v>
      </c>
      <c r="G86" s="3" t="s">
        <v>332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729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732</v>
      </c>
      <c r="D87" s="3" t="s">
        <v>736</v>
      </c>
      <c r="E87" s="3" t="s">
        <v>1964</v>
      </c>
      <c r="F87" s="3" t="s">
        <v>1965</v>
      </c>
      <c r="G87" s="3" t="s">
        <v>736</v>
      </c>
      <c r="H87" s="51">
        <v>41717</v>
      </c>
      <c r="J87" s="3">
        <f t="shared" si="20"/>
        <v>16</v>
      </c>
      <c r="K87" s="3">
        <f t="shared" si="20"/>
        <v>16.149999999999999</v>
      </c>
      <c r="L87" s="3">
        <f t="shared" si="20"/>
        <v>16.309999999999999</v>
      </c>
      <c r="M87" s="3">
        <f t="shared" si="20"/>
        <v>16</v>
      </c>
      <c r="P87" s="15" t="s">
        <v>731</v>
      </c>
      <c r="Q87" s="10" t="str">
        <f t="shared" si="14"/>
        <v xml:space="preserve">CREMER      -ON  </v>
      </c>
      <c r="R87" s="51">
        <f t="shared" si="15"/>
        <v>41717</v>
      </c>
      <c r="S87" s="5">
        <f t="shared" si="16"/>
        <v>16</v>
      </c>
      <c r="T87" s="5">
        <f t="shared" si="17"/>
        <v>16.149999999999999</v>
      </c>
      <c r="U87" s="5">
        <f t="shared" si="18"/>
        <v>16.309999999999999</v>
      </c>
      <c r="V87" s="5">
        <f t="shared" si="19"/>
        <v>16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760</v>
      </c>
      <c r="D88" s="3" t="s">
        <v>1966</v>
      </c>
      <c r="E88" s="3" t="s">
        <v>1967</v>
      </c>
      <c r="F88" s="3" t="s">
        <v>1966</v>
      </c>
      <c r="G88" s="3" t="s">
        <v>1967</v>
      </c>
      <c r="H88" s="51">
        <v>41717</v>
      </c>
      <c r="J88" s="3">
        <f t="shared" si="20"/>
        <v>36.81</v>
      </c>
      <c r="K88" s="3">
        <f t="shared" si="20"/>
        <v>35.799999999999997</v>
      </c>
      <c r="L88" s="3">
        <f t="shared" si="20"/>
        <v>36.81</v>
      </c>
      <c r="M88" s="3">
        <f t="shared" si="20"/>
        <v>35.799999999999997</v>
      </c>
      <c r="P88" s="15" t="s">
        <v>758</v>
      </c>
      <c r="Q88" s="10" t="str">
        <f t="shared" si="14"/>
        <v xml:space="preserve">NATURA      -ON  </v>
      </c>
      <c r="R88" s="51">
        <f t="shared" si="15"/>
        <v>41717</v>
      </c>
      <c r="S88" s="5">
        <f t="shared" si="16"/>
        <v>36.81</v>
      </c>
      <c r="T88" s="5">
        <f t="shared" si="17"/>
        <v>35.799999999999997</v>
      </c>
      <c r="U88" s="5">
        <f t="shared" si="18"/>
        <v>36.81</v>
      </c>
      <c r="V88" s="5">
        <f t="shared" si="19"/>
        <v>35.799999999999997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764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762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765</v>
      </c>
      <c r="D90" s="3" t="s">
        <v>1338</v>
      </c>
      <c r="E90" s="3" t="s">
        <v>1338</v>
      </c>
      <c r="F90" s="3" t="s">
        <v>1338</v>
      </c>
      <c r="G90" s="3" t="s">
        <v>1338</v>
      </c>
      <c r="H90" s="51">
        <v>41717</v>
      </c>
      <c r="J90" s="3">
        <f t="shared" si="20"/>
        <v>6.12</v>
      </c>
      <c r="K90" s="3">
        <f t="shared" si="20"/>
        <v>6.12</v>
      </c>
      <c r="L90" s="3">
        <f t="shared" si="20"/>
        <v>6.12</v>
      </c>
      <c r="M90" s="3">
        <f t="shared" si="20"/>
        <v>6.12</v>
      </c>
      <c r="P90" s="10" t="s">
        <v>763</v>
      </c>
      <c r="Q90" s="10" t="str">
        <f t="shared" si="14"/>
        <v>BOMBRIL     -PN</v>
      </c>
      <c r="R90" s="51">
        <f t="shared" si="15"/>
        <v>41717</v>
      </c>
      <c r="S90" s="5">
        <f t="shared" si="16"/>
        <v>6.12</v>
      </c>
      <c r="T90" s="5">
        <f t="shared" si="17"/>
        <v>6.12</v>
      </c>
      <c r="U90" s="5">
        <f t="shared" si="18"/>
        <v>6.12</v>
      </c>
      <c r="V90" s="5">
        <f t="shared" si="19"/>
        <v>6.12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768</v>
      </c>
      <c r="D91" s="3" t="s">
        <v>1968</v>
      </c>
      <c r="E91" s="3" t="s">
        <v>1969</v>
      </c>
      <c r="F91" s="3" t="s">
        <v>1970</v>
      </c>
      <c r="G91" s="3" t="s">
        <v>1971</v>
      </c>
      <c r="H91" s="51">
        <v>41717</v>
      </c>
      <c r="J91" s="3">
        <f t="shared" si="20"/>
        <v>21.22</v>
      </c>
      <c r="K91" s="3">
        <f t="shared" si="20"/>
        <v>21.34</v>
      </c>
      <c r="L91" s="3">
        <f t="shared" si="20"/>
        <v>21.55</v>
      </c>
      <c r="M91" s="3">
        <f t="shared" si="20"/>
        <v>21.09</v>
      </c>
      <c r="P91" s="10" t="s">
        <v>766</v>
      </c>
      <c r="Q91" s="10" t="str">
        <f t="shared" si="14"/>
        <v>SOUZA CRUZ  -ON</v>
      </c>
      <c r="R91" s="51">
        <f t="shared" si="15"/>
        <v>41717</v>
      </c>
      <c r="S91" s="5">
        <f t="shared" si="16"/>
        <v>21.22</v>
      </c>
      <c r="T91" s="5">
        <f t="shared" si="17"/>
        <v>21.34</v>
      </c>
      <c r="U91" s="5">
        <f t="shared" si="18"/>
        <v>21.55</v>
      </c>
      <c r="V91" s="5">
        <f t="shared" si="19"/>
        <v>21.09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772</v>
      </c>
      <c r="D92" s="3" t="s">
        <v>1956</v>
      </c>
      <c r="E92" s="3" t="s">
        <v>1541</v>
      </c>
      <c r="F92" s="3" t="s">
        <v>1972</v>
      </c>
      <c r="G92" s="3" t="s">
        <v>1821</v>
      </c>
      <c r="H92" s="51">
        <v>41717</v>
      </c>
      <c r="J92" s="3">
        <f t="shared" si="20"/>
        <v>13.4</v>
      </c>
      <c r="K92" s="3">
        <f t="shared" si="20"/>
        <v>13.27</v>
      </c>
      <c r="L92" s="3">
        <f t="shared" si="20"/>
        <v>13.62</v>
      </c>
      <c r="M92" s="3">
        <f t="shared" si="20"/>
        <v>13.2</v>
      </c>
      <c r="P92" s="16" t="s">
        <v>770</v>
      </c>
      <c r="Q92" s="10" t="str">
        <f t="shared" si="14"/>
        <v>LOJAS AMERIC-ON</v>
      </c>
      <c r="R92" s="51">
        <f t="shared" si="15"/>
        <v>41717</v>
      </c>
      <c r="S92" s="5">
        <f t="shared" si="16"/>
        <v>13.4</v>
      </c>
      <c r="T92" s="5">
        <f t="shared" si="17"/>
        <v>13.27</v>
      </c>
      <c r="U92" s="5">
        <f t="shared" si="18"/>
        <v>13.62</v>
      </c>
      <c r="V92" s="5">
        <f t="shared" si="19"/>
        <v>13.2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773</v>
      </c>
      <c r="D93" s="3" t="s">
        <v>1514</v>
      </c>
      <c r="E93" s="3" t="s">
        <v>1550</v>
      </c>
      <c r="F93" s="3" t="s">
        <v>1973</v>
      </c>
      <c r="G93" s="3" t="s">
        <v>1974</v>
      </c>
      <c r="H93" s="51">
        <v>41717</v>
      </c>
      <c r="J93" s="3">
        <f t="shared" si="20"/>
        <v>15.34</v>
      </c>
      <c r="K93" s="3">
        <f t="shared" si="20"/>
        <v>15.35</v>
      </c>
      <c r="L93" s="3">
        <f t="shared" si="20"/>
        <v>15.51</v>
      </c>
      <c r="M93" s="3">
        <f t="shared" si="20"/>
        <v>15.2</v>
      </c>
      <c r="P93" s="16" t="s">
        <v>771</v>
      </c>
      <c r="Q93" s="10" t="str">
        <f t="shared" si="14"/>
        <v>LOJAS AMERIC-PN</v>
      </c>
      <c r="R93" s="51">
        <f t="shared" si="15"/>
        <v>41717</v>
      </c>
      <c r="S93" s="5">
        <f t="shared" si="16"/>
        <v>15.34</v>
      </c>
      <c r="T93" s="5">
        <f t="shared" si="17"/>
        <v>15.35</v>
      </c>
      <c r="U93" s="5">
        <f t="shared" si="18"/>
        <v>15.51</v>
      </c>
      <c r="V93" s="5">
        <f t="shared" si="19"/>
        <v>15.2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775</v>
      </c>
      <c r="D94" s="3" t="s">
        <v>1945</v>
      </c>
      <c r="E94" s="3" t="s">
        <v>1975</v>
      </c>
      <c r="F94" s="3" t="s">
        <v>1426</v>
      </c>
      <c r="G94" s="3" t="s">
        <v>1322</v>
      </c>
      <c r="H94" s="51">
        <v>41717</v>
      </c>
      <c r="J94" s="3">
        <f t="shared" si="20"/>
        <v>25.06</v>
      </c>
      <c r="K94" s="3">
        <f t="shared" si="20"/>
        <v>25.07</v>
      </c>
      <c r="L94" s="3">
        <f t="shared" si="20"/>
        <v>25.2</v>
      </c>
      <c r="M94" s="3">
        <f t="shared" si="20"/>
        <v>24.87</v>
      </c>
      <c r="P94" s="14" t="s">
        <v>774</v>
      </c>
      <c r="Q94" s="10" t="str">
        <f t="shared" si="14"/>
        <v xml:space="preserve">B2W DIGITAL -ON  </v>
      </c>
      <c r="R94" s="51">
        <f t="shared" si="15"/>
        <v>41717</v>
      </c>
      <c r="S94" s="5">
        <f t="shared" si="16"/>
        <v>25.06</v>
      </c>
      <c r="T94" s="5">
        <f t="shared" si="17"/>
        <v>25.07</v>
      </c>
      <c r="U94" s="5">
        <f t="shared" si="18"/>
        <v>25.2</v>
      </c>
      <c r="V94" s="5">
        <f t="shared" si="19"/>
        <v>24.87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777</v>
      </c>
      <c r="D95" s="3" t="s">
        <v>1976</v>
      </c>
      <c r="E95" s="3" t="s">
        <v>736</v>
      </c>
      <c r="F95" s="3" t="s">
        <v>1977</v>
      </c>
      <c r="G95" s="3" t="s">
        <v>1978</v>
      </c>
      <c r="H95" s="51">
        <v>41717</v>
      </c>
      <c r="J95" s="3">
        <f t="shared" si="20"/>
        <v>15.76</v>
      </c>
      <c r="K95" s="3">
        <f t="shared" si="20"/>
        <v>16</v>
      </c>
      <c r="L95" s="3">
        <f t="shared" si="20"/>
        <v>16.16</v>
      </c>
      <c r="M95" s="3">
        <f t="shared" si="20"/>
        <v>15.66</v>
      </c>
      <c r="P95" s="14" t="s">
        <v>776</v>
      </c>
      <c r="Q95" s="10" t="str">
        <f t="shared" si="14"/>
        <v xml:space="preserve">HYPERMARCAS -ON  </v>
      </c>
      <c r="R95" s="51">
        <f t="shared" si="15"/>
        <v>41717</v>
      </c>
      <c r="S95" s="5">
        <f t="shared" si="16"/>
        <v>15.76</v>
      </c>
      <c r="T95" s="5">
        <f t="shared" si="17"/>
        <v>16</v>
      </c>
      <c r="U95" s="5">
        <f t="shared" si="18"/>
        <v>16.16</v>
      </c>
      <c r="V95" s="5">
        <f t="shared" si="19"/>
        <v>15.66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780</v>
      </c>
      <c r="D96" s="3" t="s">
        <v>1301</v>
      </c>
      <c r="E96" s="3" t="s">
        <v>1508</v>
      </c>
      <c r="F96" s="3" t="s">
        <v>1979</v>
      </c>
      <c r="G96" s="3" t="s">
        <v>1980</v>
      </c>
      <c r="H96" s="51">
        <v>41717</v>
      </c>
      <c r="J96" s="3">
        <f t="shared" si="20"/>
        <v>16.98</v>
      </c>
      <c r="K96" s="3">
        <f t="shared" si="20"/>
        <v>17.64</v>
      </c>
      <c r="L96" s="3">
        <f t="shared" si="20"/>
        <v>17.82</v>
      </c>
      <c r="M96" s="3">
        <f t="shared" si="20"/>
        <v>16.920000000000002</v>
      </c>
      <c r="P96" s="14" t="s">
        <v>778</v>
      </c>
      <c r="Q96" s="10" t="str">
        <f t="shared" si="14"/>
        <v xml:space="preserve">RAIADROGASIL-ON  </v>
      </c>
      <c r="R96" s="51">
        <f t="shared" si="15"/>
        <v>41717</v>
      </c>
      <c r="S96" s="5">
        <f t="shared" si="16"/>
        <v>16.98</v>
      </c>
      <c r="T96" s="5">
        <f t="shared" si="17"/>
        <v>17.64</v>
      </c>
      <c r="U96" s="5">
        <f t="shared" si="18"/>
        <v>17.82</v>
      </c>
      <c r="V96" s="5">
        <f t="shared" si="19"/>
        <v>16.920000000000002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782</v>
      </c>
      <c r="D97" s="3" t="s">
        <v>1402</v>
      </c>
      <c r="E97" s="3" t="s">
        <v>1569</v>
      </c>
      <c r="F97" s="3" t="s">
        <v>1402</v>
      </c>
      <c r="G97" s="3" t="s">
        <v>1981</v>
      </c>
      <c r="H97" s="51">
        <v>41717</v>
      </c>
      <c r="J97" s="3">
        <f t="shared" si="20"/>
        <v>4.78</v>
      </c>
      <c r="K97" s="3">
        <f t="shared" si="20"/>
        <v>4.6900000000000004</v>
      </c>
      <c r="L97" s="3">
        <f t="shared" si="20"/>
        <v>4.78</v>
      </c>
      <c r="M97" s="3">
        <f t="shared" si="20"/>
        <v>4.6100000000000003</v>
      </c>
      <c r="P97" s="15" t="s">
        <v>781</v>
      </c>
      <c r="Q97" s="10" t="str">
        <f t="shared" si="14"/>
        <v xml:space="preserve">BR PHARMA   -ON  </v>
      </c>
      <c r="R97" s="51">
        <f t="shared" si="15"/>
        <v>41717</v>
      </c>
      <c r="S97" s="5">
        <f t="shared" si="16"/>
        <v>4.78</v>
      </c>
      <c r="T97" s="5">
        <f t="shared" si="17"/>
        <v>4.6900000000000004</v>
      </c>
      <c r="U97" s="5">
        <f t="shared" si="18"/>
        <v>4.78</v>
      </c>
      <c r="V97" s="5">
        <f t="shared" si="19"/>
        <v>4.6100000000000003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785</v>
      </c>
      <c r="D98" s="3" t="s">
        <v>1551</v>
      </c>
      <c r="E98" s="3" t="s">
        <v>1617</v>
      </c>
      <c r="F98" s="3" t="s">
        <v>1617</v>
      </c>
      <c r="G98" s="3" t="s">
        <v>1551</v>
      </c>
      <c r="H98" s="51">
        <v>41717</v>
      </c>
      <c r="J98" s="3">
        <f t="shared" si="20"/>
        <v>165.29</v>
      </c>
      <c r="K98" s="3">
        <f t="shared" si="20"/>
        <v>166</v>
      </c>
      <c r="L98" s="3">
        <f t="shared" si="20"/>
        <v>166</v>
      </c>
      <c r="M98" s="3">
        <f t="shared" si="20"/>
        <v>165.29</v>
      </c>
      <c r="P98" s="10" t="s">
        <v>783</v>
      </c>
      <c r="Q98" s="10" t="str">
        <f t="shared" si="14"/>
        <v>DIMED       -ON</v>
      </c>
      <c r="R98" s="51">
        <f t="shared" si="15"/>
        <v>41717</v>
      </c>
      <c r="S98" s="5">
        <f t="shared" si="16"/>
        <v>165.29</v>
      </c>
      <c r="T98" s="5">
        <f t="shared" si="17"/>
        <v>166</v>
      </c>
      <c r="U98" s="5">
        <f t="shared" si="18"/>
        <v>166</v>
      </c>
      <c r="V98" s="5">
        <f t="shared" si="19"/>
        <v>165.29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786</v>
      </c>
      <c r="D99" s="3" t="s">
        <v>1552</v>
      </c>
      <c r="E99" s="3" t="s">
        <v>1553</v>
      </c>
      <c r="F99" s="3" t="s">
        <v>1553</v>
      </c>
      <c r="G99" s="3" t="s">
        <v>1552</v>
      </c>
      <c r="H99" s="51">
        <v>41717</v>
      </c>
      <c r="J99" s="3">
        <f t="shared" si="20"/>
        <v>150</v>
      </c>
      <c r="K99" s="3">
        <f t="shared" si="20"/>
        <v>160</v>
      </c>
      <c r="L99" s="3">
        <f t="shared" si="20"/>
        <v>160</v>
      </c>
      <c r="M99" s="3">
        <f t="shared" si="20"/>
        <v>150</v>
      </c>
      <c r="P99" s="14" t="s">
        <v>784</v>
      </c>
      <c r="Q99" s="10" t="str">
        <f t="shared" si="14"/>
        <v>DIMED       -PN</v>
      </c>
      <c r="R99" s="51">
        <f t="shared" si="15"/>
        <v>41717</v>
      </c>
      <c r="S99" s="5">
        <f t="shared" si="16"/>
        <v>150</v>
      </c>
      <c r="T99" s="5">
        <f t="shared" si="17"/>
        <v>160</v>
      </c>
      <c r="U99" s="5">
        <f t="shared" si="18"/>
        <v>160</v>
      </c>
      <c r="V99" s="5">
        <f t="shared" si="19"/>
        <v>150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788</v>
      </c>
      <c r="D100" s="3" t="s">
        <v>1394</v>
      </c>
      <c r="E100" s="3" t="s">
        <v>1982</v>
      </c>
      <c r="F100" s="3" t="s">
        <v>1982</v>
      </c>
      <c r="G100" s="3" t="s">
        <v>1501</v>
      </c>
      <c r="H100" s="51">
        <v>41717</v>
      </c>
      <c r="J100" s="3">
        <f t="shared" si="20"/>
        <v>16.809999999999999</v>
      </c>
      <c r="K100" s="3">
        <f t="shared" si="20"/>
        <v>17.8</v>
      </c>
      <c r="L100" s="3">
        <f t="shared" si="20"/>
        <v>17.8</v>
      </c>
      <c r="M100" s="3">
        <f t="shared" si="20"/>
        <v>16.8</v>
      </c>
      <c r="P100" s="14" t="s">
        <v>787</v>
      </c>
      <c r="Q100" s="10" t="str">
        <f t="shared" si="14"/>
        <v xml:space="preserve">PROFARMA    -ON  </v>
      </c>
      <c r="R100" s="51">
        <f t="shared" si="15"/>
        <v>41717</v>
      </c>
      <c r="S100" s="5">
        <f t="shared" si="16"/>
        <v>16.809999999999999</v>
      </c>
      <c r="T100" s="5">
        <f t="shared" si="17"/>
        <v>17.8</v>
      </c>
      <c r="U100" s="5">
        <f t="shared" si="18"/>
        <v>17.8</v>
      </c>
      <c r="V100" s="5">
        <f t="shared" si="19"/>
        <v>16.8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792</v>
      </c>
      <c r="D101" s="3" t="s">
        <v>425</v>
      </c>
      <c r="E101" s="3" t="s">
        <v>793</v>
      </c>
      <c r="F101" s="3" t="s">
        <v>793</v>
      </c>
      <c r="G101" s="3" t="s">
        <v>793</v>
      </c>
      <c r="H101" s="51">
        <v>41717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790</v>
      </c>
      <c r="Q101" s="10" t="str">
        <f t="shared" si="14"/>
        <v xml:space="preserve">P.ACUCAR-CBD-ON  </v>
      </c>
      <c r="R101" s="51">
        <f t="shared" si="15"/>
        <v>41717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794</v>
      </c>
      <c r="D102" s="3" t="s">
        <v>1983</v>
      </c>
      <c r="E102" s="3" t="s">
        <v>1984</v>
      </c>
      <c r="F102" s="3" t="s">
        <v>1985</v>
      </c>
      <c r="G102" s="3" t="s">
        <v>1986</v>
      </c>
      <c r="H102" s="51">
        <v>41717</v>
      </c>
      <c r="J102" s="3">
        <f t="shared" si="20"/>
        <v>96.56</v>
      </c>
      <c r="K102" s="3">
        <f t="shared" si="20"/>
        <v>97.04</v>
      </c>
      <c r="L102" s="3">
        <f t="shared" si="20"/>
        <v>97.64</v>
      </c>
      <c r="M102" s="3">
        <f t="shared" si="20"/>
        <v>96.26</v>
      </c>
      <c r="P102" s="10" t="s">
        <v>791</v>
      </c>
      <c r="Q102" s="10" t="str">
        <f t="shared" si="14"/>
        <v xml:space="preserve">P.ACUCAR-CBD-PN  </v>
      </c>
      <c r="R102" s="51">
        <f t="shared" si="15"/>
        <v>41717</v>
      </c>
      <c r="S102" s="5">
        <f t="shared" si="16"/>
        <v>96.56</v>
      </c>
      <c r="T102" s="5">
        <f t="shared" si="17"/>
        <v>97.04</v>
      </c>
      <c r="U102" s="5">
        <f t="shared" si="18"/>
        <v>97.64</v>
      </c>
      <c r="V102" s="5">
        <f t="shared" si="19"/>
        <v>96.26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797</v>
      </c>
      <c r="D103" s="3" t="s">
        <v>1987</v>
      </c>
      <c r="E103" s="3" t="s">
        <v>1490</v>
      </c>
      <c r="F103" s="3" t="s">
        <v>1501</v>
      </c>
      <c r="G103" s="3" t="s">
        <v>1453</v>
      </c>
      <c r="H103" s="51">
        <v>41717</v>
      </c>
      <c r="J103" s="3">
        <f t="shared" si="20"/>
        <v>16.600000000000001</v>
      </c>
      <c r="K103" s="3">
        <f t="shared" si="20"/>
        <v>16.71</v>
      </c>
      <c r="L103" s="3">
        <f t="shared" si="20"/>
        <v>16.8</v>
      </c>
      <c r="M103" s="3">
        <f t="shared" si="20"/>
        <v>16.45</v>
      </c>
      <c r="P103" s="15" t="s">
        <v>796</v>
      </c>
      <c r="Q103" s="10" t="str">
        <f t="shared" ref="Q103:Q112" si="21">IF(A103="","",C103)</f>
        <v>AMBEV S/A   -ON</v>
      </c>
      <c r="R103" s="51">
        <f t="shared" ref="R103:R112" si="22">IF(A103="","",H103)</f>
        <v>41717</v>
      </c>
      <c r="S103" s="5">
        <f t="shared" ref="S103:S112" si="23">J103</f>
        <v>16.600000000000001</v>
      </c>
      <c r="T103" s="5">
        <f t="shared" ref="T103:T112" si="24">K103</f>
        <v>16.71</v>
      </c>
      <c r="U103" s="5">
        <f t="shared" ref="U103:U112" si="25">L103</f>
        <v>16.8</v>
      </c>
      <c r="V103" s="5">
        <f t="shared" ref="V103:V112" si="26">M103</f>
        <v>16.45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274</v>
      </c>
      <c r="D104" s="3" t="s">
        <v>425</v>
      </c>
      <c r="E104" s="3" t="s">
        <v>882</v>
      </c>
      <c r="F104" s="3" t="s">
        <v>882</v>
      </c>
      <c r="G104" s="3" t="s">
        <v>882</v>
      </c>
      <c r="H104" s="51">
        <v>41717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273</v>
      </c>
      <c r="Q104" s="10" t="str">
        <f t="shared" si="21"/>
        <v xml:space="preserve">VIGOR FOOD  -ON  </v>
      </c>
      <c r="R104" s="51">
        <f t="shared" si="22"/>
        <v>41717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800</v>
      </c>
      <c r="D105" s="3" t="s">
        <v>425</v>
      </c>
      <c r="E105" s="3" t="s">
        <v>426</v>
      </c>
      <c r="F105" s="3" t="s">
        <v>425</v>
      </c>
      <c r="G105" s="3" t="s">
        <v>425</v>
      </c>
      <c r="H105" s="51" t="s">
        <v>425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798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801</v>
      </c>
      <c r="D106" s="3" t="s">
        <v>425</v>
      </c>
      <c r="E106" s="3" t="s">
        <v>658</v>
      </c>
      <c r="F106" s="3" t="s">
        <v>658</v>
      </c>
      <c r="G106" s="3" t="s">
        <v>658</v>
      </c>
      <c r="H106" s="51">
        <v>41717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799</v>
      </c>
      <c r="Q106" s="10" t="str">
        <f t="shared" si="21"/>
        <v>CLARION     -PN</v>
      </c>
      <c r="R106" s="51">
        <f t="shared" si="22"/>
        <v>41717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804</v>
      </c>
      <c r="D107" s="3" t="s">
        <v>759</v>
      </c>
      <c r="E107" s="3" t="s">
        <v>759</v>
      </c>
      <c r="F107" s="3" t="s">
        <v>759</v>
      </c>
      <c r="G107" s="3" t="s">
        <v>1409</v>
      </c>
      <c r="H107" s="51">
        <v>41717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7.0000000000000007E-2</v>
      </c>
      <c r="M107" s="3">
        <f t="shared" si="20"/>
        <v>0.06</v>
      </c>
      <c r="P107" s="14" t="s">
        <v>803</v>
      </c>
      <c r="Q107" s="10" t="str">
        <f t="shared" si="21"/>
        <v>MINUPAR     -ON</v>
      </c>
      <c r="R107" s="51">
        <f t="shared" si="22"/>
        <v>41717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7.0000000000000007E-2</v>
      </c>
      <c r="V107" s="5">
        <f t="shared" si="26"/>
        <v>0.06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807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805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808</v>
      </c>
      <c r="D109" s="3" t="s">
        <v>1431</v>
      </c>
      <c r="E109" s="3" t="s">
        <v>1540</v>
      </c>
      <c r="F109" s="3" t="s">
        <v>1540</v>
      </c>
      <c r="G109" s="3" t="s">
        <v>1431</v>
      </c>
      <c r="H109" s="51">
        <v>41717</v>
      </c>
      <c r="J109" s="3">
        <f t="shared" si="20"/>
        <v>8.8000000000000007</v>
      </c>
      <c r="K109" s="3">
        <f t="shared" si="20"/>
        <v>9.1999999999999993</v>
      </c>
      <c r="L109" s="3">
        <f t="shared" si="20"/>
        <v>9.1999999999999993</v>
      </c>
      <c r="M109" s="3">
        <f t="shared" si="20"/>
        <v>8.8000000000000007</v>
      </c>
      <c r="P109" s="14" t="s">
        <v>806</v>
      </c>
      <c r="Q109" s="10" t="str">
        <f t="shared" si="21"/>
        <v>EXCELSIOR   -PN</v>
      </c>
      <c r="R109" s="51">
        <f t="shared" si="22"/>
        <v>41717</v>
      </c>
      <c r="S109" s="5">
        <f t="shared" si="23"/>
        <v>8.8000000000000007</v>
      </c>
      <c r="T109" s="5">
        <f t="shared" si="24"/>
        <v>9.1999999999999993</v>
      </c>
      <c r="U109" s="5">
        <f t="shared" si="25"/>
        <v>9.1999999999999993</v>
      </c>
      <c r="V109" s="5">
        <f t="shared" si="26"/>
        <v>8.8000000000000007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811</v>
      </c>
      <c r="D110" s="3" t="s">
        <v>1988</v>
      </c>
      <c r="E110" s="3" t="s">
        <v>1356</v>
      </c>
      <c r="F110" s="3" t="s">
        <v>1502</v>
      </c>
      <c r="G110" s="3" t="s">
        <v>1989</v>
      </c>
      <c r="H110" s="51">
        <v>41717</v>
      </c>
      <c r="J110" s="3">
        <f t="shared" si="20"/>
        <v>9.83</v>
      </c>
      <c r="K110" s="3">
        <f t="shared" si="20"/>
        <v>9.8000000000000007</v>
      </c>
      <c r="L110" s="3">
        <f t="shared" si="20"/>
        <v>9.9499999999999993</v>
      </c>
      <c r="M110" s="3">
        <f t="shared" si="20"/>
        <v>9.74</v>
      </c>
      <c r="P110" s="15" t="s">
        <v>810</v>
      </c>
      <c r="Q110" s="10" t="str">
        <f t="shared" si="21"/>
        <v xml:space="preserve">MINERVA     -ON  </v>
      </c>
      <c r="R110" s="51">
        <f t="shared" si="22"/>
        <v>41717</v>
      </c>
      <c r="S110" s="5">
        <f t="shared" si="23"/>
        <v>9.83</v>
      </c>
      <c r="T110" s="5">
        <f t="shared" si="24"/>
        <v>9.8000000000000007</v>
      </c>
      <c r="U110" s="5">
        <f t="shared" si="25"/>
        <v>9.9499999999999993</v>
      </c>
      <c r="V110" s="5">
        <f t="shared" si="26"/>
        <v>9.74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812</v>
      </c>
      <c r="D111" s="3" t="s">
        <v>1395</v>
      </c>
      <c r="E111" s="3" t="s">
        <v>1400</v>
      </c>
      <c r="F111" s="3" t="s">
        <v>1990</v>
      </c>
      <c r="G111" s="3" t="s">
        <v>1855</v>
      </c>
      <c r="H111" s="51">
        <v>41717</v>
      </c>
      <c r="J111" s="3">
        <f t="shared" si="20"/>
        <v>3.9</v>
      </c>
      <c r="K111" s="3">
        <f t="shared" si="20"/>
        <v>3.91</v>
      </c>
      <c r="L111" s="3">
        <f t="shared" si="20"/>
        <v>3.95</v>
      </c>
      <c r="M111" s="3">
        <f t="shared" si="20"/>
        <v>3.81</v>
      </c>
      <c r="P111" s="14" t="s">
        <v>809</v>
      </c>
      <c r="Q111" s="10" t="str">
        <f t="shared" si="21"/>
        <v xml:space="preserve">MARFRIG     -ON  </v>
      </c>
      <c r="R111" s="51">
        <f t="shared" si="22"/>
        <v>41717</v>
      </c>
      <c r="S111" s="5">
        <f t="shared" si="23"/>
        <v>3.9</v>
      </c>
      <c r="T111" s="5">
        <f t="shared" si="24"/>
        <v>3.91</v>
      </c>
      <c r="U111" s="5">
        <f t="shared" si="25"/>
        <v>3.95</v>
      </c>
      <c r="V111" s="5">
        <f t="shared" si="26"/>
        <v>3.81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815</v>
      </c>
      <c r="D112" s="3" t="s">
        <v>425</v>
      </c>
      <c r="E112" s="3" t="s">
        <v>655</v>
      </c>
      <c r="F112" s="3" t="s">
        <v>655</v>
      </c>
      <c r="G112" s="3" t="s">
        <v>655</v>
      </c>
      <c r="H112" s="51">
        <v>41717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813</v>
      </c>
      <c r="Q112" s="10" t="str">
        <f t="shared" si="21"/>
        <v>CAF BRASILIA-ON *</v>
      </c>
      <c r="R112" s="51">
        <f t="shared" si="22"/>
        <v>41717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814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1183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980</v>
      </c>
      <c r="D7" s="3" t="s">
        <v>1884</v>
      </c>
      <c r="E7" s="3" t="s">
        <v>1991</v>
      </c>
      <c r="F7" s="3" t="s">
        <v>1992</v>
      </c>
      <c r="G7" s="3" t="s">
        <v>1993</v>
      </c>
      <c r="H7" s="51">
        <v>41717</v>
      </c>
      <c r="J7" s="3">
        <f>IF($A7="",0,VALUE(CONCATENATE(LEFT(D7,LEN(D7)-3),",",RIGHT(D7,2))))</f>
        <v>26.5</v>
      </c>
      <c r="K7" s="3">
        <f t="shared" ref="K7:M22" si="0">IF($A7="",0,VALUE(CONCATENATE(LEFT(E7,LEN(E7)-3),",",RIGHT(E7,2))))</f>
        <v>26.41</v>
      </c>
      <c r="L7" s="3">
        <f t="shared" si="0"/>
        <v>26.65</v>
      </c>
      <c r="M7" s="3">
        <f t="shared" si="0"/>
        <v>25.92</v>
      </c>
      <c r="P7" s="14" t="s">
        <v>975</v>
      </c>
      <c r="Q7" s="10" t="str">
        <f t="shared" ref="Q7:Q38" si="1">IF(A7="","",C7)</f>
        <v xml:space="preserve">ABRIL EDUCA -UNT </v>
      </c>
      <c r="R7" s="51">
        <f t="shared" ref="R7:R38" si="2">IF(A7="","",H7)</f>
        <v>41717</v>
      </c>
      <c r="S7" s="5">
        <f t="shared" ref="S7:S38" si="3">J7</f>
        <v>26.5</v>
      </c>
      <c r="T7" s="5">
        <f t="shared" ref="T7:T38" si="4">K7</f>
        <v>26.41</v>
      </c>
      <c r="U7" s="5">
        <f t="shared" ref="U7:U38" si="5">L7</f>
        <v>26.65</v>
      </c>
      <c r="V7" s="5">
        <f t="shared" ref="V7:V38" si="6">M7</f>
        <v>25.92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978</v>
      </c>
      <c r="D8" s="3" t="s">
        <v>425</v>
      </c>
      <c r="E8" s="3" t="s">
        <v>426</v>
      </c>
      <c r="F8" s="3" t="s">
        <v>425</v>
      </c>
      <c r="G8" s="3" t="s">
        <v>425</v>
      </c>
      <c r="H8" s="51" t="s">
        <v>425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976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979</v>
      </c>
      <c r="D9" s="3" t="s">
        <v>425</v>
      </c>
      <c r="E9" s="3" t="s">
        <v>426</v>
      </c>
      <c r="F9" s="3" t="s">
        <v>425</v>
      </c>
      <c r="G9" s="3" t="s">
        <v>425</v>
      </c>
      <c r="H9" s="51" t="s">
        <v>425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977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841</v>
      </c>
      <c r="D10" s="3" t="s">
        <v>425</v>
      </c>
      <c r="E10" s="3" t="s">
        <v>389</v>
      </c>
      <c r="F10" s="3" t="s">
        <v>389</v>
      </c>
      <c r="G10" s="3" t="s">
        <v>389</v>
      </c>
      <c r="H10" s="51">
        <v>41717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838</v>
      </c>
      <c r="Q10" s="10" t="str">
        <f t="shared" si="1"/>
        <v>SPTURIS     -ON</v>
      </c>
      <c r="R10" s="51">
        <f t="shared" si="2"/>
        <v>41717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842</v>
      </c>
      <c r="D11" s="3" t="s">
        <v>425</v>
      </c>
      <c r="E11" s="3" t="s">
        <v>843</v>
      </c>
      <c r="F11" s="3" t="s">
        <v>843</v>
      </c>
      <c r="G11" s="3" t="s">
        <v>843</v>
      </c>
      <c r="H11" s="51">
        <v>41717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839</v>
      </c>
      <c r="Q11" s="10" t="str">
        <f t="shared" si="1"/>
        <v>SPTURIS     -PNA</v>
      </c>
      <c r="R11" s="51">
        <f t="shared" si="2"/>
        <v>41717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844</v>
      </c>
      <c r="D12" s="3" t="s">
        <v>425</v>
      </c>
      <c r="E12" s="3" t="s">
        <v>845</v>
      </c>
      <c r="F12" s="3" t="s">
        <v>845</v>
      </c>
      <c r="G12" s="3" t="s">
        <v>845</v>
      </c>
      <c r="H12" s="51">
        <v>41717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840</v>
      </c>
      <c r="Q12" s="10" t="str">
        <f t="shared" si="1"/>
        <v>SPTURIS     -PNB</v>
      </c>
      <c r="R12" s="51">
        <f t="shared" si="2"/>
        <v>41717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955</v>
      </c>
      <c r="D13" s="3" t="s">
        <v>1715</v>
      </c>
      <c r="E13" s="3" t="s">
        <v>1994</v>
      </c>
      <c r="F13" s="3" t="s">
        <v>1715</v>
      </c>
      <c r="G13" s="3" t="s">
        <v>1994</v>
      </c>
      <c r="H13" s="51">
        <v>41717</v>
      </c>
      <c r="J13" s="3">
        <f t="shared" si="7"/>
        <v>11.31</v>
      </c>
      <c r="K13" s="3">
        <f t="shared" si="0"/>
        <v>11.15</v>
      </c>
      <c r="L13" s="3">
        <f t="shared" si="0"/>
        <v>11.31</v>
      </c>
      <c r="M13" s="3">
        <f t="shared" si="0"/>
        <v>11.15</v>
      </c>
      <c r="P13" s="3" t="s">
        <v>953</v>
      </c>
      <c r="Q13" s="10" t="str">
        <f t="shared" si="1"/>
        <v xml:space="preserve">ALPARGATAS  -ON  </v>
      </c>
      <c r="R13" s="51">
        <f t="shared" si="2"/>
        <v>41717</v>
      </c>
      <c r="S13" s="5">
        <f t="shared" si="3"/>
        <v>11.31</v>
      </c>
      <c r="T13" s="5">
        <f t="shared" si="4"/>
        <v>11.15</v>
      </c>
      <c r="U13" s="5">
        <f t="shared" si="5"/>
        <v>11.31</v>
      </c>
      <c r="V13" s="5">
        <f t="shared" si="6"/>
        <v>11.15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956</v>
      </c>
      <c r="D14" s="3" t="s">
        <v>1692</v>
      </c>
      <c r="E14" s="3" t="s">
        <v>1995</v>
      </c>
      <c r="F14" s="3" t="s">
        <v>1996</v>
      </c>
      <c r="G14" s="3" t="s">
        <v>1997</v>
      </c>
      <c r="H14" s="51">
        <v>41717</v>
      </c>
      <c r="J14" s="3">
        <f t="shared" si="7"/>
        <v>12.21</v>
      </c>
      <c r="K14" s="3">
        <f t="shared" si="0"/>
        <v>12.24</v>
      </c>
      <c r="L14" s="3">
        <f t="shared" si="0"/>
        <v>12.43</v>
      </c>
      <c r="M14" s="3">
        <f t="shared" si="0"/>
        <v>12.18</v>
      </c>
      <c r="P14" s="14" t="s">
        <v>954</v>
      </c>
      <c r="Q14" s="10" t="str">
        <f t="shared" si="1"/>
        <v xml:space="preserve">ALPARGATAS  -PN  </v>
      </c>
      <c r="R14" s="51">
        <f t="shared" si="2"/>
        <v>41717</v>
      </c>
      <c r="S14" s="5">
        <f t="shared" si="3"/>
        <v>12.21</v>
      </c>
      <c r="T14" s="5">
        <f t="shared" si="4"/>
        <v>12.24</v>
      </c>
      <c r="U14" s="5">
        <f t="shared" si="5"/>
        <v>12.43</v>
      </c>
      <c r="V14" s="5">
        <f t="shared" si="6"/>
        <v>12.18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1012</v>
      </c>
      <c r="D15" s="3" t="s">
        <v>1360</v>
      </c>
      <c r="E15" s="3" t="s">
        <v>1998</v>
      </c>
      <c r="F15" s="3" t="s">
        <v>1549</v>
      </c>
      <c r="G15" s="3" t="s">
        <v>1999</v>
      </c>
      <c r="H15" s="51">
        <v>41717</v>
      </c>
      <c r="J15" s="3">
        <f t="shared" si="7"/>
        <v>13.25</v>
      </c>
      <c r="K15" s="3">
        <f t="shared" si="0"/>
        <v>13.18</v>
      </c>
      <c r="L15" s="3">
        <f t="shared" si="0"/>
        <v>13.34</v>
      </c>
      <c r="M15" s="3">
        <f t="shared" si="0"/>
        <v>13.13</v>
      </c>
      <c r="P15" s="15" t="s">
        <v>1011</v>
      </c>
      <c r="Q15" s="10" t="str">
        <f t="shared" si="1"/>
        <v xml:space="preserve">LOJAS MARISA-ON  </v>
      </c>
      <c r="R15" s="51">
        <f t="shared" si="2"/>
        <v>41717</v>
      </c>
      <c r="S15" s="5">
        <f t="shared" si="3"/>
        <v>13.25</v>
      </c>
      <c r="T15" s="5">
        <f t="shared" si="4"/>
        <v>13.18</v>
      </c>
      <c r="U15" s="5">
        <f t="shared" si="5"/>
        <v>13.34</v>
      </c>
      <c r="V15" s="5">
        <f t="shared" si="6"/>
        <v>13.13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998</v>
      </c>
      <c r="D16" s="3" t="s">
        <v>2000</v>
      </c>
      <c r="E16" s="3" t="s">
        <v>2001</v>
      </c>
      <c r="F16" s="3" t="s">
        <v>2002</v>
      </c>
      <c r="G16" s="3" t="s">
        <v>2003</v>
      </c>
      <c r="H16" s="51">
        <v>41717</v>
      </c>
      <c r="J16" s="3">
        <f t="shared" si="7"/>
        <v>25.59</v>
      </c>
      <c r="K16" s="3">
        <f t="shared" si="0"/>
        <v>25.66</v>
      </c>
      <c r="L16" s="3">
        <f t="shared" si="0"/>
        <v>25.83</v>
      </c>
      <c r="M16" s="3">
        <f t="shared" si="0"/>
        <v>25.24</v>
      </c>
      <c r="P16" s="15" t="s">
        <v>997</v>
      </c>
      <c r="Q16" s="10" t="str">
        <f t="shared" si="1"/>
        <v xml:space="preserve">AREZZO CO   -ON  </v>
      </c>
      <c r="R16" s="51">
        <f t="shared" si="2"/>
        <v>41717</v>
      </c>
      <c r="S16" s="5">
        <f t="shared" si="3"/>
        <v>25.59</v>
      </c>
      <c r="T16" s="5">
        <f t="shared" si="4"/>
        <v>25.66</v>
      </c>
      <c r="U16" s="5">
        <f t="shared" si="5"/>
        <v>25.83</v>
      </c>
      <c r="V16" s="5">
        <f t="shared" si="6"/>
        <v>25.24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1021</v>
      </c>
      <c r="D17" s="3" t="s">
        <v>1372</v>
      </c>
      <c r="E17" s="3" t="s">
        <v>1372</v>
      </c>
      <c r="F17" s="3" t="s">
        <v>1319</v>
      </c>
      <c r="G17" s="3" t="s">
        <v>1306</v>
      </c>
      <c r="H17" s="51">
        <v>41717</v>
      </c>
      <c r="J17" s="3">
        <f t="shared" si="7"/>
        <v>1.46</v>
      </c>
      <c r="K17" s="3">
        <f t="shared" si="0"/>
        <v>1.46</v>
      </c>
      <c r="L17" s="3">
        <f t="shared" si="0"/>
        <v>1.47</v>
      </c>
      <c r="M17" s="3">
        <f t="shared" si="0"/>
        <v>1.45</v>
      </c>
      <c r="P17" s="10" t="s">
        <v>1020</v>
      </c>
      <c r="Q17" s="10" t="str">
        <f t="shared" si="1"/>
        <v xml:space="preserve">BROOKFIELD  -ON  </v>
      </c>
      <c r="R17" s="51">
        <f t="shared" si="2"/>
        <v>41717</v>
      </c>
      <c r="S17" s="5">
        <f t="shared" si="3"/>
        <v>1.46</v>
      </c>
      <c r="T17" s="5">
        <f t="shared" si="4"/>
        <v>1.46</v>
      </c>
      <c r="U17" s="5">
        <f t="shared" si="5"/>
        <v>1.47</v>
      </c>
      <c r="V17" s="5">
        <f t="shared" si="6"/>
        <v>1.45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850</v>
      </c>
      <c r="D18" s="3" t="s">
        <v>2004</v>
      </c>
      <c r="E18" s="3" t="s">
        <v>2004</v>
      </c>
      <c r="F18" s="3" t="s">
        <v>2004</v>
      </c>
      <c r="G18" s="3" t="s">
        <v>2004</v>
      </c>
      <c r="H18" s="51">
        <v>41717</v>
      </c>
      <c r="J18" s="3">
        <f t="shared" si="7"/>
        <v>360</v>
      </c>
      <c r="K18" s="3">
        <f t="shared" si="0"/>
        <v>360</v>
      </c>
      <c r="L18" s="3">
        <f t="shared" si="0"/>
        <v>360</v>
      </c>
      <c r="M18" s="3">
        <f t="shared" si="0"/>
        <v>360</v>
      </c>
      <c r="P18" s="14" t="s">
        <v>849</v>
      </c>
      <c r="Q18" s="10" t="str">
        <f t="shared" si="1"/>
        <v>BIC MONARK  -ON</v>
      </c>
      <c r="R18" s="51">
        <f t="shared" si="2"/>
        <v>41717</v>
      </c>
      <c r="S18" s="5">
        <f t="shared" si="3"/>
        <v>360</v>
      </c>
      <c r="T18" s="5">
        <f t="shared" si="4"/>
        <v>360</v>
      </c>
      <c r="U18" s="5">
        <f t="shared" si="5"/>
        <v>360</v>
      </c>
      <c r="V18" s="5">
        <f t="shared" si="6"/>
        <v>360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862</v>
      </c>
      <c r="D19" s="3" t="s">
        <v>952</v>
      </c>
      <c r="E19" s="3" t="s">
        <v>952</v>
      </c>
      <c r="F19" s="3" t="s">
        <v>952</v>
      </c>
      <c r="G19" s="3" t="s">
        <v>952</v>
      </c>
      <c r="H19" s="51">
        <v>41717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860</v>
      </c>
      <c r="Q19" s="10" t="str">
        <f t="shared" si="1"/>
        <v>BRASMOTOR   -ON</v>
      </c>
      <c r="R19" s="51">
        <f t="shared" si="2"/>
        <v>41717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863</v>
      </c>
      <c r="D20" s="3" t="s">
        <v>1300</v>
      </c>
      <c r="E20" s="3" t="s">
        <v>1300</v>
      </c>
      <c r="F20" s="3" t="s">
        <v>1300</v>
      </c>
      <c r="G20" s="3" t="s">
        <v>1300</v>
      </c>
      <c r="H20" s="51">
        <v>41717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0.84</v>
      </c>
      <c r="P20" s="15" t="s">
        <v>861</v>
      </c>
      <c r="Q20" s="10" t="str">
        <f t="shared" si="1"/>
        <v>BRASMOTOR   -PN</v>
      </c>
      <c r="R20" s="51">
        <f t="shared" si="2"/>
        <v>41717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0.84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827</v>
      </c>
      <c r="D21" s="3" t="s">
        <v>1539</v>
      </c>
      <c r="E21" s="3" t="s">
        <v>1494</v>
      </c>
      <c r="F21" s="3" t="s">
        <v>1539</v>
      </c>
      <c r="G21" s="3" t="s">
        <v>1494</v>
      </c>
      <c r="H21" s="51">
        <v>41717</v>
      </c>
      <c r="J21" s="3">
        <f t="shared" si="7"/>
        <v>8.9499999999999993</v>
      </c>
      <c r="K21" s="3">
        <f t="shared" si="0"/>
        <v>8.85</v>
      </c>
      <c r="L21" s="3">
        <f t="shared" si="0"/>
        <v>8.9499999999999993</v>
      </c>
      <c r="M21" s="3">
        <f t="shared" si="0"/>
        <v>8.85</v>
      </c>
      <c r="P21" s="14" t="s">
        <v>826</v>
      </c>
      <c r="Q21" s="10" t="str">
        <f t="shared" si="1"/>
        <v xml:space="preserve">BIOSEV      -ON  </v>
      </c>
      <c r="R21" s="51">
        <f t="shared" si="2"/>
        <v>41717</v>
      </c>
      <c r="S21" s="5">
        <f t="shared" si="3"/>
        <v>8.9499999999999993</v>
      </c>
      <c r="T21" s="5">
        <f t="shared" si="4"/>
        <v>8.85</v>
      </c>
      <c r="U21" s="5">
        <f t="shared" si="5"/>
        <v>8.9499999999999993</v>
      </c>
      <c r="V21" s="5">
        <f t="shared" si="6"/>
        <v>8.85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1024</v>
      </c>
      <c r="D22" s="3" t="s">
        <v>425</v>
      </c>
      <c r="E22" s="3" t="s">
        <v>1025</v>
      </c>
      <c r="F22" s="3" t="s">
        <v>1025</v>
      </c>
      <c r="G22" s="3" t="s">
        <v>1025</v>
      </c>
      <c r="H22" s="51">
        <v>41717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1022</v>
      </c>
      <c r="Q22" s="10" t="str">
        <f t="shared" si="1"/>
        <v>CONST A LIND-ON</v>
      </c>
      <c r="R22" s="51">
        <f t="shared" si="2"/>
        <v>41717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1026</v>
      </c>
      <c r="D23" s="3" t="s">
        <v>425</v>
      </c>
      <c r="E23" s="3" t="s">
        <v>1027</v>
      </c>
      <c r="F23" s="3" t="s">
        <v>1027</v>
      </c>
      <c r="G23" s="3" t="s">
        <v>1027</v>
      </c>
      <c r="H23" s="51">
        <v>41717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1023</v>
      </c>
      <c r="Q23" s="10" t="str">
        <f t="shared" si="1"/>
        <v>CONST A LIND-PN</v>
      </c>
      <c r="R23" s="51">
        <f t="shared" si="2"/>
        <v>41717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960</v>
      </c>
      <c r="D24" s="3" t="s">
        <v>425</v>
      </c>
      <c r="E24" s="3" t="s">
        <v>426</v>
      </c>
      <c r="F24" s="3" t="s">
        <v>425</v>
      </c>
      <c r="G24" s="3" t="s">
        <v>425</v>
      </c>
      <c r="H24" s="51" t="s">
        <v>425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958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961</v>
      </c>
      <c r="D25" s="3" t="s">
        <v>1621</v>
      </c>
      <c r="E25" s="3" t="s">
        <v>1621</v>
      </c>
      <c r="F25" s="3" t="s">
        <v>1621</v>
      </c>
      <c r="G25" s="3" t="s">
        <v>1621</v>
      </c>
      <c r="H25" s="51">
        <v>41717</v>
      </c>
      <c r="J25" s="3">
        <f t="shared" si="7"/>
        <v>2.17</v>
      </c>
      <c r="K25" s="3">
        <f t="shared" si="7"/>
        <v>2.17</v>
      </c>
      <c r="L25" s="3">
        <f t="shared" si="7"/>
        <v>2.17</v>
      </c>
      <c r="M25" s="3">
        <f t="shared" si="7"/>
        <v>2.17</v>
      </c>
      <c r="P25" s="10" t="s">
        <v>959</v>
      </c>
      <c r="Q25" s="10" t="str">
        <f t="shared" si="1"/>
        <v>CAMBUCI     -PN</v>
      </c>
      <c r="R25" s="51">
        <f t="shared" si="2"/>
        <v>41717</v>
      </c>
      <c r="S25" s="5">
        <f t="shared" si="3"/>
        <v>2.17</v>
      </c>
      <c r="T25" s="5">
        <f t="shared" si="4"/>
        <v>2.17</v>
      </c>
      <c r="U25" s="5">
        <f t="shared" si="5"/>
        <v>2.17</v>
      </c>
      <c r="V25" s="5">
        <f t="shared" si="6"/>
        <v>2.17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879</v>
      </c>
      <c r="D26" s="3" t="s">
        <v>1382</v>
      </c>
      <c r="E26" s="3" t="s">
        <v>1382</v>
      </c>
      <c r="F26" s="3" t="s">
        <v>1382</v>
      </c>
      <c r="G26" s="3" t="s">
        <v>1382</v>
      </c>
      <c r="H26" s="51">
        <v>41717</v>
      </c>
      <c r="J26" s="3">
        <f t="shared" si="7"/>
        <v>10</v>
      </c>
      <c r="K26" s="3">
        <f t="shared" si="7"/>
        <v>10</v>
      </c>
      <c r="L26" s="3">
        <f t="shared" si="7"/>
        <v>10</v>
      </c>
      <c r="M26" s="3">
        <f t="shared" si="7"/>
        <v>10</v>
      </c>
      <c r="P26" s="14" t="s">
        <v>877</v>
      </c>
      <c r="Q26" s="10" t="str">
        <f t="shared" si="1"/>
        <v xml:space="preserve">CEDRO       -ON  </v>
      </c>
      <c r="R26" s="51">
        <f t="shared" si="2"/>
        <v>41717</v>
      </c>
      <c r="S26" s="5">
        <f t="shared" si="3"/>
        <v>10</v>
      </c>
      <c r="T26" s="5">
        <f t="shared" si="4"/>
        <v>10</v>
      </c>
      <c r="U26" s="5">
        <f t="shared" si="5"/>
        <v>10</v>
      </c>
      <c r="V26" s="5">
        <f t="shared" si="6"/>
        <v>10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880</v>
      </c>
      <c r="D27" s="3" t="s">
        <v>1519</v>
      </c>
      <c r="E27" s="3" t="s">
        <v>1519</v>
      </c>
      <c r="F27" s="3" t="s">
        <v>1519</v>
      </c>
      <c r="G27" s="3" t="s">
        <v>1519</v>
      </c>
      <c r="H27" s="51">
        <v>41717</v>
      </c>
      <c r="J27" s="3">
        <f t="shared" si="7"/>
        <v>10.5</v>
      </c>
      <c r="K27" s="3">
        <f t="shared" si="7"/>
        <v>10.5</v>
      </c>
      <c r="L27" s="3">
        <f t="shared" si="7"/>
        <v>10.5</v>
      </c>
      <c r="M27" s="3">
        <f t="shared" si="7"/>
        <v>10.5</v>
      </c>
      <c r="P27" s="14" t="s">
        <v>878</v>
      </c>
      <c r="Q27" s="10" t="str">
        <f t="shared" si="1"/>
        <v xml:space="preserve">CEDRO       -PN  </v>
      </c>
      <c r="R27" s="51">
        <f t="shared" si="2"/>
        <v>41717</v>
      </c>
      <c r="S27" s="5">
        <f t="shared" si="3"/>
        <v>10.5</v>
      </c>
      <c r="T27" s="5">
        <f t="shared" si="4"/>
        <v>10.5</v>
      </c>
      <c r="U27" s="5">
        <f t="shared" si="5"/>
        <v>10.5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1001</v>
      </c>
      <c r="D28" s="3" t="s">
        <v>1619</v>
      </c>
      <c r="E28" s="3" t="s">
        <v>1501</v>
      </c>
      <c r="F28" s="3" t="s">
        <v>1432</v>
      </c>
      <c r="G28" s="3" t="s">
        <v>1501</v>
      </c>
      <c r="H28" s="51">
        <v>41717</v>
      </c>
      <c r="J28" s="3">
        <f t="shared" si="7"/>
        <v>17.309999999999999</v>
      </c>
      <c r="K28" s="3">
        <f t="shared" si="7"/>
        <v>16.8</v>
      </c>
      <c r="L28" s="3">
        <f t="shared" si="7"/>
        <v>17.329999999999998</v>
      </c>
      <c r="M28" s="3">
        <f t="shared" si="7"/>
        <v>16.8</v>
      </c>
      <c r="P28" s="15" t="s">
        <v>999</v>
      </c>
      <c r="Q28" s="10" t="str">
        <f t="shared" si="1"/>
        <v>GRAZZIOTIN  -ON</v>
      </c>
      <c r="R28" s="51">
        <f t="shared" si="2"/>
        <v>41717</v>
      </c>
      <c r="S28" s="5">
        <f t="shared" si="3"/>
        <v>17.309999999999999</v>
      </c>
      <c r="T28" s="5">
        <f t="shared" si="4"/>
        <v>16.8</v>
      </c>
      <c r="U28" s="5">
        <f t="shared" si="5"/>
        <v>17.329999999999998</v>
      </c>
      <c r="V28" s="5">
        <f t="shared" si="6"/>
        <v>16.8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1002</v>
      </c>
      <c r="D29" s="3" t="s">
        <v>1452</v>
      </c>
      <c r="E29" s="3" t="s">
        <v>2005</v>
      </c>
      <c r="F29" s="3" t="s">
        <v>2005</v>
      </c>
      <c r="G29" s="3" t="s">
        <v>1452</v>
      </c>
      <c r="H29" s="51">
        <v>41717</v>
      </c>
      <c r="J29" s="3">
        <f>IF($A29="",0,VALUE(CONCATENATE(LEFT(D29,LEN(D29)-3),",",RIGHT(D29,2))))</f>
        <v>16.829999999999998</v>
      </c>
      <c r="K29" s="3">
        <f t="shared" si="7"/>
        <v>17.18</v>
      </c>
      <c r="L29" s="3">
        <f t="shared" si="7"/>
        <v>17.18</v>
      </c>
      <c r="M29" s="3">
        <f t="shared" si="7"/>
        <v>16.829999999999998</v>
      </c>
      <c r="P29" s="14" t="s">
        <v>1000</v>
      </c>
      <c r="Q29" s="10" t="str">
        <f t="shared" si="1"/>
        <v>GRAZZIOTIN  -PN</v>
      </c>
      <c r="R29" s="51">
        <f t="shared" si="2"/>
        <v>41717</v>
      </c>
      <c r="S29" s="5">
        <f t="shared" si="3"/>
        <v>16.829999999999998</v>
      </c>
      <c r="T29" s="5">
        <f t="shared" si="4"/>
        <v>17.18</v>
      </c>
      <c r="U29" s="5">
        <f t="shared" si="5"/>
        <v>17.18</v>
      </c>
      <c r="V29" s="5">
        <f t="shared" si="6"/>
        <v>16.829999999999998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1036</v>
      </c>
      <c r="D30" s="3" t="s">
        <v>2006</v>
      </c>
      <c r="E30" s="3" t="s">
        <v>2006</v>
      </c>
      <c r="F30" s="3" t="s">
        <v>2006</v>
      </c>
      <c r="G30" s="3" t="s">
        <v>2006</v>
      </c>
      <c r="H30" s="51">
        <v>41717</v>
      </c>
      <c r="J30" s="3">
        <f t="shared" si="7"/>
        <v>3.16</v>
      </c>
      <c r="K30" s="3">
        <f t="shared" si="7"/>
        <v>3.16</v>
      </c>
      <c r="L30" s="3">
        <f t="shared" si="7"/>
        <v>3.16</v>
      </c>
      <c r="M30" s="3">
        <f t="shared" si="7"/>
        <v>3.16</v>
      </c>
      <c r="P30" s="14" t="s">
        <v>1028</v>
      </c>
      <c r="Q30" s="10" t="str">
        <f t="shared" si="1"/>
        <v xml:space="preserve">CR2         -ON  </v>
      </c>
      <c r="R30" s="51">
        <f t="shared" si="2"/>
        <v>41717</v>
      </c>
      <c r="S30" s="5">
        <f t="shared" si="3"/>
        <v>3.16</v>
      </c>
      <c r="T30" s="5">
        <f t="shared" si="4"/>
        <v>3.16</v>
      </c>
      <c r="U30" s="5">
        <f t="shared" si="5"/>
        <v>3.16</v>
      </c>
      <c r="V30" s="5">
        <f t="shared" si="6"/>
        <v>3.16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932</v>
      </c>
      <c r="D31" s="3" t="s">
        <v>2007</v>
      </c>
      <c r="E31" s="3" t="s">
        <v>2007</v>
      </c>
      <c r="F31" s="3" t="s">
        <v>2007</v>
      </c>
      <c r="G31" s="3" t="s">
        <v>2007</v>
      </c>
      <c r="H31" s="51">
        <v>41717</v>
      </c>
      <c r="J31" s="3">
        <f t="shared" si="7"/>
        <v>1.64</v>
      </c>
      <c r="K31" s="3">
        <f t="shared" si="7"/>
        <v>1.64</v>
      </c>
      <c r="L31" s="3">
        <f t="shared" si="7"/>
        <v>1.64</v>
      </c>
      <c r="M31" s="3">
        <f t="shared" si="7"/>
        <v>1.64</v>
      </c>
      <c r="P31" s="14" t="s">
        <v>930</v>
      </c>
      <c r="Q31" s="10" t="str">
        <f t="shared" si="1"/>
        <v>KARSTEN     -ON</v>
      </c>
      <c r="R31" s="51">
        <f t="shared" si="2"/>
        <v>41717</v>
      </c>
      <c r="S31" s="5">
        <f t="shared" si="3"/>
        <v>1.64</v>
      </c>
      <c r="T31" s="5">
        <f t="shared" si="4"/>
        <v>1.64</v>
      </c>
      <c r="U31" s="5">
        <f t="shared" si="5"/>
        <v>1.64</v>
      </c>
      <c r="V31" s="5">
        <f t="shared" si="6"/>
        <v>1.64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933</v>
      </c>
      <c r="D32" s="3" t="s">
        <v>1557</v>
      </c>
      <c r="E32" s="3" t="s">
        <v>1344</v>
      </c>
      <c r="F32" s="3" t="s">
        <v>1344</v>
      </c>
      <c r="G32" s="3" t="s">
        <v>1557</v>
      </c>
      <c r="H32" s="51">
        <v>41717</v>
      </c>
      <c r="J32" s="3">
        <f t="shared" si="7"/>
        <v>0.62</v>
      </c>
      <c r="K32" s="3">
        <f t="shared" si="7"/>
        <v>0.63</v>
      </c>
      <c r="L32" s="3">
        <f t="shared" si="7"/>
        <v>0.63</v>
      </c>
      <c r="M32" s="3">
        <f t="shared" si="7"/>
        <v>0.62</v>
      </c>
      <c r="P32" s="14" t="s">
        <v>931</v>
      </c>
      <c r="Q32" s="10" t="str">
        <f t="shared" si="1"/>
        <v>KARSTEN     -PN</v>
      </c>
      <c r="R32" s="51">
        <f t="shared" si="2"/>
        <v>41717</v>
      </c>
      <c r="S32" s="5">
        <f t="shared" si="3"/>
        <v>0.62</v>
      </c>
      <c r="T32" s="5">
        <f t="shared" si="4"/>
        <v>0.63</v>
      </c>
      <c r="U32" s="5">
        <f t="shared" si="5"/>
        <v>0.63</v>
      </c>
      <c r="V32" s="5">
        <f t="shared" si="6"/>
        <v>0.62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913</v>
      </c>
      <c r="D33" s="3" t="s">
        <v>1396</v>
      </c>
      <c r="E33" s="3" t="s">
        <v>1396</v>
      </c>
      <c r="F33" s="3" t="s">
        <v>1396</v>
      </c>
      <c r="G33" s="3" t="s">
        <v>1396</v>
      </c>
      <c r="H33" s="51">
        <v>41717</v>
      </c>
      <c r="J33" s="3">
        <f t="shared" si="7"/>
        <v>2.02</v>
      </c>
      <c r="K33" s="3">
        <f t="shared" si="7"/>
        <v>2.02</v>
      </c>
      <c r="L33" s="3">
        <f t="shared" si="7"/>
        <v>2.02</v>
      </c>
      <c r="M33" s="3">
        <f t="shared" si="7"/>
        <v>2.02</v>
      </c>
      <c r="P33" s="14" t="s">
        <v>911</v>
      </c>
      <c r="Q33" s="10" t="str">
        <f t="shared" si="1"/>
        <v>COTEMINAS   -ON</v>
      </c>
      <c r="R33" s="51">
        <f t="shared" si="2"/>
        <v>41717</v>
      </c>
      <c r="S33" s="5">
        <f t="shared" si="3"/>
        <v>2.02</v>
      </c>
      <c r="T33" s="5">
        <f t="shared" si="4"/>
        <v>2.02</v>
      </c>
      <c r="U33" s="5">
        <f t="shared" si="5"/>
        <v>2.02</v>
      </c>
      <c r="V33" s="5">
        <f t="shared" si="6"/>
        <v>2.02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914</v>
      </c>
      <c r="D34" s="3" t="s">
        <v>2008</v>
      </c>
      <c r="E34" s="3" t="s">
        <v>2009</v>
      </c>
      <c r="F34" s="3" t="s">
        <v>1546</v>
      </c>
      <c r="G34" s="3" t="s">
        <v>2008</v>
      </c>
      <c r="H34" s="51">
        <v>41717</v>
      </c>
      <c r="J34" s="3">
        <f t="shared" si="7"/>
        <v>2.14</v>
      </c>
      <c r="K34" s="3">
        <f t="shared" si="7"/>
        <v>2.2599999999999998</v>
      </c>
      <c r="L34" s="3">
        <f t="shared" si="7"/>
        <v>2.33</v>
      </c>
      <c r="M34" s="3">
        <f t="shared" si="7"/>
        <v>2.14</v>
      </c>
      <c r="P34" s="14" t="s">
        <v>912</v>
      </c>
      <c r="Q34" s="10" t="str">
        <f t="shared" si="1"/>
        <v>COTEMINAS   -PN</v>
      </c>
      <c r="R34" s="51">
        <f t="shared" si="2"/>
        <v>41717</v>
      </c>
      <c r="S34" s="5">
        <f t="shared" si="3"/>
        <v>2.14</v>
      </c>
      <c r="T34" s="5">
        <f t="shared" si="4"/>
        <v>2.2599999999999998</v>
      </c>
      <c r="U34" s="5">
        <f t="shared" si="5"/>
        <v>2.33</v>
      </c>
      <c r="V34" s="5">
        <f t="shared" si="6"/>
        <v>2.14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917</v>
      </c>
      <c r="D35" s="3" t="s">
        <v>1378</v>
      </c>
      <c r="E35" s="3" t="s">
        <v>1378</v>
      </c>
      <c r="F35" s="3" t="s">
        <v>1378</v>
      </c>
      <c r="G35" s="3" t="s">
        <v>1378</v>
      </c>
      <c r="H35" s="51">
        <v>41717</v>
      </c>
      <c r="J35" s="3">
        <f t="shared" si="7"/>
        <v>4.96</v>
      </c>
      <c r="K35" s="3">
        <f t="shared" si="7"/>
        <v>4.96</v>
      </c>
      <c r="L35" s="3">
        <f t="shared" si="7"/>
        <v>4.96</v>
      </c>
      <c r="M35" s="3">
        <f t="shared" si="7"/>
        <v>4.96</v>
      </c>
      <c r="P35" s="14" t="s">
        <v>915</v>
      </c>
      <c r="Q35" s="10" t="str">
        <f t="shared" si="1"/>
        <v>SANTANENSE  -ON</v>
      </c>
      <c r="R35" s="46">
        <f t="shared" si="2"/>
        <v>41717</v>
      </c>
      <c r="S35" s="6">
        <f t="shared" si="3"/>
        <v>4.96</v>
      </c>
      <c r="T35" s="6">
        <f t="shared" si="4"/>
        <v>4.96</v>
      </c>
      <c r="U35" s="6">
        <f t="shared" si="5"/>
        <v>4.96</v>
      </c>
      <c r="V35" s="6">
        <f t="shared" si="6"/>
        <v>4.96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918</v>
      </c>
      <c r="D36" s="3" t="s">
        <v>1352</v>
      </c>
      <c r="E36" s="3" t="s">
        <v>1352</v>
      </c>
      <c r="F36" s="3" t="s">
        <v>1352</v>
      </c>
      <c r="G36" s="3" t="s">
        <v>1352</v>
      </c>
      <c r="H36" s="51">
        <v>41717</v>
      </c>
      <c r="J36" s="3">
        <f t="shared" si="7"/>
        <v>5.87</v>
      </c>
      <c r="K36" s="3">
        <f t="shared" si="7"/>
        <v>5.87</v>
      </c>
      <c r="L36" s="3">
        <f t="shared" si="7"/>
        <v>5.87</v>
      </c>
      <c r="M36" s="3">
        <f t="shared" si="7"/>
        <v>5.87</v>
      </c>
      <c r="P36" s="14" t="s">
        <v>916</v>
      </c>
      <c r="Q36" s="10" t="str">
        <f t="shared" si="1"/>
        <v>SANTANENSE  -PN</v>
      </c>
      <c r="R36" s="51">
        <f t="shared" si="2"/>
        <v>41717</v>
      </c>
      <c r="S36" s="5">
        <f t="shared" si="3"/>
        <v>5.87</v>
      </c>
      <c r="T36" s="5">
        <f t="shared" si="4"/>
        <v>5.87</v>
      </c>
      <c r="U36" s="5">
        <f t="shared" si="5"/>
        <v>5.87</v>
      </c>
      <c r="V36" s="5">
        <f t="shared" si="6"/>
        <v>5.87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920</v>
      </c>
      <c r="D37" s="3" t="s">
        <v>425</v>
      </c>
      <c r="E37" s="3" t="s">
        <v>426</v>
      </c>
      <c r="F37" s="3" t="s">
        <v>425</v>
      </c>
      <c r="G37" s="3" t="s">
        <v>425</v>
      </c>
      <c r="H37" s="51" t="s">
        <v>425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919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837</v>
      </c>
      <c r="D38" s="3" t="s">
        <v>1665</v>
      </c>
      <c r="E38" s="3" t="s">
        <v>2010</v>
      </c>
      <c r="F38" s="3" t="s">
        <v>2011</v>
      </c>
      <c r="G38" s="3" t="s">
        <v>1663</v>
      </c>
      <c r="H38" s="51">
        <v>41717</v>
      </c>
      <c r="J38" s="3">
        <f t="shared" si="7"/>
        <v>14.09</v>
      </c>
      <c r="K38" s="3">
        <f t="shared" si="7"/>
        <v>14.1</v>
      </c>
      <c r="L38" s="3">
        <f t="shared" si="7"/>
        <v>14.17</v>
      </c>
      <c r="M38" s="3">
        <f t="shared" si="7"/>
        <v>14.03</v>
      </c>
      <c r="P38" s="15" t="s">
        <v>836</v>
      </c>
      <c r="Q38" s="10" t="str">
        <f t="shared" si="1"/>
        <v xml:space="preserve">CVC BRASIL  -ON  </v>
      </c>
      <c r="R38" s="51">
        <f t="shared" si="2"/>
        <v>41717</v>
      </c>
      <c r="S38" s="5">
        <f t="shared" si="3"/>
        <v>14.09</v>
      </c>
      <c r="T38" s="5">
        <f t="shared" si="4"/>
        <v>14.1</v>
      </c>
      <c r="U38" s="5">
        <f t="shared" si="5"/>
        <v>14.17</v>
      </c>
      <c r="V38" s="5">
        <f t="shared" si="6"/>
        <v>14.03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1037</v>
      </c>
      <c r="D39" s="3" t="s">
        <v>1455</v>
      </c>
      <c r="E39" s="3" t="s">
        <v>2012</v>
      </c>
      <c r="F39" s="3" t="s">
        <v>2013</v>
      </c>
      <c r="G39" s="3" t="s">
        <v>1436</v>
      </c>
      <c r="H39" s="51">
        <v>41717</v>
      </c>
      <c r="J39" s="3">
        <f t="shared" si="7"/>
        <v>12.37</v>
      </c>
      <c r="K39" s="3">
        <f t="shared" si="7"/>
        <v>12.45</v>
      </c>
      <c r="L39" s="3">
        <f t="shared" si="7"/>
        <v>12.61</v>
      </c>
      <c r="M39" s="3">
        <f t="shared" si="7"/>
        <v>12.25</v>
      </c>
      <c r="P39" s="14" t="s">
        <v>1029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41717</v>
      </c>
      <c r="S39" s="5">
        <f t="shared" ref="S39:S70" si="10">J39</f>
        <v>12.37</v>
      </c>
      <c r="T39" s="5">
        <f t="shared" ref="T39:T70" si="11">K39</f>
        <v>12.45</v>
      </c>
      <c r="U39" s="5">
        <f t="shared" ref="U39:U70" si="12">L39</f>
        <v>12.61</v>
      </c>
      <c r="V39" s="5">
        <f t="shared" ref="V39:V70" si="13">M39</f>
        <v>12.25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1038</v>
      </c>
      <c r="D40" s="3" t="s">
        <v>2014</v>
      </c>
      <c r="E40" s="3" t="s">
        <v>2015</v>
      </c>
      <c r="F40" s="3" t="s">
        <v>2016</v>
      </c>
      <c r="G40" s="3" t="s">
        <v>2014</v>
      </c>
      <c r="H40" s="51">
        <v>41717</v>
      </c>
      <c r="J40" s="3">
        <f t="shared" si="7"/>
        <v>9.3000000000000007</v>
      </c>
      <c r="K40" s="3">
        <f t="shared" si="7"/>
        <v>9.5500000000000007</v>
      </c>
      <c r="L40" s="3">
        <f t="shared" si="7"/>
        <v>9.6</v>
      </c>
      <c r="M40" s="3">
        <f t="shared" si="7"/>
        <v>9.3000000000000007</v>
      </c>
      <c r="P40" s="14" t="s">
        <v>1030</v>
      </c>
      <c r="Q40" s="10" t="str">
        <f t="shared" si="8"/>
        <v xml:space="preserve">DIRECIONAL  -ON  </v>
      </c>
      <c r="R40" s="51">
        <f t="shared" si="9"/>
        <v>41717</v>
      </c>
      <c r="S40" s="5">
        <f t="shared" si="10"/>
        <v>9.3000000000000007</v>
      </c>
      <c r="T40" s="5">
        <f t="shared" si="11"/>
        <v>9.5500000000000007</v>
      </c>
      <c r="U40" s="5">
        <f t="shared" si="12"/>
        <v>9.6</v>
      </c>
      <c r="V40" s="5">
        <f t="shared" si="13"/>
        <v>9.3000000000000007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923</v>
      </c>
      <c r="D41" s="3" t="s">
        <v>425</v>
      </c>
      <c r="E41" s="3" t="s">
        <v>734</v>
      </c>
      <c r="F41" s="3" t="s">
        <v>734</v>
      </c>
      <c r="G41" s="3" t="s">
        <v>734</v>
      </c>
      <c r="H41" s="51">
        <v>41717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921</v>
      </c>
      <c r="Q41" s="10" t="str">
        <f t="shared" si="8"/>
        <v>DOHLER      -ON</v>
      </c>
      <c r="R41" s="51">
        <f t="shared" si="9"/>
        <v>41717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924</v>
      </c>
      <c r="D42" s="3" t="s">
        <v>1296</v>
      </c>
      <c r="E42" s="3" t="s">
        <v>1296</v>
      </c>
      <c r="F42" s="3" t="s">
        <v>1296</v>
      </c>
      <c r="G42" s="3" t="s">
        <v>1296</v>
      </c>
      <c r="H42" s="51">
        <v>41717</v>
      </c>
      <c r="J42" s="3">
        <f t="shared" si="7"/>
        <v>5.25</v>
      </c>
      <c r="K42" s="3">
        <f t="shared" si="7"/>
        <v>5.25</v>
      </c>
      <c r="L42" s="3">
        <f t="shared" si="7"/>
        <v>5.25</v>
      </c>
      <c r="M42" s="3">
        <f t="shared" si="7"/>
        <v>5.25</v>
      </c>
      <c r="P42" s="15" t="s">
        <v>922</v>
      </c>
      <c r="Q42" s="10" t="str">
        <f t="shared" si="8"/>
        <v>DOHLER      -PN</v>
      </c>
      <c r="R42" s="46">
        <f t="shared" si="9"/>
        <v>41717</v>
      </c>
      <c r="S42" s="6">
        <f t="shared" si="10"/>
        <v>5.25</v>
      </c>
      <c r="T42" s="6">
        <f t="shared" si="11"/>
        <v>5.25</v>
      </c>
      <c r="U42" s="6">
        <f t="shared" si="12"/>
        <v>5.25</v>
      </c>
      <c r="V42" s="6">
        <f t="shared" si="13"/>
        <v>5.25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927</v>
      </c>
      <c r="D43" s="3" t="s">
        <v>425</v>
      </c>
      <c r="E43" s="3" t="s">
        <v>928</v>
      </c>
      <c r="F43" s="3" t="s">
        <v>928</v>
      </c>
      <c r="G43" s="3" t="s">
        <v>928</v>
      </c>
      <c r="H43" s="51">
        <v>41717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925</v>
      </c>
      <c r="Q43" s="10" t="str">
        <f t="shared" si="8"/>
        <v>ENCORPAR    -ON</v>
      </c>
      <c r="R43" s="51">
        <f t="shared" si="9"/>
        <v>41717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929</v>
      </c>
      <c r="D44" s="3" t="s">
        <v>425</v>
      </c>
      <c r="E44" s="3" t="s">
        <v>888</v>
      </c>
      <c r="F44" s="3" t="s">
        <v>888</v>
      </c>
      <c r="G44" s="3" t="s">
        <v>888</v>
      </c>
      <c r="H44" s="51">
        <v>41717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926</v>
      </c>
      <c r="Q44" s="10" t="str">
        <f t="shared" si="8"/>
        <v>ENCORPAR    -PN</v>
      </c>
      <c r="R44" s="51">
        <f t="shared" si="9"/>
        <v>41717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901</v>
      </c>
      <c r="D45" s="3" t="s">
        <v>425</v>
      </c>
      <c r="E45" s="3" t="s">
        <v>708</v>
      </c>
      <c r="F45" s="3" t="s">
        <v>708</v>
      </c>
      <c r="G45" s="3" t="s">
        <v>708</v>
      </c>
      <c r="H45" s="51">
        <v>41717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899</v>
      </c>
      <c r="Q45" s="10" t="str">
        <f t="shared" si="8"/>
        <v>ESTRELA     -ON</v>
      </c>
      <c r="R45" s="51">
        <f t="shared" si="9"/>
        <v>41717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902</v>
      </c>
      <c r="D46" s="3" t="s">
        <v>515</v>
      </c>
      <c r="E46" s="3" t="s">
        <v>1302</v>
      </c>
      <c r="F46" s="3" t="s">
        <v>1302</v>
      </c>
      <c r="G46" s="3" t="s">
        <v>515</v>
      </c>
      <c r="H46" s="51">
        <v>41717</v>
      </c>
      <c r="J46" s="3">
        <f t="shared" si="7"/>
        <v>0.18</v>
      </c>
      <c r="K46" s="3">
        <f t="shared" si="7"/>
        <v>0.21</v>
      </c>
      <c r="L46" s="3">
        <f t="shared" si="7"/>
        <v>0.21</v>
      </c>
      <c r="M46" s="3">
        <f t="shared" si="7"/>
        <v>0.18</v>
      </c>
      <c r="P46" s="14" t="s">
        <v>900</v>
      </c>
      <c r="Q46" s="10" t="str">
        <f t="shared" si="8"/>
        <v>ESTRELA     -PN</v>
      </c>
      <c r="R46" s="51">
        <f t="shared" si="9"/>
        <v>41717</v>
      </c>
      <c r="S46" s="5">
        <f t="shared" si="10"/>
        <v>0.18</v>
      </c>
      <c r="T46" s="5">
        <f t="shared" si="11"/>
        <v>0.21</v>
      </c>
      <c r="U46" s="5">
        <f t="shared" si="12"/>
        <v>0.21</v>
      </c>
      <c r="V46" s="5">
        <f t="shared" si="13"/>
        <v>0.18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1039</v>
      </c>
      <c r="D47" s="3" t="s">
        <v>2017</v>
      </c>
      <c r="E47" s="3" t="s">
        <v>1561</v>
      </c>
      <c r="F47" s="3" t="s">
        <v>2018</v>
      </c>
      <c r="G47" s="3" t="s">
        <v>2017</v>
      </c>
      <c r="H47" s="51">
        <v>41717</v>
      </c>
      <c r="J47" s="3">
        <f t="shared" si="7"/>
        <v>6.84</v>
      </c>
      <c r="K47" s="3">
        <f t="shared" si="7"/>
        <v>6.96</v>
      </c>
      <c r="L47" s="3">
        <f t="shared" si="7"/>
        <v>7.05</v>
      </c>
      <c r="M47" s="3">
        <f t="shared" si="7"/>
        <v>6.84</v>
      </c>
      <c r="P47" s="15" t="s">
        <v>1031</v>
      </c>
      <c r="Q47" s="10" t="str">
        <f t="shared" si="8"/>
        <v xml:space="preserve">EVEN        -ON  </v>
      </c>
      <c r="R47" s="51">
        <f t="shared" si="9"/>
        <v>41717</v>
      </c>
      <c r="S47" s="5">
        <f t="shared" si="10"/>
        <v>6.84</v>
      </c>
      <c r="T47" s="5">
        <f t="shared" si="11"/>
        <v>6.96</v>
      </c>
      <c r="U47" s="5">
        <f t="shared" si="12"/>
        <v>7.05</v>
      </c>
      <c r="V47" s="5">
        <f t="shared" si="13"/>
        <v>6.84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1040</v>
      </c>
      <c r="D48" s="3" t="s">
        <v>2019</v>
      </c>
      <c r="E48" s="3" t="s">
        <v>2020</v>
      </c>
      <c r="F48" s="3" t="s">
        <v>2019</v>
      </c>
      <c r="G48" s="3" t="s">
        <v>2021</v>
      </c>
      <c r="H48" s="51">
        <v>41717</v>
      </c>
      <c r="J48" s="3">
        <f t="shared" si="7"/>
        <v>26.04</v>
      </c>
      <c r="K48" s="3">
        <f t="shared" si="7"/>
        <v>25.91</v>
      </c>
      <c r="L48" s="3">
        <f t="shared" si="7"/>
        <v>26.04</v>
      </c>
      <c r="M48" s="3">
        <f t="shared" si="7"/>
        <v>25.34</v>
      </c>
      <c r="P48" s="10" t="s">
        <v>1032</v>
      </c>
      <c r="Q48" s="10" t="str">
        <f t="shared" si="8"/>
        <v xml:space="preserve">EZTEC       -ON  </v>
      </c>
      <c r="R48" s="51">
        <f t="shared" si="9"/>
        <v>41717</v>
      </c>
      <c r="S48" s="5">
        <f t="shared" si="10"/>
        <v>26.04</v>
      </c>
      <c r="T48" s="5">
        <f t="shared" si="11"/>
        <v>25.91</v>
      </c>
      <c r="U48" s="5">
        <f t="shared" si="12"/>
        <v>26.04</v>
      </c>
      <c r="V48" s="5">
        <f t="shared" si="13"/>
        <v>25.34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1041</v>
      </c>
      <c r="D49" s="3" t="s">
        <v>1325</v>
      </c>
      <c r="E49" s="3" t="s">
        <v>2022</v>
      </c>
      <c r="F49" s="3" t="s">
        <v>1937</v>
      </c>
      <c r="G49" s="3" t="s">
        <v>1325</v>
      </c>
      <c r="H49" s="51">
        <v>41717</v>
      </c>
      <c r="J49" s="3">
        <f t="shared" si="7"/>
        <v>3.03</v>
      </c>
      <c r="K49" s="3">
        <f t="shared" si="7"/>
        <v>3.1</v>
      </c>
      <c r="L49" s="3">
        <f t="shared" si="7"/>
        <v>3.13</v>
      </c>
      <c r="M49" s="3">
        <f t="shared" si="7"/>
        <v>3.03</v>
      </c>
      <c r="P49" s="14" t="s">
        <v>1033</v>
      </c>
      <c r="Q49" s="10" t="str">
        <f t="shared" si="8"/>
        <v xml:space="preserve">GAFISA      -ON  </v>
      </c>
      <c r="R49" s="51">
        <f t="shared" si="9"/>
        <v>41717</v>
      </c>
      <c r="S49" s="5">
        <f t="shared" si="10"/>
        <v>3.03</v>
      </c>
      <c r="T49" s="5">
        <f t="shared" si="11"/>
        <v>3.1</v>
      </c>
      <c r="U49" s="5">
        <f t="shared" si="12"/>
        <v>3.13</v>
      </c>
      <c r="V49" s="5">
        <f t="shared" si="13"/>
        <v>3.03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1457</v>
      </c>
      <c r="D50" s="3" t="s">
        <v>2023</v>
      </c>
      <c r="E50" s="3" t="s">
        <v>2024</v>
      </c>
      <c r="F50" s="3" t="s">
        <v>2023</v>
      </c>
      <c r="G50" s="3" t="s">
        <v>2024</v>
      </c>
      <c r="H50" s="51">
        <v>41717</v>
      </c>
      <c r="J50" s="3">
        <f t="shared" si="7"/>
        <v>90.9</v>
      </c>
      <c r="K50" s="3">
        <f t="shared" si="7"/>
        <v>90.5</v>
      </c>
      <c r="L50" s="3">
        <f t="shared" si="7"/>
        <v>90.9</v>
      </c>
      <c r="M50" s="3">
        <f t="shared" si="7"/>
        <v>90.5</v>
      </c>
      <c r="P50" s="14" t="s">
        <v>1003</v>
      </c>
      <c r="Q50" s="10" t="str">
        <f t="shared" si="8"/>
        <v xml:space="preserve">GUARARAPES  -ON  </v>
      </c>
      <c r="R50" s="51">
        <f t="shared" si="9"/>
        <v>41717</v>
      </c>
      <c r="S50" s="5">
        <f t="shared" si="10"/>
        <v>90.9</v>
      </c>
      <c r="T50" s="5">
        <f t="shared" si="11"/>
        <v>90.5</v>
      </c>
      <c r="U50" s="5">
        <f t="shared" si="12"/>
        <v>90.9</v>
      </c>
      <c r="V50" s="5">
        <f t="shared" si="13"/>
        <v>90.5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1458</v>
      </c>
      <c r="D51" s="3" t="s">
        <v>2025</v>
      </c>
      <c r="E51" s="3" t="s">
        <v>2026</v>
      </c>
      <c r="F51" s="3" t="s">
        <v>2027</v>
      </c>
      <c r="G51" s="3" t="s">
        <v>2025</v>
      </c>
      <c r="H51" s="51">
        <v>41717</v>
      </c>
      <c r="J51" s="3">
        <f t="shared" si="7"/>
        <v>80.02</v>
      </c>
      <c r="K51" s="3">
        <f t="shared" si="7"/>
        <v>81.900000000000006</v>
      </c>
      <c r="L51" s="3">
        <f t="shared" si="7"/>
        <v>82</v>
      </c>
      <c r="M51" s="3">
        <f t="shared" si="7"/>
        <v>80.02</v>
      </c>
      <c r="P51" s="14" t="s">
        <v>1004</v>
      </c>
      <c r="Q51" s="10" t="str">
        <f t="shared" si="8"/>
        <v xml:space="preserve">GUARARAPES  -PN  </v>
      </c>
      <c r="R51" s="46">
        <f t="shared" si="9"/>
        <v>41717</v>
      </c>
      <c r="S51" s="6">
        <f t="shared" si="10"/>
        <v>80.02</v>
      </c>
      <c r="T51" s="6">
        <f t="shared" si="11"/>
        <v>81.900000000000006</v>
      </c>
      <c r="U51" s="6">
        <f t="shared" si="12"/>
        <v>82</v>
      </c>
      <c r="V51" s="6">
        <f t="shared" si="13"/>
        <v>80.02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1042</v>
      </c>
      <c r="D52" s="3" t="s">
        <v>2028</v>
      </c>
      <c r="E52" s="3" t="s">
        <v>2029</v>
      </c>
      <c r="F52" s="3" t="s">
        <v>1561</v>
      </c>
      <c r="G52" s="3" t="s">
        <v>1456</v>
      </c>
      <c r="H52" s="51">
        <v>41717</v>
      </c>
      <c r="J52" s="3">
        <f t="shared" si="7"/>
        <v>6.78</v>
      </c>
      <c r="K52" s="3">
        <f t="shared" si="7"/>
        <v>6.81</v>
      </c>
      <c r="L52" s="3">
        <f t="shared" si="7"/>
        <v>6.96</v>
      </c>
      <c r="M52" s="3">
        <f t="shared" si="7"/>
        <v>6.71</v>
      </c>
      <c r="P52" s="14" t="s">
        <v>1034</v>
      </c>
      <c r="Q52" s="10" t="str">
        <f t="shared" si="8"/>
        <v xml:space="preserve">HELBOR      -ON  </v>
      </c>
      <c r="R52" s="51">
        <f t="shared" si="9"/>
        <v>41717</v>
      </c>
      <c r="S52" s="5">
        <f t="shared" si="10"/>
        <v>6.78</v>
      </c>
      <c r="T52" s="5">
        <f t="shared" si="11"/>
        <v>6.81</v>
      </c>
      <c r="U52" s="5">
        <f t="shared" si="12"/>
        <v>6.96</v>
      </c>
      <c r="V52" s="5">
        <f t="shared" si="13"/>
        <v>6.71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908</v>
      </c>
      <c r="D53" s="3" t="s">
        <v>425</v>
      </c>
      <c r="E53" s="3" t="s">
        <v>652</v>
      </c>
      <c r="F53" s="3" t="s">
        <v>652</v>
      </c>
      <c r="G53" s="3" t="s">
        <v>652</v>
      </c>
      <c r="H53" s="51">
        <v>41717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906</v>
      </c>
      <c r="Q53" s="10" t="str">
        <f t="shared" si="8"/>
        <v>HERCULES    -ON</v>
      </c>
      <c r="R53" s="51">
        <f t="shared" si="9"/>
        <v>41717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909</v>
      </c>
      <c r="D54" s="3" t="s">
        <v>1538</v>
      </c>
      <c r="E54" s="61" t="s">
        <v>1538</v>
      </c>
      <c r="F54" s="61" t="s">
        <v>1538</v>
      </c>
      <c r="G54" s="61" t="s">
        <v>1538</v>
      </c>
      <c r="H54" s="51">
        <v>41717</v>
      </c>
      <c r="J54" s="3">
        <f t="shared" si="7"/>
        <v>0.28999999999999998</v>
      </c>
      <c r="K54" s="3">
        <f t="shared" si="7"/>
        <v>0.28999999999999998</v>
      </c>
      <c r="L54" s="3">
        <f t="shared" si="7"/>
        <v>0.28999999999999998</v>
      </c>
      <c r="M54" s="3">
        <f t="shared" si="7"/>
        <v>0.28999999999999998</v>
      </c>
      <c r="P54" s="14" t="s">
        <v>907</v>
      </c>
      <c r="Q54" s="10" t="str">
        <f t="shared" si="8"/>
        <v>HERCULES    -PN</v>
      </c>
      <c r="R54" s="51">
        <f t="shared" si="9"/>
        <v>41717</v>
      </c>
      <c r="S54" s="5">
        <f t="shared" si="10"/>
        <v>0.28999999999999998</v>
      </c>
      <c r="T54" s="5">
        <f t="shared" si="11"/>
        <v>0.28999999999999998</v>
      </c>
      <c r="U54" s="5">
        <f t="shared" si="12"/>
        <v>0.28999999999999998</v>
      </c>
      <c r="V54" s="5">
        <f t="shared" si="13"/>
        <v>0.28999999999999998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875</v>
      </c>
      <c r="D55" s="3" t="s">
        <v>2030</v>
      </c>
      <c r="E55" s="3" t="s">
        <v>1316</v>
      </c>
      <c r="F55" s="3" t="s">
        <v>1593</v>
      </c>
      <c r="G55" s="3" t="s">
        <v>2031</v>
      </c>
      <c r="H55" s="51">
        <v>41717</v>
      </c>
      <c r="J55" s="3">
        <f t="shared" si="7"/>
        <v>27.17</v>
      </c>
      <c r="K55" s="3">
        <f t="shared" si="7"/>
        <v>27</v>
      </c>
      <c r="L55" s="3">
        <f t="shared" si="7"/>
        <v>27.35</v>
      </c>
      <c r="M55" s="3">
        <f t="shared" si="7"/>
        <v>26.77</v>
      </c>
      <c r="P55" s="14" t="s">
        <v>874</v>
      </c>
      <c r="Q55" s="10" t="str">
        <f t="shared" si="8"/>
        <v xml:space="preserve">CIA HERING  -ON  </v>
      </c>
      <c r="R55" s="51">
        <f t="shared" si="9"/>
        <v>41717</v>
      </c>
      <c r="S55" s="5">
        <f t="shared" si="10"/>
        <v>27.17</v>
      </c>
      <c r="T55" s="5">
        <f t="shared" si="11"/>
        <v>27</v>
      </c>
      <c r="U55" s="5">
        <f t="shared" si="12"/>
        <v>27.35</v>
      </c>
      <c r="V55" s="5">
        <f t="shared" si="13"/>
        <v>26.77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873</v>
      </c>
      <c r="D56" s="3" t="s">
        <v>2032</v>
      </c>
      <c r="E56" s="3" t="s">
        <v>1578</v>
      </c>
      <c r="F56" s="3" t="s">
        <v>1746</v>
      </c>
      <c r="G56" s="3" t="s">
        <v>2032</v>
      </c>
      <c r="H56" s="51">
        <v>41717</v>
      </c>
      <c r="J56" s="3">
        <f t="shared" si="7"/>
        <v>5.09</v>
      </c>
      <c r="K56" s="3">
        <f t="shared" si="7"/>
        <v>5.0999999999999996</v>
      </c>
      <c r="L56" s="3">
        <f t="shared" si="7"/>
        <v>5.35</v>
      </c>
      <c r="M56" s="3">
        <f t="shared" si="7"/>
        <v>5.09</v>
      </c>
      <c r="P56" s="14" t="s">
        <v>872</v>
      </c>
      <c r="Q56" s="10" t="str">
        <f t="shared" si="8"/>
        <v>IGB S/A     -ON</v>
      </c>
      <c r="R56" s="51">
        <f t="shared" si="9"/>
        <v>41717</v>
      </c>
      <c r="S56" s="5">
        <f t="shared" si="10"/>
        <v>5.09</v>
      </c>
      <c r="T56" s="5">
        <f t="shared" si="11"/>
        <v>5.0999999999999996</v>
      </c>
      <c r="U56" s="5">
        <f t="shared" si="12"/>
        <v>5.35</v>
      </c>
      <c r="V56" s="5">
        <f t="shared" si="13"/>
        <v>5.09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821</v>
      </c>
      <c r="D57" s="3" t="s">
        <v>184</v>
      </c>
      <c r="E57" s="3" t="s">
        <v>184</v>
      </c>
      <c r="F57" s="3" t="s">
        <v>184</v>
      </c>
      <c r="G57" s="3" t="s">
        <v>184</v>
      </c>
      <c r="H57" s="51">
        <v>41717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818</v>
      </c>
      <c r="Q57" s="10" t="str">
        <f t="shared" si="8"/>
        <v>IGUACU CAFE -ON</v>
      </c>
      <c r="R57" s="51">
        <f t="shared" si="9"/>
        <v>41717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822</v>
      </c>
      <c r="D58" s="3" t="s">
        <v>2033</v>
      </c>
      <c r="E58" s="3" t="s">
        <v>2033</v>
      </c>
      <c r="F58" s="3" t="s">
        <v>2033</v>
      </c>
      <c r="G58" s="3" t="s">
        <v>2033</v>
      </c>
      <c r="H58" s="51">
        <v>41717</v>
      </c>
      <c r="J58" s="3">
        <f t="shared" si="7"/>
        <v>2.54</v>
      </c>
      <c r="K58" s="3">
        <f t="shared" si="7"/>
        <v>2.54</v>
      </c>
      <c r="L58" s="3">
        <f t="shared" si="7"/>
        <v>2.54</v>
      </c>
      <c r="M58" s="3">
        <f t="shared" si="7"/>
        <v>2.54</v>
      </c>
      <c r="P58" s="15" t="s">
        <v>819</v>
      </c>
      <c r="Q58" s="10" t="str">
        <f t="shared" si="8"/>
        <v>IGUACU CAFE -PNA</v>
      </c>
      <c r="R58" s="51">
        <f t="shared" si="9"/>
        <v>41717</v>
      </c>
      <c r="S58" s="5">
        <f t="shared" si="10"/>
        <v>2.54</v>
      </c>
      <c r="T58" s="5">
        <f t="shared" si="11"/>
        <v>2.54</v>
      </c>
      <c r="U58" s="5">
        <f t="shared" si="12"/>
        <v>2.54</v>
      </c>
      <c r="V58" s="5">
        <f t="shared" si="13"/>
        <v>2.54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823</v>
      </c>
      <c r="D59" s="3" t="s">
        <v>750</v>
      </c>
      <c r="E59" s="61" t="s">
        <v>750</v>
      </c>
      <c r="F59" s="61" t="s">
        <v>750</v>
      </c>
      <c r="G59" s="61" t="s">
        <v>750</v>
      </c>
      <c r="H59" s="51">
        <v>41717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820</v>
      </c>
      <c r="Q59" s="10" t="str">
        <f t="shared" si="8"/>
        <v>IGUACU CAFE -PNB</v>
      </c>
      <c r="R59" s="51">
        <f t="shared" si="9"/>
        <v>41717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993</v>
      </c>
      <c r="D60" s="3" t="s">
        <v>1510</v>
      </c>
      <c r="E60" s="61" t="s">
        <v>2034</v>
      </c>
      <c r="F60" s="61" t="s">
        <v>2035</v>
      </c>
      <c r="G60" s="61" t="s">
        <v>1976</v>
      </c>
      <c r="H60" s="51">
        <v>41717</v>
      </c>
      <c r="J60" s="3">
        <f t="shared" si="7"/>
        <v>15.96</v>
      </c>
      <c r="K60" s="3">
        <f t="shared" si="7"/>
        <v>16.350000000000001</v>
      </c>
      <c r="L60" s="3">
        <f t="shared" si="7"/>
        <v>16.440000000000001</v>
      </c>
      <c r="M60" s="3">
        <f t="shared" si="7"/>
        <v>15.76</v>
      </c>
      <c r="P60" s="14" t="s">
        <v>990</v>
      </c>
      <c r="Q60" s="10" t="str">
        <f t="shared" si="8"/>
        <v xml:space="preserve">IMC HOLDINGS-ON  </v>
      </c>
      <c r="R60" s="51">
        <f t="shared" si="9"/>
        <v>41717</v>
      </c>
      <c r="S60" s="5">
        <f t="shared" si="10"/>
        <v>15.96</v>
      </c>
      <c r="T60" s="5">
        <f t="shared" si="11"/>
        <v>16.350000000000001</v>
      </c>
      <c r="U60" s="5">
        <f t="shared" si="12"/>
        <v>16.440000000000001</v>
      </c>
      <c r="V60" s="5">
        <f t="shared" si="13"/>
        <v>15.76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1054</v>
      </c>
      <c r="D61" s="3" t="s">
        <v>1459</v>
      </c>
      <c r="E61" s="3" t="s">
        <v>1459</v>
      </c>
      <c r="F61" s="3" t="s">
        <v>1459</v>
      </c>
      <c r="G61" s="3" t="s">
        <v>1459</v>
      </c>
      <c r="H61" s="51">
        <v>41717</v>
      </c>
      <c r="J61" s="3">
        <f t="shared" si="7"/>
        <v>5.29</v>
      </c>
      <c r="K61" s="3">
        <f t="shared" si="7"/>
        <v>5.29</v>
      </c>
      <c r="L61" s="3">
        <f t="shared" si="7"/>
        <v>5.29</v>
      </c>
      <c r="M61" s="3">
        <f t="shared" si="7"/>
        <v>5.29</v>
      </c>
      <c r="P61" s="10" t="s">
        <v>1044</v>
      </c>
      <c r="Q61" s="10" t="str">
        <f t="shared" si="8"/>
        <v>JOAO FORTES -ON</v>
      </c>
      <c r="R61" s="51">
        <f t="shared" si="9"/>
        <v>41717</v>
      </c>
      <c r="S61" s="5">
        <f t="shared" si="10"/>
        <v>5.29</v>
      </c>
      <c r="T61" s="5">
        <f t="shared" si="11"/>
        <v>5.29</v>
      </c>
      <c r="U61" s="5">
        <f t="shared" si="12"/>
        <v>5.29</v>
      </c>
      <c r="V61" s="5">
        <f t="shared" si="13"/>
        <v>5.29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1043</v>
      </c>
      <c r="D62" s="3" t="s">
        <v>1626</v>
      </c>
      <c r="E62" s="3" t="s">
        <v>2036</v>
      </c>
      <c r="F62" s="3" t="s">
        <v>1403</v>
      </c>
      <c r="G62" s="3" t="s">
        <v>184</v>
      </c>
      <c r="H62" s="51">
        <v>41717</v>
      </c>
      <c r="J62" s="3">
        <f t="shared" si="7"/>
        <v>4.03</v>
      </c>
      <c r="K62" s="3">
        <f t="shared" si="7"/>
        <v>4.01</v>
      </c>
      <c r="L62" s="3">
        <f t="shared" si="7"/>
        <v>4.08</v>
      </c>
      <c r="M62" s="3">
        <f t="shared" si="7"/>
        <v>4</v>
      </c>
      <c r="P62" s="10" t="s">
        <v>1035</v>
      </c>
      <c r="Q62" s="10" t="str">
        <f t="shared" si="8"/>
        <v xml:space="preserve">JHSF PART   -ON  </v>
      </c>
      <c r="R62" s="51">
        <f t="shared" si="9"/>
        <v>41717</v>
      </c>
      <c r="S62" s="5">
        <f t="shared" si="10"/>
        <v>4.03</v>
      </c>
      <c r="T62" s="5">
        <f t="shared" si="11"/>
        <v>4.01</v>
      </c>
      <c r="U62" s="5">
        <f t="shared" si="12"/>
        <v>4.08</v>
      </c>
      <c r="V62" s="5">
        <f t="shared" si="13"/>
        <v>4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247</v>
      </c>
      <c r="D63" s="3" t="s">
        <v>1397</v>
      </c>
      <c r="E63" s="3" t="s">
        <v>1397</v>
      </c>
      <c r="F63" s="3" t="s">
        <v>1397</v>
      </c>
      <c r="G63" s="3" t="s">
        <v>1397</v>
      </c>
      <c r="H63" s="51">
        <v>41717</v>
      </c>
      <c r="J63" s="3">
        <f t="shared" si="7"/>
        <v>17.05</v>
      </c>
      <c r="K63" s="3">
        <f t="shared" si="7"/>
        <v>17.05</v>
      </c>
      <c r="L63" s="3">
        <f t="shared" si="7"/>
        <v>17.05</v>
      </c>
      <c r="M63" s="3">
        <f t="shared" si="7"/>
        <v>17.05</v>
      </c>
      <c r="P63" s="14" t="s">
        <v>245</v>
      </c>
      <c r="Q63" s="10" t="str">
        <f t="shared" si="8"/>
        <v>JOSAPAR     -ON</v>
      </c>
      <c r="R63" s="46">
        <f t="shared" si="9"/>
        <v>41717</v>
      </c>
      <c r="S63" s="6">
        <f t="shared" si="10"/>
        <v>17.05</v>
      </c>
      <c r="T63" s="6">
        <f t="shared" si="11"/>
        <v>17.05</v>
      </c>
      <c r="U63" s="5">
        <f t="shared" si="12"/>
        <v>17.05</v>
      </c>
      <c r="V63" s="5">
        <f t="shared" si="13"/>
        <v>17.05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248</v>
      </c>
      <c r="D64" s="3" t="s">
        <v>1347</v>
      </c>
      <c r="E64" s="3" t="s">
        <v>1347</v>
      </c>
      <c r="F64" s="3" t="s">
        <v>1347</v>
      </c>
      <c r="G64" s="3" t="s">
        <v>1347</v>
      </c>
      <c r="H64" s="51">
        <v>41717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4" t="s">
        <v>246</v>
      </c>
      <c r="Q64" s="10" t="str">
        <f t="shared" si="8"/>
        <v>JOSAPAR     -PN</v>
      </c>
      <c r="R64" s="51">
        <f t="shared" si="9"/>
        <v>41717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1007</v>
      </c>
      <c r="D65" s="3" t="s">
        <v>425</v>
      </c>
      <c r="E65" s="3" t="s">
        <v>426</v>
      </c>
      <c r="F65" s="3" t="s">
        <v>425</v>
      </c>
      <c r="G65" s="3" t="s">
        <v>425</v>
      </c>
      <c r="H65" s="51" t="s">
        <v>425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1005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1008</v>
      </c>
      <c r="D66" s="3" t="s">
        <v>1308</v>
      </c>
      <c r="E66" s="3" t="s">
        <v>1308</v>
      </c>
      <c r="F66" s="3" t="s">
        <v>1308</v>
      </c>
      <c r="G66" s="3" t="s">
        <v>1308</v>
      </c>
      <c r="H66" s="51">
        <v>41717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1006</v>
      </c>
      <c r="Q66" s="10" t="str">
        <f t="shared" si="8"/>
        <v>LOJAS HERING-PN</v>
      </c>
      <c r="R66" s="51">
        <f t="shared" si="9"/>
        <v>41717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995</v>
      </c>
      <c r="D67" s="3" t="s">
        <v>1484</v>
      </c>
      <c r="E67" s="3" t="s">
        <v>2037</v>
      </c>
      <c r="F67" s="3" t="s">
        <v>2038</v>
      </c>
      <c r="G67" s="3" t="s">
        <v>2039</v>
      </c>
      <c r="H67" s="51">
        <v>41717</v>
      </c>
      <c r="J67" s="3">
        <f t="shared" si="7"/>
        <v>6</v>
      </c>
      <c r="K67" s="3">
        <f t="shared" si="7"/>
        <v>6.08</v>
      </c>
      <c r="L67" s="3">
        <f t="shared" si="7"/>
        <v>6.13</v>
      </c>
      <c r="M67" s="3">
        <f t="shared" si="7"/>
        <v>5.97</v>
      </c>
      <c r="P67" s="15" t="s">
        <v>994</v>
      </c>
      <c r="Q67" s="10" t="str">
        <f t="shared" si="8"/>
        <v xml:space="preserve">LE LIS BLANC-ON  </v>
      </c>
      <c r="R67" s="51">
        <f t="shared" si="9"/>
        <v>41717</v>
      </c>
      <c r="S67" s="5">
        <f t="shared" si="10"/>
        <v>6</v>
      </c>
      <c r="T67" s="5">
        <f t="shared" si="11"/>
        <v>6.08</v>
      </c>
      <c r="U67" s="5">
        <f t="shared" si="12"/>
        <v>6.13</v>
      </c>
      <c r="V67" s="5">
        <f t="shared" si="13"/>
        <v>5.97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1010</v>
      </c>
      <c r="D68" s="3" t="s">
        <v>2040</v>
      </c>
      <c r="E68" s="3" t="s">
        <v>2041</v>
      </c>
      <c r="F68" s="3" t="s">
        <v>2042</v>
      </c>
      <c r="G68" s="3" t="s">
        <v>2043</v>
      </c>
      <c r="H68" s="51">
        <v>41717</v>
      </c>
      <c r="J68" s="3">
        <f t="shared" si="7"/>
        <v>59.45</v>
      </c>
      <c r="K68" s="3">
        <f t="shared" si="7"/>
        <v>59.2</v>
      </c>
      <c r="L68" s="3">
        <f t="shared" si="7"/>
        <v>59.76</v>
      </c>
      <c r="M68" s="3">
        <f t="shared" si="7"/>
        <v>58.64</v>
      </c>
      <c r="P68" s="15" t="s">
        <v>1009</v>
      </c>
      <c r="Q68" s="10" t="str">
        <f t="shared" si="8"/>
        <v xml:space="preserve">LOJAS RENNER-ON  </v>
      </c>
      <c r="R68" s="51">
        <f t="shared" si="9"/>
        <v>41717</v>
      </c>
      <c r="S68" s="5">
        <f t="shared" si="10"/>
        <v>59.45</v>
      </c>
      <c r="T68" s="5">
        <f t="shared" si="11"/>
        <v>59.2</v>
      </c>
      <c r="U68" s="5">
        <f t="shared" si="12"/>
        <v>59.76</v>
      </c>
      <c r="V68" s="5">
        <f t="shared" si="13"/>
        <v>58.64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865</v>
      </c>
      <c r="D69" s="3" t="s">
        <v>2044</v>
      </c>
      <c r="E69" s="3" t="s">
        <v>1338</v>
      </c>
      <c r="F69" s="3" t="s">
        <v>2044</v>
      </c>
      <c r="G69" s="3" t="s">
        <v>2045</v>
      </c>
      <c r="H69" s="51">
        <v>41717</v>
      </c>
      <c r="J69" s="3">
        <f t="shared" si="7"/>
        <v>6.2</v>
      </c>
      <c r="K69" s="3">
        <f t="shared" si="7"/>
        <v>6.12</v>
      </c>
      <c r="L69" s="3">
        <f t="shared" si="7"/>
        <v>6.2</v>
      </c>
      <c r="M69" s="3">
        <f t="shared" si="7"/>
        <v>6.05</v>
      </c>
      <c r="P69" s="15" t="s">
        <v>864</v>
      </c>
      <c r="Q69" s="10" t="str">
        <f t="shared" si="8"/>
        <v xml:space="preserve">MAGAZ LUIZA -ON  </v>
      </c>
      <c r="R69" s="51">
        <f t="shared" si="9"/>
        <v>41717</v>
      </c>
      <c r="S69" s="5">
        <f t="shared" si="10"/>
        <v>6.2</v>
      </c>
      <c r="T69" s="5">
        <f t="shared" si="11"/>
        <v>6.12</v>
      </c>
      <c r="U69" s="5">
        <f t="shared" si="12"/>
        <v>6.2</v>
      </c>
      <c r="V69" s="5">
        <f t="shared" si="13"/>
        <v>6.05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967</v>
      </c>
      <c r="D70" s="3" t="s">
        <v>1342</v>
      </c>
      <c r="E70" s="3" t="s">
        <v>1342</v>
      </c>
      <c r="F70" s="3" t="s">
        <v>1342</v>
      </c>
      <c r="G70" s="3" t="s">
        <v>1342</v>
      </c>
      <c r="H70" s="51">
        <v>41717</v>
      </c>
      <c r="J70" s="3">
        <f t="shared" si="7"/>
        <v>9.01</v>
      </c>
      <c r="K70" s="3">
        <f t="shared" si="7"/>
        <v>9.01</v>
      </c>
      <c r="L70" s="3">
        <f t="shared" si="7"/>
        <v>9.01</v>
      </c>
      <c r="M70" s="3">
        <f t="shared" si="7"/>
        <v>9.01</v>
      </c>
      <c r="P70" s="14" t="s">
        <v>965</v>
      </c>
      <c r="Q70" s="10" t="str">
        <f t="shared" si="8"/>
        <v>MUNDIAL     -ON</v>
      </c>
      <c r="R70" s="51">
        <f t="shared" si="9"/>
        <v>41717</v>
      </c>
      <c r="S70" s="5">
        <f t="shared" si="10"/>
        <v>9.01</v>
      </c>
      <c r="T70" s="5">
        <f t="shared" si="11"/>
        <v>9.01</v>
      </c>
      <c r="U70" s="5">
        <f t="shared" si="12"/>
        <v>9.01</v>
      </c>
      <c r="V70" s="5">
        <f t="shared" si="13"/>
        <v>9.01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1055</v>
      </c>
      <c r="D71" s="3" t="s">
        <v>1560</v>
      </c>
      <c r="E71" s="3" t="s">
        <v>671</v>
      </c>
      <c r="F71" s="3" t="s">
        <v>2046</v>
      </c>
      <c r="G71" s="3" t="s">
        <v>2047</v>
      </c>
      <c r="H71" s="51">
        <v>41717</v>
      </c>
      <c r="J71" s="3">
        <f t="shared" si="7"/>
        <v>7.14</v>
      </c>
      <c r="K71" s="3">
        <f t="shared" si="7"/>
        <v>7.11</v>
      </c>
      <c r="L71" s="3">
        <f t="shared" si="7"/>
        <v>7.29</v>
      </c>
      <c r="M71" s="3">
        <f t="shared" si="7"/>
        <v>7.02</v>
      </c>
      <c r="P71" s="15" t="s">
        <v>1045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41717</v>
      </c>
      <c r="S71" s="5">
        <f t="shared" ref="S71:S102" si="16">J71</f>
        <v>7.14</v>
      </c>
      <c r="T71" s="5">
        <f t="shared" ref="T71:T102" si="17">K71</f>
        <v>7.11</v>
      </c>
      <c r="U71" s="5">
        <f t="shared" ref="U71:U102" si="18">L71</f>
        <v>7.29</v>
      </c>
      <c r="V71" s="5">
        <f t="shared" ref="V71:V102" si="19">M71</f>
        <v>7.02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1461</v>
      </c>
      <c r="D72" s="3" t="s">
        <v>425</v>
      </c>
      <c r="E72" s="3" t="s">
        <v>426</v>
      </c>
      <c r="F72" s="3" t="s">
        <v>425</v>
      </c>
      <c r="G72" s="3" t="s">
        <v>425</v>
      </c>
      <c r="H72" s="51" t="s">
        <v>425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903</v>
      </c>
      <c r="Q72" s="10" t="str">
        <f t="shared" si="14"/>
        <v xml:space="preserve">NADIR FIGUEI-ON  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1462</v>
      </c>
      <c r="D73" s="3" t="s">
        <v>395</v>
      </c>
      <c r="E73" s="3" t="s">
        <v>395</v>
      </c>
      <c r="F73" s="3" t="s">
        <v>395</v>
      </c>
      <c r="G73" s="3" t="s">
        <v>395</v>
      </c>
      <c r="H73" s="51">
        <v>41717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904</v>
      </c>
      <c r="Q73" s="10" t="str">
        <f t="shared" si="14"/>
        <v xml:space="preserve">NADIR FIGUEI-PN  </v>
      </c>
      <c r="R73" s="51">
        <f t="shared" si="15"/>
        <v>41717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972</v>
      </c>
      <c r="D74" s="3" t="s">
        <v>1281</v>
      </c>
      <c r="E74" s="3" t="s">
        <v>1281</v>
      </c>
      <c r="F74" s="3" t="s">
        <v>1281</v>
      </c>
      <c r="G74" s="3" t="s">
        <v>1281</v>
      </c>
      <c r="H74" s="51">
        <v>41717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970</v>
      </c>
      <c r="Q74" s="10" t="str">
        <f t="shared" si="14"/>
        <v>NET         -ON</v>
      </c>
      <c r="R74" s="51">
        <f t="shared" si="15"/>
        <v>41717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973</v>
      </c>
      <c r="D75" s="3" t="s">
        <v>613</v>
      </c>
      <c r="E75" s="3" t="s">
        <v>2048</v>
      </c>
      <c r="F75" s="3" t="s">
        <v>613</v>
      </c>
      <c r="G75" s="3" t="s">
        <v>2048</v>
      </c>
      <c r="H75" s="51">
        <v>41717</v>
      </c>
      <c r="J75" s="3">
        <f t="shared" si="20"/>
        <v>28</v>
      </c>
      <c r="K75" s="3">
        <f t="shared" si="20"/>
        <v>27.8</v>
      </c>
      <c r="L75" s="3">
        <f t="shared" si="20"/>
        <v>28</v>
      </c>
      <c r="M75" s="3">
        <f t="shared" si="20"/>
        <v>27.8</v>
      </c>
      <c r="P75" s="14" t="s">
        <v>971</v>
      </c>
      <c r="Q75" s="10" t="str">
        <f t="shared" si="14"/>
        <v>NET         -PN</v>
      </c>
      <c r="R75" s="51">
        <f t="shared" si="15"/>
        <v>41717</v>
      </c>
      <c r="S75" s="5">
        <f t="shared" si="16"/>
        <v>28</v>
      </c>
      <c r="T75" s="5">
        <f t="shared" si="17"/>
        <v>27.8</v>
      </c>
      <c r="U75" s="5">
        <f t="shared" si="18"/>
        <v>28</v>
      </c>
      <c r="V75" s="5">
        <f t="shared" si="19"/>
        <v>27.8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1056</v>
      </c>
      <c r="D76" s="3" t="s">
        <v>1562</v>
      </c>
      <c r="E76" s="3" t="s">
        <v>1562</v>
      </c>
      <c r="F76" s="3" t="s">
        <v>1491</v>
      </c>
      <c r="G76" s="3" t="s">
        <v>1647</v>
      </c>
      <c r="H76" s="51">
        <v>41717</v>
      </c>
      <c r="J76" s="3">
        <f t="shared" si="20"/>
        <v>1.29</v>
      </c>
      <c r="K76" s="3">
        <f t="shared" si="20"/>
        <v>1.29</v>
      </c>
      <c r="L76" s="3">
        <f t="shared" si="20"/>
        <v>1.31</v>
      </c>
      <c r="M76" s="3">
        <f t="shared" si="20"/>
        <v>1.28</v>
      </c>
      <c r="P76" s="15" t="s">
        <v>1046</v>
      </c>
      <c r="Q76" s="10" t="str">
        <f t="shared" si="14"/>
        <v xml:space="preserve">PDG REALT   -ON  </v>
      </c>
      <c r="R76" s="51">
        <f t="shared" si="15"/>
        <v>41717</v>
      </c>
      <c r="S76" s="5">
        <f t="shared" si="16"/>
        <v>1.29</v>
      </c>
      <c r="T76" s="5">
        <f t="shared" si="17"/>
        <v>1.29</v>
      </c>
      <c r="U76" s="5">
        <f t="shared" si="18"/>
        <v>1.31</v>
      </c>
      <c r="V76" s="5">
        <f t="shared" si="19"/>
        <v>1.28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936</v>
      </c>
      <c r="D77" s="3" t="s">
        <v>937</v>
      </c>
      <c r="E77" s="3" t="s">
        <v>937</v>
      </c>
      <c r="F77" s="3" t="s">
        <v>937</v>
      </c>
      <c r="G77" s="3" t="s">
        <v>937</v>
      </c>
      <c r="H77" s="51">
        <v>41717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934</v>
      </c>
      <c r="Q77" s="10" t="str">
        <f t="shared" si="14"/>
        <v>PETTENATI   -ON</v>
      </c>
      <c r="R77" s="51">
        <f t="shared" si="15"/>
        <v>41717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938</v>
      </c>
      <c r="D78" s="3" t="s">
        <v>2049</v>
      </c>
      <c r="E78" s="3" t="s">
        <v>2049</v>
      </c>
      <c r="F78" s="3" t="s">
        <v>2049</v>
      </c>
      <c r="G78" s="3" t="s">
        <v>2049</v>
      </c>
      <c r="H78" s="51">
        <v>41717</v>
      </c>
      <c r="J78" s="3">
        <f t="shared" si="20"/>
        <v>1.3</v>
      </c>
      <c r="K78" s="3">
        <f t="shared" si="20"/>
        <v>1.3</v>
      </c>
      <c r="L78" s="3">
        <f t="shared" si="20"/>
        <v>1.3</v>
      </c>
      <c r="M78" s="3">
        <f t="shared" si="20"/>
        <v>1.3</v>
      </c>
      <c r="P78" s="15" t="s">
        <v>935</v>
      </c>
      <c r="Q78" s="10" t="str">
        <f t="shared" si="14"/>
        <v>PETTENATI   -PN</v>
      </c>
      <c r="R78" s="51">
        <f t="shared" si="15"/>
        <v>41717</v>
      </c>
      <c r="S78" s="5">
        <f t="shared" si="16"/>
        <v>1.3</v>
      </c>
      <c r="T78" s="5">
        <f t="shared" si="17"/>
        <v>1.3</v>
      </c>
      <c r="U78" s="5">
        <f t="shared" si="18"/>
        <v>1.3</v>
      </c>
      <c r="V78" s="5">
        <f t="shared" si="19"/>
        <v>1.3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1057</v>
      </c>
      <c r="D79" s="3" t="s">
        <v>2050</v>
      </c>
      <c r="E79" s="3" t="s">
        <v>1503</v>
      </c>
      <c r="F79" s="3" t="s">
        <v>1382</v>
      </c>
      <c r="G79" s="3" t="s">
        <v>2050</v>
      </c>
      <c r="H79" s="51">
        <v>41717</v>
      </c>
      <c r="J79" s="3">
        <f t="shared" si="20"/>
        <v>9.82</v>
      </c>
      <c r="K79" s="3">
        <f t="shared" si="20"/>
        <v>9.9600000000000009</v>
      </c>
      <c r="L79" s="3">
        <f t="shared" si="20"/>
        <v>10</v>
      </c>
      <c r="M79" s="3">
        <f t="shared" si="20"/>
        <v>9.82</v>
      </c>
      <c r="P79" s="15" t="s">
        <v>1047</v>
      </c>
      <c r="Q79" s="10" t="str">
        <f t="shared" si="14"/>
        <v xml:space="preserve">RODOBENSIMOB-ON  </v>
      </c>
      <c r="R79" s="51">
        <f t="shared" si="15"/>
        <v>41717</v>
      </c>
      <c r="S79" s="5">
        <f t="shared" si="16"/>
        <v>9.82</v>
      </c>
      <c r="T79" s="5">
        <f t="shared" si="17"/>
        <v>9.9600000000000009</v>
      </c>
      <c r="U79" s="5">
        <f t="shared" si="18"/>
        <v>10</v>
      </c>
      <c r="V79" s="5">
        <f t="shared" si="19"/>
        <v>9.82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992</v>
      </c>
      <c r="D80" s="3" t="s">
        <v>2051</v>
      </c>
      <c r="E80" s="3" t="s">
        <v>1623</v>
      </c>
      <c r="F80" s="3" t="s">
        <v>1601</v>
      </c>
      <c r="G80" s="3" t="s">
        <v>2052</v>
      </c>
      <c r="H80" s="51">
        <v>41717</v>
      </c>
      <c r="J80" s="3">
        <f t="shared" si="20"/>
        <v>31.55</v>
      </c>
      <c r="K80" s="3">
        <f t="shared" si="20"/>
        <v>31.62</v>
      </c>
      <c r="L80" s="3">
        <f t="shared" si="20"/>
        <v>31.9</v>
      </c>
      <c r="M80" s="3">
        <f t="shared" si="20"/>
        <v>31.08</v>
      </c>
      <c r="P80" s="15" t="s">
        <v>991</v>
      </c>
      <c r="Q80" s="10" t="str">
        <f t="shared" si="14"/>
        <v xml:space="preserve">LOCALIZA    -ON  </v>
      </c>
      <c r="R80" s="51">
        <f t="shared" si="15"/>
        <v>41717</v>
      </c>
      <c r="S80" s="5">
        <f t="shared" si="16"/>
        <v>31.55</v>
      </c>
      <c r="T80" s="5">
        <f t="shared" si="17"/>
        <v>31.62</v>
      </c>
      <c r="U80" s="5">
        <f t="shared" si="18"/>
        <v>31.9</v>
      </c>
      <c r="V80" s="5">
        <f t="shared" si="19"/>
        <v>31.08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832</v>
      </c>
      <c r="D81" s="3" t="s">
        <v>1463</v>
      </c>
      <c r="E81" s="3" t="s">
        <v>1463</v>
      </c>
      <c r="F81" s="3" t="s">
        <v>1463</v>
      </c>
      <c r="G81" s="3" t="s">
        <v>1463</v>
      </c>
      <c r="H81" s="51">
        <v>41717</v>
      </c>
      <c r="J81" s="3">
        <f t="shared" si="20"/>
        <v>0.16</v>
      </c>
      <c r="K81" s="3">
        <f t="shared" si="20"/>
        <v>0.16</v>
      </c>
      <c r="L81" s="3">
        <f t="shared" si="20"/>
        <v>0.16</v>
      </c>
      <c r="M81" s="3">
        <f t="shared" si="20"/>
        <v>0.16</v>
      </c>
      <c r="P81" s="14" t="s">
        <v>831</v>
      </c>
      <c r="Q81" s="10" t="str">
        <f t="shared" si="14"/>
        <v xml:space="preserve">RENAR       -ON  </v>
      </c>
      <c r="R81" s="51">
        <f t="shared" si="15"/>
        <v>41717</v>
      </c>
      <c r="S81" s="5">
        <f t="shared" si="16"/>
        <v>0.16</v>
      </c>
      <c r="T81" s="5">
        <f t="shared" si="17"/>
        <v>0.16</v>
      </c>
      <c r="U81" s="5">
        <f t="shared" si="18"/>
        <v>0.16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1058</v>
      </c>
      <c r="D82" s="3" t="s">
        <v>2053</v>
      </c>
      <c r="E82" s="3" t="s">
        <v>1563</v>
      </c>
      <c r="F82" s="3" t="s">
        <v>679</v>
      </c>
      <c r="G82" s="3" t="s">
        <v>1372</v>
      </c>
      <c r="H82" s="51">
        <v>41717</v>
      </c>
      <c r="J82" s="3">
        <f t="shared" si="20"/>
        <v>1.48</v>
      </c>
      <c r="K82" s="3">
        <f t="shared" si="20"/>
        <v>1.49</v>
      </c>
      <c r="L82" s="3">
        <f t="shared" si="20"/>
        <v>1.51</v>
      </c>
      <c r="M82" s="3">
        <f t="shared" si="20"/>
        <v>1.46</v>
      </c>
      <c r="P82" s="14" t="s">
        <v>1048</v>
      </c>
      <c r="Q82" s="10" t="str">
        <f t="shared" si="14"/>
        <v xml:space="preserve">ROSSI RESID -ON  </v>
      </c>
      <c r="R82" s="51">
        <f t="shared" si="15"/>
        <v>41717</v>
      </c>
      <c r="S82" s="5">
        <f t="shared" si="16"/>
        <v>1.48</v>
      </c>
      <c r="T82" s="5">
        <f t="shared" si="17"/>
        <v>1.49</v>
      </c>
      <c r="U82" s="5">
        <f t="shared" si="18"/>
        <v>1.51</v>
      </c>
      <c r="V82" s="5">
        <f t="shared" si="19"/>
        <v>1.46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1059</v>
      </c>
      <c r="D83" s="3" t="s">
        <v>425</v>
      </c>
      <c r="E83" s="3" t="s">
        <v>708</v>
      </c>
      <c r="F83" s="3" t="s">
        <v>708</v>
      </c>
      <c r="G83" s="3" t="s">
        <v>708</v>
      </c>
      <c r="H83" s="51">
        <v>41717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1049</v>
      </c>
      <c r="Q83" s="10" t="str">
        <f t="shared" si="14"/>
        <v>SERGEN      -ON *</v>
      </c>
      <c r="R83" s="51">
        <f t="shared" si="15"/>
        <v>41717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1060</v>
      </c>
      <c r="D84" s="3" t="s">
        <v>425</v>
      </c>
      <c r="E84" s="3" t="s">
        <v>884</v>
      </c>
      <c r="F84" s="3" t="s">
        <v>884</v>
      </c>
      <c r="G84" s="3" t="s">
        <v>884</v>
      </c>
      <c r="H84" s="51">
        <v>41717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1050</v>
      </c>
      <c r="Q84" s="10" t="str">
        <f t="shared" si="14"/>
        <v>SERGEN      -PN *</v>
      </c>
      <c r="R84" s="51">
        <f t="shared" si="15"/>
        <v>41717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943</v>
      </c>
      <c r="D85" s="3" t="s">
        <v>1401</v>
      </c>
      <c r="E85" s="3" t="s">
        <v>1564</v>
      </c>
      <c r="F85" s="3" t="s">
        <v>1306</v>
      </c>
      <c r="G85" s="3" t="s">
        <v>1401</v>
      </c>
      <c r="H85" s="51">
        <v>41717</v>
      </c>
      <c r="J85" s="3">
        <f t="shared" si="20"/>
        <v>1.35</v>
      </c>
      <c r="K85" s="3">
        <f t="shared" si="20"/>
        <v>1.4</v>
      </c>
      <c r="L85" s="3">
        <f t="shared" si="20"/>
        <v>1.45</v>
      </c>
      <c r="M85" s="3">
        <f t="shared" si="20"/>
        <v>1.35</v>
      </c>
      <c r="P85" s="14" t="s">
        <v>942</v>
      </c>
      <c r="Q85" s="10" t="str">
        <f t="shared" si="14"/>
        <v xml:space="preserve">SPRINGS     -ON  </v>
      </c>
      <c r="R85" s="51">
        <f t="shared" si="15"/>
        <v>41717</v>
      </c>
      <c r="S85" s="5">
        <f t="shared" si="16"/>
        <v>1.35</v>
      </c>
      <c r="T85" s="5">
        <f t="shared" si="17"/>
        <v>1.4</v>
      </c>
      <c r="U85" s="5">
        <f t="shared" si="18"/>
        <v>1.45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848</v>
      </c>
      <c r="D86" s="3" t="s">
        <v>1686</v>
      </c>
      <c r="E86" s="3" t="s">
        <v>1334</v>
      </c>
      <c r="F86" s="3" t="s">
        <v>2054</v>
      </c>
      <c r="G86" s="3" t="s">
        <v>2055</v>
      </c>
      <c r="H86" s="51">
        <v>41717</v>
      </c>
      <c r="J86" s="3">
        <f t="shared" si="20"/>
        <v>4.47</v>
      </c>
      <c r="K86" s="3">
        <f t="shared" si="20"/>
        <v>4.4000000000000004</v>
      </c>
      <c r="L86" s="3">
        <f t="shared" si="20"/>
        <v>4.4800000000000004</v>
      </c>
      <c r="M86" s="3">
        <f t="shared" si="20"/>
        <v>4.38</v>
      </c>
      <c r="P86" s="14" t="s">
        <v>847</v>
      </c>
      <c r="Q86" s="10" t="str">
        <f t="shared" si="14"/>
        <v xml:space="preserve">TIME FOR FUN-ON  </v>
      </c>
      <c r="R86" s="51">
        <f t="shared" si="15"/>
        <v>41717</v>
      </c>
      <c r="S86" s="5">
        <f t="shared" si="16"/>
        <v>4.47</v>
      </c>
      <c r="T86" s="5">
        <f t="shared" si="17"/>
        <v>4.4000000000000004</v>
      </c>
      <c r="U86" s="5">
        <f t="shared" si="18"/>
        <v>4.4800000000000004</v>
      </c>
      <c r="V86" s="5">
        <f t="shared" si="19"/>
        <v>4.38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834</v>
      </c>
      <c r="D87" s="3" t="s">
        <v>2005</v>
      </c>
      <c r="E87" s="3" t="s">
        <v>1735</v>
      </c>
      <c r="F87" s="3" t="s">
        <v>2056</v>
      </c>
      <c r="G87" s="3" t="s">
        <v>1767</v>
      </c>
      <c r="H87" s="51">
        <v>41717</v>
      </c>
      <c r="J87" s="3">
        <f t="shared" si="20"/>
        <v>17.18</v>
      </c>
      <c r="K87" s="3">
        <f t="shared" si="20"/>
        <v>17.09</v>
      </c>
      <c r="L87" s="3">
        <f t="shared" si="20"/>
        <v>17.239999999999998</v>
      </c>
      <c r="M87" s="3">
        <f t="shared" si="20"/>
        <v>16.989999999999998</v>
      </c>
      <c r="P87" s="14" t="s">
        <v>833</v>
      </c>
      <c r="Q87" s="10" t="str">
        <f t="shared" si="14"/>
        <v xml:space="preserve">SLC AGRICOLA-ON  </v>
      </c>
      <c r="R87" s="51">
        <f t="shared" si="15"/>
        <v>41717</v>
      </c>
      <c r="S87" s="5">
        <f t="shared" si="16"/>
        <v>17.18</v>
      </c>
      <c r="T87" s="5">
        <f t="shared" si="17"/>
        <v>17.09</v>
      </c>
      <c r="U87" s="5">
        <f t="shared" si="18"/>
        <v>17.239999999999998</v>
      </c>
      <c r="V87" s="5">
        <f t="shared" si="19"/>
        <v>16.989999999999998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983</v>
      </c>
      <c r="D88" s="3" t="s">
        <v>1317</v>
      </c>
      <c r="E88" s="3" t="s">
        <v>1317</v>
      </c>
      <c r="F88" s="3" t="s">
        <v>1317</v>
      </c>
      <c r="G88" s="3" t="s">
        <v>1317</v>
      </c>
      <c r="H88" s="51">
        <v>41717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981</v>
      </c>
      <c r="Q88" s="10" t="str">
        <f t="shared" si="14"/>
        <v xml:space="preserve">SARAIVA LIVR-ON  </v>
      </c>
      <c r="R88" s="51">
        <f t="shared" si="15"/>
        <v>41717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984</v>
      </c>
      <c r="D89" s="3" t="s">
        <v>1425</v>
      </c>
      <c r="E89" s="3" t="s">
        <v>389</v>
      </c>
      <c r="F89" s="3" t="s">
        <v>2057</v>
      </c>
      <c r="G89" s="3" t="s">
        <v>1814</v>
      </c>
      <c r="H89" s="51">
        <v>41717</v>
      </c>
      <c r="J89" s="3">
        <f t="shared" si="20"/>
        <v>19.190000000000001</v>
      </c>
      <c r="K89" s="3">
        <f t="shared" si="20"/>
        <v>19.5</v>
      </c>
      <c r="L89" s="3">
        <f t="shared" si="20"/>
        <v>19.82</v>
      </c>
      <c r="M89" s="3">
        <f t="shared" si="20"/>
        <v>19.14</v>
      </c>
      <c r="P89" s="14" t="s">
        <v>982</v>
      </c>
      <c r="Q89" s="10" t="str">
        <f t="shared" si="14"/>
        <v xml:space="preserve">SARAIVA LIVR-PN  </v>
      </c>
      <c r="R89" s="51">
        <f t="shared" si="15"/>
        <v>41717</v>
      </c>
      <c r="S89" s="5">
        <f t="shared" si="16"/>
        <v>19.190000000000001</v>
      </c>
      <c r="T89" s="5">
        <f t="shared" si="17"/>
        <v>19.5</v>
      </c>
      <c r="U89" s="5">
        <f t="shared" si="18"/>
        <v>19.82</v>
      </c>
      <c r="V89" s="5">
        <f t="shared" si="19"/>
        <v>19.14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263</v>
      </c>
      <c r="D90" s="3" t="s">
        <v>1500</v>
      </c>
      <c r="E90" s="3" t="s">
        <v>1868</v>
      </c>
      <c r="F90" s="3" t="s">
        <v>1869</v>
      </c>
      <c r="G90" s="3" t="s">
        <v>1870</v>
      </c>
      <c r="H90" s="51">
        <v>41717</v>
      </c>
      <c r="J90" s="3">
        <f t="shared" si="20"/>
        <v>29.69</v>
      </c>
      <c r="K90" s="3">
        <f t="shared" si="20"/>
        <v>29.76</v>
      </c>
      <c r="L90" s="3">
        <f t="shared" si="20"/>
        <v>29.9</v>
      </c>
      <c r="M90" s="3">
        <f t="shared" si="20"/>
        <v>29.67</v>
      </c>
      <c r="P90" s="14" t="s">
        <v>262</v>
      </c>
      <c r="Q90" s="10" t="str">
        <f t="shared" si="14"/>
        <v xml:space="preserve">SAO MARTINHO-ON  </v>
      </c>
      <c r="R90" s="46">
        <f t="shared" si="15"/>
        <v>41717</v>
      </c>
      <c r="S90" s="6">
        <f t="shared" si="16"/>
        <v>29.69</v>
      </c>
      <c r="T90" s="6">
        <f t="shared" si="17"/>
        <v>29.76</v>
      </c>
      <c r="U90" s="6">
        <f t="shared" si="18"/>
        <v>29.9</v>
      </c>
      <c r="V90" s="6">
        <f t="shared" si="19"/>
        <v>29.67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1016</v>
      </c>
      <c r="D91" s="3" t="s">
        <v>2058</v>
      </c>
      <c r="E91" s="3" t="s">
        <v>2059</v>
      </c>
      <c r="F91" s="3" t="s">
        <v>1299</v>
      </c>
      <c r="G91" s="3" t="s">
        <v>2059</v>
      </c>
      <c r="H91" s="51">
        <v>41717</v>
      </c>
      <c r="J91" s="3">
        <f t="shared" si="20"/>
        <v>0.37</v>
      </c>
      <c r="K91" s="3">
        <f t="shared" si="20"/>
        <v>0.36</v>
      </c>
      <c r="L91" s="3">
        <f t="shared" si="20"/>
        <v>0.38</v>
      </c>
      <c r="M91" s="3">
        <f t="shared" si="20"/>
        <v>0.36</v>
      </c>
      <c r="P91" s="15" t="s">
        <v>1013</v>
      </c>
      <c r="Q91" s="10" t="str">
        <f t="shared" si="14"/>
        <v>SPRINGER    -ON</v>
      </c>
      <c r="R91" s="51">
        <f t="shared" si="15"/>
        <v>41717</v>
      </c>
      <c r="S91" s="5">
        <f t="shared" si="16"/>
        <v>0.37</v>
      </c>
      <c r="T91" s="5">
        <f t="shared" si="17"/>
        <v>0.36</v>
      </c>
      <c r="U91" s="5">
        <f t="shared" si="18"/>
        <v>0.38</v>
      </c>
      <c r="V91" s="5">
        <f t="shared" si="19"/>
        <v>0.36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1017</v>
      </c>
      <c r="D92" s="3" t="s">
        <v>1304</v>
      </c>
      <c r="E92" s="3" t="s">
        <v>1304</v>
      </c>
      <c r="F92" s="3" t="s">
        <v>1304</v>
      </c>
      <c r="G92" s="3" t="s">
        <v>1304</v>
      </c>
      <c r="H92" s="51">
        <v>41717</v>
      </c>
      <c r="J92" s="3">
        <f t="shared" si="20"/>
        <v>0.42</v>
      </c>
      <c r="K92" s="3">
        <f t="shared" si="20"/>
        <v>0.42</v>
      </c>
      <c r="L92" s="3">
        <f t="shared" si="20"/>
        <v>0.42</v>
      </c>
      <c r="M92" s="3">
        <f t="shared" si="20"/>
        <v>0.42</v>
      </c>
      <c r="P92" s="10" t="s">
        <v>1014</v>
      </c>
      <c r="Q92" s="10" t="str">
        <f t="shared" si="14"/>
        <v>SPRINGER    -PNA</v>
      </c>
      <c r="R92" s="51">
        <f t="shared" si="15"/>
        <v>41717</v>
      </c>
      <c r="S92" s="5">
        <f t="shared" si="16"/>
        <v>0.42</v>
      </c>
      <c r="T92" s="5">
        <f t="shared" si="17"/>
        <v>0.42</v>
      </c>
      <c r="U92" s="5">
        <f t="shared" si="18"/>
        <v>0.42</v>
      </c>
      <c r="V92" s="5">
        <f t="shared" si="19"/>
        <v>0.42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1018</v>
      </c>
      <c r="D93" s="3" t="s">
        <v>1353</v>
      </c>
      <c r="E93" s="3" t="s">
        <v>1373</v>
      </c>
      <c r="F93" s="3" t="s">
        <v>1353</v>
      </c>
      <c r="G93" s="3" t="s">
        <v>1373</v>
      </c>
      <c r="H93" s="51">
        <v>41717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10" t="s">
        <v>1015</v>
      </c>
      <c r="Q93" s="10" t="str">
        <f t="shared" si="14"/>
        <v>SPRINGER    -PNB</v>
      </c>
      <c r="R93" s="51">
        <f t="shared" si="15"/>
        <v>41717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1061</v>
      </c>
      <c r="D94" s="3" t="s">
        <v>671</v>
      </c>
      <c r="E94" s="3" t="s">
        <v>1710</v>
      </c>
      <c r="F94" s="3" t="s">
        <v>2060</v>
      </c>
      <c r="G94" s="3" t="s">
        <v>266</v>
      </c>
      <c r="H94" s="51">
        <v>41717</v>
      </c>
      <c r="J94" s="3">
        <f t="shared" si="20"/>
        <v>7.11</v>
      </c>
      <c r="K94" s="3">
        <f t="shared" si="20"/>
        <v>7.15</v>
      </c>
      <c r="L94" s="3">
        <f t="shared" si="20"/>
        <v>7.18</v>
      </c>
      <c r="M94" s="3">
        <f t="shared" si="20"/>
        <v>7.08</v>
      </c>
      <c r="P94" s="14" t="s">
        <v>1051</v>
      </c>
      <c r="Q94" s="10" t="str">
        <f t="shared" si="14"/>
        <v xml:space="preserve">TECNISA     -ON  </v>
      </c>
      <c r="R94" s="51">
        <f t="shared" si="15"/>
        <v>41717</v>
      </c>
      <c r="S94" s="5">
        <f t="shared" si="16"/>
        <v>7.11</v>
      </c>
      <c r="T94" s="5">
        <f t="shared" si="17"/>
        <v>7.15</v>
      </c>
      <c r="U94" s="5">
        <f t="shared" si="18"/>
        <v>7.18</v>
      </c>
      <c r="V94" s="5">
        <f t="shared" si="19"/>
        <v>7.08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968</v>
      </c>
      <c r="D95" s="3" t="s">
        <v>1513</v>
      </c>
      <c r="E95" s="3" t="s">
        <v>2061</v>
      </c>
      <c r="F95" s="3" t="s">
        <v>1818</v>
      </c>
      <c r="G95" s="3" t="s">
        <v>2062</v>
      </c>
      <c r="H95" s="51">
        <v>41717</v>
      </c>
      <c r="J95" s="3">
        <f t="shared" si="20"/>
        <v>14.95</v>
      </c>
      <c r="K95" s="3">
        <f t="shared" si="20"/>
        <v>14.98</v>
      </c>
      <c r="L95" s="3">
        <f t="shared" si="20"/>
        <v>15.1</v>
      </c>
      <c r="M95" s="3">
        <f t="shared" si="20"/>
        <v>14.83</v>
      </c>
      <c r="P95" s="14" t="s">
        <v>966</v>
      </c>
      <c r="Q95" s="10" t="str">
        <f t="shared" si="14"/>
        <v xml:space="preserve">TECHNOS     -ON  </v>
      </c>
      <c r="R95" s="51">
        <f t="shared" si="15"/>
        <v>41717</v>
      </c>
      <c r="S95" s="5">
        <f t="shared" si="16"/>
        <v>14.95</v>
      </c>
      <c r="T95" s="5">
        <f t="shared" si="17"/>
        <v>14.98</v>
      </c>
      <c r="U95" s="5">
        <f t="shared" si="18"/>
        <v>15.1</v>
      </c>
      <c r="V95" s="5">
        <f t="shared" si="19"/>
        <v>14.83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948</v>
      </c>
      <c r="D96" s="3" t="s">
        <v>425</v>
      </c>
      <c r="E96" s="3" t="s">
        <v>426</v>
      </c>
      <c r="F96" s="3" t="s">
        <v>425</v>
      </c>
      <c r="G96" s="3" t="s">
        <v>425</v>
      </c>
      <c r="H96" s="51" t="s">
        <v>425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944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949</v>
      </c>
      <c r="D97" s="3" t="s">
        <v>425</v>
      </c>
      <c r="E97" s="3" t="s">
        <v>889</v>
      </c>
      <c r="F97" s="3" t="s">
        <v>889</v>
      </c>
      <c r="G97" s="3" t="s">
        <v>889</v>
      </c>
      <c r="H97" s="51">
        <v>41717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945</v>
      </c>
      <c r="Q97" s="10" t="str">
        <f t="shared" si="14"/>
        <v>TEC BLUMENAU-PNA</v>
      </c>
      <c r="R97" s="51">
        <f t="shared" si="15"/>
        <v>41717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950</v>
      </c>
      <c r="D98" s="3" t="s">
        <v>425</v>
      </c>
      <c r="E98" s="3" t="s">
        <v>426</v>
      </c>
      <c r="F98" s="3" t="s">
        <v>425</v>
      </c>
      <c r="G98" s="3" t="s">
        <v>425</v>
      </c>
      <c r="H98" s="51" t="s">
        <v>425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946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951</v>
      </c>
      <c r="D99" s="3" t="s">
        <v>425</v>
      </c>
      <c r="E99" s="3" t="s">
        <v>952</v>
      </c>
      <c r="F99" s="3" t="s">
        <v>952</v>
      </c>
      <c r="G99" s="3" t="s">
        <v>952</v>
      </c>
      <c r="H99" s="51">
        <v>41717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947</v>
      </c>
      <c r="Q99" s="10" t="str">
        <f t="shared" si="14"/>
        <v>TEC BLUMENAU-PNC</v>
      </c>
      <c r="R99" s="51">
        <f t="shared" si="15"/>
        <v>41717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896</v>
      </c>
      <c r="D100" s="3" t="s">
        <v>897</v>
      </c>
      <c r="E100" s="3" t="s">
        <v>1464</v>
      </c>
      <c r="F100" s="3" t="s">
        <v>897</v>
      </c>
      <c r="G100" s="3" t="s">
        <v>1464</v>
      </c>
      <c r="H100" s="51">
        <v>41717</v>
      </c>
      <c r="J100" s="3">
        <f t="shared" si="20"/>
        <v>0.02</v>
      </c>
      <c r="K100" s="3">
        <f t="shared" si="20"/>
        <v>0.01</v>
      </c>
      <c r="L100" s="3">
        <f t="shared" si="20"/>
        <v>0.02</v>
      </c>
      <c r="M100" s="3">
        <f t="shared" si="20"/>
        <v>0.01</v>
      </c>
      <c r="P100" s="14" t="s">
        <v>894</v>
      </c>
      <c r="Q100" s="10" t="str">
        <f t="shared" si="14"/>
        <v>TECTOY      -ON *</v>
      </c>
      <c r="R100" s="51">
        <f t="shared" si="15"/>
        <v>41717</v>
      </c>
      <c r="S100" s="5">
        <f t="shared" si="16"/>
        <v>0.02</v>
      </c>
      <c r="T100" s="5">
        <f t="shared" si="17"/>
        <v>0.01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898</v>
      </c>
      <c r="D101" s="3" t="s">
        <v>1464</v>
      </c>
      <c r="E101" s="3" t="s">
        <v>897</v>
      </c>
      <c r="F101" s="3" t="s">
        <v>897</v>
      </c>
      <c r="G101" s="3" t="s">
        <v>1464</v>
      </c>
      <c r="H101" s="51">
        <v>41717</v>
      </c>
      <c r="J101" s="3">
        <f t="shared" si="20"/>
        <v>0.01</v>
      </c>
      <c r="K101" s="3">
        <f t="shared" si="20"/>
        <v>0.02</v>
      </c>
      <c r="L101" s="3">
        <f t="shared" si="20"/>
        <v>0.02</v>
      </c>
      <c r="M101" s="3">
        <f t="shared" si="20"/>
        <v>0.01</v>
      </c>
      <c r="P101" s="15" t="s">
        <v>895</v>
      </c>
      <c r="Q101" s="10" t="str">
        <f t="shared" si="14"/>
        <v>TECTOY      -PN *</v>
      </c>
      <c r="R101" s="51">
        <f t="shared" si="15"/>
        <v>41717</v>
      </c>
      <c r="S101" s="5">
        <f t="shared" si="16"/>
        <v>0.01</v>
      </c>
      <c r="T101" s="5">
        <f t="shared" si="17"/>
        <v>0.02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1062</v>
      </c>
      <c r="D102" s="3" t="s">
        <v>1521</v>
      </c>
      <c r="E102" s="3" t="s">
        <v>1855</v>
      </c>
      <c r="F102" s="3" t="s">
        <v>1400</v>
      </c>
      <c r="G102" s="3" t="s">
        <v>1521</v>
      </c>
      <c r="H102" s="51">
        <v>41717</v>
      </c>
      <c r="J102" s="3">
        <f t="shared" si="20"/>
        <v>3.71</v>
      </c>
      <c r="K102" s="3">
        <f t="shared" si="20"/>
        <v>3.81</v>
      </c>
      <c r="L102" s="3">
        <f t="shared" si="20"/>
        <v>3.91</v>
      </c>
      <c r="M102" s="3">
        <f t="shared" si="20"/>
        <v>3.71</v>
      </c>
      <c r="P102" s="15" t="s">
        <v>1052</v>
      </c>
      <c r="Q102" s="10" t="str">
        <f t="shared" si="14"/>
        <v xml:space="preserve">TRISUL      -ON  </v>
      </c>
      <c r="R102" s="51">
        <f t="shared" si="15"/>
        <v>41717</v>
      </c>
      <c r="S102" s="5">
        <f t="shared" si="16"/>
        <v>3.71</v>
      </c>
      <c r="T102" s="5">
        <f t="shared" si="17"/>
        <v>3.81</v>
      </c>
      <c r="U102" s="5">
        <f t="shared" si="18"/>
        <v>3.91</v>
      </c>
      <c r="V102" s="5">
        <f t="shared" si="19"/>
        <v>3.71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854</v>
      </c>
      <c r="D103" s="3" t="s">
        <v>184</v>
      </c>
      <c r="E103" s="3" t="s">
        <v>184</v>
      </c>
      <c r="F103" s="3" t="s">
        <v>2036</v>
      </c>
      <c r="G103" s="3" t="s">
        <v>2063</v>
      </c>
      <c r="H103" s="51">
        <v>41717</v>
      </c>
      <c r="J103" s="3">
        <f t="shared" si="20"/>
        <v>4</v>
      </c>
      <c r="K103" s="3">
        <f t="shared" si="20"/>
        <v>4</v>
      </c>
      <c r="L103" s="3">
        <f t="shared" si="20"/>
        <v>4.01</v>
      </c>
      <c r="M103" s="3">
        <f t="shared" si="20"/>
        <v>3.97</v>
      </c>
      <c r="P103" s="14" t="s">
        <v>853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41717</v>
      </c>
      <c r="S103" s="5">
        <f t="shared" ref="S103:S112" si="23">J103</f>
        <v>4</v>
      </c>
      <c r="T103" s="5">
        <f t="shared" ref="T103:T112" si="24">K103</f>
        <v>4</v>
      </c>
      <c r="U103" s="5">
        <f t="shared" ref="U103:U112" si="25">L103</f>
        <v>4.01</v>
      </c>
      <c r="V103" s="5">
        <f t="shared" ref="V103:V112" si="26">M103</f>
        <v>3.97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830</v>
      </c>
      <c r="D104" s="3" t="s">
        <v>1451</v>
      </c>
      <c r="E104" s="3" t="s">
        <v>1451</v>
      </c>
      <c r="F104" s="3" t="s">
        <v>1383</v>
      </c>
      <c r="G104" s="3" t="s">
        <v>1451</v>
      </c>
      <c r="H104" s="51">
        <v>41717</v>
      </c>
      <c r="J104" s="3">
        <f t="shared" si="20"/>
        <v>2.97</v>
      </c>
      <c r="K104" s="3">
        <f t="shared" si="20"/>
        <v>2.97</v>
      </c>
      <c r="L104" s="3">
        <f t="shared" si="20"/>
        <v>2.99</v>
      </c>
      <c r="M104" s="3">
        <f t="shared" si="20"/>
        <v>2.97</v>
      </c>
      <c r="P104" s="15" t="s">
        <v>828</v>
      </c>
      <c r="Q104" s="10" t="str">
        <f t="shared" si="21"/>
        <v xml:space="preserve">V-AGRO      -ON  </v>
      </c>
      <c r="R104" s="51">
        <f t="shared" si="22"/>
        <v>41717</v>
      </c>
      <c r="S104" s="5">
        <f t="shared" si="23"/>
        <v>2.97</v>
      </c>
      <c r="T104" s="5">
        <f t="shared" si="24"/>
        <v>2.97</v>
      </c>
      <c r="U104" s="5">
        <f t="shared" si="25"/>
        <v>2.99</v>
      </c>
      <c r="V104" s="5">
        <f t="shared" si="26"/>
        <v>2.97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1063</v>
      </c>
      <c r="D105" s="3" t="s">
        <v>2064</v>
      </c>
      <c r="E105" s="3" t="s">
        <v>2064</v>
      </c>
      <c r="F105" s="3" t="s">
        <v>1398</v>
      </c>
      <c r="G105" s="3" t="s">
        <v>2064</v>
      </c>
      <c r="H105" s="51">
        <v>41717</v>
      </c>
      <c r="J105" s="3">
        <f t="shared" si="20"/>
        <v>0.19</v>
      </c>
      <c r="K105" s="3">
        <f t="shared" si="20"/>
        <v>0.19</v>
      </c>
      <c r="L105" s="3">
        <f t="shared" si="20"/>
        <v>0.2</v>
      </c>
      <c r="M105" s="3">
        <f t="shared" si="20"/>
        <v>0.19</v>
      </c>
      <c r="P105" s="14" t="s">
        <v>1053</v>
      </c>
      <c r="Q105" s="10" t="str">
        <f t="shared" si="21"/>
        <v xml:space="preserve">VIVER       -ON  </v>
      </c>
      <c r="R105" s="51">
        <f t="shared" si="22"/>
        <v>41717</v>
      </c>
      <c r="S105" s="5">
        <f t="shared" si="23"/>
        <v>0.19</v>
      </c>
      <c r="T105" s="5">
        <f t="shared" si="24"/>
        <v>0.19</v>
      </c>
      <c r="U105" s="5">
        <f t="shared" si="25"/>
        <v>0.2</v>
      </c>
      <c r="V105" s="5">
        <f t="shared" si="26"/>
        <v>0.19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869</v>
      </c>
      <c r="D106" s="3" t="s">
        <v>1679</v>
      </c>
      <c r="E106" s="3" t="s">
        <v>2065</v>
      </c>
      <c r="F106" s="3" t="s">
        <v>449</v>
      </c>
      <c r="G106" s="3" t="s">
        <v>2066</v>
      </c>
      <c r="H106" s="51">
        <v>41717</v>
      </c>
      <c r="J106" s="3">
        <f t="shared" si="20"/>
        <v>22.8</v>
      </c>
      <c r="K106" s="3">
        <f t="shared" si="20"/>
        <v>22.57</v>
      </c>
      <c r="L106" s="3">
        <f t="shared" si="20"/>
        <v>23.01</v>
      </c>
      <c r="M106" s="3">
        <f t="shared" si="20"/>
        <v>22.56</v>
      </c>
      <c r="P106" s="15" t="s">
        <v>866</v>
      </c>
      <c r="Q106" s="10" t="str">
        <f t="shared" si="21"/>
        <v xml:space="preserve">VIAVAREJO   -UNT </v>
      </c>
      <c r="R106" s="51">
        <f t="shared" si="22"/>
        <v>41717</v>
      </c>
      <c r="S106" s="5">
        <f t="shared" si="23"/>
        <v>22.8</v>
      </c>
      <c r="T106" s="5">
        <f t="shared" si="24"/>
        <v>22.57</v>
      </c>
      <c r="U106" s="5">
        <f t="shared" si="25"/>
        <v>23.01</v>
      </c>
      <c r="V106" s="5">
        <f t="shared" si="26"/>
        <v>22.56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870</v>
      </c>
      <c r="D107" s="3" t="s">
        <v>1566</v>
      </c>
      <c r="E107" s="3" t="s">
        <v>1566</v>
      </c>
      <c r="F107" s="3" t="s">
        <v>1566</v>
      </c>
      <c r="G107" s="3" t="s">
        <v>1566</v>
      </c>
      <c r="H107" s="51">
        <v>41717</v>
      </c>
      <c r="J107" s="3">
        <f t="shared" si="20"/>
        <v>6.45</v>
      </c>
      <c r="K107" s="3">
        <f t="shared" si="20"/>
        <v>6.45</v>
      </c>
      <c r="L107" s="3">
        <f t="shared" si="20"/>
        <v>6.45</v>
      </c>
      <c r="M107" s="3">
        <f t="shared" si="20"/>
        <v>6.45</v>
      </c>
      <c r="P107" s="14" t="s">
        <v>867</v>
      </c>
      <c r="Q107" s="10" t="str">
        <f t="shared" si="21"/>
        <v xml:space="preserve">VIAVAREJO   -ON  </v>
      </c>
      <c r="R107" s="51">
        <f t="shared" si="22"/>
        <v>41717</v>
      </c>
      <c r="S107" s="5">
        <f t="shared" si="23"/>
        <v>6.45</v>
      </c>
      <c r="T107" s="5">
        <f t="shared" si="24"/>
        <v>6.45</v>
      </c>
      <c r="U107" s="5">
        <f t="shared" si="25"/>
        <v>6.45</v>
      </c>
      <c r="V107" s="5">
        <f t="shared" si="26"/>
        <v>6.45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871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868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858</v>
      </c>
      <c r="D109" s="3" t="s">
        <v>1522</v>
      </c>
      <c r="E109" s="3" t="s">
        <v>885</v>
      </c>
      <c r="F109" s="3" t="s">
        <v>1395</v>
      </c>
      <c r="G109" s="3" t="s">
        <v>1523</v>
      </c>
      <c r="H109" s="51">
        <v>41717</v>
      </c>
      <c r="J109" s="3">
        <f t="shared" si="20"/>
        <v>3.84</v>
      </c>
      <c r="K109" s="3">
        <f t="shared" si="20"/>
        <v>3.87</v>
      </c>
      <c r="L109" s="3">
        <f t="shared" si="20"/>
        <v>3.9</v>
      </c>
      <c r="M109" s="3">
        <f t="shared" si="20"/>
        <v>3.52</v>
      </c>
      <c r="P109" s="15" t="s">
        <v>856</v>
      </c>
      <c r="Q109" s="10" t="str">
        <f t="shared" si="21"/>
        <v>WHIRLPOOL   -ON</v>
      </c>
      <c r="R109" s="51">
        <f t="shared" si="22"/>
        <v>41717</v>
      </c>
      <c r="S109" s="5">
        <f t="shared" si="23"/>
        <v>3.84</v>
      </c>
      <c r="T109" s="5">
        <f t="shared" si="24"/>
        <v>3.87</v>
      </c>
      <c r="U109" s="5">
        <f t="shared" si="25"/>
        <v>3.9</v>
      </c>
      <c r="V109" s="5">
        <f t="shared" si="26"/>
        <v>3.52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859</v>
      </c>
      <c r="D110" s="3" t="s">
        <v>1517</v>
      </c>
      <c r="E110" s="3" t="s">
        <v>1625</v>
      </c>
      <c r="F110" s="3" t="s">
        <v>1517</v>
      </c>
      <c r="G110" s="3" t="s">
        <v>1395</v>
      </c>
      <c r="H110" s="51">
        <v>41717</v>
      </c>
      <c r="J110" s="3">
        <f t="shared" si="20"/>
        <v>4.04</v>
      </c>
      <c r="K110" s="3">
        <f t="shared" si="20"/>
        <v>3.98</v>
      </c>
      <c r="L110" s="3">
        <f t="shared" si="20"/>
        <v>4.04</v>
      </c>
      <c r="M110" s="3">
        <f t="shared" si="20"/>
        <v>3.9</v>
      </c>
      <c r="P110" s="10" t="s">
        <v>857</v>
      </c>
      <c r="Q110" s="10" t="str">
        <f t="shared" si="21"/>
        <v>WHIRLPOOL   -PN</v>
      </c>
      <c r="R110" s="51">
        <f t="shared" si="22"/>
        <v>41717</v>
      </c>
      <c r="S110" s="5">
        <f t="shared" si="23"/>
        <v>4.04</v>
      </c>
      <c r="T110" s="5">
        <f t="shared" si="24"/>
        <v>3.98</v>
      </c>
      <c r="U110" s="5">
        <f t="shared" si="25"/>
        <v>4.04</v>
      </c>
      <c r="V110" s="5">
        <f t="shared" si="26"/>
        <v>3.9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940</v>
      </c>
      <c r="D111" s="3" t="s">
        <v>425</v>
      </c>
      <c r="E111" s="3" t="s">
        <v>941</v>
      </c>
      <c r="F111" s="3" t="s">
        <v>941</v>
      </c>
      <c r="G111" s="3" t="s">
        <v>941</v>
      </c>
      <c r="H111" s="51">
        <v>41717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939</v>
      </c>
      <c r="Q111" s="10" t="str">
        <f t="shared" si="21"/>
        <v>WEMBLEY     -ON</v>
      </c>
      <c r="R111" s="51">
        <f t="shared" si="22"/>
        <v>41717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1407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1073</v>
      </c>
      <c r="D7" s="3" t="s">
        <v>425</v>
      </c>
      <c r="E7" s="3" t="s">
        <v>1074</v>
      </c>
      <c r="F7" s="3" t="s">
        <v>1074</v>
      </c>
      <c r="G7" s="3" t="s">
        <v>1074</v>
      </c>
      <c r="H7" s="51">
        <v>41717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1064</v>
      </c>
      <c r="Q7" s="10" t="str">
        <f t="shared" ref="Q7:Q38" si="1">IF(A7="","",C7)</f>
        <v>AZEVEDO     -ON</v>
      </c>
      <c r="R7" s="51">
        <f t="shared" ref="R7:R38" si="2">IF(A7="","",H7)</f>
        <v>41717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1075</v>
      </c>
      <c r="D8" s="3" t="s">
        <v>679</v>
      </c>
      <c r="E8" s="3" t="s">
        <v>679</v>
      </c>
      <c r="F8" s="3" t="s">
        <v>679</v>
      </c>
      <c r="G8" s="3" t="s">
        <v>679</v>
      </c>
      <c r="H8" s="51">
        <v>41717</v>
      </c>
      <c r="J8" s="3">
        <f t="shared" ref="J8:M71" si="7">IF($A8="",0,VALUE(CONCATENATE(LEFT(D8,LEN(D8)-3),",",RIGHT(D8,2))))</f>
        <v>1.51</v>
      </c>
      <c r="K8" s="3">
        <f t="shared" si="0"/>
        <v>1.51</v>
      </c>
      <c r="L8" s="3">
        <f t="shared" si="0"/>
        <v>1.51</v>
      </c>
      <c r="M8" s="3">
        <f t="shared" si="0"/>
        <v>1.51</v>
      </c>
      <c r="P8" s="15" t="s">
        <v>1065</v>
      </c>
      <c r="Q8" s="10" t="str">
        <f t="shared" si="1"/>
        <v>AZEVEDO     -PN</v>
      </c>
      <c r="R8" s="51">
        <f t="shared" si="2"/>
        <v>41717</v>
      </c>
      <c r="S8" s="5">
        <f t="shared" si="3"/>
        <v>1.51</v>
      </c>
      <c r="T8" s="5">
        <f t="shared" si="4"/>
        <v>1.51</v>
      </c>
      <c r="U8" s="5">
        <f t="shared" si="5"/>
        <v>1.51</v>
      </c>
      <c r="V8" s="5">
        <f t="shared" si="6"/>
        <v>1.51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1076</v>
      </c>
      <c r="D9" s="3" t="s">
        <v>1567</v>
      </c>
      <c r="E9" s="3" t="s">
        <v>1544</v>
      </c>
      <c r="F9" s="3" t="s">
        <v>1544</v>
      </c>
      <c r="G9" s="3" t="s">
        <v>1567</v>
      </c>
      <c r="H9" s="51">
        <v>41717</v>
      </c>
      <c r="J9" s="3">
        <f t="shared" si="7"/>
        <v>2.72</v>
      </c>
      <c r="K9" s="3">
        <f t="shared" si="0"/>
        <v>2.88</v>
      </c>
      <c r="L9" s="3">
        <f t="shared" si="0"/>
        <v>2.88</v>
      </c>
      <c r="M9" s="3">
        <f t="shared" si="0"/>
        <v>2.72</v>
      </c>
      <c r="P9" s="14" t="s">
        <v>1066</v>
      </c>
      <c r="Q9" s="10" t="str">
        <f t="shared" si="1"/>
        <v>LIX DA CUNHA-ON</v>
      </c>
      <c r="R9" s="46">
        <f t="shared" si="2"/>
        <v>41717</v>
      </c>
      <c r="S9" s="6">
        <f t="shared" si="3"/>
        <v>2.72</v>
      </c>
      <c r="T9" s="6">
        <f t="shared" si="4"/>
        <v>2.88</v>
      </c>
      <c r="U9" s="6">
        <f t="shared" si="5"/>
        <v>2.88</v>
      </c>
      <c r="V9" s="6">
        <f t="shared" si="6"/>
        <v>2.72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1077</v>
      </c>
      <c r="D10" s="3" t="s">
        <v>1568</v>
      </c>
      <c r="E10" s="3" t="s">
        <v>1627</v>
      </c>
      <c r="F10" s="3" t="s">
        <v>1370</v>
      </c>
      <c r="G10" s="3" t="s">
        <v>1568</v>
      </c>
      <c r="H10" s="51">
        <v>41717</v>
      </c>
      <c r="J10" s="3">
        <f t="shared" si="7"/>
        <v>2.8</v>
      </c>
      <c r="K10" s="3">
        <f t="shared" si="0"/>
        <v>2.94</v>
      </c>
      <c r="L10" s="3">
        <f t="shared" si="0"/>
        <v>2.95</v>
      </c>
      <c r="M10" s="3">
        <f t="shared" si="0"/>
        <v>2.8</v>
      </c>
      <c r="P10" s="14" t="s">
        <v>1067</v>
      </c>
      <c r="Q10" s="10" t="str">
        <f t="shared" si="1"/>
        <v>LIX DA CUNHA-PN</v>
      </c>
      <c r="R10" s="51">
        <f t="shared" si="2"/>
        <v>41717</v>
      </c>
      <c r="S10" s="5">
        <f t="shared" si="3"/>
        <v>2.8</v>
      </c>
      <c r="T10" s="5">
        <f t="shared" si="4"/>
        <v>2.94</v>
      </c>
      <c r="U10" s="5">
        <f t="shared" si="5"/>
        <v>2.95</v>
      </c>
      <c r="V10" s="5">
        <f t="shared" si="6"/>
        <v>2.8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1081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1070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1082</v>
      </c>
      <c r="D12" s="3" t="s">
        <v>707</v>
      </c>
      <c r="E12" s="3" t="s">
        <v>707</v>
      </c>
      <c r="F12" s="3" t="s">
        <v>707</v>
      </c>
      <c r="G12" s="3" t="s">
        <v>707</v>
      </c>
      <c r="H12" s="51">
        <v>41717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1071</v>
      </c>
      <c r="Q12" s="10" t="str">
        <f t="shared" si="1"/>
        <v>MENDES JR   -PNA</v>
      </c>
      <c r="R12" s="46">
        <f t="shared" si="2"/>
        <v>41717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1083</v>
      </c>
      <c r="D13" s="3" t="s">
        <v>425</v>
      </c>
      <c r="E13" s="3" t="s">
        <v>1084</v>
      </c>
      <c r="F13" s="3" t="s">
        <v>1084</v>
      </c>
      <c r="G13" s="3" t="s">
        <v>1084</v>
      </c>
      <c r="H13" s="51">
        <v>41717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1072</v>
      </c>
      <c r="Q13" s="10" t="str">
        <f t="shared" si="1"/>
        <v>MENDES JR   -PNB</v>
      </c>
      <c r="R13" s="51">
        <f t="shared" si="2"/>
        <v>41717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1078</v>
      </c>
      <c r="D14" s="3" t="s">
        <v>425</v>
      </c>
      <c r="E14" s="3" t="s">
        <v>1079</v>
      </c>
      <c r="F14" s="3" t="s">
        <v>1079</v>
      </c>
      <c r="G14" s="3" t="s">
        <v>1079</v>
      </c>
      <c r="H14" s="51">
        <v>41717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1068</v>
      </c>
      <c r="Q14" s="10" t="str">
        <f t="shared" si="1"/>
        <v>SULTEPA     -ON</v>
      </c>
      <c r="R14" s="51">
        <f t="shared" si="2"/>
        <v>41717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1080</v>
      </c>
      <c r="D15" s="3" t="s">
        <v>460</v>
      </c>
      <c r="E15" s="3" t="s">
        <v>460</v>
      </c>
      <c r="F15" s="3" t="s">
        <v>460</v>
      </c>
      <c r="G15" s="3" t="s">
        <v>460</v>
      </c>
      <c r="H15" s="51">
        <v>41717</v>
      </c>
      <c r="J15" s="3">
        <f t="shared" si="7"/>
        <v>1</v>
      </c>
      <c r="K15" s="3">
        <f t="shared" si="0"/>
        <v>1</v>
      </c>
      <c r="L15" s="3">
        <f t="shared" si="0"/>
        <v>1</v>
      </c>
      <c r="M15" s="3">
        <f t="shared" si="0"/>
        <v>1</v>
      </c>
      <c r="P15" s="14" t="s">
        <v>1069</v>
      </c>
      <c r="Q15" s="10" t="str">
        <f t="shared" si="1"/>
        <v>SULTEPA     -PN</v>
      </c>
      <c r="R15" s="51">
        <f t="shared" si="2"/>
        <v>41717</v>
      </c>
      <c r="S15" s="5">
        <f t="shared" si="3"/>
        <v>1</v>
      </c>
      <c r="T15" s="5">
        <f t="shared" si="4"/>
        <v>1</v>
      </c>
      <c r="U15" s="5">
        <f t="shared" si="5"/>
        <v>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1092</v>
      </c>
      <c r="D16" s="3" t="s">
        <v>425</v>
      </c>
      <c r="E16" s="3" t="s">
        <v>1093</v>
      </c>
      <c r="F16" s="3" t="s">
        <v>1093</v>
      </c>
      <c r="G16" s="3" t="s">
        <v>1093</v>
      </c>
      <c r="H16" s="51">
        <v>41717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1087</v>
      </c>
      <c r="Q16" s="10" t="str">
        <f t="shared" si="1"/>
        <v>SONDOTECNICA-ON</v>
      </c>
      <c r="R16" s="51">
        <f t="shared" si="2"/>
        <v>41717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1094</v>
      </c>
      <c r="D17" s="3" t="s">
        <v>1414</v>
      </c>
      <c r="E17" s="3" t="s">
        <v>1414</v>
      </c>
      <c r="F17" s="3" t="s">
        <v>1414</v>
      </c>
      <c r="G17" s="3" t="s">
        <v>1414</v>
      </c>
      <c r="H17" s="51">
        <v>41717</v>
      </c>
      <c r="J17" s="3">
        <f t="shared" si="7"/>
        <v>41</v>
      </c>
      <c r="K17" s="3">
        <f t="shared" si="0"/>
        <v>41</v>
      </c>
      <c r="L17" s="3">
        <f t="shared" si="0"/>
        <v>41</v>
      </c>
      <c r="M17" s="3">
        <f t="shared" si="0"/>
        <v>41</v>
      </c>
      <c r="P17" s="14" t="s">
        <v>1088</v>
      </c>
      <c r="Q17" s="10" t="str">
        <f t="shared" si="1"/>
        <v>SONDOTECNICA-PNA</v>
      </c>
      <c r="R17" s="51">
        <f t="shared" si="2"/>
        <v>41717</v>
      </c>
      <c r="S17" s="5">
        <f t="shared" si="3"/>
        <v>41</v>
      </c>
      <c r="T17" s="5">
        <f t="shared" si="4"/>
        <v>41</v>
      </c>
      <c r="U17" s="5">
        <f t="shared" si="5"/>
        <v>41</v>
      </c>
      <c r="V17" s="5">
        <f t="shared" si="6"/>
        <v>41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1095</v>
      </c>
      <c r="D18" s="3" t="s">
        <v>425</v>
      </c>
      <c r="E18" s="3" t="s">
        <v>1096</v>
      </c>
      <c r="F18" s="3" t="s">
        <v>1096</v>
      </c>
      <c r="G18" s="3" t="s">
        <v>1096</v>
      </c>
      <c r="H18" s="51">
        <v>41717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1089</v>
      </c>
      <c r="Q18" s="10" t="str">
        <f t="shared" si="1"/>
        <v>SONDOTECNICA-PNB</v>
      </c>
      <c r="R18" s="51">
        <f t="shared" si="2"/>
        <v>41717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1097</v>
      </c>
      <c r="D19" s="3" t="s">
        <v>653</v>
      </c>
      <c r="E19" s="3" t="s">
        <v>653</v>
      </c>
      <c r="F19" s="3" t="s">
        <v>653</v>
      </c>
      <c r="G19" s="3" t="s">
        <v>653</v>
      </c>
      <c r="H19" s="51">
        <v>41717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1090</v>
      </c>
      <c r="Q19" s="10" t="str">
        <f t="shared" si="1"/>
        <v>TECNOSOLO   -ON</v>
      </c>
      <c r="R19" s="51">
        <f t="shared" si="2"/>
        <v>41717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1098</v>
      </c>
      <c r="D20" s="3" t="s">
        <v>1409</v>
      </c>
      <c r="E20" s="3" t="s">
        <v>1409</v>
      </c>
      <c r="F20" s="3" t="s">
        <v>1409</v>
      </c>
      <c r="G20" s="3" t="s">
        <v>1409</v>
      </c>
      <c r="H20" s="51">
        <v>41717</v>
      </c>
      <c r="J20" s="3">
        <f t="shared" si="7"/>
        <v>0.06</v>
      </c>
      <c r="K20" s="3">
        <f t="shared" si="0"/>
        <v>0.06</v>
      </c>
      <c r="L20" s="3">
        <f t="shared" si="0"/>
        <v>0.06</v>
      </c>
      <c r="M20" s="3">
        <f t="shared" si="0"/>
        <v>0.06</v>
      </c>
      <c r="P20" s="10" t="s">
        <v>1091</v>
      </c>
      <c r="Q20" s="10" t="str">
        <f t="shared" si="1"/>
        <v>TECNOSOLO   -PN</v>
      </c>
      <c r="R20" s="51">
        <f t="shared" si="2"/>
        <v>41717</v>
      </c>
      <c r="S20" s="5">
        <f t="shared" si="3"/>
        <v>0.06</v>
      </c>
      <c r="T20" s="5">
        <f t="shared" si="4"/>
        <v>0.06</v>
      </c>
      <c r="U20" s="5">
        <f t="shared" si="5"/>
        <v>0.06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1102</v>
      </c>
      <c r="D21" s="3" t="s">
        <v>1642</v>
      </c>
      <c r="E21" s="3" t="s">
        <v>2067</v>
      </c>
      <c r="F21" s="3" t="s">
        <v>2068</v>
      </c>
      <c r="G21" s="3" t="s">
        <v>1643</v>
      </c>
      <c r="H21" s="51">
        <v>41717</v>
      </c>
      <c r="J21" s="3">
        <f t="shared" si="7"/>
        <v>4.79</v>
      </c>
      <c r="K21" s="3">
        <f t="shared" si="0"/>
        <v>4.91</v>
      </c>
      <c r="L21" s="3">
        <f t="shared" si="0"/>
        <v>5.03</v>
      </c>
      <c r="M21" s="3">
        <f t="shared" si="0"/>
        <v>4.7699999999999996</v>
      </c>
      <c r="P21" s="14" t="s">
        <v>1100</v>
      </c>
      <c r="Q21" s="10" t="str">
        <f t="shared" si="1"/>
        <v xml:space="preserve">BR BROKERS  -ON  </v>
      </c>
      <c r="R21" s="51">
        <f t="shared" si="2"/>
        <v>41717</v>
      </c>
      <c r="S21" s="5">
        <f t="shared" si="3"/>
        <v>4.79</v>
      </c>
      <c r="T21" s="5">
        <f t="shared" si="4"/>
        <v>4.91</v>
      </c>
      <c r="U21" s="5">
        <f t="shared" si="5"/>
        <v>5.03</v>
      </c>
      <c r="V21" s="5">
        <f t="shared" si="6"/>
        <v>4.7699999999999996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1103</v>
      </c>
      <c r="D22" s="3" t="s">
        <v>1644</v>
      </c>
      <c r="E22" s="3" t="s">
        <v>1628</v>
      </c>
      <c r="F22" s="3" t="s">
        <v>1730</v>
      </c>
      <c r="G22" s="3" t="s">
        <v>1645</v>
      </c>
      <c r="H22" s="51">
        <v>41717</v>
      </c>
      <c r="J22" s="3">
        <f t="shared" si="7"/>
        <v>13.07</v>
      </c>
      <c r="K22" s="3">
        <f t="shared" si="0"/>
        <v>13.02</v>
      </c>
      <c r="L22" s="3">
        <f t="shared" si="0"/>
        <v>13.5</v>
      </c>
      <c r="M22" s="3">
        <f t="shared" si="0"/>
        <v>12.97</v>
      </c>
      <c r="P22" s="14" t="s">
        <v>1101</v>
      </c>
      <c r="Q22" s="10" t="str">
        <f t="shared" si="1"/>
        <v xml:space="preserve">LOPES BRASIL-ON  </v>
      </c>
      <c r="R22" s="51">
        <f t="shared" si="2"/>
        <v>41717</v>
      </c>
      <c r="S22" s="5">
        <f t="shared" si="3"/>
        <v>13.07</v>
      </c>
      <c r="T22" s="5">
        <f t="shared" si="4"/>
        <v>13.02</v>
      </c>
      <c r="U22" s="5">
        <f t="shared" si="5"/>
        <v>13.5</v>
      </c>
      <c r="V22" s="5">
        <f t="shared" si="6"/>
        <v>12.97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1110</v>
      </c>
      <c r="D23" s="3" t="s">
        <v>396</v>
      </c>
      <c r="E23" s="3" t="s">
        <v>396</v>
      </c>
      <c r="F23" s="3" t="s">
        <v>396</v>
      </c>
      <c r="G23" s="3" t="s">
        <v>552</v>
      </c>
      <c r="H23" s="51">
        <v>41717</v>
      </c>
      <c r="J23" s="3">
        <f t="shared" si="7"/>
        <v>0.12</v>
      </c>
      <c r="K23" s="3">
        <f t="shared" si="7"/>
        <v>0.12</v>
      </c>
      <c r="L23" s="3">
        <f t="shared" si="7"/>
        <v>0.12</v>
      </c>
      <c r="M23" s="3">
        <f t="shared" si="7"/>
        <v>0.11</v>
      </c>
      <c r="P23" s="14" t="s">
        <v>1105</v>
      </c>
      <c r="Q23" s="10" t="str">
        <f t="shared" si="1"/>
        <v>CHIARELLI   -ON</v>
      </c>
      <c r="R23" s="51">
        <f t="shared" si="2"/>
        <v>41717</v>
      </c>
      <c r="S23" s="5">
        <f t="shared" si="3"/>
        <v>0.12</v>
      </c>
      <c r="T23" s="5">
        <f t="shared" si="4"/>
        <v>0.12</v>
      </c>
      <c r="U23" s="5">
        <f t="shared" si="5"/>
        <v>0.12</v>
      </c>
      <c r="V23" s="5">
        <f t="shared" si="6"/>
        <v>0.11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1111</v>
      </c>
      <c r="D24" s="3" t="s">
        <v>653</v>
      </c>
      <c r="E24" s="3" t="s">
        <v>1331</v>
      </c>
      <c r="F24" s="3" t="s">
        <v>1331</v>
      </c>
      <c r="G24" s="3" t="s">
        <v>653</v>
      </c>
      <c r="H24" s="51">
        <v>41717</v>
      </c>
      <c r="J24" s="3">
        <f t="shared" si="7"/>
        <v>0.08</v>
      </c>
      <c r="K24" s="3">
        <f t="shared" si="7"/>
        <v>0.09</v>
      </c>
      <c r="L24" s="3">
        <f t="shared" si="7"/>
        <v>0.09</v>
      </c>
      <c r="M24" s="3">
        <f t="shared" si="7"/>
        <v>0.08</v>
      </c>
      <c r="P24" s="15" t="s">
        <v>1106</v>
      </c>
      <c r="Q24" s="10" t="str">
        <f t="shared" si="1"/>
        <v>CHIARELLI   -PN</v>
      </c>
      <c r="R24" s="51">
        <f t="shared" si="2"/>
        <v>41717</v>
      </c>
      <c r="S24" s="5">
        <f t="shared" si="3"/>
        <v>0.08</v>
      </c>
      <c r="T24" s="5">
        <f t="shared" si="4"/>
        <v>0.09</v>
      </c>
      <c r="U24" s="5">
        <f t="shared" si="5"/>
        <v>0.09</v>
      </c>
      <c r="V24" s="5">
        <f t="shared" si="6"/>
        <v>0.08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1112</v>
      </c>
      <c r="D25" s="3" t="s">
        <v>748</v>
      </c>
      <c r="E25" s="3" t="s">
        <v>2069</v>
      </c>
      <c r="F25" s="3" t="s">
        <v>2069</v>
      </c>
      <c r="G25" s="3" t="s">
        <v>481</v>
      </c>
      <c r="H25" s="51">
        <v>41717</v>
      </c>
      <c r="J25" s="3">
        <f t="shared" si="7"/>
        <v>1.79</v>
      </c>
      <c r="K25" s="3">
        <f t="shared" si="7"/>
        <v>1.98</v>
      </c>
      <c r="L25" s="3">
        <f t="shared" si="7"/>
        <v>1.98</v>
      </c>
      <c r="M25" s="3">
        <f t="shared" si="7"/>
        <v>1.6</v>
      </c>
      <c r="P25" s="10" t="s">
        <v>1107</v>
      </c>
      <c r="Q25" s="10" t="str">
        <f t="shared" si="1"/>
        <v>HAGA S/A    -ON</v>
      </c>
      <c r="R25" s="51">
        <f t="shared" si="2"/>
        <v>41717</v>
      </c>
      <c r="S25" s="5">
        <f t="shared" si="3"/>
        <v>1.79</v>
      </c>
      <c r="T25" s="5">
        <f t="shared" si="4"/>
        <v>1.98</v>
      </c>
      <c r="U25" s="5">
        <f t="shared" si="5"/>
        <v>1.98</v>
      </c>
      <c r="V25" s="5">
        <f t="shared" si="6"/>
        <v>1.6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1113</v>
      </c>
      <c r="D26" s="3" t="s">
        <v>1646</v>
      </c>
      <c r="E26" s="3" t="s">
        <v>1491</v>
      </c>
      <c r="F26" s="3" t="s">
        <v>1646</v>
      </c>
      <c r="G26" s="3" t="s">
        <v>1647</v>
      </c>
      <c r="H26" s="51">
        <v>41717</v>
      </c>
      <c r="J26" s="3">
        <f t="shared" si="7"/>
        <v>1.32</v>
      </c>
      <c r="K26" s="3">
        <f t="shared" si="7"/>
        <v>1.31</v>
      </c>
      <c r="L26" s="3">
        <f t="shared" si="7"/>
        <v>1.32</v>
      </c>
      <c r="M26" s="3">
        <f t="shared" si="7"/>
        <v>1.28</v>
      </c>
      <c r="P26" s="15" t="s">
        <v>1108</v>
      </c>
      <c r="Q26" s="10" t="str">
        <f t="shared" si="1"/>
        <v>HAGA S/A    -PN</v>
      </c>
      <c r="R26" s="51">
        <f t="shared" si="2"/>
        <v>41717</v>
      </c>
      <c r="S26" s="5">
        <f t="shared" si="3"/>
        <v>1.32</v>
      </c>
      <c r="T26" s="5">
        <f t="shared" si="4"/>
        <v>1.31</v>
      </c>
      <c r="U26" s="5">
        <f t="shared" si="5"/>
        <v>1.32</v>
      </c>
      <c r="V26" s="5">
        <f t="shared" si="6"/>
        <v>1.28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1114</v>
      </c>
      <c r="D27" s="3" t="s">
        <v>1348</v>
      </c>
      <c r="E27" s="3" t="s">
        <v>1570</v>
      </c>
      <c r="F27" s="3" t="s">
        <v>1583</v>
      </c>
      <c r="G27" s="3" t="s">
        <v>1315</v>
      </c>
      <c r="H27" s="51">
        <v>41717</v>
      </c>
      <c r="J27" s="3">
        <f t="shared" si="7"/>
        <v>4.3</v>
      </c>
      <c r="K27" s="3">
        <f t="shared" si="7"/>
        <v>4.26</v>
      </c>
      <c r="L27" s="3">
        <f t="shared" si="7"/>
        <v>4.3099999999999996</v>
      </c>
      <c r="M27" s="3">
        <f t="shared" si="7"/>
        <v>4.25</v>
      </c>
      <c r="P27" s="15" t="s">
        <v>1109</v>
      </c>
      <c r="Q27" s="10" t="str">
        <f t="shared" si="1"/>
        <v xml:space="preserve">PORTOBELLO  -ON  </v>
      </c>
      <c r="R27" s="51">
        <f t="shared" si="2"/>
        <v>41717</v>
      </c>
      <c r="S27" s="5">
        <f t="shared" si="3"/>
        <v>4.3</v>
      </c>
      <c r="T27" s="5">
        <f t="shared" si="4"/>
        <v>4.26</v>
      </c>
      <c r="U27" s="5">
        <f t="shared" si="5"/>
        <v>4.3099999999999996</v>
      </c>
      <c r="V27" s="5">
        <f t="shared" si="6"/>
        <v>4.25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1123</v>
      </c>
      <c r="D28" s="3" t="s">
        <v>1648</v>
      </c>
      <c r="E28" s="3" t="s">
        <v>1483</v>
      </c>
      <c r="F28" s="3" t="s">
        <v>1649</v>
      </c>
      <c r="G28" s="3" t="s">
        <v>2070</v>
      </c>
      <c r="H28" s="51">
        <v>41717</v>
      </c>
      <c r="J28" s="3">
        <f t="shared" si="7"/>
        <v>18.82</v>
      </c>
      <c r="K28" s="3">
        <f t="shared" si="7"/>
        <v>18.61</v>
      </c>
      <c r="L28" s="3">
        <f t="shared" si="7"/>
        <v>19.170000000000002</v>
      </c>
      <c r="M28" s="3">
        <f t="shared" si="7"/>
        <v>18.600000000000001</v>
      </c>
      <c r="P28" s="15" t="s">
        <v>1115</v>
      </c>
      <c r="Q28" s="10" t="str">
        <f t="shared" si="1"/>
        <v xml:space="preserve">CONTAX      -UNT </v>
      </c>
      <c r="R28" s="51">
        <f t="shared" si="2"/>
        <v>41717</v>
      </c>
      <c r="S28" s="5">
        <f t="shared" si="3"/>
        <v>18.82</v>
      </c>
      <c r="T28" s="5">
        <f t="shared" si="4"/>
        <v>18.61</v>
      </c>
      <c r="U28" s="5">
        <f t="shared" si="5"/>
        <v>19.170000000000002</v>
      </c>
      <c r="V28" s="5">
        <f t="shared" si="6"/>
        <v>18.600000000000001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1124</v>
      </c>
      <c r="D29" s="3" t="s">
        <v>1629</v>
      </c>
      <c r="E29" s="3" t="s">
        <v>1629</v>
      </c>
      <c r="F29" s="3" t="s">
        <v>1629</v>
      </c>
      <c r="G29" s="3" t="s">
        <v>1629</v>
      </c>
      <c r="H29" s="51">
        <v>41717</v>
      </c>
      <c r="J29" s="3">
        <f>IF($A29="",0,VALUE(CONCATENATE(LEFT(D29,LEN(D29)-3),",",RIGHT(D29,2))))</f>
        <v>5.7</v>
      </c>
      <c r="K29" s="3">
        <f t="shared" si="7"/>
        <v>5.7</v>
      </c>
      <c r="L29" s="3">
        <f t="shared" si="7"/>
        <v>5.7</v>
      </c>
      <c r="M29" s="3">
        <f t="shared" si="7"/>
        <v>5.7</v>
      </c>
      <c r="P29" s="14" t="s">
        <v>1116</v>
      </c>
      <c r="Q29" s="10" t="str">
        <f t="shared" si="1"/>
        <v xml:space="preserve">CONTAX      -ON  </v>
      </c>
      <c r="R29" s="51">
        <f t="shared" si="2"/>
        <v>41717</v>
      </c>
      <c r="S29" s="5">
        <f t="shared" si="3"/>
        <v>5.7</v>
      </c>
      <c r="T29" s="5">
        <f t="shared" si="4"/>
        <v>5.7</v>
      </c>
      <c r="U29" s="5">
        <f t="shared" si="5"/>
        <v>5.7</v>
      </c>
      <c r="V29" s="5">
        <f t="shared" si="6"/>
        <v>5.7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1125</v>
      </c>
      <c r="D30" s="3" t="s">
        <v>1535</v>
      </c>
      <c r="E30" s="3" t="s">
        <v>2071</v>
      </c>
      <c r="F30" s="3" t="s">
        <v>1535</v>
      </c>
      <c r="G30" s="3" t="s">
        <v>750</v>
      </c>
      <c r="H30" s="51">
        <v>41717</v>
      </c>
      <c r="J30" s="3">
        <f t="shared" si="7"/>
        <v>3.4</v>
      </c>
      <c r="K30" s="3">
        <f t="shared" si="7"/>
        <v>3.34</v>
      </c>
      <c r="L30" s="3">
        <f t="shared" si="7"/>
        <v>3.4</v>
      </c>
      <c r="M30" s="3">
        <f t="shared" si="7"/>
        <v>3.3</v>
      </c>
      <c r="P30" s="14" t="s">
        <v>1117</v>
      </c>
      <c r="Q30" s="10" t="str">
        <f t="shared" si="1"/>
        <v xml:space="preserve">CONTAX      -PN  </v>
      </c>
      <c r="R30" s="51">
        <f t="shared" si="2"/>
        <v>41717</v>
      </c>
      <c r="S30" s="5">
        <f t="shared" si="3"/>
        <v>3.4</v>
      </c>
      <c r="T30" s="5">
        <f t="shared" si="4"/>
        <v>3.34</v>
      </c>
      <c r="U30" s="5">
        <f t="shared" si="5"/>
        <v>3.4</v>
      </c>
      <c r="V30" s="5">
        <f t="shared" si="6"/>
        <v>3.3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1126</v>
      </c>
      <c r="D31" s="3" t="s">
        <v>1337</v>
      </c>
      <c r="E31" s="3" t="s">
        <v>1337</v>
      </c>
      <c r="F31" s="3" t="s">
        <v>1454</v>
      </c>
      <c r="G31" s="3" t="s">
        <v>2072</v>
      </c>
      <c r="H31" s="51">
        <v>41717</v>
      </c>
      <c r="J31" s="3">
        <f t="shared" si="7"/>
        <v>2.0499999999999998</v>
      </c>
      <c r="K31" s="3">
        <f t="shared" si="7"/>
        <v>2.0499999999999998</v>
      </c>
      <c r="L31" s="3">
        <f t="shared" si="7"/>
        <v>2.06</v>
      </c>
      <c r="M31" s="3">
        <f t="shared" si="7"/>
        <v>1.97</v>
      </c>
      <c r="P31" s="14" t="s">
        <v>1118</v>
      </c>
      <c r="Q31" s="10" t="str">
        <f t="shared" si="1"/>
        <v xml:space="preserve">CSU CARDSYST-ON  </v>
      </c>
      <c r="R31" s="51">
        <f t="shared" si="2"/>
        <v>41717</v>
      </c>
      <c r="S31" s="5">
        <f t="shared" si="3"/>
        <v>2.0499999999999998</v>
      </c>
      <c r="T31" s="5">
        <f t="shared" si="4"/>
        <v>2.0499999999999998</v>
      </c>
      <c r="U31" s="5">
        <f t="shared" si="5"/>
        <v>2.06</v>
      </c>
      <c r="V31" s="5">
        <f t="shared" si="6"/>
        <v>1.97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1127</v>
      </c>
      <c r="D32" s="3" t="s">
        <v>1303</v>
      </c>
      <c r="E32" s="3" t="s">
        <v>1303</v>
      </c>
      <c r="F32" s="3" t="s">
        <v>1303</v>
      </c>
      <c r="G32" s="3" t="s">
        <v>1303</v>
      </c>
      <c r="H32" s="51">
        <v>41717</v>
      </c>
      <c r="J32" s="3">
        <f t="shared" si="7"/>
        <v>0.31</v>
      </c>
      <c r="K32" s="3">
        <f t="shared" si="7"/>
        <v>0.31</v>
      </c>
      <c r="L32" s="3">
        <f t="shared" si="7"/>
        <v>0.31</v>
      </c>
      <c r="M32" s="3">
        <f t="shared" si="7"/>
        <v>0.31</v>
      </c>
      <c r="P32" s="14" t="s">
        <v>1119</v>
      </c>
      <c r="Q32" s="10" t="str">
        <f t="shared" si="1"/>
        <v>DTCOM-DIRECT-ON</v>
      </c>
      <c r="R32" s="51">
        <f t="shared" si="2"/>
        <v>41717</v>
      </c>
      <c r="S32" s="5">
        <f t="shared" si="3"/>
        <v>0.31</v>
      </c>
      <c r="T32" s="5">
        <f t="shared" si="4"/>
        <v>0.31</v>
      </c>
      <c r="U32" s="5">
        <f t="shared" si="5"/>
        <v>0.31</v>
      </c>
      <c r="V32" s="5">
        <f t="shared" si="6"/>
        <v>0.31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1128</v>
      </c>
      <c r="D33" s="3" t="s">
        <v>425</v>
      </c>
      <c r="E33" s="3" t="s">
        <v>426</v>
      </c>
      <c r="F33" s="3" t="s">
        <v>425</v>
      </c>
      <c r="G33" s="3" t="s">
        <v>425</v>
      </c>
      <c r="H33" s="51" t="s">
        <v>425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1120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1129</v>
      </c>
      <c r="D34" s="3" t="s">
        <v>1650</v>
      </c>
      <c r="E34" s="3" t="s">
        <v>2073</v>
      </c>
      <c r="F34" s="3" t="s">
        <v>2074</v>
      </c>
      <c r="G34" s="3" t="s">
        <v>1650</v>
      </c>
      <c r="H34" s="51">
        <v>41717</v>
      </c>
      <c r="J34" s="3">
        <f t="shared" si="7"/>
        <v>24.52</v>
      </c>
      <c r="K34" s="3">
        <f t="shared" si="7"/>
        <v>25.48</v>
      </c>
      <c r="L34" s="3">
        <f t="shared" si="7"/>
        <v>25.54</v>
      </c>
      <c r="M34" s="3">
        <f t="shared" si="7"/>
        <v>24.52</v>
      </c>
      <c r="P34" s="14" t="s">
        <v>1121</v>
      </c>
      <c r="Q34" s="10" t="str">
        <f t="shared" si="1"/>
        <v xml:space="preserve">MILLS       -ON  </v>
      </c>
      <c r="R34" s="51">
        <f t="shared" si="2"/>
        <v>41717</v>
      </c>
      <c r="S34" s="5">
        <f t="shared" si="3"/>
        <v>24.52</v>
      </c>
      <c r="T34" s="5">
        <f t="shared" si="4"/>
        <v>25.48</v>
      </c>
      <c r="U34" s="5">
        <f t="shared" si="5"/>
        <v>25.54</v>
      </c>
      <c r="V34" s="5">
        <f t="shared" si="6"/>
        <v>24.52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1130</v>
      </c>
      <c r="D35" s="3" t="s">
        <v>1651</v>
      </c>
      <c r="E35" s="3" t="s">
        <v>2075</v>
      </c>
      <c r="F35" s="3" t="s">
        <v>1651</v>
      </c>
      <c r="G35" s="3" t="s">
        <v>2076</v>
      </c>
      <c r="H35" s="51">
        <v>41717</v>
      </c>
      <c r="J35" s="3">
        <f t="shared" si="7"/>
        <v>32.979999999999997</v>
      </c>
      <c r="K35" s="3">
        <f t="shared" si="7"/>
        <v>31.78</v>
      </c>
      <c r="L35" s="3">
        <f t="shared" si="7"/>
        <v>32.979999999999997</v>
      </c>
      <c r="M35" s="3">
        <f t="shared" si="7"/>
        <v>31.57</v>
      </c>
      <c r="P35" s="14" t="s">
        <v>1122</v>
      </c>
      <c r="Q35" s="10" t="str">
        <f t="shared" si="1"/>
        <v xml:space="preserve">VALID       -ON  </v>
      </c>
      <c r="R35" s="51">
        <f t="shared" si="2"/>
        <v>41717</v>
      </c>
      <c r="S35" s="5">
        <f t="shared" si="3"/>
        <v>32.979999999999997</v>
      </c>
      <c r="T35" s="5">
        <f t="shared" si="4"/>
        <v>31.78</v>
      </c>
      <c r="U35" s="5">
        <f t="shared" si="5"/>
        <v>32.979999999999997</v>
      </c>
      <c r="V35" s="5">
        <f t="shared" si="6"/>
        <v>31.57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1136</v>
      </c>
      <c r="D36" s="3" t="s">
        <v>1652</v>
      </c>
      <c r="E36" s="3" t="s">
        <v>2077</v>
      </c>
      <c r="F36" s="3" t="s">
        <v>1653</v>
      </c>
      <c r="G36" s="3" t="s">
        <v>1654</v>
      </c>
      <c r="H36" s="51">
        <v>41717</v>
      </c>
      <c r="J36" s="3">
        <f t="shared" si="7"/>
        <v>18.03</v>
      </c>
      <c r="K36" s="3">
        <f t="shared" si="7"/>
        <v>18.079999999999998</v>
      </c>
      <c r="L36" s="3">
        <f t="shared" si="7"/>
        <v>18.27</v>
      </c>
      <c r="M36" s="3">
        <f t="shared" si="7"/>
        <v>17.93</v>
      </c>
      <c r="P36" s="14" t="s">
        <v>1132</v>
      </c>
      <c r="Q36" s="10" t="str">
        <f t="shared" si="1"/>
        <v xml:space="preserve">ARTERIS     -ON  </v>
      </c>
      <c r="R36" s="51">
        <f t="shared" si="2"/>
        <v>41717</v>
      </c>
      <c r="S36" s="5">
        <f t="shared" si="3"/>
        <v>18.03</v>
      </c>
      <c r="T36" s="5">
        <f t="shared" si="4"/>
        <v>18.079999999999998</v>
      </c>
      <c r="U36" s="5">
        <f t="shared" si="5"/>
        <v>18.27</v>
      </c>
      <c r="V36" s="5">
        <f t="shared" si="6"/>
        <v>17.93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1137</v>
      </c>
      <c r="D37" s="3" t="s">
        <v>1655</v>
      </c>
      <c r="E37" s="3" t="s">
        <v>1452</v>
      </c>
      <c r="F37" s="3" t="s">
        <v>1328</v>
      </c>
      <c r="G37" s="3" t="s">
        <v>1632</v>
      </c>
      <c r="H37" s="51">
        <v>41717</v>
      </c>
      <c r="J37" s="3">
        <f t="shared" si="7"/>
        <v>16.73</v>
      </c>
      <c r="K37" s="3">
        <f t="shared" si="7"/>
        <v>16.829999999999998</v>
      </c>
      <c r="L37" s="3">
        <f t="shared" si="7"/>
        <v>17</v>
      </c>
      <c r="M37" s="3">
        <f t="shared" si="7"/>
        <v>16.579999999999998</v>
      </c>
      <c r="P37" s="15" t="s">
        <v>1133</v>
      </c>
      <c r="Q37" s="10" t="str">
        <f t="shared" si="1"/>
        <v xml:space="preserve">CCR SA      -ON  </v>
      </c>
      <c r="R37" s="51">
        <f t="shared" si="2"/>
        <v>41717</v>
      </c>
      <c r="S37" s="5">
        <f t="shared" si="3"/>
        <v>16.73</v>
      </c>
      <c r="T37" s="5">
        <f t="shared" si="4"/>
        <v>16.829999999999998</v>
      </c>
      <c r="U37" s="5">
        <f t="shared" si="5"/>
        <v>17</v>
      </c>
      <c r="V37" s="5">
        <f t="shared" si="6"/>
        <v>16.579999999999998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1138</v>
      </c>
      <c r="D38" s="3" t="s">
        <v>1656</v>
      </c>
      <c r="E38" s="3" t="s">
        <v>2078</v>
      </c>
      <c r="F38" s="3" t="s">
        <v>1442</v>
      </c>
      <c r="G38" s="3" t="s">
        <v>881</v>
      </c>
      <c r="H38" s="51">
        <v>41717</v>
      </c>
      <c r="J38" s="3">
        <f t="shared" si="7"/>
        <v>12.83</v>
      </c>
      <c r="K38" s="3">
        <f t="shared" si="7"/>
        <v>12.7</v>
      </c>
      <c r="L38" s="3">
        <f t="shared" si="7"/>
        <v>12.88</v>
      </c>
      <c r="M38" s="3">
        <f t="shared" si="7"/>
        <v>12.5</v>
      </c>
      <c r="P38" s="15" t="s">
        <v>1134</v>
      </c>
      <c r="Q38" s="10" t="str">
        <f t="shared" si="1"/>
        <v xml:space="preserve">ECORODOVIAS -ON  </v>
      </c>
      <c r="R38" s="51">
        <f t="shared" si="2"/>
        <v>41717</v>
      </c>
      <c r="S38" s="5">
        <f t="shared" si="3"/>
        <v>12.83</v>
      </c>
      <c r="T38" s="5">
        <f t="shared" si="4"/>
        <v>12.7</v>
      </c>
      <c r="U38" s="5">
        <f t="shared" si="5"/>
        <v>12.88</v>
      </c>
      <c r="V38" s="5">
        <f t="shared" si="6"/>
        <v>12.5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1139</v>
      </c>
      <c r="D39" s="3" t="s">
        <v>1657</v>
      </c>
      <c r="E39" s="3" t="s">
        <v>1499</v>
      </c>
      <c r="F39" s="3" t="s">
        <v>178</v>
      </c>
      <c r="G39" s="3" t="s">
        <v>1657</v>
      </c>
      <c r="H39" s="51">
        <v>41717</v>
      </c>
      <c r="J39" s="3">
        <f t="shared" si="7"/>
        <v>7.88</v>
      </c>
      <c r="K39" s="3">
        <f t="shared" si="7"/>
        <v>8.16</v>
      </c>
      <c r="L39" s="3">
        <f t="shared" si="7"/>
        <v>8.19</v>
      </c>
      <c r="M39" s="3">
        <f t="shared" si="7"/>
        <v>7.88</v>
      </c>
      <c r="P39" s="14" t="s">
        <v>1135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41717</v>
      </c>
      <c r="S39" s="5">
        <f t="shared" ref="S39:S70" si="10">J39</f>
        <v>7.88</v>
      </c>
      <c r="T39" s="5">
        <f t="shared" ref="T39:T70" si="11">K39</f>
        <v>8.16</v>
      </c>
      <c r="U39" s="5">
        <f t="shared" ref="U39:U70" si="12">L39</f>
        <v>8.19</v>
      </c>
      <c r="V39" s="5">
        <f t="shared" ref="V39:V70" si="13">M39</f>
        <v>7.88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1148</v>
      </c>
      <c r="D40" s="3" t="s">
        <v>1605</v>
      </c>
      <c r="E40" s="3" t="s">
        <v>1605</v>
      </c>
      <c r="F40" s="3" t="s">
        <v>1605</v>
      </c>
      <c r="G40" s="3" t="s">
        <v>1605</v>
      </c>
      <c r="H40" s="51">
        <v>41717</v>
      </c>
      <c r="J40" s="3">
        <f t="shared" si="7"/>
        <v>1.07</v>
      </c>
      <c r="K40" s="3">
        <f t="shared" si="7"/>
        <v>1.07</v>
      </c>
      <c r="L40" s="3">
        <f t="shared" si="7"/>
        <v>1.07</v>
      </c>
      <c r="M40" s="3">
        <f t="shared" si="7"/>
        <v>1.07</v>
      </c>
      <c r="P40" s="14" t="s">
        <v>1142</v>
      </c>
      <c r="Q40" s="10" t="str">
        <f t="shared" si="8"/>
        <v>DOC IMBITUBA-ON</v>
      </c>
      <c r="R40" s="51">
        <f t="shared" si="9"/>
        <v>41717</v>
      </c>
      <c r="S40" s="5">
        <f t="shared" si="10"/>
        <v>1.07</v>
      </c>
      <c r="T40" s="5">
        <f t="shared" si="11"/>
        <v>1.07</v>
      </c>
      <c r="U40" s="5">
        <f t="shared" si="12"/>
        <v>1.07</v>
      </c>
      <c r="V40" s="5">
        <f t="shared" si="13"/>
        <v>1.07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1149</v>
      </c>
      <c r="D41" s="3" t="s">
        <v>1658</v>
      </c>
      <c r="E41" s="3" t="s">
        <v>1658</v>
      </c>
      <c r="F41" s="3" t="s">
        <v>1658</v>
      </c>
      <c r="G41" s="3" t="s">
        <v>1658</v>
      </c>
      <c r="H41" s="51">
        <v>41717</v>
      </c>
      <c r="J41" s="3">
        <f t="shared" si="7"/>
        <v>0.68</v>
      </c>
      <c r="K41" s="3">
        <f t="shared" si="7"/>
        <v>0.68</v>
      </c>
      <c r="L41" s="3">
        <f t="shared" si="7"/>
        <v>0.68</v>
      </c>
      <c r="M41" s="3">
        <f t="shared" si="7"/>
        <v>0.68</v>
      </c>
      <c r="P41" s="14" t="s">
        <v>1143</v>
      </c>
      <c r="Q41" s="10" t="str">
        <f t="shared" si="8"/>
        <v>DOC IMBITUBA-PN</v>
      </c>
      <c r="R41" s="51">
        <f t="shared" si="9"/>
        <v>41717</v>
      </c>
      <c r="S41" s="5">
        <f t="shared" si="10"/>
        <v>0.68</v>
      </c>
      <c r="T41" s="5">
        <f t="shared" si="11"/>
        <v>0.68</v>
      </c>
      <c r="U41" s="5">
        <f t="shared" si="12"/>
        <v>0.68</v>
      </c>
      <c r="V41" s="5">
        <f t="shared" si="13"/>
        <v>0.68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1150</v>
      </c>
      <c r="D42" s="3" t="s">
        <v>1405</v>
      </c>
      <c r="E42" s="3" t="s">
        <v>1548</v>
      </c>
      <c r="F42" s="3" t="s">
        <v>1545</v>
      </c>
      <c r="G42" s="3" t="s">
        <v>1405</v>
      </c>
      <c r="H42" s="51">
        <v>41717</v>
      </c>
      <c r="J42" s="3">
        <f t="shared" si="7"/>
        <v>0.83</v>
      </c>
      <c r="K42" s="3">
        <f t="shared" si="7"/>
        <v>0.86</v>
      </c>
      <c r="L42" s="3">
        <f t="shared" si="7"/>
        <v>0.87</v>
      </c>
      <c r="M42" s="3">
        <f t="shared" si="7"/>
        <v>0.83</v>
      </c>
      <c r="P42" s="14" t="s">
        <v>1144</v>
      </c>
      <c r="Q42" s="10" t="str">
        <f t="shared" si="8"/>
        <v xml:space="preserve">LLX LOG     -ON  </v>
      </c>
      <c r="R42" s="51">
        <f t="shared" si="9"/>
        <v>41717</v>
      </c>
      <c r="S42" s="5">
        <f t="shared" si="10"/>
        <v>0.83</v>
      </c>
      <c r="T42" s="5">
        <f t="shared" si="11"/>
        <v>0.86</v>
      </c>
      <c r="U42" s="5">
        <f t="shared" si="12"/>
        <v>0.87</v>
      </c>
      <c r="V42" s="5">
        <f t="shared" si="13"/>
        <v>0.83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1151</v>
      </c>
      <c r="D43" s="3" t="s">
        <v>1618</v>
      </c>
      <c r="E43" s="3" t="s">
        <v>1554</v>
      </c>
      <c r="F43" s="3" t="s">
        <v>1827</v>
      </c>
      <c r="G43" s="3" t="s">
        <v>1341</v>
      </c>
      <c r="H43" s="51">
        <v>41717</v>
      </c>
      <c r="J43" s="3">
        <f t="shared" si="7"/>
        <v>16.75</v>
      </c>
      <c r="K43" s="3">
        <f t="shared" si="7"/>
        <v>16.54</v>
      </c>
      <c r="L43" s="3">
        <f t="shared" si="7"/>
        <v>16.760000000000002</v>
      </c>
      <c r="M43" s="3">
        <f t="shared" si="7"/>
        <v>16.399999999999999</v>
      </c>
      <c r="P43" s="14" t="s">
        <v>1145</v>
      </c>
      <c r="Q43" s="10" t="str">
        <f t="shared" si="8"/>
        <v xml:space="preserve">SANTOS BRP  -UNT </v>
      </c>
      <c r="R43" s="51">
        <f t="shared" si="9"/>
        <v>41717</v>
      </c>
      <c r="S43" s="5">
        <f t="shared" si="10"/>
        <v>16.75</v>
      </c>
      <c r="T43" s="5">
        <f t="shared" si="11"/>
        <v>16.54</v>
      </c>
      <c r="U43" s="5">
        <f t="shared" si="12"/>
        <v>16.760000000000002</v>
      </c>
      <c r="V43" s="5">
        <f t="shared" si="13"/>
        <v>16.399999999999999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1152</v>
      </c>
      <c r="D44" s="3" t="s">
        <v>425</v>
      </c>
      <c r="E44" s="3" t="s">
        <v>426</v>
      </c>
      <c r="F44" s="3" t="s">
        <v>425</v>
      </c>
      <c r="G44" s="3" t="s">
        <v>425</v>
      </c>
      <c r="H44" s="51" t="s">
        <v>425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1146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1153</v>
      </c>
      <c r="D45" s="3" t="s">
        <v>425</v>
      </c>
      <c r="E45" s="3" t="s">
        <v>426</v>
      </c>
      <c r="F45" s="3" t="s">
        <v>425</v>
      </c>
      <c r="G45" s="3" t="s">
        <v>425</v>
      </c>
      <c r="H45" s="51" t="s">
        <v>425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1147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1157</v>
      </c>
      <c r="D46" s="3" t="s">
        <v>425</v>
      </c>
      <c r="E46" s="3" t="s">
        <v>426</v>
      </c>
      <c r="F46" s="3" t="s">
        <v>425</v>
      </c>
      <c r="G46" s="3" t="s">
        <v>425</v>
      </c>
      <c r="H46" s="51" t="s">
        <v>425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1155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1158</v>
      </c>
      <c r="D47" s="3" t="s">
        <v>1659</v>
      </c>
      <c r="E47" s="3" t="s">
        <v>754</v>
      </c>
      <c r="F47" s="3" t="s">
        <v>1844</v>
      </c>
      <c r="G47" s="3" t="s">
        <v>1660</v>
      </c>
      <c r="H47" s="51">
        <v>41717</v>
      </c>
      <c r="J47" s="3">
        <f t="shared" si="7"/>
        <v>10.31</v>
      </c>
      <c r="K47" s="3">
        <f t="shared" si="7"/>
        <v>10.4</v>
      </c>
      <c r="L47" s="3">
        <f t="shared" si="7"/>
        <v>10.55</v>
      </c>
      <c r="M47" s="3">
        <f t="shared" si="7"/>
        <v>10.25</v>
      </c>
      <c r="P47" s="10" t="s">
        <v>1156</v>
      </c>
      <c r="Q47" s="10" t="str">
        <f t="shared" si="8"/>
        <v xml:space="preserve">GOL         -PN  </v>
      </c>
      <c r="R47" s="51">
        <f t="shared" si="9"/>
        <v>41717</v>
      </c>
      <c r="S47" s="5">
        <f t="shared" si="10"/>
        <v>10.31</v>
      </c>
      <c r="T47" s="5">
        <f t="shared" si="11"/>
        <v>10.4</v>
      </c>
      <c r="U47" s="5">
        <f t="shared" si="12"/>
        <v>10.55</v>
      </c>
      <c r="V47" s="5">
        <f t="shared" si="13"/>
        <v>10.25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1163</v>
      </c>
      <c r="D48" s="3" t="s">
        <v>1661</v>
      </c>
      <c r="E48" s="3" t="s">
        <v>2018</v>
      </c>
      <c r="F48" s="3" t="s">
        <v>1560</v>
      </c>
      <c r="G48" s="3" t="s">
        <v>2079</v>
      </c>
      <c r="H48" s="51">
        <v>41717</v>
      </c>
      <c r="J48" s="3">
        <f t="shared" si="7"/>
        <v>7.07</v>
      </c>
      <c r="K48" s="3">
        <f t="shared" si="7"/>
        <v>7.05</v>
      </c>
      <c r="L48" s="3">
        <f t="shared" si="7"/>
        <v>7.14</v>
      </c>
      <c r="M48" s="3">
        <f t="shared" si="7"/>
        <v>7.03</v>
      </c>
      <c r="P48" s="14" t="s">
        <v>1160</v>
      </c>
      <c r="Q48" s="10" t="str">
        <f t="shared" si="8"/>
        <v xml:space="preserve">ALL AMER LAT-ON  </v>
      </c>
      <c r="R48" s="51">
        <f t="shared" si="9"/>
        <v>41717</v>
      </c>
      <c r="S48" s="5">
        <f t="shared" si="10"/>
        <v>7.07</v>
      </c>
      <c r="T48" s="5">
        <f t="shared" si="11"/>
        <v>7.05</v>
      </c>
      <c r="U48" s="5">
        <f t="shared" si="12"/>
        <v>7.14</v>
      </c>
      <c r="V48" s="5">
        <f t="shared" si="13"/>
        <v>7.03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1164</v>
      </c>
      <c r="D49" s="3" t="s">
        <v>425</v>
      </c>
      <c r="E49" s="3" t="s">
        <v>658</v>
      </c>
      <c r="F49" s="3" t="s">
        <v>658</v>
      </c>
      <c r="G49" s="3" t="s">
        <v>658</v>
      </c>
      <c r="H49" s="51">
        <v>41717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1161</v>
      </c>
      <c r="Q49" s="10" t="str">
        <f t="shared" si="8"/>
        <v>FER C ATLANT-ON</v>
      </c>
      <c r="R49" s="51">
        <f t="shared" si="9"/>
        <v>41717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1165</v>
      </c>
      <c r="D50" s="3" t="s">
        <v>425</v>
      </c>
      <c r="E50" s="3" t="s">
        <v>426</v>
      </c>
      <c r="F50" s="3" t="s">
        <v>425</v>
      </c>
      <c r="G50" s="3" t="s">
        <v>425</v>
      </c>
      <c r="H50" s="51" t="s">
        <v>425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1162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1170</v>
      </c>
      <c r="D51" s="3" t="s">
        <v>1596</v>
      </c>
      <c r="E51" s="3" t="s">
        <v>2080</v>
      </c>
      <c r="F51" s="3" t="s">
        <v>2081</v>
      </c>
      <c r="G51" s="3" t="s">
        <v>1363</v>
      </c>
      <c r="H51" s="51">
        <v>41717</v>
      </c>
      <c r="J51" s="3">
        <f t="shared" si="7"/>
        <v>8.5299999999999994</v>
      </c>
      <c r="K51" s="3">
        <f t="shared" si="7"/>
        <v>8.48</v>
      </c>
      <c r="L51" s="3">
        <f t="shared" si="7"/>
        <v>8.56</v>
      </c>
      <c r="M51" s="3">
        <f t="shared" si="7"/>
        <v>8.4</v>
      </c>
      <c r="P51" s="14" t="s">
        <v>1167</v>
      </c>
      <c r="Q51" s="10" t="str">
        <f t="shared" si="8"/>
        <v xml:space="preserve">LOG-IN      -ON  </v>
      </c>
      <c r="R51" s="51">
        <f t="shared" si="9"/>
        <v>41717</v>
      </c>
      <c r="S51" s="5">
        <f t="shared" si="10"/>
        <v>8.5299999999999994</v>
      </c>
      <c r="T51" s="5">
        <f t="shared" si="11"/>
        <v>8.48</v>
      </c>
      <c r="U51" s="5">
        <f t="shared" si="12"/>
        <v>8.56</v>
      </c>
      <c r="V51" s="5">
        <f t="shared" si="13"/>
        <v>8.4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1171</v>
      </c>
      <c r="D52" s="3" t="s">
        <v>425</v>
      </c>
      <c r="E52" s="3" t="s">
        <v>1172</v>
      </c>
      <c r="F52" s="3" t="s">
        <v>1172</v>
      </c>
      <c r="G52" s="3" t="s">
        <v>1172</v>
      </c>
      <c r="H52" s="51">
        <v>41717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1168</v>
      </c>
      <c r="Q52" s="10" t="str">
        <f t="shared" si="8"/>
        <v>TREVISA     -ON</v>
      </c>
      <c r="R52" s="51">
        <f t="shared" si="9"/>
        <v>41717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1173</v>
      </c>
      <c r="D53" s="3" t="s">
        <v>1320</v>
      </c>
      <c r="E53" s="3" t="s">
        <v>1320</v>
      </c>
      <c r="F53" s="3" t="s">
        <v>1320</v>
      </c>
      <c r="G53" s="3" t="s">
        <v>1320</v>
      </c>
      <c r="H53" s="51">
        <v>41717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1169</v>
      </c>
      <c r="Q53" s="10" t="str">
        <f t="shared" si="8"/>
        <v>TREVISA     -PN</v>
      </c>
      <c r="R53" s="51">
        <f t="shared" si="9"/>
        <v>41717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1177</v>
      </c>
      <c r="D54" s="3" t="s">
        <v>1663</v>
      </c>
      <c r="E54" s="61" t="s">
        <v>2082</v>
      </c>
      <c r="F54" s="61" t="s">
        <v>1665</v>
      </c>
      <c r="G54" s="61" t="s">
        <v>2083</v>
      </c>
      <c r="H54" s="51">
        <v>41717</v>
      </c>
      <c r="J54" s="3">
        <f t="shared" si="7"/>
        <v>14.03</v>
      </c>
      <c r="K54" s="3">
        <f t="shared" si="7"/>
        <v>13.96</v>
      </c>
      <c r="L54" s="3">
        <f t="shared" si="7"/>
        <v>14.09</v>
      </c>
      <c r="M54" s="3">
        <f t="shared" si="7"/>
        <v>13.91</v>
      </c>
      <c r="P54" s="14" t="s">
        <v>1175</v>
      </c>
      <c r="Q54" s="10" t="str">
        <f t="shared" si="8"/>
        <v xml:space="preserve">JSL         -ON  </v>
      </c>
      <c r="R54" s="51">
        <f t="shared" si="9"/>
        <v>41717</v>
      </c>
      <c r="S54" s="5">
        <f t="shared" si="10"/>
        <v>14.03</v>
      </c>
      <c r="T54" s="5">
        <f t="shared" si="11"/>
        <v>13.96</v>
      </c>
      <c r="U54" s="5">
        <f t="shared" si="12"/>
        <v>14.09</v>
      </c>
      <c r="V54" s="5">
        <f t="shared" si="13"/>
        <v>13.91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1178</v>
      </c>
      <c r="D55" s="3" t="s">
        <v>1666</v>
      </c>
      <c r="E55" s="3" t="s">
        <v>2084</v>
      </c>
      <c r="F55" s="3" t="s">
        <v>2085</v>
      </c>
      <c r="G55" s="3" t="s">
        <v>1619</v>
      </c>
      <c r="H55" s="51">
        <v>41717</v>
      </c>
      <c r="J55" s="3">
        <f t="shared" si="7"/>
        <v>17.55</v>
      </c>
      <c r="K55" s="3">
        <f t="shared" si="7"/>
        <v>17.66</v>
      </c>
      <c r="L55" s="3">
        <f t="shared" si="7"/>
        <v>17.89</v>
      </c>
      <c r="M55" s="3">
        <f t="shared" si="7"/>
        <v>17.309999999999999</v>
      </c>
      <c r="P55" s="43" t="s">
        <v>1176</v>
      </c>
      <c r="Q55" s="10" t="str">
        <f t="shared" si="8"/>
        <v xml:space="preserve">TEGMA       -ON  </v>
      </c>
      <c r="R55" s="51">
        <f t="shared" si="9"/>
        <v>41717</v>
      </c>
      <c r="S55" s="5">
        <f t="shared" si="10"/>
        <v>17.55</v>
      </c>
      <c r="T55" s="5">
        <f t="shared" si="11"/>
        <v>17.66</v>
      </c>
      <c r="U55" s="5">
        <f t="shared" si="12"/>
        <v>17.89</v>
      </c>
      <c r="V55" s="5">
        <f t="shared" si="13"/>
        <v>17.309999999999999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1181</v>
      </c>
      <c r="D56" s="3" t="s">
        <v>1318</v>
      </c>
      <c r="E56" s="3" t="s">
        <v>1318</v>
      </c>
      <c r="F56" s="3" t="s">
        <v>1318</v>
      </c>
      <c r="G56" s="3" t="s">
        <v>1318</v>
      </c>
      <c r="H56" s="51">
        <v>41717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1179</v>
      </c>
      <c r="Q56" s="10" t="str">
        <f t="shared" si="8"/>
        <v>WLM IND COM -ON</v>
      </c>
      <c r="R56" s="51">
        <f t="shared" si="9"/>
        <v>41717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1182</v>
      </c>
      <c r="D57" s="3" t="s">
        <v>1573</v>
      </c>
      <c r="E57" s="3" t="s">
        <v>1574</v>
      </c>
      <c r="F57" s="3" t="s">
        <v>1574</v>
      </c>
      <c r="G57" s="3" t="s">
        <v>1575</v>
      </c>
      <c r="H57" s="51">
        <v>41717</v>
      </c>
      <c r="J57" s="3">
        <f t="shared" si="7"/>
        <v>83.79</v>
      </c>
      <c r="K57" s="3">
        <f t="shared" si="7"/>
        <v>83.97</v>
      </c>
      <c r="L57" s="3">
        <f t="shared" si="7"/>
        <v>83.97</v>
      </c>
      <c r="M57" s="3">
        <f t="shared" si="7"/>
        <v>80.11</v>
      </c>
      <c r="P57" s="14" t="s">
        <v>1180</v>
      </c>
      <c r="Q57" s="10" t="str">
        <f t="shared" si="8"/>
        <v>WLM IND COM -PN</v>
      </c>
      <c r="R57" s="51">
        <f t="shared" si="9"/>
        <v>41717</v>
      </c>
      <c r="S57" s="5">
        <f t="shared" si="10"/>
        <v>83.79</v>
      </c>
      <c r="T57" s="5">
        <f t="shared" si="11"/>
        <v>83.97</v>
      </c>
      <c r="U57" s="5">
        <f t="shared" si="12"/>
        <v>83.97</v>
      </c>
      <c r="V57" s="5">
        <f t="shared" si="13"/>
        <v>80.11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1187</v>
      </c>
      <c r="D58" s="3" t="s">
        <v>1411</v>
      </c>
      <c r="E58" s="3" t="s">
        <v>1410</v>
      </c>
      <c r="F58" s="3" t="s">
        <v>1411</v>
      </c>
      <c r="G58" s="3" t="s">
        <v>523</v>
      </c>
      <c r="H58" s="51">
        <v>41717</v>
      </c>
      <c r="J58" s="3">
        <f t="shared" si="7"/>
        <v>1.8</v>
      </c>
      <c r="K58" s="3">
        <f t="shared" si="7"/>
        <v>1.75</v>
      </c>
      <c r="L58" s="3">
        <f t="shared" si="7"/>
        <v>1.8</v>
      </c>
      <c r="M58" s="3">
        <f t="shared" si="7"/>
        <v>1.7</v>
      </c>
      <c r="P58" s="14" t="s">
        <v>1186</v>
      </c>
      <c r="Q58" s="10" t="str">
        <f t="shared" si="8"/>
        <v xml:space="preserve">METALFRIO   -ON  </v>
      </c>
      <c r="R58" s="51">
        <f t="shared" si="9"/>
        <v>41717</v>
      </c>
      <c r="S58" s="5">
        <f t="shared" si="10"/>
        <v>1.8</v>
      </c>
      <c r="T58" s="5">
        <f t="shared" si="11"/>
        <v>1.75</v>
      </c>
      <c r="U58" s="5">
        <f t="shared" si="12"/>
        <v>1.8</v>
      </c>
      <c r="V58" s="5">
        <f t="shared" si="13"/>
        <v>1.7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1191</v>
      </c>
      <c r="D59" s="3" t="s">
        <v>1667</v>
      </c>
      <c r="E59" s="61" t="s">
        <v>2086</v>
      </c>
      <c r="F59" s="61" t="s">
        <v>2086</v>
      </c>
      <c r="G59" s="61" t="s">
        <v>1412</v>
      </c>
      <c r="H59" s="51">
        <v>41717</v>
      </c>
      <c r="J59" s="3">
        <f t="shared" si="7"/>
        <v>1.91</v>
      </c>
      <c r="K59" s="3">
        <f t="shared" si="7"/>
        <v>1.93</v>
      </c>
      <c r="L59" s="3">
        <f t="shared" si="7"/>
        <v>1.93</v>
      </c>
      <c r="M59" s="3">
        <f t="shared" si="7"/>
        <v>1.84</v>
      </c>
      <c r="P59" s="14" t="s">
        <v>1189</v>
      </c>
      <c r="Q59" s="10" t="str">
        <f t="shared" si="8"/>
        <v xml:space="preserve">FORJA TAURUS-ON  </v>
      </c>
      <c r="R59" s="46">
        <f t="shared" si="9"/>
        <v>41717</v>
      </c>
      <c r="S59" s="6">
        <f t="shared" si="10"/>
        <v>1.91</v>
      </c>
      <c r="T59" s="6">
        <f t="shared" si="11"/>
        <v>1.93</v>
      </c>
      <c r="U59" s="6">
        <f t="shared" si="12"/>
        <v>1.93</v>
      </c>
      <c r="V59" s="6">
        <f t="shared" si="13"/>
        <v>1.84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1192</v>
      </c>
      <c r="D60" s="3" t="s">
        <v>1576</v>
      </c>
      <c r="E60" s="61" t="s">
        <v>1564</v>
      </c>
      <c r="F60" s="61" t="s">
        <v>1556</v>
      </c>
      <c r="G60" s="61" t="s">
        <v>1668</v>
      </c>
      <c r="H60" s="51">
        <v>41717</v>
      </c>
      <c r="J60" s="3">
        <f t="shared" si="7"/>
        <v>1.43</v>
      </c>
      <c r="K60" s="3">
        <f t="shared" si="7"/>
        <v>1.4</v>
      </c>
      <c r="L60" s="3">
        <f t="shared" si="7"/>
        <v>1.44</v>
      </c>
      <c r="M60" s="3">
        <f t="shared" si="7"/>
        <v>1.38</v>
      </c>
      <c r="P60" s="14" t="s">
        <v>1190</v>
      </c>
      <c r="Q60" s="10" t="str">
        <f t="shared" si="8"/>
        <v xml:space="preserve">FORJA TAURUS-PN  </v>
      </c>
      <c r="R60" s="51">
        <f t="shared" si="9"/>
        <v>41717</v>
      </c>
      <c r="S60" s="5">
        <f t="shared" si="10"/>
        <v>1.43</v>
      </c>
      <c r="T60" s="5">
        <f t="shared" si="11"/>
        <v>1.4</v>
      </c>
      <c r="U60" s="5">
        <f t="shared" si="12"/>
        <v>1.44</v>
      </c>
      <c r="V60" s="5">
        <f t="shared" si="13"/>
        <v>1.38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1197</v>
      </c>
      <c r="D61" s="3" t="s">
        <v>425</v>
      </c>
      <c r="E61" s="3" t="s">
        <v>613</v>
      </c>
      <c r="F61" s="3" t="s">
        <v>613</v>
      </c>
      <c r="G61" s="3" t="s">
        <v>613</v>
      </c>
      <c r="H61" s="51">
        <v>41717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1193</v>
      </c>
      <c r="Q61" s="10" t="str">
        <f t="shared" si="8"/>
        <v>ACO ALTONA  -ON</v>
      </c>
      <c r="R61" s="51">
        <f t="shared" si="9"/>
        <v>41717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1198</v>
      </c>
      <c r="D62" s="3" t="s">
        <v>1321</v>
      </c>
      <c r="E62" s="3" t="s">
        <v>1322</v>
      </c>
      <c r="F62" s="3" t="s">
        <v>1321</v>
      </c>
      <c r="G62" s="3" t="s">
        <v>1322</v>
      </c>
      <c r="H62" s="51">
        <v>41717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1194</v>
      </c>
      <c r="Q62" s="10" t="str">
        <f t="shared" si="8"/>
        <v>ACO ALTONA  -PN</v>
      </c>
      <c r="R62" s="51">
        <f t="shared" si="9"/>
        <v>41717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1199</v>
      </c>
      <c r="D63" s="3" t="s">
        <v>425</v>
      </c>
      <c r="E63" s="3" t="s">
        <v>629</v>
      </c>
      <c r="F63" s="3" t="s">
        <v>629</v>
      </c>
      <c r="G63" s="3" t="s">
        <v>629</v>
      </c>
      <c r="H63" s="51">
        <v>41717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1195</v>
      </c>
      <c r="Q63" s="10" t="str">
        <f t="shared" si="8"/>
        <v>METISA      -ON</v>
      </c>
      <c r="R63" s="51">
        <f t="shared" si="9"/>
        <v>41717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1200</v>
      </c>
      <c r="D64" s="3" t="s">
        <v>1507</v>
      </c>
      <c r="E64" s="3" t="s">
        <v>1452</v>
      </c>
      <c r="F64" s="3" t="s">
        <v>1634</v>
      </c>
      <c r="G64" s="3" t="s">
        <v>1452</v>
      </c>
      <c r="H64" s="51">
        <v>41717</v>
      </c>
      <c r="J64" s="3">
        <f t="shared" si="7"/>
        <v>16.91</v>
      </c>
      <c r="K64" s="3">
        <f t="shared" si="7"/>
        <v>16.829999999999998</v>
      </c>
      <c r="L64" s="3">
        <f t="shared" si="7"/>
        <v>16.96</v>
      </c>
      <c r="M64" s="3">
        <f t="shared" si="7"/>
        <v>16.829999999999998</v>
      </c>
      <c r="P64" s="14" t="s">
        <v>1196</v>
      </c>
      <c r="Q64" s="10" t="str">
        <f t="shared" si="8"/>
        <v>METISA      -PN</v>
      </c>
      <c r="R64" s="51">
        <f t="shared" si="9"/>
        <v>41717</v>
      </c>
      <c r="S64" s="5">
        <f t="shared" si="10"/>
        <v>16.91</v>
      </c>
      <c r="T64" s="5">
        <f t="shared" si="11"/>
        <v>16.829999999999998</v>
      </c>
      <c r="U64" s="5">
        <f t="shared" si="12"/>
        <v>16.96</v>
      </c>
      <c r="V64" s="5">
        <f t="shared" si="13"/>
        <v>16.829999999999998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1204</v>
      </c>
      <c r="D65" s="3" t="s">
        <v>425</v>
      </c>
      <c r="E65" s="3" t="s">
        <v>737</v>
      </c>
      <c r="F65" s="3" t="s">
        <v>737</v>
      </c>
      <c r="G65" s="3" t="s">
        <v>737</v>
      </c>
      <c r="H65" s="51">
        <v>41717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1202</v>
      </c>
      <c r="Q65" s="10" t="str">
        <f t="shared" si="8"/>
        <v>BAUMER      -ON</v>
      </c>
      <c r="R65" s="51">
        <f t="shared" si="9"/>
        <v>41717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1205</v>
      </c>
      <c r="D66" s="3" t="s">
        <v>1577</v>
      </c>
      <c r="E66" s="3" t="s">
        <v>1577</v>
      </c>
      <c r="F66" s="3" t="s">
        <v>1577</v>
      </c>
      <c r="G66" s="3" t="s">
        <v>1577</v>
      </c>
      <c r="H66" s="51">
        <v>41717</v>
      </c>
      <c r="J66" s="3">
        <f t="shared" si="7"/>
        <v>102.5</v>
      </c>
      <c r="K66" s="3">
        <f t="shared" si="7"/>
        <v>102.5</v>
      </c>
      <c r="L66" s="3">
        <f t="shared" si="7"/>
        <v>102.5</v>
      </c>
      <c r="M66" s="3">
        <f t="shared" si="7"/>
        <v>102.5</v>
      </c>
      <c r="P66" s="10" t="s">
        <v>1203</v>
      </c>
      <c r="Q66" s="10" t="str">
        <f t="shared" si="8"/>
        <v>BAUMER      -PN</v>
      </c>
      <c r="R66" s="51">
        <f t="shared" si="9"/>
        <v>41717</v>
      </c>
      <c r="S66" s="5">
        <f t="shared" si="10"/>
        <v>102.5</v>
      </c>
      <c r="T66" s="5">
        <f t="shared" si="11"/>
        <v>102.5</v>
      </c>
      <c r="U66" s="5">
        <f t="shared" si="12"/>
        <v>102.5</v>
      </c>
      <c r="V66" s="5">
        <f t="shared" si="13"/>
        <v>102.5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1217</v>
      </c>
      <c r="D67" s="3" t="s">
        <v>425</v>
      </c>
      <c r="E67" s="3" t="s">
        <v>1218</v>
      </c>
      <c r="F67" s="3" t="s">
        <v>1218</v>
      </c>
      <c r="G67" s="3" t="s">
        <v>1218</v>
      </c>
      <c r="H67" s="51">
        <v>41717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1210</v>
      </c>
      <c r="Q67" s="10" t="str">
        <f t="shared" si="8"/>
        <v>BARDELLA    -ON</v>
      </c>
      <c r="R67" s="51">
        <f t="shared" si="9"/>
        <v>41717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1219</v>
      </c>
      <c r="D68" s="3" t="s">
        <v>1635</v>
      </c>
      <c r="E68" s="3" t="s">
        <v>1414</v>
      </c>
      <c r="F68" s="3" t="s">
        <v>1635</v>
      </c>
      <c r="G68" s="3" t="s">
        <v>1414</v>
      </c>
      <c r="H68" s="51">
        <v>41717</v>
      </c>
      <c r="J68" s="3">
        <f t="shared" si="7"/>
        <v>41.5</v>
      </c>
      <c r="K68" s="3">
        <f t="shared" si="7"/>
        <v>41</v>
      </c>
      <c r="L68" s="3">
        <f t="shared" si="7"/>
        <v>41.5</v>
      </c>
      <c r="M68" s="3">
        <f t="shared" si="7"/>
        <v>41</v>
      </c>
      <c r="P68" s="14" t="s">
        <v>1211</v>
      </c>
      <c r="Q68" s="10" t="str">
        <f t="shared" si="8"/>
        <v>BARDELLA    -PN</v>
      </c>
      <c r="R68" s="51">
        <f t="shared" si="9"/>
        <v>41717</v>
      </c>
      <c r="S68" s="5">
        <f t="shared" si="10"/>
        <v>41.5</v>
      </c>
      <c r="T68" s="5">
        <f t="shared" si="11"/>
        <v>41</v>
      </c>
      <c r="U68" s="5">
        <f t="shared" si="12"/>
        <v>41.5</v>
      </c>
      <c r="V68" s="5">
        <f t="shared" si="13"/>
        <v>41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1220</v>
      </c>
      <c r="D69" s="3" t="s">
        <v>1669</v>
      </c>
      <c r="E69" s="3" t="s">
        <v>1329</v>
      </c>
      <c r="F69" s="3" t="s">
        <v>1459</v>
      </c>
      <c r="G69" s="3" t="s">
        <v>1578</v>
      </c>
      <c r="H69" s="51">
        <v>41717</v>
      </c>
      <c r="J69" s="3">
        <f t="shared" si="7"/>
        <v>5.23</v>
      </c>
      <c r="K69" s="3">
        <f t="shared" si="7"/>
        <v>5.15</v>
      </c>
      <c r="L69" s="3">
        <f t="shared" si="7"/>
        <v>5.29</v>
      </c>
      <c r="M69" s="3">
        <f t="shared" si="7"/>
        <v>5.0999999999999996</v>
      </c>
      <c r="P69" s="14" t="s">
        <v>1212</v>
      </c>
      <c r="Q69" s="10" t="str">
        <f t="shared" si="8"/>
        <v xml:space="preserve">INDS ROMI   -ON  </v>
      </c>
      <c r="R69" s="51">
        <f t="shared" si="9"/>
        <v>41717</v>
      </c>
      <c r="S69" s="5">
        <f t="shared" si="10"/>
        <v>5.23</v>
      </c>
      <c r="T69" s="5">
        <f t="shared" si="11"/>
        <v>5.15</v>
      </c>
      <c r="U69" s="5">
        <f t="shared" si="12"/>
        <v>5.29</v>
      </c>
      <c r="V69" s="5">
        <f t="shared" si="13"/>
        <v>5.0999999999999996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1221</v>
      </c>
      <c r="D70" s="3" t="s">
        <v>1339</v>
      </c>
      <c r="E70" s="3" t="s">
        <v>1339</v>
      </c>
      <c r="F70" s="3" t="s">
        <v>1323</v>
      </c>
      <c r="G70" s="3" t="s">
        <v>952</v>
      </c>
      <c r="H70" s="51">
        <v>41717</v>
      </c>
      <c r="J70" s="3">
        <f t="shared" si="7"/>
        <v>0.8</v>
      </c>
      <c r="K70" s="3">
        <f t="shared" si="7"/>
        <v>0.8</v>
      </c>
      <c r="L70" s="3">
        <f t="shared" si="7"/>
        <v>0.81</v>
      </c>
      <c r="M70" s="3">
        <f t="shared" si="7"/>
        <v>0.78</v>
      </c>
      <c r="P70" s="14" t="s">
        <v>1213</v>
      </c>
      <c r="Q70" s="10" t="str">
        <f t="shared" si="8"/>
        <v xml:space="preserve">INEPAR      -ON  </v>
      </c>
      <c r="R70" s="51">
        <f t="shared" si="9"/>
        <v>41717</v>
      </c>
      <c r="S70" s="5">
        <f t="shared" si="10"/>
        <v>0.8</v>
      </c>
      <c r="T70" s="5">
        <f t="shared" si="11"/>
        <v>0.8</v>
      </c>
      <c r="U70" s="5">
        <f t="shared" si="12"/>
        <v>0.81</v>
      </c>
      <c r="V70" s="5">
        <f t="shared" si="13"/>
        <v>0.78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1222</v>
      </c>
      <c r="D71" s="3" t="s">
        <v>1670</v>
      </c>
      <c r="E71" s="3" t="s">
        <v>1658</v>
      </c>
      <c r="F71" s="3" t="s">
        <v>1670</v>
      </c>
      <c r="G71" s="3" t="s">
        <v>1658</v>
      </c>
      <c r="H71" s="51">
        <v>41717</v>
      </c>
      <c r="J71" s="3">
        <f t="shared" si="7"/>
        <v>0.71</v>
      </c>
      <c r="K71" s="3">
        <f t="shared" si="7"/>
        <v>0.68</v>
      </c>
      <c r="L71" s="3">
        <f t="shared" si="7"/>
        <v>0.71</v>
      </c>
      <c r="M71" s="3">
        <f t="shared" si="7"/>
        <v>0.68</v>
      </c>
      <c r="P71" s="14" t="s">
        <v>1214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41717</v>
      </c>
      <c r="S71" s="6">
        <f t="shared" ref="S71:S102" si="16">J71</f>
        <v>0.71</v>
      </c>
      <c r="T71" s="6">
        <f t="shared" ref="T71:T102" si="17">K71</f>
        <v>0.68</v>
      </c>
      <c r="U71" s="6">
        <f t="shared" ref="U71:U102" si="18">L71</f>
        <v>0.71</v>
      </c>
      <c r="V71" s="6">
        <f t="shared" ref="V71:V102" si="19">M71</f>
        <v>0.68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1223</v>
      </c>
      <c r="D72" s="3" t="s">
        <v>1671</v>
      </c>
      <c r="E72" s="3" t="s">
        <v>1489</v>
      </c>
      <c r="F72" s="3" t="s">
        <v>1672</v>
      </c>
      <c r="G72" s="3" t="s">
        <v>2087</v>
      </c>
      <c r="H72" s="51">
        <v>41717</v>
      </c>
      <c r="J72" s="3">
        <f t="shared" ref="J72:M135" si="20">IF($A72="",0,VALUE(CONCATENATE(LEFT(D72,LEN(D72)-3),",",RIGHT(D72,2))))</f>
        <v>35.99</v>
      </c>
      <c r="K72" s="3">
        <f t="shared" si="20"/>
        <v>35.94</v>
      </c>
      <c r="L72" s="3">
        <f t="shared" si="20"/>
        <v>36.299999999999997</v>
      </c>
      <c r="M72" s="3">
        <f t="shared" si="20"/>
        <v>35.659999999999997</v>
      </c>
      <c r="P72" s="15" t="s">
        <v>1215</v>
      </c>
      <c r="Q72" s="10" t="str">
        <f t="shared" si="14"/>
        <v>KEPLER WEBER-ON</v>
      </c>
      <c r="R72" s="51">
        <f t="shared" si="15"/>
        <v>41717</v>
      </c>
      <c r="S72" s="5">
        <f t="shared" si="16"/>
        <v>35.99</v>
      </c>
      <c r="T72" s="5">
        <f t="shared" si="17"/>
        <v>35.94</v>
      </c>
      <c r="U72" s="5">
        <f t="shared" si="18"/>
        <v>36.299999999999997</v>
      </c>
      <c r="V72" s="5">
        <f t="shared" si="19"/>
        <v>35.659999999999997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1224</v>
      </c>
      <c r="D73" s="3" t="s">
        <v>425</v>
      </c>
      <c r="E73" s="3" t="s">
        <v>988</v>
      </c>
      <c r="F73" s="3" t="s">
        <v>988</v>
      </c>
      <c r="G73" s="3" t="s">
        <v>988</v>
      </c>
      <c r="H73" s="51">
        <v>41717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1216</v>
      </c>
      <c r="Q73" s="10" t="str">
        <f t="shared" si="14"/>
        <v>NORDON MET  -ON *</v>
      </c>
      <c r="R73" s="51">
        <f t="shared" si="15"/>
        <v>41717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1230</v>
      </c>
      <c r="D74" s="3" t="s">
        <v>425</v>
      </c>
      <c r="E74" s="3" t="s">
        <v>426</v>
      </c>
      <c r="F74" s="3" t="s">
        <v>425</v>
      </c>
      <c r="G74" s="3" t="s">
        <v>425</v>
      </c>
      <c r="H74" s="51" t="s">
        <v>425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1227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1231</v>
      </c>
      <c r="D75" s="3" t="s">
        <v>1673</v>
      </c>
      <c r="E75" s="3" t="s">
        <v>2088</v>
      </c>
      <c r="F75" s="3" t="s">
        <v>1673</v>
      </c>
      <c r="G75" s="3" t="s">
        <v>1502</v>
      </c>
      <c r="H75" s="51">
        <v>41717</v>
      </c>
      <c r="J75" s="3">
        <f t="shared" si="20"/>
        <v>10.199999999999999</v>
      </c>
      <c r="K75" s="3">
        <f t="shared" si="20"/>
        <v>10.050000000000001</v>
      </c>
      <c r="L75" s="3">
        <f t="shared" si="20"/>
        <v>10.199999999999999</v>
      </c>
      <c r="M75" s="3">
        <f t="shared" si="20"/>
        <v>9.9499999999999993</v>
      </c>
      <c r="P75" s="14" t="s">
        <v>1228</v>
      </c>
      <c r="Q75" s="10" t="str">
        <f t="shared" si="14"/>
        <v>SCHULZ      -PN</v>
      </c>
      <c r="R75" s="51">
        <f t="shared" si="15"/>
        <v>41717</v>
      </c>
      <c r="S75" s="5">
        <f t="shared" si="16"/>
        <v>10.199999999999999</v>
      </c>
      <c r="T75" s="5">
        <f t="shared" si="17"/>
        <v>10.050000000000001</v>
      </c>
      <c r="U75" s="5">
        <f t="shared" si="18"/>
        <v>10.199999999999999</v>
      </c>
      <c r="V75" s="5">
        <f t="shared" si="19"/>
        <v>9.9499999999999993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1232</v>
      </c>
      <c r="D76" s="3" t="s">
        <v>1622</v>
      </c>
      <c r="E76" s="3" t="s">
        <v>2076</v>
      </c>
      <c r="F76" s="3" t="s">
        <v>1427</v>
      </c>
      <c r="G76" s="3" t="s">
        <v>2089</v>
      </c>
      <c r="H76" s="51">
        <v>41717</v>
      </c>
      <c r="J76" s="3">
        <f t="shared" si="20"/>
        <v>31.43</v>
      </c>
      <c r="K76" s="3">
        <f t="shared" si="20"/>
        <v>31.57</v>
      </c>
      <c r="L76" s="3">
        <f t="shared" si="20"/>
        <v>31.6</v>
      </c>
      <c r="M76" s="3">
        <f t="shared" si="20"/>
        <v>31.17</v>
      </c>
      <c r="P76" s="14" t="s">
        <v>1229</v>
      </c>
      <c r="Q76" s="10" t="str">
        <f t="shared" si="14"/>
        <v xml:space="preserve">WEG         -ON  </v>
      </c>
      <c r="R76" s="51">
        <f t="shared" si="15"/>
        <v>41717</v>
      </c>
      <c r="S76" s="5">
        <f t="shared" si="16"/>
        <v>31.43</v>
      </c>
      <c r="T76" s="5">
        <f t="shared" si="17"/>
        <v>31.57</v>
      </c>
      <c r="U76" s="5">
        <f t="shared" si="18"/>
        <v>31.6</v>
      </c>
      <c r="V76" s="5">
        <f t="shared" si="19"/>
        <v>31.17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1235</v>
      </c>
      <c r="D77" s="3" t="s">
        <v>1674</v>
      </c>
      <c r="E77" s="3" t="s">
        <v>2090</v>
      </c>
      <c r="F77" s="3" t="s">
        <v>1675</v>
      </c>
      <c r="G77" s="3" t="s">
        <v>2091</v>
      </c>
      <c r="H77" s="51">
        <v>41717</v>
      </c>
      <c r="J77" s="3">
        <f t="shared" si="20"/>
        <v>20.079999999999998</v>
      </c>
      <c r="K77" s="3">
        <f t="shared" si="20"/>
        <v>19.86</v>
      </c>
      <c r="L77" s="3">
        <f t="shared" si="20"/>
        <v>20.100000000000001</v>
      </c>
      <c r="M77" s="3">
        <f t="shared" si="20"/>
        <v>19.760000000000002</v>
      </c>
      <c r="P77" s="15" t="s">
        <v>1234</v>
      </c>
      <c r="Q77" s="10" t="str">
        <f t="shared" si="14"/>
        <v xml:space="preserve">EMBRAER     -ON  </v>
      </c>
      <c r="R77" s="51">
        <f t="shared" si="15"/>
        <v>41717</v>
      </c>
      <c r="S77" s="5">
        <f t="shared" si="16"/>
        <v>20.079999999999998</v>
      </c>
      <c r="T77" s="5">
        <f t="shared" si="17"/>
        <v>19.86</v>
      </c>
      <c r="U77" s="5">
        <f t="shared" si="18"/>
        <v>20.100000000000001</v>
      </c>
      <c r="V77" s="5">
        <f t="shared" si="19"/>
        <v>19.760000000000002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1239</v>
      </c>
      <c r="D78" s="3" t="s">
        <v>1581</v>
      </c>
      <c r="E78" s="3" t="s">
        <v>1581</v>
      </c>
      <c r="F78" s="3" t="s">
        <v>1581</v>
      </c>
      <c r="G78" s="3" t="s">
        <v>1581</v>
      </c>
      <c r="H78" s="51">
        <v>41717</v>
      </c>
      <c r="J78" s="3">
        <f t="shared" si="20"/>
        <v>0.04</v>
      </c>
      <c r="K78" s="3">
        <f t="shared" si="20"/>
        <v>0.04</v>
      </c>
      <c r="L78" s="3">
        <f t="shared" si="20"/>
        <v>0.04</v>
      </c>
      <c r="M78" s="3">
        <f t="shared" si="20"/>
        <v>0.04</v>
      </c>
      <c r="P78" s="15" t="s">
        <v>1237</v>
      </c>
      <c r="Q78" s="10" t="str">
        <f t="shared" si="14"/>
        <v>COBRASMA    -ON</v>
      </c>
      <c r="R78" s="51">
        <f t="shared" si="15"/>
        <v>41717</v>
      </c>
      <c r="S78" s="5">
        <f t="shared" si="16"/>
        <v>0.04</v>
      </c>
      <c r="T78" s="5">
        <f t="shared" si="17"/>
        <v>0.04</v>
      </c>
      <c r="U78" s="5">
        <f t="shared" si="18"/>
        <v>0.04</v>
      </c>
      <c r="V78" s="5">
        <f t="shared" si="19"/>
        <v>0.04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1240</v>
      </c>
      <c r="D79" s="3" t="s">
        <v>1581</v>
      </c>
      <c r="E79" s="3" t="s">
        <v>1581</v>
      </c>
      <c r="F79" s="3" t="s">
        <v>1581</v>
      </c>
      <c r="G79" s="3" t="s">
        <v>1581</v>
      </c>
      <c r="H79" s="51">
        <v>41717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1238</v>
      </c>
      <c r="Q79" s="10" t="str">
        <f t="shared" si="14"/>
        <v>COBRASMA    -PN</v>
      </c>
      <c r="R79" s="51">
        <f t="shared" si="15"/>
        <v>41717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1258</v>
      </c>
      <c r="D80" s="3" t="s">
        <v>1677</v>
      </c>
      <c r="E80" s="3" t="s">
        <v>1624</v>
      </c>
      <c r="F80" s="3" t="s">
        <v>1636</v>
      </c>
      <c r="G80" s="3" t="s">
        <v>2092</v>
      </c>
      <c r="H80" s="51">
        <v>41717</v>
      </c>
      <c r="J80" s="3">
        <f t="shared" si="20"/>
        <v>14.8</v>
      </c>
      <c r="K80" s="3">
        <f t="shared" si="20"/>
        <v>14.59</v>
      </c>
      <c r="L80" s="3">
        <f t="shared" si="20"/>
        <v>14.87</v>
      </c>
      <c r="M80" s="3">
        <f t="shared" si="20"/>
        <v>14.57</v>
      </c>
      <c r="P80" s="15" t="s">
        <v>1241</v>
      </c>
      <c r="Q80" s="10" t="str">
        <f t="shared" si="14"/>
        <v xml:space="preserve">AUTOMETAL   -ON  </v>
      </c>
      <c r="R80" s="51">
        <f t="shared" si="15"/>
        <v>41717</v>
      </c>
      <c r="S80" s="5">
        <f t="shared" si="16"/>
        <v>14.8</v>
      </c>
      <c r="T80" s="5">
        <f t="shared" si="17"/>
        <v>14.59</v>
      </c>
      <c r="U80" s="5">
        <f t="shared" si="18"/>
        <v>14.87</v>
      </c>
      <c r="V80" s="5">
        <f t="shared" si="19"/>
        <v>14.57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1259</v>
      </c>
      <c r="D81" s="3" t="s">
        <v>425</v>
      </c>
      <c r="E81" s="3" t="s">
        <v>1260</v>
      </c>
      <c r="F81" s="3" t="s">
        <v>1260</v>
      </c>
      <c r="G81" s="3" t="s">
        <v>1260</v>
      </c>
      <c r="H81" s="51">
        <v>41717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1242</v>
      </c>
      <c r="Q81" s="10" t="str">
        <f t="shared" si="14"/>
        <v>D H B       -ON</v>
      </c>
      <c r="R81" s="51">
        <f t="shared" si="15"/>
        <v>41717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1261</v>
      </c>
      <c r="D82" s="3" t="s">
        <v>425</v>
      </c>
      <c r="E82" s="3" t="s">
        <v>987</v>
      </c>
      <c r="F82" s="3" t="s">
        <v>987</v>
      </c>
      <c r="G82" s="3" t="s">
        <v>987</v>
      </c>
      <c r="H82" s="51">
        <v>41717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1243</v>
      </c>
      <c r="Q82" s="10" t="str">
        <f t="shared" si="14"/>
        <v>D H B       -PN</v>
      </c>
      <c r="R82" s="51">
        <f t="shared" si="15"/>
        <v>41717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1275</v>
      </c>
      <c r="D83" s="3" t="s">
        <v>1678</v>
      </c>
      <c r="E83" s="3" t="s">
        <v>2093</v>
      </c>
      <c r="F83" s="3" t="s">
        <v>2094</v>
      </c>
      <c r="G83" s="3" t="s">
        <v>1582</v>
      </c>
      <c r="H83" s="51">
        <v>41717</v>
      </c>
      <c r="J83" s="3">
        <f t="shared" si="20"/>
        <v>23.74</v>
      </c>
      <c r="K83" s="3">
        <f t="shared" si="20"/>
        <v>23.76</v>
      </c>
      <c r="L83" s="3">
        <f t="shared" si="20"/>
        <v>23.82</v>
      </c>
      <c r="M83" s="3">
        <f t="shared" si="20"/>
        <v>23.35</v>
      </c>
      <c r="P83" s="14" t="s">
        <v>1274</v>
      </c>
      <c r="Q83" s="10" t="str">
        <f t="shared" si="14"/>
        <v xml:space="preserve">IOCHP-MAXION-ON  </v>
      </c>
      <c r="R83" s="46">
        <f t="shared" si="15"/>
        <v>41717</v>
      </c>
      <c r="S83" s="6">
        <f t="shared" si="16"/>
        <v>23.74</v>
      </c>
      <c r="T83" s="6">
        <f t="shared" si="17"/>
        <v>23.76</v>
      </c>
      <c r="U83" s="6">
        <f t="shared" si="18"/>
        <v>23.82</v>
      </c>
      <c r="V83" s="6">
        <f t="shared" si="19"/>
        <v>23.35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1262</v>
      </c>
      <c r="D84" s="3" t="s">
        <v>1679</v>
      </c>
      <c r="E84" s="3" t="s">
        <v>2095</v>
      </c>
      <c r="F84" s="3" t="s">
        <v>2096</v>
      </c>
      <c r="G84" s="3" t="s">
        <v>2097</v>
      </c>
      <c r="H84" s="51">
        <v>41717</v>
      </c>
      <c r="J84" s="3">
        <f t="shared" si="20"/>
        <v>22.8</v>
      </c>
      <c r="K84" s="3">
        <f t="shared" si="20"/>
        <v>22.86</v>
      </c>
      <c r="L84" s="3">
        <f t="shared" si="20"/>
        <v>22.99</v>
      </c>
      <c r="M84" s="3">
        <f t="shared" si="20"/>
        <v>22.41</v>
      </c>
      <c r="P84" s="43" t="s">
        <v>1245</v>
      </c>
      <c r="Q84" s="10" t="str">
        <f t="shared" si="14"/>
        <v xml:space="preserve">METAL LEVE  -ON  </v>
      </c>
      <c r="R84" s="51">
        <f t="shared" si="15"/>
        <v>41717</v>
      </c>
      <c r="S84" s="5">
        <f t="shared" si="16"/>
        <v>22.8</v>
      </c>
      <c r="T84" s="5">
        <f t="shared" si="17"/>
        <v>22.86</v>
      </c>
      <c r="U84" s="5">
        <f t="shared" si="18"/>
        <v>22.99</v>
      </c>
      <c r="V84" s="5">
        <f t="shared" si="19"/>
        <v>22.41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1263</v>
      </c>
      <c r="D85" s="3" t="s">
        <v>1315</v>
      </c>
      <c r="E85" s="3" t="s">
        <v>2098</v>
      </c>
      <c r="F85" s="3" t="s">
        <v>1680</v>
      </c>
      <c r="G85" s="3" t="s">
        <v>2099</v>
      </c>
      <c r="H85" s="51">
        <v>41717</v>
      </c>
      <c r="J85" s="3">
        <f t="shared" si="20"/>
        <v>4.25</v>
      </c>
      <c r="K85" s="3">
        <f t="shared" si="20"/>
        <v>4.2699999999999996</v>
      </c>
      <c r="L85" s="3">
        <f t="shared" si="20"/>
        <v>4.28</v>
      </c>
      <c r="M85" s="3">
        <f t="shared" si="20"/>
        <v>4.1900000000000004</v>
      </c>
      <c r="P85" s="15" t="s">
        <v>1246</v>
      </c>
      <c r="Q85" s="10" t="str">
        <f t="shared" si="14"/>
        <v xml:space="preserve">MARCOPOLO   -ON  </v>
      </c>
      <c r="R85" s="51">
        <f t="shared" si="15"/>
        <v>41717</v>
      </c>
      <c r="S85" s="5">
        <f t="shared" si="16"/>
        <v>4.25</v>
      </c>
      <c r="T85" s="5">
        <f t="shared" si="17"/>
        <v>4.2699999999999996</v>
      </c>
      <c r="U85" s="5">
        <f t="shared" si="18"/>
        <v>4.28</v>
      </c>
      <c r="V85" s="5">
        <f t="shared" si="19"/>
        <v>4.1900000000000004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1264</v>
      </c>
      <c r="D86" s="3" t="s">
        <v>425</v>
      </c>
      <c r="E86" s="3" t="s">
        <v>426</v>
      </c>
      <c r="F86" s="3" t="s">
        <v>425</v>
      </c>
      <c r="G86" s="3" t="s">
        <v>425</v>
      </c>
      <c r="H86" s="51" t="s">
        <v>425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1248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1265</v>
      </c>
      <c r="D87" s="3" t="s">
        <v>425</v>
      </c>
      <c r="E87" s="3" t="s">
        <v>1266</v>
      </c>
      <c r="F87" s="3" t="s">
        <v>1266</v>
      </c>
      <c r="G87" s="3" t="s">
        <v>1266</v>
      </c>
      <c r="H87" s="51">
        <v>41717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1249</v>
      </c>
      <c r="Q87" s="10" t="str">
        <f t="shared" si="14"/>
        <v>RIOSULENSE  -PN</v>
      </c>
      <c r="R87" s="51">
        <f t="shared" si="15"/>
        <v>41717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1267</v>
      </c>
      <c r="D88" s="3" t="s">
        <v>1340</v>
      </c>
      <c r="E88" s="3" t="s">
        <v>1340</v>
      </c>
      <c r="F88" s="3" t="s">
        <v>1340</v>
      </c>
      <c r="G88" s="3" t="s">
        <v>1340</v>
      </c>
      <c r="H88" s="51">
        <v>41717</v>
      </c>
      <c r="J88" s="3">
        <f t="shared" si="20"/>
        <v>0.41</v>
      </c>
      <c r="K88" s="3">
        <f t="shared" si="20"/>
        <v>0.41</v>
      </c>
      <c r="L88" s="3">
        <f t="shared" si="20"/>
        <v>0.41</v>
      </c>
      <c r="M88" s="3">
        <f t="shared" si="20"/>
        <v>0.41</v>
      </c>
      <c r="P88" s="15" t="s">
        <v>1250</v>
      </c>
      <c r="Q88" s="10" t="str">
        <f t="shared" si="14"/>
        <v>PLASCAR PART-ON</v>
      </c>
      <c r="R88" s="51">
        <f t="shared" si="15"/>
        <v>41717</v>
      </c>
      <c r="S88" s="5">
        <f t="shared" si="16"/>
        <v>0.41</v>
      </c>
      <c r="T88" s="5">
        <f t="shared" si="17"/>
        <v>0.41</v>
      </c>
      <c r="U88" s="5">
        <f t="shared" si="18"/>
        <v>0.41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1268</v>
      </c>
      <c r="D89" s="3" t="s">
        <v>1333</v>
      </c>
      <c r="E89" s="3" t="s">
        <v>1333</v>
      </c>
      <c r="F89" s="3" t="s">
        <v>1333</v>
      </c>
      <c r="G89" s="3" t="s">
        <v>1333</v>
      </c>
      <c r="H89" s="51">
        <v>41717</v>
      </c>
      <c r="J89" s="3">
        <f t="shared" si="20"/>
        <v>7.2</v>
      </c>
      <c r="K89" s="3">
        <f t="shared" si="20"/>
        <v>7.2</v>
      </c>
      <c r="L89" s="3">
        <f t="shared" si="20"/>
        <v>7.2</v>
      </c>
      <c r="M89" s="3">
        <f t="shared" si="20"/>
        <v>7.2</v>
      </c>
      <c r="P89" s="10" t="s">
        <v>1251</v>
      </c>
      <c r="Q89" s="10" t="str">
        <f t="shared" si="14"/>
        <v xml:space="preserve">RANDON PART -ON  </v>
      </c>
      <c r="R89" s="51">
        <f t="shared" si="15"/>
        <v>41717</v>
      </c>
      <c r="S89" s="5">
        <f t="shared" si="16"/>
        <v>7.2</v>
      </c>
      <c r="T89" s="5">
        <f t="shared" si="17"/>
        <v>7.2</v>
      </c>
      <c r="U89" s="5">
        <f t="shared" si="18"/>
        <v>7.2</v>
      </c>
      <c r="V89" s="5">
        <f t="shared" si="19"/>
        <v>7.2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1269</v>
      </c>
      <c r="D90" s="3" t="s">
        <v>1681</v>
      </c>
      <c r="E90" s="3" t="s">
        <v>1682</v>
      </c>
      <c r="F90" s="3" t="s">
        <v>1380</v>
      </c>
      <c r="G90" s="3" t="s">
        <v>1387</v>
      </c>
      <c r="H90" s="51">
        <v>41717</v>
      </c>
      <c r="J90" s="3">
        <f t="shared" si="20"/>
        <v>8.0399999999999991</v>
      </c>
      <c r="K90" s="3">
        <f t="shared" si="20"/>
        <v>8.07</v>
      </c>
      <c r="L90" s="3">
        <f t="shared" si="20"/>
        <v>8.14</v>
      </c>
      <c r="M90" s="3">
        <f t="shared" si="20"/>
        <v>7.9</v>
      </c>
      <c r="P90" s="10" t="s">
        <v>1252</v>
      </c>
      <c r="Q90" s="10" t="str">
        <f t="shared" si="14"/>
        <v xml:space="preserve">RANDON PART -PN  </v>
      </c>
      <c r="R90" s="51">
        <f t="shared" si="15"/>
        <v>41717</v>
      </c>
      <c r="S90" s="5">
        <f t="shared" si="16"/>
        <v>8.0399999999999991</v>
      </c>
      <c r="T90" s="5">
        <f t="shared" si="17"/>
        <v>8.07</v>
      </c>
      <c r="U90" s="5">
        <f t="shared" si="18"/>
        <v>8.14</v>
      </c>
      <c r="V90" s="5">
        <f t="shared" si="19"/>
        <v>7.9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1270</v>
      </c>
      <c r="D91" s="3" t="s">
        <v>653</v>
      </c>
      <c r="E91" s="3" t="s">
        <v>759</v>
      </c>
      <c r="F91" s="3" t="s">
        <v>653</v>
      </c>
      <c r="G91" s="3" t="s">
        <v>759</v>
      </c>
      <c r="H91" s="51">
        <v>41717</v>
      </c>
      <c r="J91" s="3">
        <f t="shared" si="20"/>
        <v>0.08</v>
      </c>
      <c r="K91" s="3">
        <f t="shared" si="20"/>
        <v>7.0000000000000007E-2</v>
      </c>
      <c r="L91" s="3">
        <f t="shared" si="20"/>
        <v>0.08</v>
      </c>
      <c r="M91" s="3">
        <f t="shared" si="20"/>
        <v>7.0000000000000007E-2</v>
      </c>
      <c r="P91" s="10" t="s">
        <v>1253</v>
      </c>
      <c r="Q91" s="10" t="str">
        <f t="shared" si="14"/>
        <v>RECRUSUL    -ON</v>
      </c>
      <c r="R91" s="51">
        <f t="shared" si="15"/>
        <v>41717</v>
      </c>
      <c r="S91" s="5">
        <f t="shared" si="16"/>
        <v>0.08</v>
      </c>
      <c r="T91" s="5">
        <f t="shared" si="17"/>
        <v>7.0000000000000007E-2</v>
      </c>
      <c r="U91" s="5">
        <f t="shared" si="18"/>
        <v>0.08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1271</v>
      </c>
      <c r="D92" s="3" t="s">
        <v>1684</v>
      </c>
      <c r="E92" s="3" t="s">
        <v>1827</v>
      </c>
      <c r="F92" s="3" t="s">
        <v>1685</v>
      </c>
      <c r="G92" s="3" t="s">
        <v>1827</v>
      </c>
      <c r="H92" s="51">
        <v>41717</v>
      </c>
      <c r="J92" s="3">
        <f t="shared" si="20"/>
        <v>17.010000000000002</v>
      </c>
      <c r="K92" s="3">
        <f t="shared" si="20"/>
        <v>16.760000000000002</v>
      </c>
      <c r="L92" s="3">
        <f t="shared" si="20"/>
        <v>17.12</v>
      </c>
      <c r="M92" s="3">
        <f t="shared" si="20"/>
        <v>16.760000000000002</v>
      </c>
      <c r="P92" s="16" t="s">
        <v>1255</v>
      </c>
      <c r="Q92" s="10" t="str">
        <f t="shared" si="14"/>
        <v xml:space="preserve">TUPY        -ON  </v>
      </c>
      <c r="R92" s="51">
        <f t="shared" si="15"/>
        <v>41717</v>
      </c>
      <c r="S92" s="5">
        <f t="shared" si="16"/>
        <v>17.010000000000002</v>
      </c>
      <c r="T92" s="5">
        <f t="shared" si="17"/>
        <v>16.760000000000002</v>
      </c>
      <c r="U92" s="5">
        <f t="shared" si="18"/>
        <v>17.12</v>
      </c>
      <c r="V92" s="5">
        <f t="shared" si="19"/>
        <v>16.760000000000002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1272</v>
      </c>
      <c r="D93" s="3" t="s">
        <v>425</v>
      </c>
      <c r="E93" s="3" t="s">
        <v>184</v>
      </c>
      <c r="F93" s="3" t="s">
        <v>184</v>
      </c>
      <c r="G93" s="3" t="s">
        <v>184</v>
      </c>
      <c r="H93" s="51">
        <v>41717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1256</v>
      </c>
      <c r="Q93" s="10" t="str">
        <f t="shared" si="14"/>
        <v>WETZEL S/A  -ON</v>
      </c>
      <c r="R93" s="51">
        <f t="shared" si="15"/>
        <v>41717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1273</v>
      </c>
      <c r="D94" s="3" t="s">
        <v>1372</v>
      </c>
      <c r="E94" s="3" t="s">
        <v>1372</v>
      </c>
      <c r="F94" s="3" t="s">
        <v>1372</v>
      </c>
      <c r="G94" s="3" t="s">
        <v>1372</v>
      </c>
      <c r="H94" s="51">
        <v>41717</v>
      </c>
      <c r="J94" s="3">
        <f t="shared" si="20"/>
        <v>1.46</v>
      </c>
      <c r="K94" s="3">
        <f t="shared" si="20"/>
        <v>1.46</v>
      </c>
      <c r="L94" s="3">
        <f t="shared" si="20"/>
        <v>1.46</v>
      </c>
      <c r="M94" s="3">
        <f t="shared" si="20"/>
        <v>1.46</v>
      </c>
      <c r="P94" s="14" t="s">
        <v>1257</v>
      </c>
      <c r="Q94" s="10" t="str">
        <f t="shared" si="14"/>
        <v>WETZEL S/A  -PN</v>
      </c>
      <c r="R94" s="51">
        <f t="shared" si="15"/>
        <v>41717</v>
      </c>
      <c r="S94" s="5">
        <f t="shared" si="16"/>
        <v>1.46</v>
      </c>
      <c r="T94" s="5">
        <f t="shared" si="17"/>
        <v>1.46</v>
      </c>
      <c r="U94" s="5">
        <f t="shared" si="18"/>
        <v>1.46</v>
      </c>
      <c r="V94" s="5">
        <f t="shared" si="19"/>
        <v>1.46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1277</v>
      </c>
      <c r="D95" s="3" t="s">
        <v>1348</v>
      </c>
      <c r="E95" s="3" t="s">
        <v>1348</v>
      </c>
      <c r="F95" s="3" t="s">
        <v>1348</v>
      </c>
      <c r="G95" s="3" t="s">
        <v>1585</v>
      </c>
      <c r="H95" s="51">
        <v>41717</v>
      </c>
      <c r="J95" s="3">
        <f t="shared" si="20"/>
        <v>4.3</v>
      </c>
      <c r="K95" s="3">
        <f t="shared" si="20"/>
        <v>4.3</v>
      </c>
      <c r="L95" s="3">
        <f t="shared" si="20"/>
        <v>4.3</v>
      </c>
      <c r="M95" s="3">
        <f t="shared" si="20"/>
        <v>4.29</v>
      </c>
      <c r="P95" s="14" t="s">
        <v>1244</v>
      </c>
      <c r="Q95" s="10" t="str">
        <f t="shared" si="14"/>
        <v xml:space="preserve">FRAS-LE     -ON  </v>
      </c>
      <c r="R95" s="51">
        <f t="shared" si="15"/>
        <v>41717</v>
      </c>
      <c r="S95" s="5">
        <f t="shared" si="16"/>
        <v>4.3</v>
      </c>
      <c r="T95" s="5">
        <f t="shared" si="17"/>
        <v>4.3</v>
      </c>
      <c r="U95" s="5">
        <f t="shared" si="18"/>
        <v>4.3</v>
      </c>
      <c r="V95" s="5">
        <f t="shared" si="19"/>
        <v>4.29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1278</v>
      </c>
      <c r="D96" s="3" t="s">
        <v>1446</v>
      </c>
      <c r="E96" s="3" t="s">
        <v>2100</v>
      </c>
      <c r="F96" s="3" t="s">
        <v>1687</v>
      </c>
      <c r="G96" s="3" t="s">
        <v>1334</v>
      </c>
      <c r="H96" s="51">
        <v>41717</v>
      </c>
      <c r="J96" s="3">
        <f t="shared" si="20"/>
        <v>4.58</v>
      </c>
      <c r="K96" s="3">
        <f t="shared" si="20"/>
        <v>4.43</v>
      </c>
      <c r="L96" s="3">
        <f t="shared" si="20"/>
        <v>4.59</v>
      </c>
      <c r="M96" s="3">
        <f t="shared" si="20"/>
        <v>4.4000000000000004</v>
      </c>
      <c r="P96" s="14" t="s">
        <v>1247</v>
      </c>
      <c r="Q96" s="10" t="str">
        <f t="shared" si="14"/>
        <v xml:space="preserve">MARCOPOLO   -PN  </v>
      </c>
      <c r="R96" s="51">
        <f t="shared" si="15"/>
        <v>41717</v>
      </c>
      <c r="S96" s="5">
        <f t="shared" si="16"/>
        <v>4.58</v>
      </c>
      <c r="T96" s="5">
        <f t="shared" si="17"/>
        <v>4.43</v>
      </c>
      <c r="U96" s="5">
        <f t="shared" si="18"/>
        <v>4.59</v>
      </c>
      <c r="V96" s="5">
        <f t="shared" si="19"/>
        <v>4.4000000000000004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1279</v>
      </c>
      <c r="D97" s="3" t="s">
        <v>1409</v>
      </c>
      <c r="E97" s="3" t="s">
        <v>1409</v>
      </c>
      <c r="F97" s="3" t="s">
        <v>1409</v>
      </c>
      <c r="G97" s="3" t="s">
        <v>1355</v>
      </c>
      <c r="H97" s="51">
        <v>41717</v>
      </c>
      <c r="J97" s="3">
        <f t="shared" si="20"/>
        <v>0.06</v>
      </c>
      <c r="K97" s="3">
        <f t="shared" si="20"/>
        <v>0.06</v>
      </c>
      <c r="L97" s="3">
        <f t="shared" si="20"/>
        <v>0.06</v>
      </c>
      <c r="M97" s="3">
        <f t="shared" si="20"/>
        <v>0.05</v>
      </c>
      <c r="P97" s="10" t="s">
        <v>1254</v>
      </c>
      <c r="Q97" s="10" t="str">
        <f t="shared" si="14"/>
        <v>RECRUSUL    -PN</v>
      </c>
      <c r="R97" s="51">
        <f t="shared" si="15"/>
        <v>41717</v>
      </c>
      <c r="S97" s="5">
        <f t="shared" si="16"/>
        <v>0.06</v>
      </c>
      <c r="T97" s="5">
        <f t="shared" si="17"/>
        <v>0.06</v>
      </c>
      <c r="U97" s="5">
        <f t="shared" si="18"/>
        <v>0.06</v>
      </c>
      <c r="V97" s="5">
        <f t="shared" si="19"/>
        <v>0.05</v>
      </c>
    </row>
    <row r="98" spans="1:22">
      <c r="A98" s="33" t="str">
        <f>IF(Tabela17683[[#This Row],[Código]]="IBOV","^BVSP",IF(Tabela17683[[#This Row],[Código]]="","",CONCATENATE(LEFT(Tabela17683[[#This Row],[Código]],6),".SA")))</f>
        <v>MDIA3.SA</v>
      </c>
      <c r="C98" s="3" t="s">
        <v>1357</v>
      </c>
      <c r="D98" s="3" t="s">
        <v>1688</v>
      </c>
      <c r="E98" s="3" t="s">
        <v>2101</v>
      </c>
      <c r="F98" s="3" t="s">
        <v>1689</v>
      </c>
      <c r="G98" s="3" t="s">
        <v>2102</v>
      </c>
      <c r="H98" s="51">
        <v>41717</v>
      </c>
      <c r="J98" s="3">
        <f t="shared" si="20"/>
        <v>84.4</v>
      </c>
      <c r="K98" s="3">
        <f t="shared" si="20"/>
        <v>83.57</v>
      </c>
      <c r="L98" s="3">
        <f t="shared" si="20"/>
        <v>85.38</v>
      </c>
      <c r="M98" s="3">
        <f t="shared" si="20"/>
        <v>82.87</v>
      </c>
      <c r="P98" s="10" t="s">
        <v>825</v>
      </c>
      <c r="Q98" s="10" t="str">
        <f t="shared" si="14"/>
        <v xml:space="preserve">M.DIASBRANCO-ON  </v>
      </c>
      <c r="R98" s="51">
        <f t="shared" si="15"/>
        <v>41717</v>
      </c>
      <c r="S98" s="5">
        <f t="shared" si="16"/>
        <v>84.4</v>
      </c>
      <c r="T98" s="5">
        <f t="shared" si="17"/>
        <v>83.57</v>
      </c>
      <c r="U98" s="5">
        <f t="shared" si="18"/>
        <v>85.38</v>
      </c>
      <c r="V98" s="5">
        <f t="shared" si="19"/>
        <v>82.87</v>
      </c>
    </row>
    <row r="99" spans="1:22">
      <c r="A99" s="33" t="str">
        <f>IF(Tabela17683[[#This Row],[Código]]="IBOV","^BVSP",IF(Tabela17683[[#This Row],[Código]]="","",CONCATENATE(LEFT(Tabela17683[[#This Row],[Código]],6),".SA")))</f>
        <v>AEDU3.SA</v>
      </c>
      <c r="C99" s="3" t="s">
        <v>1415</v>
      </c>
      <c r="D99" s="3" t="s">
        <v>1690</v>
      </c>
      <c r="E99" s="3" t="s">
        <v>2103</v>
      </c>
      <c r="F99" s="3" t="s">
        <v>1691</v>
      </c>
      <c r="G99" s="3" t="s">
        <v>2104</v>
      </c>
      <c r="H99" s="51">
        <v>41717</v>
      </c>
      <c r="J99" s="3">
        <f t="shared" si="20"/>
        <v>12.51</v>
      </c>
      <c r="K99" s="3">
        <f t="shared" si="20"/>
        <v>12.29</v>
      </c>
      <c r="L99" s="3">
        <f t="shared" si="20"/>
        <v>12.56</v>
      </c>
      <c r="M99" s="3">
        <f t="shared" si="20"/>
        <v>12.16</v>
      </c>
      <c r="P99" s="14" t="s">
        <v>1406</v>
      </c>
      <c r="Q99" s="10" t="str">
        <f t="shared" si="14"/>
        <v xml:space="preserve">ANHANGUERA  -ON  </v>
      </c>
      <c r="R99" s="51">
        <f t="shared" si="15"/>
        <v>41717</v>
      </c>
      <c r="S99" s="5">
        <f t="shared" si="16"/>
        <v>12.51</v>
      </c>
      <c r="T99" s="5">
        <f t="shared" si="17"/>
        <v>12.29</v>
      </c>
      <c r="U99" s="5">
        <f t="shared" si="18"/>
        <v>12.56</v>
      </c>
      <c r="V99" s="5">
        <f t="shared" si="19"/>
        <v>12.16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C100" s="3" t="s">
        <v>101</v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I12" sqref="I12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299</v>
      </c>
      <c r="B1" s="70" t="s">
        <v>381</v>
      </c>
      <c r="C1" s="70" t="s">
        <v>382</v>
      </c>
      <c r="D1" s="70" t="s">
        <v>383</v>
      </c>
      <c r="E1" s="31" t="s">
        <v>373</v>
      </c>
      <c r="F1" s="71" t="s">
        <v>302</v>
      </c>
      <c r="G1" s="71" t="s">
        <v>300</v>
      </c>
      <c r="H1" s="71" t="s">
        <v>301</v>
      </c>
      <c r="I1" s="71" t="s">
        <v>384</v>
      </c>
      <c r="J1" s="12" t="s">
        <v>385</v>
      </c>
      <c r="K1" s="65" t="s">
        <v>374</v>
      </c>
      <c r="L1" s="66" t="s">
        <v>375</v>
      </c>
      <c r="M1" s="66" t="s">
        <v>376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4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46">
        <v>41716</v>
      </c>
      <c r="B4" s="15">
        <f>DAY([Data Liquidação])</f>
        <v>18</v>
      </c>
      <c r="C4" s="15">
        <f>MONTH([Data Liquidação])</f>
        <v>3</v>
      </c>
      <c r="D4" s="15">
        <f>YEAR([Data Liquidação])</f>
        <v>2014</v>
      </c>
      <c r="E4" s="128" t="s">
        <v>39</v>
      </c>
      <c r="F4" s="88">
        <v>515.12</v>
      </c>
      <c r="G4" s="92">
        <v>0</v>
      </c>
      <c r="H4" s="129">
        <v>0</v>
      </c>
      <c r="I4" s="129">
        <v>0</v>
      </c>
      <c r="J4" s="6">
        <v>0</v>
      </c>
      <c r="K4" s="14">
        <v>1200</v>
      </c>
      <c r="L4" s="130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0.46165555555555554</v>
      </c>
      <c r="M4" s="130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4" s="42" t="str">
        <f>IF([Lucro p/ Ação]&gt;0,[Lucro p/ Ação]/[Preço Médio],"")</f>
        <v/>
      </c>
    </row>
    <row r="5" spans="1:19">
      <c r="A5" s="51" t="s">
        <v>303</v>
      </c>
      <c r="B5" s="10"/>
      <c r="C5" s="10"/>
      <c r="D5" s="10"/>
      <c r="E5" s="10"/>
      <c r="F5" s="73">
        <f>SUBTOTAL(109,[Aplicação])</f>
        <v>1771.04</v>
      </c>
      <c r="G5" s="73">
        <f>SUBTOTAL(105,[Taxas])</f>
        <v>0</v>
      </c>
      <c r="H5" s="73">
        <f>SUBTOTAL(109,[Resgates])</f>
        <v>0</v>
      </c>
      <c r="I5" s="73">
        <f>SUBTOTAL(109,[Dividendo])</f>
        <v>0</v>
      </c>
      <c r="J5" s="7">
        <f>SUBTOTAL(109,[JPC])</f>
        <v>0</v>
      </c>
      <c r="K5" s="10"/>
      <c r="L5" s="59"/>
      <c r="M5" s="59"/>
      <c r="N5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5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D5" sqref="D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1465</v>
      </c>
      <c r="B4" t="s">
        <v>377</v>
      </c>
      <c r="C4" t="s">
        <v>378</v>
      </c>
      <c r="D4" t="s">
        <v>386</v>
      </c>
      <c r="E4" t="s">
        <v>387</v>
      </c>
      <c r="F4" t="s">
        <v>379</v>
      </c>
      <c r="G4" t="s">
        <v>380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830.98</v>
      </c>
      <c r="C6" s="68">
        <v>1800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1466</v>
      </c>
      <c r="B7" s="69">
        <v>1771.04</v>
      </c>
      <c r="C7" s="68">
        <v>1900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5"/>
  <dimension ref="A1:Z1131"/>
  <sheetViews>
    <sheetView topLeftCell="A941" workbookViewId="0">
      <selection activeCell="F1132" sqref="F1132"/>
    </sheetView>
  </sheetViews>
  <sheetFormatPr defaultRowHeight="11.25"/>
  <cols>
    <col min="1" max="1" width="7.140625" style="3" customWidth="1"/>
    <col min="2" max="2" width="6.85546875" style="135" bestFit="1" customWidth="1"/>
    <col min="3" max="3" width="5.28515625" style="16" bestFit="1" customWidth="1"/>
    <col min="4" max="4" width="9.85546875" style="12" bestFit="1" customWidth="1"/>
    <col min="5" max="5" width="8.42578125" style="14" bestFit="1" customWidth="1"/>
    <col min="6" max="6" width="12.140625" style="133" bestFit="1" customWidth="1"/>
    <col min="7" max="7" width="10.140625" style="137" bestFit="1" customWidth="1"/>
    <col min="8" max="8" width="10.5703125" style="46" bestFit="1" customWidth="1"/>
    <col min="9" max="9" width="10.42578125" style="133" customWidth="1"/>
    <col min="10" max="10" width="11.28515625" style="132" customWidth="1"/>
    <col min="11" max="11" width="10" style="133" customWidth="1"/>
    <col min="12" max="12" width="9.85546875" style="14" customWidth="1"/>
    <col min="13" max="13" width="10.5703125" style="133" hidden="1" customWidth="1"/>
    <col min="14" max="14" width="8.5703125" style="133" hidden="1" customWidth="1"/>
    <col min="15" max="15" width="9.140625" style="19" hidden="1" customWidth="1"/>
    <col min="16" max="16" width="8.85546875" style="19" hidden="1" customWidth="1"/>
    <col min="17" max="17" width="9.5703125" style="133" hidden="1" customWidth="1"/>
    <col min="18" max="21" width="9.140625" style="3" hidden="1" customWidth="1"/>
    <col min="22" max="22" width="8.5703125" style="3" bestFit="1" customWidth="1"/>
    <col min="23" max="23" width="10.140625" style="19" bestFit="1" customWidth="1"/>
    <col min="24" max="24" width="9.7109375" style="19" bestFit="1" customWidth="1"/>
    <col min="25" max="25" width="7.7109375" style="14" hidden="1" customWidth="1"/>
    <col min="26" max="26" width="0" style="14" hidden="1" customWidth="1"/>
    <col min="27" max="16384" width="9.140625" style="4"/>
  </cols>
  <sheetData>
    <row r="1" spans="1:26">
      <c r="A1" s="5" t="s">
        <v>13</v>
      </c>
      <c r="B1" s="136" t="s">
        <v>883</v>
      </c>
      <c r="C1" s="16" t="s">
        <v>63</v>
      </c>
      <c r="D1" s="15" t="s">
        <v>83</v>
      </c>
      <c r="E1" s="15" t="s">
        <v>1467</v>
      </c>
      <c r="F1" s="133" t="s">
        <v>1471</v>
      </c>
      <c r="G1" s="128" t="s">
        <v>1469</v>
      </c>
      <c r="H1" s="128" t="s">
        <v>1470</v>
      </c>
      <c r="I1" s="133" t="s">
        <v>1472</v>
      </c>
      <c r="J1" s="132" t="s">
        <v>1473</v>
      </c>
      <c r="K1" s="133" t="s">
        <v>1474</v>
      </c>
      <c r="L1" s="19" t="s">
        <v>1476</v>
      </c>
      <c r="M1" s="133" t="s">
        <v>1478</v>
      </c>
      <c r="N1" s="133" t="s">
        <v>1477</v>
      </c>
      <c r="O1" s="19" t="s">
        <v>1482</v>
      </c>
      <c r="P1" s="133" t="s">
        <v>1479</v>
      </c>
      <c r="Q1" s="16" t="s">
        <v>233</v>
      </c>
      <c r="R1" s="16" t="s">
        <v>234</v>
      </c>
      <c r="S1" s="16" t="s">
        <v>529</v>
      </c>
      <c r="T1" s="16" t="s">
        <v>824</v>
      </c>
      <c r="U1" s="16" t="s">
        <v>1086</v>
      </c>
      <c r="V1" s="15" t="s">
        <v>6</v>
      </c>
      <c r="W1" s="19" t="s">
        <v>1480</v>
      </c>
      <c r="X1" s="19" t="s">
        <v>1481</v>
      </c>
      <c r="Y1" s="15" t="s">
        <v>1638</v>
      </c>
      <c r="Z1" s="15" t="s">
        <v>1639</v>
      </c>
    </row>
    <row r="2" spans="1:26" hidden="1">
      <c r="A2" s="4" t="s">
        <v>14</v>
      </c>
      <c r="B2" s="57" t="s">
        <v>422</v>
      </c>
      <c r="C2" s="16">
        <v>4</v>
      </c>
      <c r="D2" s="17"/>
      <c r="E2" s="17"/>
      <c r="F2" s="17"/>
      <c r="G2" s="4"/>
      <c r="H2" s="17"/>
      <c r="I2" s="8"/>
      <c r="J2" s="17">
        <f>IF(Tabela8[[#This Row],[Tipo]]="jcp",Tabela8[[#This Row],[Provento p/Ação]]*85%,Tabela8[[#This Row],[Provento p/Ação]])</f>
        <v>0</v>
      </c>
      <c r="K2" s="143" t="str">
        <f>IF([Lucro p/Ação]&lt;&gt;0,SUMPRODUCT(N([Papel]=Tabela8[[#This Row],[Papel]]),N([Exercício]=Tabela8[[#This Row],[Exercício]]),[Líquido p/Ação]),"")</f>
        <v/>
      </c>
      <c r="L2" s="42" t="str">
        <f>IF(Tabela8[[#This Row],[Lucro p/Ação]]="","",IF(Tabela8[[#This Row],[Lucro p/Ação]]&gt;0,Tabela8[[#This Row],[Total Exercício]]/Tabela8[[#This Row],[Lucro p/Ação]],0))</f>
        <v/>
      </c>
      <c r="M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" s="14" t="str">
        <f>IF(Tabela8[[#This Row],[Média Lucro p/Ação]]&lt;&gt;"",Tabela8[[#This Row],[Média Pago]]/Tabela8[[#This Row],[Média Lucro p/Ação]],"")</f>
        <v/>
      </c>
      <c r="P2" s="6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" s="47">
        <f>SUMPRODUCT(N(Tabela1[Código]=Tabela8[[#This Row],[Papel]]),Tabela1[Fechamento])</f>
        <v>0</v>
      </c>
      <c r="R2" s="47">
        <f>SUMPRODUCT(N(Tabela17[Código]=Tabela8[[#This Row],[Papel]]),Tabela17[Fechamento])</f>
        <v>0</v>
      </c>
      <c r="S2" s="7">
        <f>SUMPRODUCT(N(Tabela176[Código]=Tabela8[[#This Row],[Papel]]),Tabela176[Fechamento])</f>
        <v>0</v>
      </c>
      <c r="T2" s="7">
        <f>SUMPRODUCT(N(Tabela1768[Código]=Tabela8[[#This Row],[Papel]]),Tabela1768[Fechamento])</f>
        <v>0</v>
      </c>
      <c r="U2" s="7">
        <f>SUMPRODUCT(N(Tabela17683[Código]=Tabela8[[#This Row],[Papel]]),Tabela17683[Fechamento])</f>
        <v>0</v>
      </c>
      <c r="V2" s="17" t="str">
        <f>IF(MAX(Tabela8[[#This Row],[Cotação 1]]:Tabela8[[#This Row],[Cotação 5]])=0,"",MAX(Tabela8[[#This Row],[Cotação 1]]:Tabela8[[#This Row],[Cotação 5]]))</f>
        <v/>
      </c>
      <c r="W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" s="17" t="str">
        <f>IF(AND([Ref]=5,[Cotação]&gt;0,[Cotação]&lt;&gt;""),[Total Exercício]/[Cotação],IF([Ref]&lt;4,0,""))</f>
        <v/>
      </c>
      <c r="Y2" s="17">
        <f>IF([Tipo]="div",1,0)</f>
        <v>0</v>
      </c>
      <c r="Z2" s="17">
        <f>IF([Tipo]="jcp",1,0)</f>
        <v>0</v>
      </c>
    </row>
    <row r="3" spans="1:26" hidden="1">
      <c r="A3" s="4" t="s">
        <v>14</v>
      </c>
      <c r="B3" s="57" t="s">
        <v>22</v>
      </c>
      <c r="C3" s="15">
        <v>4</v>
      </c>
      <c r="D3" s="17"/>
      <c r="E3" s="17"/>
      <c r="F3" s="17"/>
      <c r="G3" s="4"/>
      <c r="H3" s="17"/>
      <c r="I3" s="8"/>
      <c r="J3" s="17">
        <f>IF(Tabela8[[#This Row],[Tipo]]="jcp",Tabela8[[#This Row],[Provento p/Ação]]*85%,Tabela8[[#This Row],[Provento p/Ação]])</f>
        <v>0</v>
      </c>
      <c r="K3" s="143" t="str">
        <f>IF([Lucro p/Ação]&lt;&gt;0,SUMPRODUCT(N([Papel]=Tabela8[[#This Row],[Papel]]),N([Exercício]=Tabela8[[#This Row],[Exercício]]),[Líquido p/Ação]),"")</f>
        <v/>
      </c>
      <c r="L3" s="42" t="str">
        <f>IF(Tabela8[[#This Row],[Lucro p/Ação]]="","",IF(Tabela8[[#This Row],[Lucro p/Ação]]&gt;0,Tabela8[[#This Row],[Total Exercício]]/Tabela8[[#This Row],[Lucro p/Ação]],0))</f>
        <v/>
      </c>
      <c r="M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" s="14" t="str">
        <f>IF(Tabela8[[#This Row],[Média Lucro p/Ação]]&lt;&gt;"",Tabela8[[#This Row],[Média Pago]]/Tabela8[[#This Row],[Média Lucro p/Ação]],"")</f>
        <v/>
      </c>
      <c r="P3" s="17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" s="5">
        <f>SUMPRODUCT(N(Tabela1[Código]=Tabela8[[#This Row],[Papel]]),Tabela1[Fechamento])</f>
        <v>11.19</v>
      </c>
      <c r="R3" s="5">
        <f>SUMPRODUCT(N(Tabela17[Código]=Tabela8[[#This Row],[Papel]]),Tabela17[Fechamento])</f>
        <v>0</v>
      </c>
      <c r="S3" s="7">
        <f>SUMPRODUCT(N(Tabela176[Código]=Tabela8[[#This Row],[Papel]]),Tabela176[Fechamento])</f>
        <v>0</v>
      </c>
      <c r="T3" s="7">
        <f>SUMPRODUCT(N(Tabela1768[Código]=Tabela8[[#This Row],[Papel]]),Tabela1768[Fechamento])</f>
        <v>0</v>
      </c>
      <c r="U3" s="7">
        <f>SUMPRODUCT(N(Tabela17683[Código]=Tabela8[[#This Row],[Papel]]),Tabela17683[Fechamento])</f>
        <v>0</v>
      </c>
      <c r="V3" s="17">
        <f>IF(MAX(Tabela8[[#This Row],[Cotação 1]]:Tabela8[[#This Row],[Cotação 5]])=0,"",MAX(Tabela8[[#This Row],[Cotação 1]]:Tabela8[[#This Row],[Cotação 5]]))</f>
        <v>11.19</v>
      </c>
      <c r="W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" s="17" t="str">
        <f>IF(AND([Ref]=5,[Cotação]&gt;0,[Cotação]&lt;&gt;""),[Total Exercício]/[Cotação],IF([Ref]&lt;4,0,""))</f>
        <v/>
      </c>
      <c r="Y3" s="17">
        <f>IF([Tipo]="div",1,0)</f>
        <v>0</v>
      </c>
      <c r="Z3" s="17">
        <f>IF([Tipo]="jcp",1,0)</f>
        <v>0</v>
      </c>
    </row>
    <row r="4" spans="1:26" hidden="1">
      <c r="A4" s="3" t="s">
        <v>795</v>
      </c>
      <c r="B4" s="58" t="s">
        <v>796</v>
      </c>
      <c r="C4" s="16">
        <v>4</v>
      </c>
      <c r="D4" s="17"/>
      <c r="E4" s="17"/>
      <c r="F4" s="17"/>
      <c r="G4" s="4"/>
      <c r="H4" s="17"/>
      <c r="I4" s="8"/>
      <c r="J4" s="17">
        <f>IF(Tabela8[[#This Row],[Tipo]]="jcp",Tabela8[[#This Row],[Provento p/Ação]]*85%,Tabela8[[#This Row],[Provento p/Ação]])</f>
        <v>0</v>
      </c>
      <c r="K4" s="143" t="str">
        <f>IF([Lucro p/Ação]&lt;&gt;0,SUMPRODUCT(N([Papel]=Tabela8[[#This Row],[Papel]]),N([Exercício]=Tabela8[[#This Row],[Exercício]]),[Líquido p/Ação]),"")</f>
        <v/>
      </c>
      <c r="L4" s="42" t="str">
        <f>IF(Tabela8[[#This Row],[Lucro p/Ação]]="","",IF(Tabela8[[#This Row],[Lucro p/Ação]]&gt;0,Tabela8[[#This Row],[Total Exercício]]/Tabela8[[#This Row],[Lucro p/Ação]],0))</f>
        <v/>
      </c>
      <c r="M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" s="14" t="str">
        <f>IF(Tabela8[[#This Row],[Média Lucro p/Ação]]&lt;&gt;"",Tabela8[[#This Row],[Média Pago]]/Tabela8[[#This Row],[Média Lucro p/Ação]],"")</f>
        <v/>
      </c>
      <c r="P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" s="7">
        <f>SUMPRODUCT(N(Tabela1[Código]=Tabela8[[#This Row],[Papel]]),Tabela1[Fechamento])</f>
        <v>0</v>
      </c>
      <c r="R4" s="7">
        <f>SUMPRODUCT(N(Tabela17[Código]=Tabela8[[#This Row],[Papel]]),Tabela17[Fechamento])</f>
        <v>0</v>
      </c>
      <c r="S4" s="7">
        <f>SUMPRODUCT(N(Tabela176[Código]=Tabela8[[#This Row],[Papel]]),Tabela176[Fechamento])</f>
        <v>16.71</v>
      </c>
      <c r="T4" s="7">
        <f>SUMPRODUCT(N(Tabela1768[Código]=Tabela8[[#This Row],[Papel]]),Tabela1768[Fechamento])</f>
        <v>0</v>
      </c>
      <c r="U4" s="7">
        <f>SUMPRODUCT(N(Tabela17683[Código]=Tabela8[[#This Row],[Papel]]),Tabela17683[Fechamento])</f>
        <v>0</v>
      </c>
      <c r="V4" s="17">
        <f>IF(MAX(Tabela8[[#This Row],[Cotação 1]]:Tabela8[[#This Row],[Cotação 5]])=0,"",MAX(Tabela8[[#This Row],[Cotação 1]]:Tabela8[[#This Row],[Cotação 5]]))</f>
        <v>16.71</v>
      </c>
      <c r="W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" s="17" t="str">
        <f>IF(AND([Ref]=5,[Cotação]&gt;0,[Cotação]&lt;&gt;""),[Total Exercício]/[Cotação],IF([Ref]&lt;4,0,""))</f>
        <v/>
      </c>
      <c r="Y4" s="17">
        <f>IF([Tipo]="div",1,0)</f>
        <v>0</v>
      </c>
      <c r="Z4" s="17">
        <f>IF([Tipo]="jcp",1,0)</f>
        <v>0</v>
      </c>
    </row>
    <row r="5" spans="1:26" hidden="1">
      <c r="A5" s="3" t="s">
        <v>974</v>
      </c>
      <c r="B5" s="58" t="s">
        <v>975</v>
      </c>
      <c r="C5" s="16">
        <v>4</v>
      </c>
      <c r="D5" s="17"/>
      <c r="E5" s="17"/>
      <c r="F5" s="17"/>
      <c r="G5" s="4"/>
      <c r="H5" s="17"/>
      <c r="I5" s="8"/>
      <c r="J5" s="17">
        <f>IF(Tabela8[[#This Row],[Tipo]]="jcp",Tabela8[[#This Row],[Provento p/Ação]]*85%,Tabela8[[#This Row],[Provento p/Ação]])</f>
        <v>0</v>
      </c>
      <c r="K5" s="143" t="str">
        <f>IF([Lucro p/Ação]&lt;&gt;0,SUMPRODUCT(N([Papel]=Tabela8[[#This Row],[Papel]]),N([Exercício]=Tabela8[[#This Row],[Exercício]]),[Líquido p/Ação]),"")</f>
        <v/>
      </c>
      <c r="L5" s="42" t="str">
        <f>IF(Tabela8[[#This Row],[Lucro p/Ação]]="","",IF(Tabela8[[#This Row],[Lucro p/Ação]]&gt;0,Tabela8[[#This Row],[Total Exercício]]/Tabela8[[#This Row],[Lucro p/Ação]],0))</f>
        <v/>
      </c>
      <c r="M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" s="14" t="str">
        <f>IF(Tabela8[[#This Row],[Média Lucro p/Ação]]&lt;&gt;"",Tabela8[[#This Row],[Média Pago]]/Tabela8[[#This Row],[Média Lucro p/Ação]],"")</f>
        <v/>
      </c>
      <c r="P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" s="7">
        <f>SUMPRODUCT(N(Tabela1[Código]=Tabela8[[#This Row],[Papel]]),Tabela1[Fechamento])</f>
        <v>0</v>
      </c>
      <c r="R5" s="7">
        <f>SUMPRODUCT(N(Tabela17[Código]=Tabela8[[#This Row],[Papel]]),Tabela17[Fechamento])</f>
        <v>0</v>
      </c>
      <c r="S5" s="7">
        <f>SUMPRODUCT(N(Tabela176[Código]=Tabela8[[#This Row],[Papel]]),Tabela176[Fechamento])</f>
        <v>0</v>
      </c>
      <c r="T5" s="7">
        <f>SUMPRODUCT(N(Tabela1768[Código]=Tabela8[[#This Row],[Papel]]),Tabela1768[Fechamento])</f>
        <v>26.41</v>
      </c>
      <c r="U5" s="7">
        <f>SUMPRODUCT(N(Tabela17683[Código]=Tabela8[[#This Row],[Papel]]),Tabela17683[Fechamento])</f>
        <v>0</v>
      </c>
      <c r="V5" s="17">
        <f>IF(MAX(Tabela8[[#This Row],[Cotação 1]]:Tabela8[[#This Row],[Cotação 5]])=0,"",MAX(Tabela8[[#This Row],[Cotação 1]]:Tabela8[[#This Row],[Cotação 5]]))</f>
        <v>26.41</v>
      </c>
      <c r="W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" s="17" t="str">
        <f>IF(AND([Ref]=5,[Cotação]&gt;0,[Cotação]&lt;&gt;""),[Total Exercício]/[Cotação],IF([Ref]&lt;4,0,""))</f>
        <v/>
      </c>
      <c r="Y5" s="17">
        <f>IF([Tipo]="div",1,0)</f>
        <v>0</v>
      </c>
      <c r="Z5" s="17">
        <f>IF([Tipo]="jcp",1,0)</f>
        <v>0</v>
      </c>
    </row>
    <row r="6" spans="1:26" hidden="1">
      <c r="A6" s="3" t="s">
        <v>974</v>
      </c>
      <c r="B6" s="58" t="s">
        <v>976</v>
      </c>
      <c r="C6" s="16">
        <v>4</v>
      </c>
      <c r="D6" s="17"/>
      <c r="E6" s="17"/>
      <c r="F6" s="17"/>
      <c r="G6" s="4"/>
      <c r="H6" s="17"/>
      <c r="I6" s="8"/>
      <c r="J6" s="17">
        <f>IF(Tabela8[[#This Row],[Tipo]]="jcp",Tabela8[[#This Row],[Provento p/Ação]]*85%,Tabela8[[#This Row],[Provento p/Ação]])</f>
        <v>0</v>
      </c>
      <c r="K6" s="143" t="str">
        <f>IF([Lucro p/Ação]&lt;&gt;0,SUMPRODUCT(N([Papel]=Tabela8[[#This Row],[Papel]]),N([Exercício]=Tabela8[[#This Row],[Exercício]]),[Líquido p/Ação]),"")</f>
        <v/>
      </c>
      <c r="L6" s="42" t="str">
        <f>IF(Tabela8[[#This Row],[Lucro p/Ação]]="","",IF(Tabela8[[#This Row],[Lucro p/Ação]]&gt;0,Tabela8[[#This Row],[Total Exercício]]/Tabela8[[#This Row],[Lucro p/Ação]],0))</f>
        <v/>
      </c>
      <c r="M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" s="14" t="str">
        <f>IF(Tabela8[[#This Row],[Média Lucro p/Ação]]&lt;&gt;"",Tabela8[[#This Row],[Média Pago]]/Tabela8[[#This Row],[Média Lucro p/Ação]],"")</f>
        <v/>
      </c>
      <c r="P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" s="7">
        <f>SUMPRODUCT(N(Tabela1[Código]=Tabela8[[#This Row],[Papel]]),Tabela1[Fechamento])</f>
        <v>0</v>
      </c>
      <c r="R6" s="7">
        <f>SUMPRODUCT(N(Tabela17[Código]=Tabela8[[#This Row],[Papel]]),Tabela17[Fechamento])</f>
        <v>0</v>
      </c>
      <c r="S6" s="7">
        <f>SUMPRODUCT(N(Tabela176[Código]=Tabela8[[#This Row],[Papel]]),Tabela176[Fechamento])</f>
        <v>0</v>
      </c>
      <c r="T6" s="7">
        <f>SUMPRODUCT(N(Tabela1768[Código]=Tabela8[[#This Row],[Papel]]),Tabela1768[Fechamento])</f>
        <v>0</v>
      </c>
      <c r="U6" s="7">
        <f>SUMPRODUCT(N(Tabela17683[Código]=Tabela8[[#This Row],[Papel]]),Tabela17683[Fechamento])</f>
        <v>0</v>
      </c>
      <c r="V6" s="17" t="str">
        <f>IF(MAX(Tabela8[[#This Row],[Cotação 1]]:Tabela8[[#This Row],[Cotação 5]])=0,"",MAX(Tabela8[[#This Row],[Cotação 1]]:Tabela8[[#This Row],[Cotação 5]]))</f>
        <v/>
      </c>
      <c r="W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" s="17" t="str">
        <f>IF(AND([Ref]=5,[Cotação]&gt;0,[Cotação]&lt;&gt;""),[Total Exercício]/[Cotação],IF([Ref]&lt;4,0,""))</f>
        <v/>
      </c>
      <c r="Y6" s="17">
        <f>IF([Tipo]="div",1,0)</f>
        <v>0</v>
      </c>
      <c r="Z6" s="17">
        <f>IF([Tipo]="jcp",1,0)</f>
        <v>0</v>
      </c>
    </row>
    <row r="7" spans="1:26" hidden="1">
      <c r="A7" s="3" t="s">
        <v>974</v>
      </c>
      <c r="B7" s="58" t="s">
        <v>977</v>
      </c>
      <c r="C7" s="16">
        <v>4</v>
      </c>
      <c r="D7" s="17"/>
      <c r="E7" s="17"/>
      <c r="F7" s="17"/>
      <c r="G7" s="4"/>
      <c r="H7" s="17"/>
      <c r="I7" s="8"/>
      <c r="J7" s="17">
        <f>IF(Tabela8[[#This Row],[Tipo]]="jcp",Tabela8[[#This Row],[Provento p/Ação]]*85%,Tabela8[[#This Row],[Provento p/Ação]])</f>
        <v>0</v>
      </c>
      <c r="K7" s="143" t="str">
        <f>IF([Lucro p/Ação]&lt;&gt;0,SUMPRODUCT(N([Papel]=Tabela8[[#This Row],[Papel]]),N([Exercício]=Tabela8[[#This Row],[Exercício]]),[Líquido p/Ação]),"")</f>
        <v/>
      </c>
      <c r="L7" s="42" t="str">
        <f>IF(Tabela8[[#This Row],[Lucro p/Ação]]="","",IF(Tabela8[[#This Row],[Lucro p/Ação]]&gt;0,Tabela8[[#This Row],[Total Exercício]]/Tabela8[[#This Row],[Lucro p/Ação]],0))</f>
        <v/>
      </c>
      <c r="M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" s="14" t="str">
        <f>IF(Tabela8[[#This Row],[Média Lucro p/Ação]]&lt;&gt;"",Tabela8[[#This Row],[Média Pago]]/Tabela8[[#This Row],[Média Lucro p/Ação]],"")</f>
        <v/>
      </c>
      <c r="P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" s="7">
        <f>SUMPRODUCT(N(Tabela1[Código]=Tabela8[[#This Row],[Papel]]),Tabela1[Fechamento])</f>
        <v>0</v>
      </c>
      <c r="R7" s="7">
        <f>SUMPRODUCT(N(Tabela17[Código]=Tabela8[[#This Row],[Papel]]),Tabela17[Fechamento])</f>
        <v>0</v>
      </c>
      <c r="S7" s="7">
        <f>SUMPRODUCT(N(Tabela176[Código]=Tabela8[[#This Row],[Papel]]),Tabela176[Fechamento])</f>
        <v>0</v>
      </c>
      <c r="T7" s="7">
        <f>SUMPRODUCT(N(Tabela1768[Código]=Tabela8[[#This Row],[Papel]]),Tabela1768[Fechamento])</f>
        <v>0</v>
      </c>
      <c r="U7" s="7">
        <f>SUMPRODUCT(N(Tabela17683[Código]=Tabela8[[#This Row],[Papel]]),Tabela17683[Fechamento])</f>
        <v>0</v>
      </c>
      <c r="V7" s="17" t="str">
        <f>IF(MAX(Tabela8[[#This Row],[Cotação 1]]:Tabela8[[#This Row],[Cotação 5]])=0,"",MAX(Tabela8[[#This Row],[Cotação 1]]:Tabela8[[#This Row],[Cotação 5]]))</f>
        <v/>
      </c>
      <c r="W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" s="17" t="str">
        <f>IF(AND([Ref]=5,[Cotação]&gt;0,[Cotação]&lt;&gt;""),[Total Exercício]/[Cotação],IF([Ref]&lt;4,0,""))</f>
        <v/>
      </c>
      <c r="Y7" s="17">
        <f>IF([Tipo]="div",1,0)</f>
        <v>0</v>
      </c>
      <c r="Z7" s="17">
        <f>IF([Tipo]="jcp",1,0)</f>
        <v>0</v>
      </c>
    </row>
    <row r="8" spans="1:26" hidden="1">
      <c r="A8" s="3" t="s">
        <v>1416</v>
      </c>
      <c r="B8" s="58" t="s">
        <v>1406</v>
      </c>
      <c r="C8" s="16">
        <v>4</v>
      </c>
      <c r="D8" s="17"/>
      <c r="E8" s="17"/>
      <c r="F8" s="17"/>
      <c r="G8" s="4"/>
      <c r="H8" s="17"/>
      <c r="I8" s="8"/>
      <c r="J8" s="17">
        <f>IF(Tabela8[[#This Row],[Tipo]]="jcp",Tabela8[[#This Row],[Provento p/Ação]]*85%,Tabela8[[#This Row],[Provento p/Ação]])</f>
        <v>0</v>
      </c>
      <c r="K8" s="143" t="str">
        <f>IF([Lucro p/Ação]&lt;&gt;0,SUMPRODUCT(N([Papel]=Tabela8[[#This Row],[Papel]]),N([Exercício]=Tabela8[[#This Row],[Exercício]]),[Líquido p/Ação]),"")</f>
        <v/>
      </c>
      <c r="L8" s="42" t="str">
        <f>IF(Tabela8[[#This Row],[Lucro p/Ação]]="","",IF(Tabela8[[#This Row],[Lucro p/Ação]]&gt;0,Tabela8[[#This Row],[Total Exercício]]/Tabela8[[#This Row],[Lucro p/Ação]],0))</f>
        <v/>
      </c>
      <c r="M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" s="14" t="str">
        <f>IF(Tabela8[[#This Row],[Média Lucro p/Ação]]&lt;&gt;"",Tabela8[[#This Row],[Média Pago]]/Tabela8[[#This Row],[Média Lucro p/Ação]],"")</f>
        <v/>
      </c>
      <c r="P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" s="7">
        <f>SUMPRODUCT(N(Tabela1[Código]=Tabela8[[#This Row],[Papel]]),Tabela1[Fechamento])</f>
        <v>0</v>
      </c>
      <c r="R8" s="7">
        <f>SUMPRODUCT(N(Tabela17[Código]=Tabela8[[#This Row],[Papel]]),Tabela17[Fechamento])</f>
        <v>0</v>
      </c>
      <c r="S8" s="7">
        <f>SUMPRODUCT(N(Tabela176[Código]=Tabela8[[#This Row],[Papel]]),Tabela176[Fechamento])</f>
        <v>0</v>
      </c>
      <c r="T8" s="7">
        <f>SUMPRODUCT(N(Tabela1768[Código]=Tabela8[[#This Row],[Papel]]),Tabela1768[Fechamento])</f>
        <v>0</v>
      </c>
      <c r="U8" s="7">
        <f>SUMPRODUCT(N(Tabela17683[Código]=Tabela8[[#This Row],[Papel]]),Tabela17683[Fechamento])</f>
        <v>12.29</v>
      </c>
      <c r="V8" s="17">
        <f>IF(MAX(Tabela8[[#This Row],[Cotação 1]]:Tabela8[[#This Row],[Cotação 5]])=0,"",MAX(Tabela8[[#This Row],[Cotação 1]]:Tabela8[[#This Row],[Cotação 5]]))</f>
        <v>12.29</v>
      </c>
      <c r="W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" s="17" t="str">
        <f>IF(AND([Ref]=5,[Cotação]&gt;0,[Cotação]&lt;&gt;""),[Total Exercício]/[Cotação],IF([Ref]&lt;4,0,""))</f>
        <v/>
      </c>
      <c r="Y8" s="17">
        <f>IF([Tipo]="div",1,0)</f>
        <v>0</v>
      </c>
      <c r="Z8" s="17">
        <f>IF([Tipo]="jcp",1,0)</f>
        <v>0</v>
      </c>
    </row>
    <row r="9" spans="1:26" hidden="1">
      <c r="A9" s="4" t="s">
        <v>12</v>
      </c>
      <c r="B9" s="135" t="s">
        <v>67</v>
      </c>
      <c r="C9" s="15">
        <v>5</v>
      </c>
      <c r="D9" s="14">
        <v>2010</v>
      </c>
      <c r="E9" s="17" t="s">
        <v>1468</v>
      </c>
      <c r="F9" s="137">
        <v>3.9567899999999998</v>
      </c>
      <c r="G9" s="46">
        <v>40395</v>
      </c>
      <c r="H9" s="46">
        <v>40437</v>
      </c>
      <c r="I9" s="133">
        <v>0.79422000000000004</v>
      </c>
      <c r="J9" s="133">
        <f>IF(Tabela8[[#This Row],[Tipo]]="jcp",Tabela8[[#This Row],[Provento p/Ação]]*85%,Tabela8[[#This Row],[Provento p/Ação]])</f>
        <v>0.79422000000000004</v>
      </c>
      <c r="K9" s="143">
        <f>IF([Lucro p/Ação]&lt;&gt;0,SUMPRODUCT(N([Papel]=Tabela8[[#This Row],[Papel]]),N([Exercício]=Tabela8[[#This Row],[Exercício]]),[Líquido p/Ação]),"")</f>
        <v>1.02525</v>
      </c>
      <c r="L9" s="19">
        <f>IF(Tabela8[[#This Row],[Lucro p/Ação]]="","",IF(Tabela8[[#This Row],[Lucro p/Ação]]&gt;0,Tabela8[[#This Row],[Total Exercício]]/Tabela8[[#This Row],[Lucro p/Ação]],0))</f>
        <v>0.2591115525463823</v>
      </c>
      <c r="M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-0.79471165374659847</v>
      </c>
      <c r="N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0.89647245000000009</v>
      </c>
      <c r="O9" s="19">
        <f>IF(Tabela8[[#This Row],[Média Lucro p/Ação]]&lt;&gt;"",Tabela8[[#This Row],[Média Pago]]/Tabela8[[#This Row],[Média Lucro p/Ação]],"")</f>
        <v>-1.1280474443449511</v>
      </c>
      <c r="P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" s="5">
        <f>SUMPRODUCT(N(Tabela1[Código]=Tabela8[[#This Row],[Papel]]),Tabela1[Fechamento])</f>
        <v>7.13</v>
      </c>
      <c r="R9" s="5">
        <f>SUMPRODUCT(N(Tabela17[Código]=Tabela8[[#This Row],[Papel]]),Tabela17[Fechamento])</f>
        <v>0</v>
      </c>
      <c r="S9" s="7">
        <f>SUMPRODUCT(N(Tabela176[Código]=Tabela8[[#This Row],[Papel]]),Tabela176[Fechamento])</f>
        <v>0</v>
      </c>
      <c r="T9" s="7">
        <f>SUMPRODUCT(N(Tabela1768[Código]=Tabela8[[#This Row],[Papel]]),Tabela1768[Fechamento])</f>
        <v>0</v>
      </c>
      <c r="U9" s="7">
        <f>SUMPRODUCT(N(Tabela17683[Código]=Tabela8[[#This Row],[Papel]]),Tabela17683[Fechamento])</f>
        <v>0</v>
      </c>
      <c r="V9" s="17">
        <f>IF(MAX(Tabela8[[#This Row],[Cotação 1]]:Tabela8[[#This Row],[Cotação 5]])=0,"",MAX(Tabela8[[#This Row],[Cotação 1]]:Tabela8[[#This Row],[Cotação 5]]))</f>
        <v>7.13</v>
      </c>
      <c r="W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" s="19">
        <f>IF(AND([Ref]=5,[Cotação]&gt;0,[Cotação]&lt;&gt;""),[Total Exercício]/[Cotação],IF([Ref]&lt;4,0,""))</f>
        <v>0.14379382889200562</v>
      </c>
      <c r="Y9" s="17">
        <f>IF([Tipo]="div",1,0)</f>
        <v>1</v>
      </c>
      <c r="Z9" s="17">
        <f>IF([Tipo]="jcp",1,0)</f>
        <v>0</v>
      </c>
    </row>
    <row r="10" spans="1:26" hidden="1">
      <c r="A10" s="4" t="s">
        <v>12</v>
      </c>
      <c r="B10" s="3" t="s">
        <v>437</v>
      </c>
      <c r="C10" s="15">
        <v>5</v>
      </c>
      <c r="D10" s="14">
        <v>2010</v>
      </c>
      <c r="E10" s="17" t="s">
        <v>1468</v>
      </c>
      <c r="F10" s="133">
        <v>0.30159999999999998</v>
      </c>
      <c r="G10" s="46">
        <v>40298</v>
      </c>
      <c r="H10" s="46">
        <v>40345</v>
      </c>
      <c r="I10" s="133">
        <v>0.57686999999999999</v>
      </c>
      <c r="J10" s="133">
        <f>IF(Tabela8[[#This Row],[Tipo]]="jcp",Tabela8[[#This Row],[Provento p/Ação]]*85%,Tabela8[[#This Row],[Provento p/Ação]])</f>
        <v>0.57686999999999999</v>
      </c>
      <c r="K10" s="143">
        <f>IF([Lucro p/Ação]&lt;&gt;0,SUMPRODUCT(N([Papel]=Tabela8[[#This Row],[Papel]]),N([Exercício]=Tabela8[[#This Row],[Exercício]]),[Líquido p/Ação]),"")</f>
        <v>0.57686999999999999</v>
      </c>
      <c r="L10" s="42">
        <f>IF(Tabela8[[#This Row],[Lucro p/Ação]]="","",IF(Tabela8[[#This Row],[Lucro p/Ação]]&gt;0,Tabela8[[#This Row],[Total Exercício]]/Tabela8[[#This Row],[Lucro p/Ação]],0))</f>
        <v>1.9126989389920426</v>
      </c>
      <c r="M10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0.30159999999999998</v>
      </c>
      <c r="N1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0.57686999999999999</v>
      </c>
      <c r="O10" s="19">
        <f>IF(Tabela8[[#This Row],[Média Lucro p/Ação]]&lt;&gt;"",Tabela8[[#This Row],[Média Pago]]/Tabela8[[#This Row],[Média Lucro p/Ação]],"")</f>
        <v>1.9126989389920426</v>
      </c>
      <c r="P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" s="17">
        <f>SUMPRODUCT(N(Tabela1[Código]=Tabela8[[#This Row],[Papel]]),Tabela1[Fechamento])</f>
        <v>0</v>
      </c>
      <c r="R10" s="17">
        <f>SUMPRODUCT(N(Tabela17[Código]=Tabela8[[#This Row],[Papel]]),Tabela17[Fechamento])</f>
        <v>2.5299999999999998</v>
      </c>
      <c r="S10" s="7">
        <f>SUMPRODUCT(N(Tabela176[Código]=Tabela8[[#This Row],[Papel]]),Tabela176[Fechamento])</f>
        <v>0</v>
      </c>
      <c r="T10" s="7">
        <f>SUMPRODUCT(N(Tabela1768[Código]=Tabela8[[#This Row],[Papel]]),Tabela1768[Fechamento])</f>
        <v>0</v>
      </c>
      <c r="U10" s="7">
        <f>SUMPRODUCT(N(Tabela17683[Código]=Tabela8[[#This Row],[Papel]]),Tabela17683[Fechamento])</f>
        <v>0</v>
      </c>
      <c r="V10" s="17">
        <f>IF(MAX(Tabela8[[#This Row],[Cotação 1]]:Tabela8[[#This Row],[Cotação 5]])=0,"",MAX(Tabela8[[#This Row],[Cotação 1]]:Tabela8[[#This Row],[Cotação 5]]))</f>
        <v>2.5299999999999998</v>
      </c>
      <c r="W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" s="19">
        <f>IF(AND([Ref]=5,[Cotação]&gt;0,[Cotação]&lt;&gt;""),[Total Exercício]/[Cotação],IF([Ref]&lt;4,0,""))</f>
        <v>0.2280118577075099</v>
      </c>
      <c r="Y10" s="17">
        <f>IF([Tipo]="div",1,0)</f>
        <v>1</v>
      </c>
      <c r="Z10" s="17">
        <f>IF([Tipo]="jcp",1,0)</f>
        <v>0</v>
      </c>
    </row>
    <row r="11" spans="1:26" hidden="1">
      <c r="A11" s="4" t="s">
        <v>12</v>
      </c>
      <c r="B11" s="57" t="s">
        <v>430</v>
      </c>
      <c r="C11" s="15">
        <v>3</v>
      </c>
      <c r="D11" s="14"/>
      <c r="E11" s="17"/>
      <c r="F11" s="17"/>
      <c r="G11" s="4"/>
      <c r="H11" s="17"/>
      <c r="I11" s="8"/>
      <c r="J11" s="133">
        <f>IF(Tabela8[[#This Row],[Tipo]]="jcp",Tabela8[[#This Row],[Provento p/Ação]]*85%,Tabela8[[#This Row],[Provento p/Ação]])</f>
        <v>0</v>
      </c>
      <c r="K11" s="17" t="str">
        <f>IF([Lucro p/Ação]&lt;&gt;0,SUMPRODUCT(N([Papel]=Tabela8[[#This Row],[Papel]]),N([Exercício]=Tabela8[[#This Row],[Exercício]]),[Líquido p/Ação]),"")</f>
        <v/>
      </c>
      <c r="L11" s="17" t="str">
        <f>IF(Tabela8[[#This Row],[Lucro p/Ação]]="","",IF(Tabela8[[#This Row],[Lucro p/Ação]]&gt;0,Tabela8[[#This Row],[Total Exercício]]/Tabela8[[#This Row],[Lucro p/Ação]],0))</f>
        <v/>
      </c>
      <c r="M11" s="17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" s="1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" s="14" t="str">
        <f>IF(Tabela8[[#This Row],[Média Lucro p/Ação]]&lt;&gt;"",Tabela8[[#This Row],[Média Pago]]/Tabela8[[#This Row],[Média Lucro p/Ação]],"")</f>
        <v/>
      </c>
      <c r="P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" s="17">
        <f>SUMPRODUCT(N(Tabela1[Código]=Tabela8[[#This Row],[Papel]]),Tabela1[Fechamento])</f>
        <v>0</v>
      </c>
      <c r="R11" s="17">
        <f>SUMPRODUCT(N(Tabela17[Código]=Tabela8[[#This Row],[Papel]]),Tabela17[Fechamento])</f>
        <v>5.55</v>
      </c>
      <c r="S11" s="7">
        <f>SUMPRODUCT(N(Tabela176[Código]=Tabela8[[#This Row],[Papel]]),Tabela176[Fechamento])</f>
        <v>0</v>
      </c>
      <c r="T11" s="7">
        <f>SUMPRODUCT(N(Tabela1768[Código]=Tabela8[[#This Row],[Papel]]),Tabela1768[Fechamento])</f>
        <v>0</v>
      </c>
      <c r="U11" s="7">
        <f>SUMPRODUCT(N(Tabela17683[Código]=Tabela8[[#This Row],[Papel]]),Tabela17683[Fechamento])</f>
        <v>0</v>
      </c>
      <c r="V11" s="17">
        <f>IF(MAX(Tabela8[[#This Row],[Cotação 1]]:Tabela8[[#This Row],[Cotação 5]])=0,"",MAX(Tabela8[[#This Row],[Cotação 1]]:Tabela8[[#This Row],[Cotação 5]]))</f>
        <v>5.55</v>
      </c>
      <c r="W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" s="17">
        <f>IF(AND([Ref]=5,[Cotação]&gt;0,[Cotação]&lt;&gt;""),[Total Exercício]/[Cotação],IF([Ref]&lt;4,0,""))</f>
        <v>0</v>
      </c>
      <c r="Y11" s="17">
        <f>IF([Tipo]="div",1,0)</f>
        <v>0</v>
      </c>
      <c r="Z11" s="17">
        <f>IF([Tipo]="jcp",1,0)</f>
        <v>0</v>
      </c>
    </row>
    <row r="12" spans="1:26" hidden="1">
      <c r="A12" s="4" t="s">
        <v>12</v>
      </c>
      <c r="B12" s="57" t="s">
        <v>431</v>
      </c>
      <c r="C12" s="15">
        <v>3</v>
      </c>
      <c r="D12" s="14"/>
      <c r="E12" s="17"/>
      <c r="F12" s="17"/>
      <c r="G12" s="4"/>
      <c r="H12" s="17"/>
      <c r="I12" s="8"/>
      <c r="J12" s="133">
        <f>IF(Tabela8[[#This Row],[Tipo]]="jcp",Tabela8[[#This Row],[Provento p/Ação]]*85%,Tabela8[[#This Row],[Provento p/Ação]])</f>
        <v>0</v>
      </c>
      <c r="K12" s="143" t="str">
        <f>IF([Lucro p/Ação]&lt;&gt;0,SUMPRODUCT(N([Papel]=Tabela8[[#This Row],[Papel]]),N([Exercício]=Tabela8[[#This Row],[Exercício]]),[Líquido p/Ação]),"")</f>
        <v/>
      </c>
      <c r="L12" s="42" t="str">
        <f>IF(Tabela8[[#This Row],[Lucro p/Ação]]="","",IF(Tabela8[[#This Row],[Lucro p/Ação]]&gt;0,Tabela8[[#This Row],[Total Exercício]]/Tabela8[[#This Row],[Lucro p/Ação]],0))</f>
        <v/>
      </c>
      <c r="M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" s="14" t="str">
        <f>IF(Tabela8[[#This Row],[Média Lucro p/Ação]]&lt;&gt;"",Tabela8[[#This Row],[Média Pago]]/Tabela8[[#This Row],[Média Lucro p/Ação]],"")</f>
        <v/>
      </c>
      <c r="P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" s="17">
        <f>SUMPRODUCT(N(Tabela1[Código]=Tabela8[[#This Row],[Papel]]),Tabela1[Fechamento])</f>
        <v>0</v>
      </c>
      <c r="R12" s="17">
        <f>SUMPRODUCT(N(Tabela17[Código]=Tabela8[[#This Row],[Papel]]),Tabela17[Fechamento])</f>
        <v>0</v>
      </c>
      <c r="S12" s="7">
        <f>SUMPRODUCT(N(Tabela176[Código]=Tabela8[[#This Row],[Papel]]),Tabela176[Fechamento])</f>
        <v>0</v>
      </c>
      <c r="T12" s="7">
        <f>SUMPRODUCT(N(Tabela1768[Código]=Tabela8[[#This Row],[Papel]]),Tabela1768[Fechamento])</f>
        <v>0</v>
      </c>
      <c r="U12" s="7">
        <f>SUMPRODUCT(N(Tabela17683[Código]=Tabela8[[#This Row],[Papel]]),Tabela17683[Fechamento])</f>
        <v>0</v>
      </c>
      <c r="V12" s="17" t="str">
        <f>IF(MAX(Tabela8[[#This Row],[Cotação 1]]:Tabela8[[#This Row],[Cotação 5]])=0,"",MAX(Tabela8[[#This Row],[Cotação 1]]:Tabela8[[#This Row],[Cotação 5]]))</f>
        <v/>
      </c>
      <c r="W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" s="17">
        <f>IF(AND([Ref]=5,[Cotação]&gt;0,[Cotação]&lt;&gt;""),[Total Exercício]/[Cotação],IF([Ref]&lt;4,0,""))</f>
        <v>0</v>
      </c>
      <c r="Y12" s="17">
        <f>IF([Tipo]="div",1,0)</f>
        <v>0</v>
      </c>
      <c r="Z12" s="17">
        <f>IF([Tipo]="jcp",1,0)</f>
        <v>0</v>
      </c>
    </row>
    <row r="13" spans="1:26" hidden="1">
      <c r="A13" s="4" t="s">
        <v>12</v>
      </c>
      <c r="B13" s="57" t="s">
        <v>432</v>
      </c>
      <c r="C13" s="15">
        <v>3</v>
      </c>
      <c r="D13" s="14"/>
      <c r="E13" s="17"/>
      <c r="F13" s="17"/>
      <c r="G13" s="4"/>
      <c r="H13" s="17"/>
      <c r="I13" s="8"/>
      <c r="J13" s="133">
        <f>IF(Tabela8[[#This Row],[Tipo]]="jcp",Tabela8[[#This Row],[Provento p/Ação]]*85%,Tabela8[[#This Row],[Provento p/Ação]])</f>
        <v>0</v>
      </c>
      <c r="K13" s="143" t="str">
        <f>IF([Lucro p/Ação]&lt;&gt;0,SUMPRODUCT(N([Papel]=Tabela8[[#This Row],[Papel]]),N([Exercício]=Tabela8[[#This Row],[Exercício]]),[Líquido p/Ação]),"")</f>
        <v/>
      </c>
      <c r="L13" s="42" t="str">
        <f>IF(Tabela8[[#This Row],[Lucro p/Ação]]="","",IF(Tabela8[[#This Row],[Lucro p/Ação]]&gt;0,Tabela8[[#This Row],[Total Exercício]]/Tabela8[[#This Row],[Lucro p/Ação]],0))</f>
        <v/>
      </c>
      <c r="M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" s="14" t="str">
        <f>IF(Tabela8[[#This Row],[Média Lucro p/Ação]]&lt;&gt;"",Tabela8[[#This Row],[Média Pago]]/Tabela8[[#This Row],[Média Lucro p/Ação]],"")</f>
        <v/>
      </c>
      <c r="P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" s="17">
        <f>SUMPRODUCT(N(Tabela1[Código]=Tabela8[[#This Row],[Papel]]),Tabela1[Fechamento])</f>
        <v>0</v>
      </c>
      <c r="R13" s="17">
        <f>SUMPRODUCT(N(Tabela17[Código]=Tabela8[[#This Row],[Papel]]),Tabela17[Fechamento])</f>
        <v>0</v>
      </c>
      <c r="S13" s="7">
        <f>SUMPRODUCT(N(Tabela176[Código]=Tabela8[[#This Row],[Papel]]),Tabela176[Fechamento])</f>
        <v>0</v>
      </c>
      <c r="T13" s="7">
        <f>SUMPRODUCT(N(Tabela1768[Código]=Tabela8[[#This Row],[Papel]]),Tabela1768[Fechamento])</f>
        <v>0</v>
      </c>
      <c r="U13" s="7">
        <f>SUMPRODUCT(N(Tabela17683[Código]=Tabela8[[#This Row],[Papel]]),Tabela17683[Fechamento])</f>
        <v>0</v>
      </c>
      <c r="V13" s="17" t="str">
        <f>IF(MAX(Tabela8[[#This Row],[Cotação 1]]:Tabela8[[#This Row],[Cotação 5]])=0,"",MAX(Tabela8[[#This Row],[Cotação 1]]:Tabela8[[#This Row],[Cotação 5]]))</f>
        <v/>
      </c>
      <c r="W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" s="17">
        <f>IF(AND([Ref]=5,[Cotação]&gt;0,[Cotação]&lt;&gt;""),[Total Exercício]/[Cotação],IF([Ref]&lt;4,0,""))</f>
        <v>0</v>
      </c>
      <c r="Y13" s="17">
        <f>IF([Tipo]="div",1,0)</f>
        <v>0</v>
      </c>
      <c r="Z13" s="17">
        <f>IF([Tipo]="jcp",1,0)</f>
        <v>0</v>
      </c>
    </row>
    <row r="14" spans="1:26" hidden="1">
      <c r="A14" s="3" t="s">
        <v>335</v>
      </c>
      <c r="B14" s="57" t="s">
        <v>704</v>
      </c>
      <c r="C14" s="15">
        <v>4</v>
      </c>
      <c r="D14" s="17"/>
      <c r="E14" s="17"/>
      <c r="F14" s="17"/>
      <c r="G14" s="4"/>
      <c r="H14" s="17"/>
      <c r="I14" s="8"/>
      <c r="J14" s="17">
        <f>IF(Tabela8[[#This Row],[Tipo]]="jcp",Tabela8[[#This Row],[Provento p/Ação]]*85%,Tabela8[[#This Row],[Provento p/Ação]])</f>
        <v>0</v>
      </c>
      <c r="K14" s="143" t="str">
        <f>IF([Lucro p/Ação]&lt;&gt;0,SUMPRODUCT(N([Papel]=Tabela8[[#This Row],[Papel]]),N([Exercício]=Tabela8[[#This Row],[Exercício]]),[Líquido p/Ação]),"")</f>
        <v/>
      </c>
      <c r="L14" s="42" t="str">
        <f>IF(Tabela8[[#This Row],[Lucro p/Ação]]="","",IF(Tabela8[[#This Row],[Lucro p/Ação]]&gt;0,Tabela8[[#This Row],[Total Exercício]]/Tabela8[[#This Row],[Lucro p/Ação]],0))</f>
        <v/>
      </c>
      <c r="M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" s="14" t="str">
        <f>IF(Tabela8[[#This Row],[Média Lucro p/Ação]]&lt;&gt;"",Tabela8[[#This Row],[Média Pago]]/Tabela8[[#This Row],[Média Lucro p/Ação]],"")</f>
        <v/>
      </c>
      <c r="P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" s="17">
        <f>SUMPRODUCT(N(Tabela1[Código]=Tabela8[[#This Row],[Papel]]),Tabela1[Fechamento])</f>
        <v>0</v>
      </c>
      <c r="R14" s="17">
        <f>SUMPRODUCT(N(Tabela17[Código]=Tabela8[[#This Row],[Papel]]),Tabela17[Fechamento])</f>
        <v>0</v>
      </c>
      <c r="S14" s="17">
        <f>SUMPRODUCT(N(Tabela176[Código]=Tabela8[[#This Row],[Papel]]),Tabela176[Fechamento])</f>
        <v>8.58</v>
      </c>
      <c r="T14" s="17">
        <f>SUMPRODUCT(N(Tabela1768[Código]=Tabela8[[#This Row],[Papel]]),Tabela1768[Fechamento])</f>
        <v>0</v>
      </c>
      <c r="U14" s="7">
        <f>SUMPRODUCT(N(Tabela17683[Código]=Tabela8[[#This Row],[Papel]]),Tabela17683[Fechamento])</f>
        <v>0</v>
      </c>
      <c r="V14" s="17">
        <f>IF(MAX(Tabela8[[#This Row],[Cotação 1]]:Tabela8[[#This Row],[Cotação 5]])=0,"",MAX(Tabela8[[#This Row],[Cotação 1]]:Tabela8[[#This Row],[Cotação 5]]))</f>
        <v>8.58</v>
      </c>
      <c r="W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" s="17" t="str">
        <f>IF(AND([Ref]=5,[Cotação]&gt;0,[Cotação]&lt;&gt;""),[Total Exercício]/[Cotação],IF([Ref]&lt;4,0,""))</f>
        <v/>
      </c>
      <c r="Y14" s="17">
        <f>IF([Tipo]="div",1,0)</f>
        <v>0</v>
      </c>
      <c r="Z14" s="17">
        <f>IF([Tipo]="jcp",1,0)</f>
        <v>0</v>
      </c>
    </row>
    <row r="15" spans="1:26" hidden="1">
      <c r="A15" s="3" t="s">
        <v>846</v>
      </c>
      <c r="B15" s="58" t="s">
        <v>838</v>
      </c>
      <c r="C15" s="16">
        <v>3</v>
      </c>
      <c r="D15" s="17"/>
      <c r="E15" s="17"/>
      <c r="F15" s="17"/>
      <c r="G15" s="4"/>
      <c r="H15" s="17"/>
      <c r="I15" s="8"/>
      <c r="J15" s="17">
        <f>IF(Tabela8[[#This Row],[Tipo]]="jcp",Tabela8[[#This Row],[Provento p/Ação]]*85%,Tabela8[[#This Row],[Provento p/Ação]])</f>
        <v>0</v>
      </c>
      <c r="K15" s="143" t="str">
        <f>IF([Lucro p/Ação]&lt;&gt;0,SUMPRODUCT(N([Papel]=Tabela8[[#This Row],[Papel]]),N([Exercício]=Tabela8[[#This Row],[Exercício]]),[Líquido p/Ação]),"")</f>
        <v/>
      </c>
      <c r="L15" s="42" t="str">
        <f>IF(Tabela8[[#This Row],[Lucro p/Ação]]="","",IF(Tabela8[[#This Row],[Lucro p/Ação]]&gt;0,Tabela8[[#This Row],[Total Exercício]]/Tabela8[[#This Row],[Lucro p/Ação]],0))</f>
        <v/>
      </c>
      <c r="M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" s="14" t="str">
        <f>IF(Tabela8[[#This Row],[Média Lucro p/Ação]]&lt;&gt;"",Tabela8[[#This Row],[Média Pago]]/Tabela8[[#This Row],[Média Lucro p/Ação]],"")</f>
        <v/>
      </c>
      <c r="P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" s="7">
        <f>SUMPRODUCT(N(Tabela1[Código]=Tabela8[[#This Row],[Papel]]),Tabela1[Fechamento])</f>
        <v>0</v>
      </c>
      <c r="R15" s="7">
        <f>SUMPRODUCT(N(Tabela17[Código]=Tabela8[[#This Row],[Papel]]),Tabela17[Fechamento])</f>
        <v>0</v>
      </c>
      <c r="S15" s="7">
        <f>SUMPRODUCT(N(Tabela176[Código]=Tabela8[[#This Row],[Papel]]),Tabela176[Fechamento])</f>
        <v>0</v>
      </c>
      <c r="T15" s="7">
        <f>SUMPRODUCT(N(Tabela1768[Código]=Tabela8[[#This Row],[Papel]]),Tabela1768[Fechamento])</f>
        <v>19.5</v>
      </c>
      <c r="U15" s="7">
        <f>SUMPRODUCT(N(Tabela17683[Código]=Tabela8[[#This Row],[Papel]]),Tabela17683[Fechamento])</f>
        <v>0</v>
      </c>
      <c r="V15" s="17">
        <f>IF(MAX(Tabela8[[#This Row],[Cotação 1]]:Tabela8[[#This Row],[Cotação 5]])=0,"",MAX(Tabela8[[#This Row],[Cotação 1]]:Tabela8[[#This Row],[Cotação 5]]))</f>
        <v>19.5</v>
      </c>
      <c r="W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" s="17">
        <f>IF(AND([Ref]=5,[Cotação]&gt;0,[Cotação]&lt;&gt;""),[Total Exercício]/[Cotação],IF([Ref]&lt;4,0,""))</f>
        <v>0</v>
      </c>
      <c r="Y15" s="17">
        <f>IF([Tipo]="div",1,0)</f>
        <v>0</v>
      </c>
      <c r="Z15" s="17">
        <f>IF([Tipo]="jcp",1,0)</f>
        <v>0</v>
      </c>
    </row>
    <row r="16" spans="1:26" hidden="1">
      <c r="A16" s="3" t="s">
        <v>846</v>
      </c>
      <c r="B16" s="58" t="s">
        <v>839</v>
      </c>
      <c r="C16" s="16">
        <v>3</v>
      </c>
      <c r="D16" s="17"/>
      <c r="E16" s="17"/>
      <c r="F16" s="17"/>
      <c r="G16" s="4"/>
      <c r="H16" s="17"/>
      <c r="I16" s="8"/>
      <c r="J16" s="17">
        <f>IF(Tabela8[[#This Row],[Tipo]]="jcp",Tabela8[[#This Row],[Provento p/Ação]]*85%,Tabela8[[#This Row],[Provento p/Ação]])</f>
        <v>0</v>
      </c>
      <c r="K16" s="143" t="str">
        <f>IF([Lucro p/Ação]&lt;&gt;0,SUMPRODUCT(N([Papel]=Tabela8[[#This Row],[Papel]]),N([Exercício]=Tabela8[[#This Row],[Exercício]]),[Líquido p/Ação]),"")</f>
        <v/>
      </c>
      <c r="L16" s="42" t="str">
        <f>IF(Tabela8[[#This Row],[Lucro p/Ação]]="","",IF(Tabela8[[#This Row],[Lucro p/Ação]]&gt;0,Tabela8[[#This Row],[Total Exercício]]/Tabela8[[#This Row],[Lucro p/Ação]],0))</f>
        <v/>
      </c>
      <c r="M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" s="14" t="str">
        <f>IF(Tabela8[[#This Row],[Média Lucro p/Ação]]&lt;&gt;"",Tabela8[[#This Row],[Média Pago]]/Tabela8[[#This Row],[Média Lucro p/Ação]],"")</f>
        <v/>
      </c>
      <c r="P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" s="7">
        <f>SUMPRODUCT(N(Tabela1[Código]=Tabela8[[#This Row],[Papel]]),Tabela1[Fechamento])</f>
        <v>0</v>
      </c>
      <c r="R16" s="7">
        <f>SUMPRODUCT(N(Tabela17[Código]=Tabela8[[#This Row],[Papel]]),Tabela17[Fechamento])</f>
        <v>0</v>
      </c>
      <c r="S16" s="7">
        <f>SUMPRODUCT(N(Tabela176[Código]=Tabela8[[#This Row],[Papel]]),Tabela176[Fechamento])</f>
        <v>0</v>
      </c>
      <c r="T16" s="7">
        <f>SUMPRODUCT(N(Tabela1768[Código]=Tabela8[[#This Row],[Papel]]),Tabela1768[Fechamento])</f>
        <v>20.010000000000002</v>
      </c>
      <c r="U16" s="7">
        <f>SUMPRODUCT(N(Tabela17683[Código]=Tabela8[[#This Row],[Papel]]),Tabela17683[Fechamento])</f>
        <v>0</v>
      </c>
      <c r="V16" s="17">
        <f>IF(MAX(Tabela8[[#This Row],[Cotação 1]]:Tabela8[[#This Row],[Cotação 5]])=0,"",MAX(Tabela8[[#This Row],[Cotação 1]]:Tabela8[[#This Row],[Cotação 5]]))</f>
        <v>20.010000000000002</v>
      </c>
      <c r="W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" s="17">
        <f>IF(AND([Ref]=5,[Cotação]&gt;0,[Cotação]&lt;&gt;""),[Total Exercício]/[Cotação],IF([Ref]&lt;4,0,""))</f>
        <v>0</v>
      </c>
      <c r="Y16" s="17">
        <f>IF([Tipo]="div",1,0)</f>
        <v>0</v>
      </c>
      <c r="Z16" s="17">
        <f>IF([Tipo]="jcp",1,0)</f>
        <v>0</v>
      </c>
    </row>
    <row r="17" spans="1:26" hidden="1">
      <c r="A17" s="3" t="s">
        <v>846</v>
      </c>
      <c r="B17" s="58" t="s">
        <v>840</v>
      </c>
      <c r="C17" s="16">
        <v>3</v>
      </c>
      <c r="D17" s="17"/>
      <c r="E17" s="17"/>
      <c r="F17" s="17"/>
      <c r="G17" s="4"/>
      <c r="H17" s="17"/>
      <c r="I17" s="8"/>
      <c r="J17" s="17">
        <f>IF(Tabela8[[#This Row],[Tipo]]="jcp",Tabela8[[#This Row],[Provento p/Ação]]*85%,Tabela8[[#This Row],[Provento p/Ação]])</f>
        <v>0</v>
      </c>
      <c r="K17" s="143" t="str">
        <f>IF([Lucro p/Ação]&lt;&gt;0,SUMPRODUCT(N([Papel]=Tabela8[[#This Row],[Papel]]),N([Exercício]=Tabela8[[#This Row],[Exercício]]),[Líquido p/Ação]),"")</f>
        <v/>
      </c>
      <c r="L17" s="42" t="str">
        <f>IF(Tabela8[[#This Row],[Lucro p/Ação]]="","",IF(Tabela8[[#This Row],[Lucro p/Ação]]&gt;0,Tabela8[[#This Row],[Total Exercício]]/Tabela8[[#This Row],[Lucro p/Ação]],0))</f>
        <v/>
      </c>
      <c r="M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" s="14" t="str">
        <f>IF(Tabela8[[#This Row],[Média Lucro p/Ação]]&lt;&gt;"",Tabela8[[#This Row],[Média Pago]]/Tabela8[[#This Row],[Média Lucro p/Ação]],"")</f>
        <v/>
      </c>
      <c r="P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" s="7">
        <f>SUMPRODUCT(N(Tabela1[Código]=Tabela8[[#This Row],[Papel]]),Tabela1[Fechamento])</f>
        <v>0</v>
      </c>
      <c r="R17" s="7">
        <f>SUMPRODUCT(N(Tabela17[Código]=Tabela8[[#This Row],[Papel]]),Tabela17[Fechamento])</f>
        <v>0</v>
      </c>
      <c r="S17" s="7">
        <f>SUMPRODUCT(N(Tabela176[Código]=Tabela8[[#This Row],[Papel]]),Tabela176[Fechamento])</f>
        <v>0</v>
      </c>
      <c r="T17" s="7">
        <f>SUMPRODUCT(N(Tabela1768[Código]=Tabela8[[#This Row],[Papel]]),Tabela1768[Fechamento])</f>
        <v>35.01</v>
      </c>
      <c r="U17" s="7">
        <f>SUMPRODUCT(N(Tabela17683[Código]=Tabela8[[#This Row],[Papel]]),Tabela17683[Fechamento])</f>
        <v>0</v>
      </c>
      <c r="V17" s="17">
        <f>IF(MAX(Tabela8[[#This Row],[Cotação 1]]:Tabela8[[#This Row],[Cotação 5]])=0,"",MAX(Tabela8[[#This Row],[Cotação 1]]:Tabela8[[#This Row],[Cotação 5]]))</f>
        <v>35.01</v>
      </c>
      <c r="W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" s="17">
        <f>IF(AND([Ref]=5,[Cotação]&gt;0,[Cotação]&lt;&gt;""),[Total Exercício]/[Cotação],IF([Ref]&lt;4,0,""))</f>
        <v>0</v>
      </c>
      <c r="Y17" s="17">
        <f>IF([Tipo]="div",1,0)</f>
        <v>0</v>
      </c>
      <c r="Z17" s="17">
        <f>IF([Tipo]="jcp",1,0)</f>
        <v>0</v>
      </c>
    </row>
    <row r="18" spans="1:26" hidden="1">
      <c r="A18" s="3" t="s">
        <v>1159</v>
      </c>
      <c r="B18" s="57" t="s">
        <v>1160</v>
      </c>
      <c r="C18" s="16">
        <v>4</v>
      </c>
      <c r="D18" s="17"/>
      <c r="E18" s="17"/>
      <c r="F18" s="17"/>
      <c r="G18" s="4"/>
      <c r="H18" s="17"/>
      <c r="I18" s="8"/>
      <c r="J18" s="17">
        <f>IF(Tabela8[[#This Row],[Tipo]]="jcp",Tabela8[[#This Row],[Provento p/Ação]]*85%,Tabela8[[#This Row],[Provento p/Ação]])</f>
        <v>0</v>
      </c>
      <c r="K18" s="143" t="str">
        <f>IF([Lucro p/Ação]&lt;&gt;0,SUMPRODUCT(N([Papel]=Tabela8[[#This Row],[Papel]]),N([Exercício]=Tabela8[[#This Row],[Exercício]]),[Líquido p/Ação]),"")</f>
        <v/>
      </c>
      <c r="L18" s="42" t="str">
        <f>IF(Tabela8[[#This Row],[Lucro p/Ação]]="","",IF(Tabela8[[#This Row],[Lucro p/Ação]]&gt;0,Tabela8[[#This Row],[Total Exercício]]/Tabela8[[#This Row],[Lucro p/Ação]],0))</f>
        <v/>
      </c>
      <c r="M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" s="14" t="str">
        <f>IF(Tabela8[[#This Row],[Média Lucro p/Ação]]&lt;&gt;"",Tabela8[[#This Row],[Média Pago]]/Tabela8[[#This Row],[Média Lucro p/Ação]],"")</f>
        <v/>
      </c>
      <c r="P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" s="7">
        <f>SUMPRODUCT(N(Tabela1[Código]=Tabela8[[#This Row],[Papel]]),Tabela1[Fechamento])</f>
        <v>0</v>
      </c>
      <c r="R18" s="7">
        <f>SUMPRODUCT(N(Tabela17[Código]=Tabela8[[#This Row],[Papel]]),Tabela17[Fechamento])</f>
        <v>0</v>
      </c>
      <c r="S18" s="7">
        <f>SUMPRODUCT(N(Tabela176[Código]=Tabela8[[#This Row],[Papel]]),Tabela176[Fechamento])</f>
        <v>0</v>
      </c>
      <c r="T18" s="7">
        <f>SUMPRODUCT(N(Tabela1768[Código]=Tabela8[[#This Row],[Papel]]),Tabela1768[Fechamento])</f>
        <v>0</v>
      </c>
      <c r="U18" s="7">
        <f>SUMPRODUCT(N(Tabela17683[Código]=Tabela8[[#This Row],[Papel]]),Tabela17683[Fechamento])</f>
        <v>7.05</v>
      </c>
      <c r="V18" s="17">
        <f>IF(MAX(Tabela8[[#This Row],[Cotação 1]]:Tabela8[[#This Row],[Cotação 5]])=0,"",MAX(Tabela8[[#This Row],[Cotação 1]]:Tabela8[[#This Row],[Cotação 5]]))</f>
        <v>7.05</v>
      </c>
      <c r="W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" s="17" t="str">
        <f>IF(AND([Ref]=5,[Cotação]&gt;0,[Cotação]&lt;&gt;""),[Total Exercício]/[Cotação],IF([Ref]&lt;4,0,""))</f>
        <v/>
      </c>
      <c r="Y18" s="17">
        <f>IF([Tipo]="div",1,0)</f>
        <v>0</v>
      </c>
      <c r="Z18" s="17">
        <f>IF([Tipo]="jcp",1,0)</f>
        <v>0</v>
      </c>
    </row>
    <row r="19" spans="1:26" hidden="1">
      <c r="A19" s="3" t="s">
        <v>957</v>
      </c>
      <c r="B19" s="58" t="s">
        <v>953</v>
      </c>
      <c r="C19" s="16">
        <v>4</v>
      </c>
      <c r="D19" s="17"/>
      <c r="E19" s="17"/>
      <c r="F19" s="17"/>
      <c r="G19" s="4"/>
      <c r="H19" s="17"/>
      <c r="I19" s="8"/>
      <c r="J19" s="17">
        <f>IF(Tabela8[[#This Row],[Tipo]]="jcp",Tabela8[[#This Row],[Provento p/Ação]]*85%,Tabela8[[#This Row],[Provento p/Ação]])</f>
        <v>0</v>
      </c>
      <c r="K19" s="143" t="str">
        <f>IF([Lucro p/Ação]&lt;&gt;0,SUMPRODUCT(N([Papel]=Tabela8[[#This Row],[Papel]]),N([Exercício]=Tabela8[[#This Row],[Exercício]]),[Líquido p/Ação]),"")</f>
        <v/>
      </c>
      <c r="L19" s="42" t="str">
        <f>IF(Tabela8[[#This Row],[Lucro p/Ação]]="","",IF(Tabela8[[#This Row],[Lucro p/Ação]]&gt;0,Tabela8[[#This Row],[Total Exercício]]/Tabela8[[#This Row],[Lucro p/Ação]],0))</f>
        <v/>
      </c>
      <c r="M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" s="14" t="str">
        <f>IF(Tabela8[[#This Row],[Média Lucro p/Ação]]&lt;&gt;"",Tabela8[[#This Row],[Média Pago]]/Tabela8[[#This Row],[Média Lucro p/Ação]],"")</f>
        <v/>
      </c>
      <c r="P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" s="7">
        <f>SUMPRODUCT(N(Tabela1[Código]=Tabela8[[#This Row],[Papel]]),Tabela1[Fechamento])</f>
        <v>0</v>
      </c>
      <c r="R19" s="7">
        <f>SUMPRODUCT(N(Tabela17[Código]=Tabela8[[#This Row],[Papel]]),Tabela17[Fechamento])</f>
        <v>0</v>
      </c>
      <c r="S19" s="7">
        <f>SUMPRODUCT(N(Tabela176[Código]=Tabela8[[#This Row],[Papel]]),Tabela176[Fechamento])</f>
        <v>0</v>
      </c>
      <c r="T19" s="7">
        <f>SUMPRODUCT(N(Tabela1768[Código]=Tabela8[[#This Row],[Papel]]),Tabela1768[Fechamento])</f>
        <v>11.15</v>
      </c>
      <c r="U19" s="7">
        <f>SUMPRODUCT(N(Tabela17683[Código]=Tabela8[[#This Row],[Papel]]),Tabela17683[Fechamento])</f>
        <v>0</v>
      </c>
      <c r="V19" s="17">
        <f>IF(MAX(Tabela8[[#This Row],[Cotação 1]]:Tabela8[[#This Row],[Cotação 5]])=0,"",MAX(Tabela8[[#This Row],[Cotação 1]]:Tabela8[[#This Row],[Cotação 5]]))</f>
        <v>11.15</v>
      </c>
      <c r="W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" s="17" t="str">
        <f>IF(AND([Ref]=5,[Cotação]&gt;0,[Cotação]&lt;&gt;""),[Total Exercício]/[Cotação],IF([Ref]&lt;4,0,""))</f>
        <v/>
      </c>
      <c r="Y19" s="17">
        <f>IF([Tipo]="div",1,0)</f>
        <v>0</v>
      </c>
      <c r="Z19" s="17">
        <f>IF([Tipo]="jcp",1,0)</f>
        <v>0</v>
      </c>
    </row>
    <row r="20" spans="1:26" hidden="1">
      <c r="A20" s="3" t="s">
        <v>957</v>
      </c>
      <c r="B20" s="58" t="s">
        <v>954</v>
      </c>
      <c r="C20" s="16">
        <v>4</v>
      </c>
      <c r="D20" s="17"/>
      <c r="E20" s="17"/>
      <c r="F20" s="17"/>
      <c r="G20" s="4"/>
      <c r="H20" s="17"/>
      <c r="I20" s="8"/>
      <c r="J20" s="17">
        <f>IF(Tabela8[[#This Row],[Tipo]]="jcp",Tabela8[[#This Row],[Provento p/Ação]]*85%,Tabela8[[#This Row],[Provento p/Ação]])</f>
        <v>0</v>
      </c>
      <c r="K20" s="143" t="str">
        <f>IF([Lucro p/Ação]&lt;&gt;0,SUMPRODUCT(N([Papel]=Tabela8[[#This Row],[Papel]]),N([Exercício]=Tabela8[[#This Row],[Exercício]]),[Líquido p/Ação]),"")</f>
        <v/>
      </c>
      <c r="L20" s="42" t="str">
        <f>IF(Tabela8[[#This Row],[Lucro p/Ação]]="","",IF(Tabela8[[#This Row],[Lucro p/Ação]]&gt;0,Tabela8[[#This Row],[Total Exercício]]/Tabela8[[#This Row],[Lucro p/Ação]],0))</f>
        <v/>
      </c>
      <c r="M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" s="14" t="str">
        <f>IF(Tabela8[[#This Row],[Média Lucro p/Ação]]&lt;&gt;"",Tabela8[[#This Row],[Média Pago]]/Tabela8[[#This Row],[Média Lucro p/Ação]],"")</f>
        <v/>
      </c>
      <c r="P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" s="7">
        <f>SUMPRODUCT(N(Tabela1[Código]=Tabela8[[#This Row],[Papel]]),Tabela1[Fechamento])</f>
        <v>0</v>
      </c>
      <c r="R20" s="7">
        <f>SUMPRODUCT(N(Tabela17[Código]=Tabela8[[#This Row],[Papel]]),Tabela17[Fechamento])</f>
        <v>0</v>
      </c>
      <c r="S20" s="7">
        <f>SUMPRODUCT(N(Tabela176[Código]=Tabela8[[#This Row],[Papel]]),Tabela176[Fechamento])</f>
        <v>0</v>
      </c>
      <c r="T20" s="7">
        <f>SUMPRODUCT(N(Tabela1768[Código]=Tabela8[[#This Row],[Papel]]),Tabela1768[Fechamento])</f>
        <v>12.24</v>
      </c>
      <c r="U20" s="7">
        <f>SUMPRODUCT(N(Tabela17683[Código]=Tabela8[[#This Row],[Papel]]),Tabela17683[Fechamento])</f>
        <v>0</v>
      </c>
      <c r="V20" s="17">
        <f>IF(MAX(Tabela8[[#This Row],[Cotação 1]]:Tabela8[[#This Row],[Cotação 5]])=0,"",MAX(Tabela8[[#This Row],[Cotação 1]]:Tabela8[[#This Row],[Cotação 5]]))</f>
        <v>12.24</v>
      </c>
      <c r="W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" s="17" t="str">
        <f>IF(AND([Ref]=5,[Cotação]&gt;0,[Cotação]&lt;&gt;""),[Total Exercício]/[Cotação],IF([Ref]&lt;4,0,""))</f>
        <v/>
      </c>
      <c r="Y20" s="17">
        <f>IF([Tipo]="div",1,0)</f>
        <v>0</v>
      </c>
      <c r="Z20" s="17">
        <f>IF([Tipo]="jcp",1,0)</f>
        <v>0</v>
      </c>
    </row>
    <row r="21" spans="1:26" hidden="1">
      <c r="A21" s="3" t="s">
        <v>335</v>
      </c>
      <c r="B21" s="58" t="s">
        <v>336</v>
      </c>
      <c r="C21" s="16">
        <v>3</v>
      </c>
      <c r="D21" s="17"/>
      <c r="E21" s="17"/>
      <c r="F21" s="17"/>
      <c r="G21" s="4"/>
      <c r="H21" s="17"/>
      <c r="I21" s="8"/>
      <c r="J21" s="17">
        <f>IF(Tabela8[[#This Row],[Tipo]]="jcp",Tabela8[[#This Row],[Provento p/Ação]]*85%,Tabela8[[#This Row],[Provento p/Ação]])</f>
        <v>0</v>
      </c>
      <c r="K21" s="143" t="str">
        <f>IF([Lucro p/Ação]&lt;&gt;0,SUMPRODUCT(N([Papel]=Tabela8[[#This Row],[Papel]]),N([Exercício]=Tabela8[[#This Row],[Exercício]]),[Líquido p/Ação]),"")</f>
        <v/>
      </c>
      <c r="L21" s="42" t="str">
        <f>IF(Tabela8[[#This Row],[Lucro p/Ação]]="","",IF(Tabela8[[#This Row],[Lucro p/Ação]]&gt;0,Tabela8[[#This Row],[Total Exercício]]/Tabela8[[#This Row],[Lucro p/Ação]],0))</f>
        <v/>
      </c>
      <c r="M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" s="14" t="str">
        <f>IF(Tabela8[[#This Row],[Média Lucro p/Ação]]&lt;&gt;"",Tabela8[[#This Row],[Média Pago]]/Tabela8[[#This Row],[Média Lucro p/Ação]],"")</f>
        <v/>
      </c>
      <c r="P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" s="47">
        <f>SUMPRODUCT(N(Tabela1[Código]=Tabela8[[#This Row],[Papel]]),Tabela1[Fechamento])</f>
        <v>0</v>
      </c>
      <c r="R21" s="54">
        <f>SUMPRODUCT(N(Tabela17[Código]=Tabela8[[#This Row],[Papel]]),Tabela17[Fechamento])</f>
        <v>17.75</v>
      </c>
      <c r="S21" s="7">
        <f>SUMPRODUCT(N(Tabela176[Código]=Tabela8[[#This Row],[Papel]]),Tabela176[Fechamento])</f>
        <v>0</v>
      </c>
      <c r="T21" s="7">
        <f>SUMPRODUCT(N(Tabela1768[Código]=Tabela8[[#This Row],[Papel]]),Tabela1768[Fechamento])</f>
        <v>0</v>
      </c>
      <c r="U21" s="7">
        <f>SUMPRODUCT(N(Tabela17683[Código]=Tabela8[[#This Row],[Papel]]),Tabela17683[Fechamento])</f>
        <v>0</v>
      </c>
      <c r="V21" s="17">
        <f>IF(MAX(Tabela8[[#This Row],[Cotação 1]]:Tabela8[[#This Row],[Cotação 5]])=0,"",MAX(Tabela8[[#This Row],[Cotação 1]]:Tabela8[[#This Row],[Cotação 5]]))</f>
        <v>17.75</v>
      </c>
      <c r="W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" s="17">
        <f>IF(AND([Ref]=5,[Cotação]&gt;0,[Cotação]&lt;&gt;""),[Total Exercício]/[Cotação],IF([Ref]&lt;4,0,""))</f>
        <v>0</v>
      </c>
      <c r="Y21" s="17">
        <f>IF([Tipo]="div",1,0)</f>
        <v>0</v>
      </c>
      <c r="Z21" s="17">
        <f>IF([Tipo]="jcp",1,0)</f>
        <v>0</v>
      </c>
    </row>
    <row r="22" spans="1:26" hidden="1">
      <c r="A22" s="4" t="s">
        <v>12</v>
      </c>
      <c r="B22" s="57" t="s">
        <v>439</v>
      </c>
      <c r="C22" s="15">
        <v>4</v>
      </c>
      <c r="D22" s="14"/>
      <c r="E22" s="17"/>
      <c r="F22" s="17"/>
      <c r="G22" s="4"/>
      <c r="H22" s="17"/>
      <c r="I22" s="8"/>
      <c r="J22" s="133">
        <f>IF(Tabela8[[#This Row],[Tipo]]="jcp",Tabela8[[#This Row],[Provento p/Ação]]*85%,Tabela8[[#This Row],[Provento p/Ação]])</f>
        <v>0</v>
      </c>
      <c r="K22" s="143" t="str">
        <f>IF([Lucro p/Ação]&lt;&gt;0,SUMPRODUCT(N([Papel]=Tabela8[[#This Row],[Papel]]),N([Exercício]=Tabela8[[#This Row],[Exercício]]),[Líquido p/Ação]),"")</f>
        <v/>
      </c>
      <c r="L22" s="42" t="str">
        <f>IF(Tabela8[[#This Row],[Lucro p/Ação]]="","",IF(Tabela8[[#This Row],[Lucro p/Ação]]&gt;0,Tabela8[[#This Row],[Total Exercício]]/Tabela8[[#This Row],[Lucro p/Ação]],0))</f>
        <v/>
      </c>
      <c r="M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" s="14" t="str">
        <f>IF(Tabela8[[#This Row],[Média Lucro p/Ação]]&lt;&gt;"",Tabela8[[#This Row],[Média Pago]]/Tabela8[[#This Row],[Média Lucro p/Ação]],"")</f>
        <v/>
      </c>
      <c r="P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" s="17">
        <f>SUMPRODUCT(N(Tabela1[Código]=Tabela8[[#This Row],[Papel]]),Tabela1[Fechamento])</f>
        <v>0</v>
      </c>
      <c r="R22" s="17">
        <f>SUMPRODUCT(N(Tabela17[Código]=Tabela8[[#This Row],[Papel]]),Tabela17[Fechamento])</f>
        <v>17.41</v>
      </c>
      <c r="S22" s="7">
        <f>SUMPRODUCT(N(Tabela176[Código]=Tabela8[[#This Row],[Papel]]),Tabela176[Fechamento])</f>
        <v>0</v>
      </c>
      <c r="T22" s="7">
        <f>SUMPRODUCT(N(Tabela1768[Código]=Tabela8[[#This Row],[Papel]]),Tabela1768[Fechamento])</f>
        <v>0</v>
      </c>
      <c r="U22" s="7">
        <f>SUMPRODUCT(N(Tabela17683[Código]=Tabela8[[#This Row],[Papel]]),Tabela17683[Fechamento])</f>
        <v>0</v>
      </c>
      <c r="V22" s="17">
        <f>IF(MAX(Tabela8[[#This Row],[Cotação 1]]:Tabela8[[#This Row],[Cotação 5]])=0,"",MAX(Tabela8[[#This Row],[Cotação 1]]:Tabela8[[#This Row],[Cotação 5]]))</f>
        <v>17.41</v>
      </c>
      <c r="W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" s="17" t="str">
        <f>IF(AND([Ref]=5,[Cotação]&gt;0,[Cotação]&lt;&gt;""),[Total Exercício]/[Cotação],IF([Ref]&lt;4,0,""))</f>
        <v/>
      </c>
      <c r="Y22" s="17">
        <f>IF([Tipo]="div",1,0)</f>
        <v>0</v>
      </c>
      <c r="Z22" s="17">
        <f>IF([Tipo]="jcp",1,0)</f>
        <v>0</v>
      </c>
    </row>
    <row r="23" spans="1:26" hidden="1">
      <c r="A23" s="4" t="s">
        <v>12</v>
      </c>
      <c r="B23" s="57" t="s">
        <v>440</v>
      </c>
      <c r="C23" s="15">
        <v>4</v>
      </c>
      <c r="D23" s="14"/>
      <c r="E23" s="17"/>
      <c r="F23" s="17"/>
      <c r="G23" s="4"/>
      <c r="H23" s="17"/>
      <c r="I23" s="8"/>
      <c r="J23" s="133">
        <f>IF(Tabela8[[#This Row],[Tipo]]="jcp",Tabela8[[#This Row],[Provento p/Ação]]*85%,Tabela8[[#This Row],[Provento p/Ação]])</f>
        <v>0</v>
      </c>
      <c r="K23" s="17" t="str">
        <f>IF([Lucro p/Ação]&lt;&gt;0,SUMPRODUCT(N([Papel]=Tabela8[[#This Row],[Papel]]),N([Exercício]=Tabela8[[#This Row],[Exercício]]),[Líquido p/Ação]),"")</f>
        <v/>
      </c>
      <c r="L23" s="17" t="str">
        <f>IF(Tabela8[[#This Row],[Lucro p/Ação]]="","",IF(Tabela8[[#This Row],[Lucro p/Ação]]&gt;0,Tabela8[[#This Row],[Total Exercício]]/Tabela8[[#This Row],[Lucro p/Ação]],0))</f>
        <v/>
      </c>
      <c r="M23" s="17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" s="1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" s="14" t="str">
        <f>IF(Tabela8[[#This Row],[Média Lucro p/Ação]]&lt;&gt;"",Tabela8[[#This Row],[Média Pago]]/Tabela8[[#This Row],[Média Lucro p/Ação]],"")</f>
        <v/>
      </c>
      <c r="P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" s="17">
        <f>SUMPRODUCT(N(Tabela1[Código]=Tabela8[[#This Row],[Papel]]),Tabela1[Fechamento])</f>
        <v>0</v>
      </c>
      <c r="R23" s="17">
        <f>SUMPRODUCT(N(Tabela17[Código]=Tabela8[[#This Row],[Papel]]),Tabela17[Fechamento])</f>
        <v>0</v>
      </c>
      <c r="S23" s="7">
        <f>SUMPRODUCT(N(Tabela176[Código]=Tabela8[[#This Row],[Papel]]),Tabela176[Fechamento])</f>
        <v>0</v>
      </c>
      <c r="T23" s="7">
        <f>SUMPRODUCT(N(Tabela1768[Código]=Tabela8[[#This Row],[Papel]]),Tabela1768[Fechamento])</f>
        <v>0</v>
      </c>
      <c r="U23" s="7">
        <f>SUMPRODUCT(N(Tabela17683[Código]=Tabela8[[#This Row],[Papel]]),Tabela17683[Fechamento])</f>
        <v>0</v>
      </c>
      <c r="V23" s="17" t="str">
        <f>IF(MAX(Tabela8[[#This Row],[Cotação 1]]:Tabela8[[#This Row],[Cotação 5]])=0,"",MAX(Tabela8[[#This Row],[Cotação 1]]:Tabela8[[#This Row],[Cotação 5]]))</f>
        <v/>
      </c>
      <c r="W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" s="17" t="str">
        <f>IF(AND([Ref]=5,[Cotação]&gt;0,[Cotação]&lt;&gt;""),[Total Exercício]/[Cotação],IF([Ref]&lt;4,0,""))</f>
        <v/>
      </c>
      <c r="Y23" s="17">
        <f>IF([Tipo]="div",1,0)</f>
        <v>0</v>
      </c>
      <c r="Z23" s="17">
        <f>IF([Tipo]="jcp",1,0)</f>
        <v>0</v>
      </c>
    </row>
    <row r="24" spans="1:26" hidden="1">
      <c r="A24" s="4" t="s">
        <v>12</v>
      </c>
      <c r="B24" s="57" t="s">
        <v>441</v>
      </c>
      <c r="C24" s="15">
        <v>4</v>
      </c>
      <c r="D24" s="14"/>
      <c r="E24" s="17"/>
      <c r="F24" s="17"/>
      <c r="G24" s="4"/>
      <c r="H24" s="17"/>
      <c r="I24" s="8"/>
      <c r="J24" s="133">
        <f>IF(Tabela8[[#This Row],[Tipo]]="jcp",Tabela8[[#This Row],[Provento p/Ação]]*85%,Tabela8[[#This Row],[Provento p/Ação]])</f>
        <v>0</v>
      </c>
      <c r="K24" s="143" t="str">
        <f>IF([Lucro p/Ação]&lt;&gt;0,SUMPRODUCT(N([Papel]=Tabela8[[#This Row],[Papel]]),N([Exercício]=Tabela8[[#This Row],[Exercício]]),[Líquido p/Ação]),"")</f>
        <v/>
      </c>
      <c r="L24" s="42" t="str">
        <f>IF(Tabela8[[#This Row],[Lucro p/Ação]]="","",IF(Tabela8[[#This Row],[Lucro p/Ação]]&gt;0,Tabela8[[#This Row],[Total Exercício]]/Tabela8[[#This Row],[Lucro p/Ação]],0))</f>
        <v/>
      </c>
      <c r="M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" s="14" t="str">
        <f>IF(Tabela8[[#This Row],[Média Lucro p/Ação]]&lt;&gt;"",Tabela8[[#This Row],[Média Pago]]/Tabela8[[#This Row],[Média Lucro p/Ação]],"")</f>
        <v/>
      </c>
      <c r="P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" s="17">
        <f>SUMPRODUCT(N(Tabela1[Código]=Tabela8[[#This Row],[Papel]]),Tabela1[Fechamento])</f>
        <v>0</v>
      </c>
      <c r="R24" s="17">
        <f>SUMPRODUCT(N(Tabela17[Código]=Tabela8[[#This Row],[Papel]]),Tabela17[Fechamento])</f>
        <v>0</v>
      </c>
      <c r="S24" s="7">
        <f>SUMPRODUCT(N(Tabela176[Código]=Tabela8[[#This Row],[Papel]]),Tabela176[Fechamento])</f>
        <v>0</v>
      </c>
      <c r="T24" s="7">
        <f>SUMPRODUCT(N(Tabela1768[Código]=Tabela8[[#This Row],[Papel]]),Tabela1768[Fechamento])</f>
        <v>0</v>
      </c>
      <c r="U24" s="7">
        <f>SUMPRODUCT(N(Tabela17683[Código]=Tabela8[[#This Row],[Papel]]),Tabela17683[Fechamento])</f>
        <v>0</v>
      </c>
      <c r="V24" s="17" t="str">
        <f>IF(MAX(Tabela8[[#This Row],[Cotação 1]]:Tabela8[[#This Row],[Cotação 5]])=0,"",MAX(Tabela8[[#This Row],[Cotação 1]]:Tabela8[[#This Row],[Cotação 5]]))</f>
        <v/>
      </c>
      <c r="W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" s="17" t="str">
        <f>IF(AND([Ref]=5,[Cotação]&gt;0,[Cotação]&lt;&gt;""),[Total Exercício]/[Cotação],IF([Ref]&lt;4,0,""))</f>
        <v/>
      </c>
      <c r="Y24" s="17">
        <f>IF([Tipo]="div",1,0)</f>
        <v>0</v>
      </c>
      <c r="Z24" s="17">
        <f>IF([Tipo]="jcp",1,0)</f>
        <v>0</v>
      </c>
    </row>
    <row r="25" spans="1:26" hidden="1">
      <c r="A25" s="3" t="s">
        <v>996</v>
      </c>
      <c r="B25" s="58" t="s">
        <v>1011</v>
      </c>
      <c r="C25" s="16">
        <v>4</v>
      </c>
      <c r="D25" s="17"/>
      <c r="E25" s="17"/>
      <c r="F25" s="17"/>
      <c r="G25" s="4"/>
      <c r="H25" s="17"/>
      <c r="I25" s="8"/>
      <c r="J25" s="17">
        <f>IF(Tabela8[[#This Row],[Tipo]]="jcp",Tabela8[[#This Row],[Provento p/Ação]]*85%,Tabela8[[#This Row],[Provento p/Ação]])</f>
        <v>0</v>
      </c>
      <c r="K25" s="143" t="str">
        <f>IF([Lucro p/Ação]&lt;&gt;0,SUMPRODUCT(N([Papel]=Tabela8[[#This Row],[Papel]]),N([Exercício]=Tabela8[[#This Row],[Exercício]]),[Líquido p/Ação]),"")</f>
        <v/>
      </c>
      <c r="L25" s="42" t="str">
        <f>IF(Tabela8[[#This Row],[Lucro p/Ação]]="","",IF(Tabela8[[#This Row],[Lucro p/Ação]]&gt;0,Tabela8[[#This Row],[Total Exercício]]/Tabela8[[#This Row],[Lucro p/Ação]],0))</f>
        <v/>
      </c>
      <c r="M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" s="14" t="str">
        <f>IF(Tabela8[[#This Row],[Média Lucro p/Ação]]&lt;&gt;"",Tabela8[[#This Row],[Média Pago]]/Tabela8[[#This Row],[Média Lucro p/Ação]],"")</f>
        <v/>
      </c>
      <c r="P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" s="7">
        <f>SUMPRODUCT(N(Tabela1[Código]=Tabela8[[#This Row],[Papel]]),Tabela1[Fechamento])</f>
        <v>0</v>
      </c>
      <c r="R25" s="7">
        <f>SUMPRODUCT(N(Tabela17[Código]=Tabela8[[#This Row],[Papel]]),Tabela17[Fechamento])</f>
        <v>0</v>
      </c>
      <c r="S25" s="7">
        <f>SUMPRODUCT(N(Tabela176[Código]=Tabela8[[#This Row],[Papel]]),Tabela176[Fechamento])</f>
        <v>0</v>
      </c>
      <c r="T25" s="7">
        <f>SUMPRODUCT(N(Tabela1768[Código]=Tabela8[[#This Row],[Papel]]),Tabela1768[Fechamento])</f>
        <v>13.18</v>
      </c>
      <c r="U25" s="7">
        <f>SUMPRODUCT(N(Tabela17683[Código]=Tabela8[[#This Row],[Papel]]),Tabela17683[Fechamento])</f>
        <v>0</v>
      </c>
      <c r="V25" s="17">
        <f>IF(MAX(Tabela8[[#This Row],[Cotação 1]]:Tabela8[[#This Row],[Cotação 5]])=0,"",MAX(Tabela8[[#This Row],[Cotação 1]]:Tabela8[[#This Row],[Cotação 5]]))</f>
        <v>13.18</v>
      </c>
      <c r="W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" s="17" t="str">
        <f>IF(AND([Ref]=5,[Cotação]&gt;0,[Cotação]&lt;&gt;""),[Total Exercício]/[Cotação],IF([Ref]&lt;4,0,""))</f>
        <v/>
      </c>
      <c r="Y25" s="17">
        <f>IF([Tipo]="div",1,0)</f>
        <v>0</v>
      </c>
      <c r="Z25" s="17">
        <f>IF([Tipo]="jcp",1,0)</f>
        <v>0</v>
      </c>
    </row>
    <row r="26" spans="1:26" hidden="1">
      <c r="A26" s="3" t="s">
        <v>1140</v>
      </c>
      <c r="B26" s="57" t="s">
        <v>1132</v>
      </c>
      <c r="C26" s="16">
        <v>4</v>
      </c>
      <c r="D26" s="4"/>
      <c r="E26" s="4"/>
      <c r="F26" s="4"/>
      <c r="G26" s="4"/>
      <c r="H26" s="4"/>
      <c r="I26" s="4"/>
      <c r="J26" s="17">
        <f>IF(Tabela8[[#This Row],[Tipo]]="jcp",Tabela8[[#This Row],[Provento p/Ação]]*85%,Tabela8[[#This Row],[Provento p/Ação]])</f>
        <v>0</v>
      </c>
      <c r="K26" s="143" t="str">
        <f>IF([Lucro p/Ação]&lt;&gt;0,SUMPRODUCT(N([Papel]=Tabela8[[#This Row],[Papel]]),N([Exercício]=Tabela8[[#This Row],[Exercício]]),[Líquido p/Ação]),"")</f>
        <v/>
      </c>
      <c r="L26" s="42" t="str">
        <f>IF(Tabela8[[#This Row],[Lucro p/Ação]]="","",IF(Tabela8[[#This Row],[Lucro p/Ação]]&gt;0,Tabela8[[#This Row],[Total Exercício]]/Tabela8[[#This Row],[Lucro p/Ação]],0))</f>
        <v/>
      </c>
      <c r="M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" s="14" t="str">
        <f>IF(Tabela8[[#This Row],[Média Lucro p/Ação]]&lt;&gt;"",Tabela8[[#This Row],[Média Pago]]/Tabela8[[#This Row],[Média Lucro p/Ação]],"")</f>
        <v/>
      </c>
      <c r="P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" s="7">
        <f>SUMPRODUCT(N(Tabela1[Código]=Tabela8[[#This Row],[Papel]]),Tabela1[Fechamento])</f>
        <v>0</v>
      </c>
      <c r="R26" s="7">
        <f>SUMPRODUCT(N(Tabela17[Código]=Tabela8[[#This Row],[Papel]]),Tabela17[Fechamento])</f>
        <v>0</v>
      </c>
      <c r="S26" s="7">
        <f>SUMPRODUCT(N(Tabela176[Código]=Tabela8[[#This Row],[Papel]]),Tabela176[Fechamento])</f>
        <v>0</v>
      </c>
      <c r="T26" s="7">
        <f>SUMPRODUCT(N(Tabela1768[Código]=Tabela8[[#This Row],[Papel]]),Tabela1768[Fechamento])</f>
        <v>0</v>
      </c>
      <c r="U26" s="7">
        <f>SUMPRODUCT(N(Tabela17683[Código]=Tabela8[[#This Row],[Papel]]),Tabela17683[Fechamento])</f>
        <v>18.079999999999998</v>
      </c>
      <c r="V26" s="17">
        <f>IF(MAX(Tabela8[[#This Row],[Cotação 1]]:Tabela8[[#This Row],[Cotação 5]])=0,"",MAX(Tabela8[[#This Row],[Cotação 1]]:Tabela8[[#This Row],[Cotação 5]]))</f>
        <v>18.079999999999998</v>
      </c>
      <c r="W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" s="17" t="str">
        <f>IF(AND([Ref]=5,[Cotação]&gt;0,[Cotação]&lt;&gt;""),[Total Exercício]/[Cotação],IF([Ref]&lt;4,0,""))</f>
        <v/>
      </c>
      <c r="Y26" s="17">
        <f>IF([Tipo]="div",1,0)</f>
        <v>0</v>
      </c>
      <c r="Z26" s="17">
        <f>IF([Tipo]="jcp",1,0)</f>
        <v>0</v>
      </c>
    </row>
    <row r="27" spans="1:26" hidden="1">
      <c r="A27" s="3" t="s">
        <v>996</v>
      </c>
      <c r="B27" s="58" t="s">
        <v>997</v>
      </c>
      <c r="C27" s="16">
        <v>3</v>
      </c>
      <c r="D27" s="4"/>
      <c r="E27" s="4"/>
      <c r="F27" s="4"/>
      <c r="G27" s="4"/>
      <c r="H27" s="4"/>
      <c r="I27" s="4"/>
      <c r="J27" s="17">
        <f>IF(Tabela8[[#This Row],[Tipo]]="jcp",Tabela8[[#This Row],[Provento p/Ação]]*85%,Tabela8[[#This Row],[Provento p/Ação]])</f>
        <v>0</v>
      </c>
      <c r="K27" s="143" t="str">
        <f>IF([Lucro p/Ação]&lt;&gt;0,SUMPRODUCT(N([Papel]=Tabela8[[#This Row],[Papel]]),N([Exercício]=Tabela8[[#This Row],[Exercício]]),[Líquido p/Ação]),"")</f>
        <v/>
      </c>
      <c r="L27" s="42" t="str">
        <f>IF(Tabela8[[#This Row],[Lucro p/Ação]]="","",IF(Tabela8[[#This Row],[Lucro p/Ação]]&gt;0,Tabela8[[#This Row],[Total Exercício]]/Tabela8[[#This Row],[Lucro p/Ação]],0))</f>
        <v/>
      </c>
      <c r="M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" s="14" t="str">
        <f>IF(Tabela8[[#This Row],[Média Lucro p/Ação]]&lt;&gt;"",Tabela8[[#This Row],[Média Pago]]/Tabela8[[#This Row],[Média Lucro p/Ação]],"")</f>
        <v/>
      </c>
      <c r="P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" s="7">
        <f>SUMPRODUCT(N(Tabela1[Código]=Tabela8[[#This Row],[Papel]]),Tabela1[Fechamento])</f>
        <v>0</v>
      </c>
      <c r="R27" s="7">
        <f>SUMPRODUCT(N(Tabela17[Código]=Tabela8[[#This Row],[Papel]]),Tabela17[Fechamento])</f>
        <v>0</v>
      </c>
      <c r="S27" s="7">
        <f>SUMPRODUCT(N(Tabela176[Código]=Tabela8[[#This Row],[Papel]]),Tabela176[Fechamento])</f>
        <v>0</v>
      </c>
      <c r="T27" s="7">
        <f>SUMPRODUCT(N(Tabela1768[Código]=Tabela8[[#This Row],[Papel]]),Tabela1768[Fechamento])</f>
        <v>25.66</v>
      </c>
      <c r="U27" s="7">
        <f>SUMPRODUCT(N(Tabela17683[Código]=Tabela8[[#This Row],[Papel]]),Tabela17683[Fechamento])</f>
        <v>0</v>
      </c>
      <c r="V27" s="17">
        <f>IF(MAX(Tabela8[[#This Row],[Cotação 1]]:Tabela8[[#This Row],[Cotação 5]])=0,"",MAX(Tabela8[[#This Row],[Cotação 1]]:Tabela8[[#This Row],[Cotação 5]]))</f>
        <v>25.66</v>
      </c>
      <c r="W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" s="17">
        <f>IF(AND([Ref]=5,[Cotação]&gt;0,[Cotação]&lt;&gt;""),[Total Exercício]/[Cotação],IF([Ref]&lt;4,0,""))</f>
        <v>0</v>
      </c>
      <c r="Y27" s="17">
        <f>IF([Tipo]="div",1,0)</f>
        <v>0</v>
      </c>
      <c r="Z27" s="17">
        <f>IF([Tipo]="jcp",1,0)</f>
        <v>0</v>
      </c>
    </row>
    <row r="28" spans="1:26" hidden="1">
      <c r="A28" s="3" t="s">
        <v>1276</v>
      </c>
      <c r="B28" s="57" t="s">
        <v>1241</v>
      </c>
      <c r="C28" s="16">
        <v>4</v>
      </c>
      <c r="D28" s="4"/>
      <c r="E28" s="4"/>
      <c r="F28" s="4"/>
      <c r="G28" s="4"/>
      <c r="H28" s="4"/>
      <c r="I28" s="4"/>
      <c r="J28" s="17">
        <f>IF(Tabela8[[#This Row],[Tipo]]="jcp",Tabela8[[#This Row],[Provento p/Ação]]*85%,Tabela8[[#This Row],[Provento p/Ação]])</f>
        <v>0</v>
      </c>
      <c r="K28" s="143" t="str">
        <f>IF([Lucro p/Ação]&lt;&gt;0,SUMPRODUCT(N([Papel]=Tabela8[[#This Row],[Papel]]),N([Exercício]=Tabela8[[#This Row],[Exercício]]),[Líquido p/Ação]),"")</f>
        <v/>
      </c>
      <c r="L28" s="42" t="str">
        <f>IF(Tabela8[[#This Row],[Lucro p/Ação]]="","",IF(Tabela8[[#This Row],[Lucro p/Ação]]&gt;0,Tabela8[[#This Row],[Total Exercício]]/Tabela8[[#This Row],[Lucro p/Ação]],0))</f>
        <v/>
      </c>
      <c r="M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" s="14" t="str">
        <f>IF(Tabela8[[#This Row],[Média Lucro p/Ação]]&lt;&gt;"",Tabela8[[#This Row],[Média Pago]]/Tabela8[[#This Row],[Média Lucro p/Ação]],"")</f>
        <v/>
      </c>
      <c r="P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" s="7">
        <f>SUMPRODUCT(N(Tabela1[Código]=Tabela8[[#This Row],[Papel]]),Tabela1[Fechamento])</f>
        <v>0</v>
      </c>
      <c r="R28" s="7">
        <f>SUMPRODUCT(N(Tabela17[Código]=Tabela8[[#This Row],[Papel]]),Tabela17[Fechamento])</f>
        <v>0</v>
      </c>
      <c r="S28" s="7">
        <f>SUMPRODUCT(N(Tabela176[Código]=Tabela8[[#This Row],[Papel]]),Tabela176[Fechamento])</f>
        <v>0</v>
      </c>
      <c r="T28" s="7">
        <f>SUMPRODUCT(N(Tabela1768[Código]=Tabela8[[#This Row],[Papel]]),Tabela1768[Fechamento])</f>
        <v>0</v>
      </c>
      <c r="U28" s="7">
        <f>SUMPRODUCT(N(Tabela17683[Código]=Tabela8[[#This Row],[Papel]]),Tabela17683[Fechamento])</f>
        <v>14.59</v>
      </c>
      <c r="V28" s="17">
        <f>IF(MAX(Tabela8[[#This Row],[Cotação 1]]:Tabela8[[#This Row],[Cotação 5]])=0,"",MAX(Tabela8[[#This Row],[Cotação 1]]:Tabela8[[#This Row],[Cotação 5]]))</f>
        <v>14.59</v>
      </c>
      <c r="W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" s="17" t="str">
        <f>IF(AND([Ref]=5,[Cotação]&gt;0,[Cotação]&lt;&gt;""),[Total Exercício]/[Cotação],IF([Ref]&lt;4,0,""))</f>
        <v/>
      </c>
      <c r="Y28" s="17">
        <f>IF([Tipo]="div",1,0)</f>
        <v>0</v>
      </c>
      <c r="Z28" s="17">
        <f>IF([Tipo]="jcp",1,0)</f>
        <v>0</v>
      </c>
    </row>
    <row r="29" spans="1:26" hidden="1">
      <c r="A29" s="3" t="s">
        <v>1085</v>
      </c>
      <c r="B29" s="57" t="s">
        <v>1064</v>
      </c>
      <c r="C29" s="16">
        <v>3</v>
      </c>
      <c r="D29" s="4"/>
      <c r="E29" s="4"/>
      <c r="F29" s="4"/>
      <c r="G29" s="4"/>
      <c r="H29" s="4"/>
      <c r="I29" s="4"/>
      <c r="J29" s="17">
        <f>IF(Tabela8[[#This Row],[Tipo]]="jcp",Tabela8[[#This Row],[Provento p/Ação]]*85%,Tabela8[[#This Row],[Provento p/Ação]])</f>
        <v>0</v>
      </c>
      <c r="K29" s="143" t="str">
        <f>IF([Lucro p/Ação]&lt;&gt;0,SUMPRODUCT(N([Papel]=Tabela8[[#This Row],[Papel]]),N([Exercício]=Tabela8[[#This Row],[Exercício]]),[Líquido p/Ação]),"")</f>
        <v/>
      </c>
      <c r="L29" s="42" t="str">
        <f>IF(Tabela8[[#This Row],[Lucro p/Ação]]="","",IF(Tabela8[[#This Row],[Lucro p/Ação]]&gt;0,Tabela8[[#This Row],[Total Exercício]]/Tabela8[[#This Row],[Lucro p/Ação]],0))</f>
        <v/>
      </c>
      <c r="M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" s="14" t="str">
        <f>IF(Tabela8[[#This Row],[Média Lucro p/Ação]]&lt;&gt;"",Tabela8[[#This Row],[Média Pago]]/Tabela8[[#This Row],[Média Lucro p/Ação]],"")</f>
        <v/>
      </c>
      <c r="P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" s="7">
        <f>SUMPRODUCT(N(Tabela1[Código]=Tabela8[[#This Row],[Papel]]),Tabela1[Fechamento])</f>
        <v>0</v>
      </c>
      <c r="R29" s="7">
        <f>SUMPRODUCT(N(Tabela17[Código]=Tabela8[[#This Row],[Papel]]),Tabela17[Fechamento])</f>
        <v>0</v>
      </c>
      <c r="S29" s="7">
        <f>SUMPRODUCT(N(Tabela176[Código]=Tabela8[[#This Row],[Papel]]),Tabela176[Fechamento])</f>
        <v>0</v>
      </c>
      <c r="T29" s="7">
        <f>SUMPRODUCT(N(Tabela1768[Código]=Tabela8[[#This Row],[Papel]]),Tabela1768[Fechamento])</f>
        <v>0</v>
      </c>
      <c r="U29" s="7">
        <f>SUMPRODUCT(N(Tabela17683[Código]=Tabela8[[#This Row],[Papel]]),Tabela17683[Fechamento])</f>
        <v>1.95</v>
      </c>
      <c r="V29" s="17">
        <f>IF(MAX(Tabela8[[#This Row],[Cotação 1]]:Tabela8[[#This Row],[Cotação 5]])=0,"",MAX(Tabela8[[#This Row],[Cotação 1]]:Tabela8[[#This Row],[Cotação 5]]))</f>
        <v>1.95</v>
      </c>
      <c r="W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" s="17">
        <f>IF(AND([Ref]=5,[Cotação]&gt;0,[Cotação]&lt;&gt;""),[Total Exercício]/[Cotação],IF([Ref]&lt;4,0,""))</f>
        <v>0</v>
      </c>
      <c r="Y29" s="17">
        <f>IF([Tipo]="div",1,0)</f>
        <v>0</v>
      </c>
      <c r="Z29" s="17">
        <f>IF([Tipo]="jcp",1,0)</f>
        <v>0</v>
      </c>
    </row>
    <row r="30" spans="1:26" hidden="1">
      <c r="A30" s="3" t="s">
        <v>1085</v>
      </c>
      <c r="B30" s="57" t="s">
        <v>1065</v>
      </c>
      <c r="C30" s="16">
        <v>3</v>
      </c>
      <c r="D30" s="4"/>
      <c r="E30" s="4"/>
      <c r="F30" s="4"/>
      <c r="G30" s="4"/>
      <c r="H30" s="4"/>
      <c r="I30" s="4"/>
      <c r="J30" s="17">
        <f>IF(Tabela8[[#This Row],[Tipo]]="jcp",Tabela8[[#This Row],[Provento p/Ação]]*85%,Tabela8[[#This Row],[Provento p/Ação]])</f>
        <v>0</v>
      </c>
      <c r="K30" s="143" t="str">
        <f>IF([Lucro p/Ação]&lt;&gt;0,SUMPRODUCT(N([Papel]=Tabela8[[#This Row],[Papel]]),N([Exercício]=Tabela8[[#This Row],[Exercício]]),[Líquido p/Ação]),"")</f>
        <v/>
      </c>
      <c r="L30" s="42" t="str">
        <f>IF(Tabela8[[#This Row],[Lucro p/Ação]]="","",IF(Tabela8[[#This Row],[Lucro p/Ação]]&gt;0,Tabela8[[#This Row],[Total Exercício]]/Tabela8[[#This Row],[Lucro p/Ação]],0))</f>
        <v/>
      </c>
      <c r="M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" s="14" t="str">
        <f>IF(Tabela8[[#This Row],[Média Lucro p/Ação]]&lt;&gt;"",Tabela8[[#This Row],[Média Pago]]/Tabela8[[#This Row],[Média Lucro p/Ação]],"")</f>
        <v/>
      </c>
      <c r="P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" s="7">
        <f>SUMPRODUCT(N(Tabela1[Código]=Tabela8[[#This Row],[Papel]]),Tabela1[Fechamento])</f>
        <v>0</v>
      </c>
      <c r="R30" s="7">
        <f>SUMPRODUCT(N(Tabela17[Código]=Tabela8[[#This Row],[Papel]]),Tabela17[Fechamento])</f>
        <v>0</v>
      </c>
      <c r="S30" s="7">
        <f>SUMPRODUCT(N(Tabela176[Código]=Tabela8[[#This Row],[Papel]]),Tabela176[Fechamento])</f>
        <v>0</v>
      </c>
      <c r="T30" s="7">
        <f>SUMPRODUCT(N(Tabela1768[Código]=Tabela8[[#This Row],[Papel]]),Tabela1768[Fechamento])</f>
        <v>0</v>
      </c>
      <c r="U30" s="7">
        <f>SUMPRODUCT(N(Tabela17683[Código]=Tabela8[[#This Row],[Papel]]),Tabela17683[Fechamento])</f>
        <v>1.51</v>
      </c>
      <c r="V30" s="17">
        <f>IF(MAX(Tabela8[[#This Row],[Cotação 1]]:Tabela8[[#This Row],[Cotação 5]])=0,"",MAX(Tabela8[[#This Row],[Cotação 1]]:Tabela8[[#This Row],[Cotação 5]]))</f>
        <v>1.51</v>
      </c>
      <c r="W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" s="17">
        <f>IF(AND([Ref]=5,[Cotação]&gt;0,[Cotação]&lt;&gt;""),[Total Exercício]/[Cotação],IF([Ref]&lt;4,0,""))</f>
        <v>0</v>
      </c>
      <c r="Y30" s="17">
        <f>IF([Tipo]="div",1,0)</f>
        <v>0</v>
      </c>
      <c r="Z30" s="17">
        <f>IF([Tipo]="jcp",1,0)</f>
        <v>0</v>
      </c>
    </row>
    <row r="31" spans="1:26" hidden="1">
      <c r="A31" s="3" t="s">
        <v>288</v>
      </c>
      <c r="B31" s="58" t="s">
        <v>297</v>
      </c>
      <c r="C31" s="16">
        <v>3</v>
      </c>
      <c r="D31" s="4"/>
      <c r="E31" s="4"/>
      <c r="F31" s="4"/>
      <c r="G31" s="4"/>
      <c r="H31" s="4"/>
      <c r="I31" s="4"/>
      <c r="J31" s="17">
        <f>IF(Tabela8[[#This Row],[Tipo]]="jcp",Tabela8[[#This Row],[Provento p/Ação]]*85%,Tabela8[[#This Row],[Provento p/Ação]])</f>
        <v>0</v>
      </c>
      <c r="K31" s="143" t="str">
        <f>IF([Lucro p/Ação]&lt;&gt;0,SUMPRODUCT(N([Papel]=Tabela8[[#This Row],[Papel]]),N([Exercício]=Tabela8[[#This Row],[Exercício]]),[Líquido p/Ação]),"")</f>
        <v/>
      </c>
      <c r="L31" s="42" t="str">
        <f>IF(Tabela8[[#This Row],[Lucro p/Ação]]="","",IF(Tabela8[[#This Row],[Lucro p/Ação]]&gt;0,Tabela8[[#This Row],[Total Exercício]]/Tabela8[[#This Row],[Lucro p/Ação]],0))</f>
        <v/>
      </c>
      <c r="M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" s="14" t="str">
        <f>IF(Tabela8[[#This Row],[Média Lucro p/Ação]]&lt;&gt;"",Tabela8[[#This Row],[Média Pago]]/Tabela8[[#This Row],[Média Lucro p/Ação]],"")</f>
        <v/>
      </c>
      <c r="P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" s="47">
        <f>SUMPRODUCT(N(Tabela1[Código]=Tabela8[[#This Row],[Papel]]),Tabela1[Fechamento])</f>
        <v>0</v>
      </c>
      <c r="R31" s="54">
        <f>SUMPRODUCT(N(Tabela17[Código]=Tabela8[[#This Row],[Papel]]),Tabela17[Fechamento])</f>
        <v>5.25</v>
      </c>
      <c r="S31" s="7">
        <f>SUMPRODUCT(N(Tabela176[Código]=Tabela8[[#This Row],[Papel]]),Tabela176[Fechamento])</f>
        <v>0</v>
      </c>
      <c r="T31" s="7">
        <f>SUMPRODUCT(N(Tabela1768[Código]=Tabela8[[#This Row],[Papel]]),Tabela1768[Fechamento])</f>
        <v>0</v>
      </c>
      <c r="U31" s="7">
        <f>SUMPRODUCT(N(Tabela17683[Código]=Tabela8[[#This Row],[Papel]]),Tabela17683[Fechamento])</f>
        <v>0</v>
      </c>
      <c r="V31" s="17">
        <f>IF(MAX(Tabela8[[#This Row],[Cotação 1]]:Tabela8[[#This Row],[Cotação 5]])=0,"",MAX(Tabela8[[#This Row],[Cotação 1]]:Tabela8[[#This Row],[Cotação 5]]))</f>
        <v>5.25</v>
      </c>
      <c r="W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" s="17">
        <f>IF(AND([Ref]=5,[Cotação]&gt;0,[Cotação]&lt;&gt;""),[Total Exercício]/[Cotação],IF([Ref]&lt;4,0,""))</f>
        <v>0</v>
      </c>
      <c r="Y31" s="17">
        <f>IF([Tipo]="div",1,0)</f>
        <v>0</v>
      </c>
      <c r="Z31" s="17">
        <f>IF([Tipo]="jcp",1,0)</f>
        <v>0</v>
      </c>
    </row>
    <row r="32" spans="1:26" hidden="1">
      <c r="A32" s="3" t="s">
        <v>1206</v>
      </c>
      <c r="B32" s="57" t="s">
        <v>1202</v>
      </c>
      <c r="C32" s="16">
        <v>3</v>
      </c>
      <c r="D32" s="4"/>
      <c r="E32" s="4"/>
      <c r="F32" s="4"/>
      <c r="G32" s="4"/>
      <c r="H32" s="4"/>
      <c r="I32" s="4"/>
      <c r="J32" s="17">
        <f>IF(Tabela8[[#This Row],[Tipo]]="jcp",Tabela8[[#This Row],[Provento p/Ação]]*85%,Tabela8[[#This Row],[Provento p/Ação]])</f>
        <v>0</v>
      </c>
      <c r="K32" s="143" t="str">
        <f>IF([Lucro p/Ação]&lt;&gt;0,SUMPRODUCT(N([Papel]=Tabela8[[#This Row],[Papel]]),N([Exercício]=Tabela8[[#This Row],[Exercício]]),[Líquido p/Ação]),"")</f>
        <v/>
      </c>
      <c r="L32" s="42" t="str">
        <f>IF(Tabela8[[#This Row],[Lucro p/Ação]]="","",IF(Tabela8[[#This Row],[Lucro p/Ação]]&gt;0,Tabela8[[#This Row],[Total Exercício]]/Tabela8[[#This Row],[Lucro p/Ação]],0))</f>
        <v/>
      </c>
      <c r="M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" s="14" t="str">
        <f>IF(Tabela8[[#This Row],[Média Lucro p/Ação]]&lt;&gt;"",Tabela8[[#This Row],[Média Pago]]/Tabela8[[#This Row],[Média Lucro p/Ação]],"")</f>
        <v/>
      </c>
      <c r="P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" s="7">
        <f>SUMPRODUCT(N(Tabela1[Código]=Tabela8[[#This Row],[Papel]]),Tabela1[Fechamento])</f>
        <v>0</v>
      </c>
      <c r="R32" s="7">
        <f>SUMPRODUCT(N(Tabela17[Código]=Tabela8[[#This Row],[Papel]]),Tabela17[Fechamento])</f>
        <v>0</v>
      </c>
      <c r="S32" s="7">
        <f>SUMPRODUCT(N(Tabela176[Código]=Tabela8[[#This Row],[Papel]]),Tabela176[Fechamento])</f>
        <v>0</v>
      </c>
      <c r="T32" s="7">
        <f>SUMPRODUCT(N(Tabela1768[Código]=Tabela8[[#This Row],[Papel]]),Tabela1768[Fechamento])</f>
        <v>0</v>
      </c>
      <c r="U32" s="7">
        <f>SUMPRODUCT(N(Tabela17683[Código]=Tabela8[[#This Row],[Papel]]),Tabela17683[Fechamento])</f>
        <v>40</v>
      </c>
      <c r="V32" s="17">
        <f>IF(MAX(Tabela8[[#This Row],[Cotação 1]]:Tabela8[[#This Row],[Cotação 5]])=0,"",MAX(Tabela8[[#This Row],[Cotação 1]]:Tabela8[[#This Row],[Cotação 5]]))</f>
        <v>40</v>
      </c>
      <c r="W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" s="17">
        <f>IF(AND([Ref]=5,[Cotação]&gt;0,[Cotação]&lt;&gt;""),[Total Exercício]/[Cotação],IF([Ref]&lt;4,0,""))</f>
        <v>0</v>
      </c>
      <c r="Y32" s="17">
        <f>IF([Tipo]="div",1,0)</f>
        <v>0</v>
      </c>
      <c r="Z32" s="17">
        <f>IF([Tipo]="jcp",1,0)</f>
        <v>0</v>
      </c>
    </row>
    <row r="33" spans="1:26" hidden="1">
      <c r="A33" s="3" t="s">
        <v>1206</v>
      </c>
      <c r="B33" s="57" t="s">
        <v>1203</v>
      </c>
      <c r="C33" s="16">
        <v>3</v>
      </c>
      <c r="D33" s="4"/>
      <c r="E33" s="4"/>
      <c r="F33" s="4"/>
      <c r="G33" s="4"/>
      <c r="H33" s="4"/>
      <c r="I33" s="4"/>
      <c r="J33" s="17">
        <f>IF(Tabela8[[#This Row],[Tipo]]="jcp",Tabela8[[#This Row],[Provento p/Ação]]*85%,Tabela8[[#This Row],[Provento p/Ação]])</f>
        <v>0</v>
      </c>
      <c r="K33" s="143" t="str">
        <f>IF([Lucro p/Ação]&lt;&gt;0,SUMPRODUCT(N([Papel]=Tabela8[[#This Row],[Papel]]),N([Exercício]=Tabela8[[#This Row],[Exercício]]),[Líquido p/Ação]),"")</f>
        <v/>
      </c>
      <c r="L33" s="42" t="str">
        <f>IF(Tabela8[[#This Row],[Lucro p/Ação]]="","",IF(Tabela8[[#This Row],[Lucro p/Ação]]&gt;0,Tabela8[[#This Row],[Total Exercício]]/Tabela8[[#This Row],[Lucro p/Ação]],0))</f>
        <v/>
      </c>
      <c r="M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" s="14" t="str">
        <f>IF(Tabela8[[#This Row],[Média Lucro p/Ação]]&lt;&gt;"",Tabela8[[#This Row],[Média Pago]]/Tabela8[[#This Row],[Média Lucro p/Ação]],"")</f>
        <v/>
      </c>
      <c r="P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" s="7">
        <f>SUMPRODUCT(N(Tabela1[Código]=Tabela8[[#This Row],[Papel]]),Tabela1[Fechamento])</f>
        <v>0</v>
      </c>
      <c r="R33" s="7">
        <f>SUMPRODUCT(N(Tabela17[Código]=Tabela8[[#This Row],[Papel]]),Tabela17[Fechamento])</f>
        <v>0</v>
      </c>
      <c r="S33" s="7">
        <f>SUMPRODUCT(N(Tabela176[Código]=Tabela8[[#This Row],[Papel]]),Tabela176[Fechamento])</f>
        <v>0</v>
      </c>
      <c r="T33" s="7">
        <f>SUMPRODUCT(N(Tabela1768[Código]=Tabela8[[#This Row],[Papel]]),Tabela1768[Fechamento])</f>
        <v>0</v>
      </c>
      <c r="U33" s="7">
        <f>SUMPRODUCT(N(Tabela17683[Código]=Tabela8[[#This Row],[Papel]]),Tabela17683[Fechamento])</f>
        <v>102.5</v>
      </c>
      <c r="V33" s="17">
        <f>IF(MAX(Tabela8[[#This Row],[Cotação 1]]:Tabela8[[#This Row],[Cotação 5]])=0,"",MAX(Tabela8[[#This Row],[Cotação 1]]:Tabela8[[#This Row],[Cotação 5]]))</f>
        <v>102.5</v>
      </c>
      <c r="W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" s="17">
        <f>IF(AND([Ref]=5,[Cotação]&gt;0,[Cotação]&lt;&gt;""),[Total Exercício]/[Cotação],IF([Ref]&lt;4,0,""))</f>
        <v>0</v>
      </c>
      <c r="Y33" s="17">
        <f>IF([Tipo]="div",1,0)</f>
        <v>0</v>
      </c>
      <c r="Z33" s="17">
        <f>IF([Tipo]="jcp",1,0)</f>
        <v>0</v>
      </c>
    </row>
    <row r="34" spans="1:26" hidden="1">
      <c r="A34" s="3" t="s">
        <v>269</v>
      </c>
      <c r="B34" s="58" t="s">
        <v>805</v>
      </c>
      <c r="C34" s="16">
        <v>3</v>
      </c>
      <c r="D34" s="4"/>
      <c r="E34" s="4"/>
      <c r="F34" s="4"/>
      <c r="G34" s="4"/>
      <c r="H34" s="4"/>
      <c r="I34" s="4"/>
      <c r="J34" s="17">
        <f>IF(Tabela8[[#This Row],[Tipo]]="jcp",Tabela8[[#This Row],[Provento p/Ação]]*85%,Tabela8[[#This Row],[Provento p/Ação]])</f>
        <v>0</v>
      </c>
      <c r="K34" s="143" t="str">
        <f>IF([Lucro p/Ação]&lt;&gt;0,SUMPRODUCT(N([Papel]=Tabela8[[#This Row],[Papel]]),N([Exercício]=Tabela8[[#This Row],[Exercício]]),[Líquido p/Ação]),"")</f>
        <v/>
      </c>
      <c r="L34" s="42" t="str">
        <f>IF(Tabela8[[#This Row],[Lucro p/Ação]]="","",IF(Tabela8[[#This Row],[Lucro p/Ação]]&gt;0,Tabela8[[#This Row],[Total Exercício]]/Tabela8[[#This Row],[Lucro p/Ação]],0))</f>
        <v/>
      </c>
      <c r="M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" s="14" t="str">
        <f>IF(Tabela8[[#This Row],[Média Lucro p/Ação]]&lt;&gt;"",Tabela8[[#This Row],[Média Pago]]/Tabela8[[#This Row],[Média Lucro p/Ação]],"")</f>
        <v/>
      </c>
      <c r="P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" s="7">
        <f>SUMPRODUCT(N(Tabela1[Código]=Tabela8[[#This Row],[Papel]]),Tabela1[Fechamento])</f>
        <v>0</v>
      </c>
      <c r="R34" s="7">
        <f>SUMPRODUCT(N(Tabela17[Código]=Tabela8[[#This Row],[Papel]]),Tabela17[Fechamento])</f>
        <v>0</v>
      </c>
      <c r="S34" s="7">
        <f>SUMPRODUCT(N(Tabela176[Código]=Tabela8[[#This Row],[Papel]]),Tabela176[Fechamento])</f>
        <v>0</v>
      </c>
      <c r="T34" s="7">
        <f>SUMPRODUCT(N(Tabela1768[Código]=Tabela8[[#This Row],[Papel]]),Tabela1768[Fechamento])</f>
        <v>0</v>
      </c>
      <c r="U34" s="7">
        <f>SUMPRODUCT(N(Tabela17683[Código]=Tabela8[[#This Row],[Papel]]),Tabela17683[Fechamento])</f>
        <v>0</v>
      </c>
      <c r="V34" s="17" t="str">
        <f>IF(MAX(Tabela8[[#This Row],[Cotação 1]]:Tabela8[[#This Row],[Cotação 5]])=0,"",MAX(Tabela8[[#This Row],[Cotação 1]]:Tabela8[[#This Row],[Cotação 5]]))</f>
        <v/>
      </c>
      <c r="W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" s="17">
        <f>IF(AND([Ref]=5,[Cotação]&gt;0,[Cotação]&lt;&gt;""),[Total Exercício]/[Cotação],IF([Ref]&lt;4,0,""))</f>
        <v>0</v>
      </c>
      <c r="Y34" s="17">
        <f>IF([Tipo]="div",1,0)</f>
        <v>0</v>
      </c>
      <c r="Z34" s="17">
        <f>IF([Tipo]="jcp",1,0)</f>
        <v>0</v>
      </c>
    </row>
    <row r="35" spans="1:26" hidden="1">
      <c r="A35" s="3" t="s">
        <v>269</v>
      </c>
      <c r="B35" s="58" t="s">
        <v>806</v>
      </c>
      <c r="C35" s="16">
        <v>3</v>
      </c>
      <c r="D35" s="4"/>
      <c r="E35" s="4"/>
      <c r="F35" s="4"/>
      <c r="G35" s="4"/>
      <c r="H35" s="4"/>
      <c r="I35" s="4"/>
      <c r="J35" s="17">
        <f>IF(Tabela8[[#This Row],[Tipo]]="jcp",Tabela8[[#This Row],[Provento p/Ação]]*85%,Tabela8[[#This Row],[Provento p/Ação]])</f>
        <v>0</v>
      </c>
      <c r="K35" s="143" t="str">
        <f>IF([Lucro p/Ação]&lt;&gt;0,SUMPRODUCT(N([Papel]=Tabela8[[#This Row],[Papel]]),N([Exercício]=Tabela8[[#This Row],[Exercício]]),[Líquido p/Ação]),"")</f>
        <v/>
      </c>
      <c r="L35" s="42" t="str">
        <f>IF(Tabela8[[#This Row],[Lucro p/Ação]]="","",IF(Tabela8[[#This Row],[Lucro p/Ação]]&gt;0,Tabela8[[#This Row],[Total Exercício]]/Tabela8[[#This Row],[Lucro p/Ação]],0))</f>
        <v/>
      </c>
      <c r="M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" s="14" t="str">
        <f>IF(Tabela8[[#This Row],[Média Lucro p/Ação]]&lt;&gt;"",Tabela8[[#This Row],[Média Pago]]/Tabela8[[#This Row],[Média Lucro p/Ação]],"")</f>
        <v/>
      </c>
      <c r="P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" s="7">
        <f>SUMPRODUCT(N(Tabela1[Código]=Tabela8[[#This Row],[Papel]]),Tabela1[Fechamento])</f>
        <v>0</v>
      </c>
      <c r="R35" s="7">
        <f>SUMPRODUCT(N(Tabela17[Código]=Tabela8[[#This Row],[Papel]]),Tabela17[Fechamento])</f>
        <v>0</v>
      </c>
      <c r="S35" s="7">
        <f>SUMPRODUCT(N(Tabela176[Código]=Tabela8[[#This Row],[Papel]]),Tabela176[Fechamento])</f>
        <v>9.1999999999999993</v>
      </c>
      <c r="T35" s="7">
        <f>SUMPRODUCT(N(Tabela1768[Código]=Tabela8[[#This Row],[Papel]]),Tabela1768[Fechamento])</f>
        <v>0</v>
      </c>
      <c r="U35" s="7">
        <f>SUMPRODUCT(N(Tabela17683[Código]=Tabela8[[#This Row],[Papel]]),Tabela17683[Fechamento])</f>
        <v>0</v>
      </c>
      <c r="V35" s="17">
        <f>IF(MAX(Tabela8[[#This Row],[Cotação 1]]:Tabela8[[#This Row],[Cotação 5]])=0,"",MAX(Tabela8[[#This Row],[Cotação 1]]:Tabela8[[#This Row],[Cotação 5]]))</f>
        <v>9.1999999999999993</v>
      </c>
      <c r="W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" s="17">
        <f>IF(AND([Ref]=5,[Cotação]&gt;0,[Cotação]&lt;&gt;""),[Total Exercício]/[Cotação],IF([Ref]&lt;4,0,""))</f>
        <v>0</v>
      </c>
      <c r="Y35" s="17">
        <f>IF([Tipo]="div",1,0)</f>
        <v>0</v>
      </c>
      <c r="Z35" s="17">
        <f>IF([Tipo]="jcp",1,0)</f>
        <v>0</v>
      </c>
    </row>
    <row r="36" spans="1:26" hidden="1">
      <c r="A36" s="4" t="s">
        <v>14</v>
      </c>
      <c r="B36" s="57" t="s">
        <v>62</v>
      </c>
      <c r="C36" s="15">
        <v>4</v>
      </c>
      <c r="D36" s="4"/>
      <c r="E36" s="4"/>
      <c r="F36" s="4"/>
      <c r="G36" s="4"/>
      <c r="H36" s="4"/>
      <c r="I36" s="4"/>
      <c r="J36" s="17">
        <f>IF(Tabela8[[#This Row],[Tipo]]="jcp",Tabela8[[#This Row],[Provento p/Ação]]*85%,Tabela8[[#This Row],[Provento p/Ação]])</f>
        <v>0</v>
      </c>
      <c r="K36" s="143" t="str">
        <f>IF([Lucro p/Ação]&lt;&gt;0,SUMPRODUCT(N([Papel]=Tabela8[[#This Row],[Papel]]),N([Exercício]=Tabela8[[#This Row],[Exercício]]),[Líquido p/Ação]),"")</f>
        <v/>
      </c>
      <c r="L36" s="42" t="str">
        <f>IF(Tabela8[[#This Row],[Lucro p/Ação]]="","",IF(Tabela8[[#This Row],[Lucro p/Ação]]&gt;0,Tabela8[[#This Row],[Total Exercício]]/Tabela8[[#This Row],[Lucro p/Ação]],0))</f>
        <v/>
      </c>
      <c r="M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" s="14" t="str">
        <f>IF(Tabela8[[#This Row],[Média Lucro p/Ação]]&lt;&gt;"",Tabela8[[#This Row],[Média Pago]]/Tabela8[[#This Row],[Média Lucro p/Ação]],"")</f>
        <v/>
      </c>
      <c r="P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" s="5">
        <f>SUMPRODUCT(N(Tabela1[Código]=Tabela8[[#This Row],[Papel]]),Tabela1[Fechamento])</f>
        <v>0.3</v>
      </c>
      <c r="R36" s="5">
        <f>SUMPRODUCT(N(Tabela17[Código]=Tabela8[[#This Row],[Papel]]),Tabela17[Fechamento])</f>
        <v>0</v>
      </c>
      <c r="S36" s="7">
        <f>SUMPRODUCT(N(Tabela176[Código]=Tabela8[[#This Row],[Papel]]),Tabela176[Fechamento])</f>
        <v>0</v>
      </c>
      <c r="T36" s="7">
        <f>SUMPRODUCT(N(Tabela1768[Código]=Tabela8[[#This Row],[Papel]]),Tabela1768[Fechamento])</f>
        <v>0</v>
      </c>
      <c r="U36" s="7">
        <f>SUMPRODUCT(N(Tabela17683[Código]=Tabela8[[#This Row],[Papel]]),Tabela17683[Fechamento])</f>
        <v>0</v>
      </c>
      <c r="V36" s="17">
        <f>IF(MAX(Tabela8[[#This Row],[Cotação 1]]:Tabela8[[#This Row],[Cotação 5]])=0,"",MAX(Tabela8[[#This Row],[Cotação 1]]:Tabela8[[#This Row],[Cotação 5]]))</f>
        <v>0.3</v>
      </c>
      <c r="W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" s="17" t="str">
        <f>IF(AND([Ref]=5,[Cotação]&gt;0,[Cotação]&lt;&gt;""),[Total Exercício]/[Cotação],IF([Ref]&lt;4,0,""))</f>
        <v/>
      </c>
      <c r="Y36" s="17">
        <f>IF([Tipo]="div",1,0)</f>
        <v>0</v>
      </c>
      <c r="Z36" s="17">
        <f>IF([Tipo]="jcp",1,0)</f>
        <v>0</v>
      </c>
    </row>
    <row r="37" spans="1:26" hidden="1">
      <c r="A37" s="4" t="s">
        <v>12</v>
      </c>
      <c r="B37" s="131" t="s">
        <v>67</v>
      </c>
      <c r="C37" s="15">
        <v>4</v>
      </c>
      <c r="D37" s="14">
        <v>2010</v>
      </c>
      <c r="E37" s="4" t="s">
        <v>1475</v>
      </c>
      <c r="F37" s="137"/>
      <c r="G37" s="46">
        <v>40514</v>
      </c>
      <c r="H37" s="4"/>
      <c r="I37" s="133">
        <v>0.27179999999999999</v>
      </c>
      <c r="J37" s="133">
        <f>IF(Tabela8[[#This Row],[Tipo]]="jcp",Tabela8[[#This Row],[Provento p/Ação]]*85%,Tabela8[[#This Row],[Provento p/Ação]])</f>
        <v>0.23102999999999999</v>
      </c>
      <c r="K37" s="143" t="str">
        <f>IF([Lucro p/Ação]&lt;&gt;0,SUMPRODUCT(N([Papel]=Tabela8[[#This Row],[Papel]]),N([Exercício]=Tabela8[[#This Row],[Exercício]]),[Líquido p/Ação]),"")</f>
        <v/>
      </c>
      <c r="L37" s="19" t="str">
        <f>IF(Tabela8[[#This Row],[Lucro p/Ação]]="","",IF(Tabela8[[#This Row],[Lucro p/Ação]]&gt;0,Tabela8[[#This Row],[Total Exercício]]/Tabela8[[#This Row],[Lucro p/Ação]],0))</f>
        <v/>
      </c>
      <c r="M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" s="19" t="str">
        <f>IF(Tabela8[[#This Row],[Média Lucro p/Ação]]&lt;&gt;"",Tabela8[[#This Row],[Média Pago]]/Tabela8[[#This Row],[Média Lucro p/Ação]],"")</f>
        <v/>
      </c>
      <c r="P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" s="7">
        <f>SUMPRODUCT(N(Tabela1[Código]=Tabela8[[#This Row],[Papel]]),Tabela1[Fechamento])</f>
        <v>7.13</v>
      </c>
      <c r="R37" s="7">
        <f>SUMPRODUCT(N(Tabela17[Código]=Tabela8[[#This Row],[Papel]]),Tabela17[Fechamento])</f>
        <v>0</v>
      </c>
      <c r="S37" s="7">
        <f>SUMPRODUCT(N(Tabela176[Código]=Tabela8[[#This Row],[Papel]]),Tabela176[Fechamento])</f>
        <v>0</v>
      </c>
      <c r="T37" s="7">
        <f>SUMPRODUCT(N(Tabela1768[Código]=Tabela8[[#This Row],[Papel]]),Tabela1768[Fechamento])</f>
        <v>0</v>
      </c>
      <c r="U37" s="7">
        <f>SUMPRODUCT(N(Tabela17683[Código]=Tabela8[[#This Row],[Papel]]),Tabela17683[Fechamento])</f>
        <v>0</v>
      </c>
      <c r="V37" s="17">
        <f>IF(MAX(Tabela8[[#This Row],[Cotação 1]]:Tabela8[[#This Row],[Cotação 5]])=0,"",MAX(Tabela8[[#This Row],[Cotação 1]]:Tabela8[[#This Row],[Cotação 5]]))</f>
        <v>7.13</v>
      </c>
      <c r="W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" s="19" t="str">
        <f>IF(AND([Ref]=5,[Cotação]&gt;0,[Cotação]&lt;&gt;""),[Total Exercício]/[Cotação],IF([Ref]&lt;4,0,""))</f>
        <v/>
      </c>
      <c r="Y37" s="17">
        <f>IF([Tipo]="div",1,0)</f>
        <v>0</v>
      </c>
      <c r="Z37" s="17">
        <f>IF([Tipo]="jcp",1,0)</f>
        <v>1</v>
      </c>
    </row>
    <row r="38" spans="1:26" hidden="1">
      <c r="A38" s="4" t="s">
        <v>14</v>
      </c>
      <c r="B38" s="57" t="s">
        <v>192</v>
      </c>
      <c r="C38" s="15">
        <v>4</v>
      </c>
      <c r="D38" s="4"/>
      <c r="E38" s="4"/>
      <c r="F38" s="4"/>
      <c r="G38" s="4"/>
      <c r="H38" s="4"/>
      <c r="I38" s="4"/>
      <c r="J38" s="17">
        <f>IF(Tabela8[[#This Row],[Tipo]]="jcp",Tabela8[[#This Row],[Provento p/Ação]]*85%,Tabela8[[#This Row],[Provento p/Ação]])</f>
        <v>0</v>
      </c>
      <c r="K38" s="143" t="str">
        <f>IF([Lucro p/Ação]&lt;&gt;0,SUMPRODUCT(N([Papel]=Tabela8[[#This Row],[Papel]]),N([Exercício]=Tabela8[[#This Row],[Exercício]]),[Líquido p/Ação]),"")</f>
        <v/>
      </c>
      <c r="L38" s="42" t="str">
        <f>IF(Tabela8[[#This Row],[Lucro p/Ação]]="","",IF(Tabela8[[#This Row],[Lucro p/Ação]]&gt;0,Tabela8[[#This Row],[Total Exercício]]/Tabela8[[#This Row],[Lucro p/Ação]],0))</f>
        <v/>
      </c>
      <c r="M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" s="14" t="str">
        <f>IF(Tabela8[[#This Row],[Média Lucro p/Ação]]&lt;&gt;"",Tabela8[[#This Row],[Média Pago]]/Tabela8[[#This Row],[Média Lucro p/Ação]],"")</f>
        <v/>
      </c>
      <c r="P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" s="5">
        <f>SUMPRODUCT(N(Tabela1[Código]=Tabela8[[#This Row],[Papel]]),Tabela1[Fechamento])</f>
        <v>29.14</v>
      </c>
      <c r="R38" s="5">
        <f>SUMPRODUCT(N(Tabela17[Código]=Tabela8[[#This Row],[Papel]]),Tabela17[Fechamento])</f>
        <v>0</v>
      </c>
      <c r="S38" s="7">
        <f>SUMPRODUCT(N(Tabela176[Código]=Tabela8[[#This Row],[Papel]]),Tabela176[Fechamento])</f>
        <v>0</v>
      </c>
      <c r="T38" s="7">
        <f>SUMPRODUCT(N(Tabela1768[Código]=Tabela8[[#This Row],[Papel]]),Tabela1768[Fechamento])</f>
        <v>0</v>
      </c>
      <c r="U38" s="7">
        <f>SUMPRODUCT(N(Tabela17683[Código]=Tabela8[[#This Row],[Papel]]),Tabela17683[Fechamento])</f>
        <v>0</v>
      </c>
      <c r="V38" s="17">
        <f>IF(MAX(Tabela8[[#This Row],[Cotação 1]]:Tabela8[[#This Row],[Cotação 5]])=0,"",MAX(Tabela8[[#This Row],[Cotação 1]]:Tabela8[[#This Row],[Cotação 5]]))</f>
        <v>29.14</v>
      </c>
      <c r="W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" s="17" t="str">
        <f>IF(AND([Ref]=5,[Cotação]&gt;0,[Cotação]&lt;&gt;""),[Total Exercício]/[Cotação],IF([Ref]&lt;4,0,""))</f>
        <v/>
      </c>
      <c r="Y38" s="17">
        <f>IF([Tipo]="div",1,0)</f>
        <v>0</v>
      </c>
      <c r="Z38" s="17">
        <f>IF([Tipo]="jcp",1,0)</f>
        <v>0</v>
      </c>
    </row>
    <row r="39" spans="1:26" hidden="1">
      <c r="A39" s="4" t="s">
        <v>14</v>
      </c>
      <c r="B39" s="57" t="s">
        <v>193</v>
      </c>
      <c r="C39" s="15">
        <v>4</v>
      </c>
      <c r="D39" s="4"/>
      <c r="E39" s="4"/>
      <c r="F39" s="4"/>
      <c r="G39" s="4"/>
      <c r="H39" s="4"/>
      <c r="I39" s="4"/>
      <c r="J39" s="17">
        <f>IF(Tabela8[[#This Row],[Tipo]]="jcp",Tabela8[[#This Row],[Provento p/Ação]]*85%,Tabela8[[#This Row],[Provento p/Ação]])</f>
        <v>0</v>
      </c>
      <c r="K39" s="143" t="str">
        <f>IF([Lucro p/Ação]&lt;&gt;0,SUMPRODUCT(N([Papel]=Tabela8[[#This Row],[Papel]]),N([Exercício]=Tabela8[[#This Row],[Exercício]]),[Líquido p/Ação]),"")</f>
        <v/>
      </c>
      <c r="L39" s="42" t="str">
        <f>IF(Tabela8[[#This Row],[Lucro p/Ação]]="","",IF(Tabela8[[#This Row],[Lucro p/Ação]]&gt;0,Tabela8[[#This Row],[Total Exercício]]/Tabela8[[#This Row],[Lucro p/Ação]],0))</f>
        <v/>
      </c>
      <c r="M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" s="14" t="str">
        <f>IF(Tabela8[[#This Row],[Média Lucro p/Ação]]&lt;&gt;"",Tabela8[[#This Row],[Média Pago]]/Tabela8[[#This Row],[Média Lucro p/Ação]],"")</f>
        <v/>
      </c>
      <c r="P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" s="5">
        <f>SUMPRODUCT(N(Tabela1[Código]=Tabela8[[#This Row],[Papel]]),Tabela1[Fechamento])</f>
        <v>27.48</v>
      </c>
      <c r="R39" s="5">
        <f>SUMPRODUCT(N(Tabela17[Código]=Tabela8[[#This Row],[Papel]]),Tabela17[Fechamento])</f>
        <v>0</v>
      </c>
      <c r="S39" s="7">
        <f>SUMPRODUCT(N(Tabela176[Código]=Tabela8[[#This Row],[Papel]]),Tabela176[Fechamento])</f>
        <v>0</v>
      </c>
      <c r="T39" s="7">
        <f>SUMPRODUCT(N(Tabela1768[Código]=Tabela8[[#This Row],[Papel]]),Tabela1768[Fechamento])</f>
        <v>0</v>
      </c>
      <c r="U39" s="7">
        <f>SUMPRODUCT(N(Tabela17683[Código]=Tabela8[[#This Row],[Papel]]),Tabela17683[Fechamento])</f>
        <v>0</v>
      </c>
      <c r="V39" s="17">
        <f>IF(MAX(Tabela8[[#This Row],[Cotação 1]]:Tabela8[[#This Row],[Cotação 5]])=0,"",MAX(Tabela8[[#This Row],[Cotação 1]]:Tabela8[[#This Row],[Cotação 5]]))</f>
        <v>27.48</v>
      </c>
      <c r="W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" s="17" t="str">
        <f>IF(AND([Ref]=5,[Cotação]&gt;0,[Cotação]&lt;&gt;""),[Total Exercício]/[Cotação],IF([Ref]&lt;4,0,""))</f>
        <v/>
      </c>
      <c r="Y39" s="17">
        <f>IF([Tipo]="div",1,0)</f>
        <v>0</v>
      </c>
      <c r="Z39" s="17">
        <f>IF([Tipo]="jcp",1,0)</f>
        <v>0</v>
      </c>
    </row>
    <row r="40" spans="1:26" hidden="1">
      <c r="A40" s="3" t="s">
        <v>1104</v>
      </c>
      <c r="B40" s="57" t="s">
        <v>1100</v>
      </c>
      <c r="C40" s="16">
        <v>3</v>
      </c>
      <c r="D40" s="4"/>
      <c r="E40" s="4"/>
      <c r="F40" s="4"/>
      <c r="G40" s="4"/>
      <c r="H40" s="4"/>
      <c r="I40" s="4"/>
      <c r="J40" s="17">
        <f>IF(Tabela8[[#This Row],[Tipo]]="jcp",Tabela8[[#This Row],[Provento p/Ação]]*85%,Tabela8[[#This Row],[Provento p/Ação]])</f>
        <v>0</v>
      </c>
      <c r="K40" s="143" t="str">
        <f>IF([Lucro p/Ação]&lt;&gt;0,SUMPRODUCT(N([Papel]=Tabela8[[#This Row],[Papel]]),N([Exercício]=Tabela8[[#This Row],[Exercício]]),[Líquido p/Ação]),"")</f>
        <v/>
      </c>
      <c r="L40" s="42" t="str">
        <f>IF(Tabela8[[#This Row],[Lucro p/Ação]]="","",IF(Tabela8[[#This Row],[Lucro p/Ação]]&gt;0,Tabela8[[#This Row],[Total Exercício]]/Tabela8[[#This Row],[Lucro p/Ação]],0))</f>
        <v/>
      </c>
      <c r="M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" s="14" t="str">
        <f>IF(Tabela8[[#This Row],[Média Lucro p/Ação]]&lt;&gt;"",Tabela8[[#This Row],[Média Pago]]/Tabela8[[#This Row],[Média Lucro p/Ação]],"")</f>
        <v/>
      </c>
      <c r="P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" s="7">
        <f>SUMPRODUCT(N(Tabela1[Código]=Tabela8[[#This Row],[Papel]]),Tabela1[Fechamento])</f>
        <v>0</v>
      </c>
      <c r="R40" s="7">
        <f>SUMPRODUCT(N(Tabela17[Código]=Tabela8[[#This Row],[Papel]]),Tabela17[Fechamento])</f>
        <v>0</v>
      </c>
      <c r="S40" s="7">
        <f>SUMPRODUCT(N(Tabela176[Código]=Tabela8[[#This Row],[Papel]]),Tabela176[Fechamento])</f>
        <v>0</v>
      </c>
      <c r="T40" s="7">
        <f>SUMPRODUCT(N(Tabela1768[Código]=Tabela8[[#This Row],[Papel]]),Tabela1768[Fechamento])</f>
        <v>0</v>
      </c>
      <c r="U40" s="7">
        <f>SUMPRODUCT(N(Tabela17683[Código]=Tabela8[[#This Row],[Papel]]),Tabela17683[Fechamento])</f>
        <v>4.91</v>
      </c>
      <c r="V40" s="17">
        <f>IF(MAX(Tabela8[[#This Row],[Cotação 1]]:Tabela8[[#This Row],[Cotação 5]])=0,"",MAX(Tabela8[[#This Row],[Cotação 1]]:Tabela8[[#This Row],[Cotação 5]]))</f>
        <v>4.91</v>
      </c>
      <c r="W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" s="17">
        <f>IF(AND([Ref]=5,[Cotação]&gt;0,[Cotação]&lt;&gt;""),[Total Exercício]/[Cotação],IF([Ref]&lt;4,0,""))</f>
        <v>0</v>
      </c>
      <c r="Y40" s="17">
        <f>IF([Tipo]="div",1,0)</f>
        <v>0</v>
      </c>
      <c r="Z40" s="17">
        <f>IF([Tipo]="jcp",1,0)</f>
        <v>0</v>
      </c>
    </row>
    <row r="41" spans="1:26" hidden="1">
      <c r="A41" s="4" t="s">
        <v>26</v>
      </c>
      <c r="B41" s="57" t="s">
        <v>25</v>
      </c>
      <c r="C41" s="15">
        <v>4</v>
      </c>
      <c r="D41" s="4"/>
      <c r="E41" s="4"/>
      <c r="F41" s="4"/>
      <c r="G41" s="4"/>
      <c r="H41" s="4"/>
      <c r="I41" s="4"/>
      <c r="J41" s="17">
        <f>IF(Tabela8[[#This Row],[Tipo]]="jcp",Tabela8[[#This Row],[Provento p/Ação]]*85%,Tabela8[[#This Row],[Provento p/Ação]])</f>
        <v>0</v>
      </c>
      <c r="K41" s="143" t="str">
        <f>IF([Lucro p/Ação]&lt;&gt;0,SUMPRODUCT(N([Papel]=Tabela8[[#This Row],[Papel]]),N([Exercício]=Tabela8[[#This Row],[Exercício]]),[Líquido p/Ação]),"")</f>
        <v/>
      </c>
      <c r="L41" s="42" t="str">
        <f>IF(Tabela8[[#This Row],[Lucro p/Ação]]="","",IF(Tabela8[[#This Row],[Lucro p/Ação]]&gt;0,Tabela8[[#This Row],[Total Exercício]]/Tabela8[[#This Row],[Lucro p/Ação]],0))</f>
        <v/>
      </c>
      <c r="M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" s="14" t="str">
        <f>IF(Tabela8[[#This Row],[Média Lucro p/Ação]]&lt;&gt;"",Tabela8[[#This Row],[Média Pago]]/Tabela8[[#This Row],[Média Lucro p/Ação]],"")</f>
        <v/>
      </c>
      <c r="P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" s="13">
        <f>SUMPRODUCT(N(Tabela1[Código]=Tabela8[[#This Row],[Papel]]),Tabela1[Fechamento])</f>
        <v>0</v>
      </c>
      <c r="R41" s="13">
        <f>SUMPRODUCT(N(Tabela17[Código]=Tabela8[[#This Row],[Papel]]),Tabela17[Fechamento])</f>
        <v>23.8</v>
      </c>
      <c r="S41" s="7">
        <f>SUMPRODUCT(N(Tabela176[Código]=Tabela8[[#This Row],[Papel]]),Tabela176[Fechamento])</f>
        <v>0</v>
      </c>
      <c r="T41" s="7">
        <f>SUMPRODUCT(N(Tabela1768[Código]=Tabela8[[#This Row],[Papel]]),Tabela1768[Fechamento])</f>
        <v>0</v>
      </c>
      <c r="U41" s="7">
        <f>SUMPRODUCT(N(Tabela17683[Código]=Tabela8[[#This Row],[Papel]]),Tabela17683[Fechamento])</f>
        <v>0</v>
      </c>
      <c r="V41" s="17">
        <f>IF(MAX(Tabela8[[#This Row],[Cotação 1]]:Tabela8[[#This Row],[Cotação 5]])=0,"",MAX(Tabela8[[#This Row],[Cotação 1]]:Tabela8[[#This Row],[Cotação 5]]))</f>
        <v>23.8</v>
      </c>
      <c r="W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" s="17" t="str">
        <f>IF(AND([Ref]=5,[Cotação]&gt;0,[Cotação]&lt;&gt;""),[Total Exercício]/[Cotação],IF([Ref]&lt;4,0,""))</f>
        <v/>
      </c>
      <c r="Y41" s="17">
        <f>IF([Tipo]="div",1,0)</f>
        <v>0</v>
      </c>
      <c r="Z41" s="17">
        <f>IF([Tipo]="jcp",1,0)</f>
        <v>0</v>
      </c>
    </row>
    <row r="42" spans="1:26" hidden="1">
      <c r="A42" s="3" t="s">
        <v>1225</v>
      </c>
      <c r="B42" s="57" t="s">
        <v>1210</v>
      </c>
      <c r="C42" s="16">
        <v>3</v>
      </c>
      <c r="D42" s="4"/>
      <c r="E42" s="4"/>
      <c r="F42" s="4"/>
      <c r="G42" s="4"/>
      <c r="H42" s="4"/>
      <c r="I42" s="4"/>
      <c r="J42" s="17">
        <f>IF(Tabela8[[#This Row],[Tipo]]="jcp",Tabela8[[#This Row],[Provento p/Ação]]*85%,Tabela8[[#This Row],[Provento p/Ação]])</f>
        <v>0</v>
      </c>
      <c r="K42" s="143" t="str">
        <f>IF([Lucro p/Ação]&lt;&gt;0,SUMPRODUCT(N([Papel]=Tabela8[[#This Row],[Papel]]),N([Exercício]=Tabela8[[#This Row],[Exercício]]),[Líquido p/Ação]),"")</f>
        <v/>
      </c>
      <c r="L42" s="42" t="str">
        <f>IF(Tabela8[[#This Row],[Lucro p/Ação]]="","",IF(Tabela8[[#This Row],[Lucro p/Ação]]&gt;0,Tabela8[[#This Row],[Total Exercício]]/Tabela8[[#This Row],[Lucro p/Ação]],0))</f>
        <v/>
      </c>
      <c r="M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" s="14" t="str">
        <f>IF(Tabela8[[#This Row],[Média Lucro p/Ação]]&lt;&gt;"",Tabela8[[#This Row],[Média Pago]]/Tabela8[[#This Row],[Média Lucro p/Ação]],"")</f>
        <v/>
      </c>
      <c r="P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" s="7">
        <f>SUMPRODUCT(N(Tabela1[Código]=Tabela8[[#This Row],[Papel]]),Tabela1[Fechamento])</f>
        <v>0</v>
      </c>
      <c r="R42" s="7">
        <f>SUMPRODUCT(N(Tabela17[Código]=Tabela8[[#This Row],[Papel]]),Tabela17[Fechamento])</f>
        <v>0</v>
      </c>
      <c r="S42" s="7">
        <f>SUMPRODUCT(N(Tabela176[Código]=Tabela8[[#This Row],[Papel]]),Tabela176[Fechamento])</f>
        <v>0</v>
      </c>
      <c r="T42" s="7">
        <f>SUMPRODUCT(N(Tabela1768[Código]=Tabela8[[#This Row],[Papel]]),Tabela1768[Fechamento])</f>
        <v>0</v>
      </c>
      <c r="U42" s="7">
        <f>SUMPRODUCT(N(Tabela17683[Código]=Tabela8[[#This Row],[Papel]]),Tabela17683[Fechamento])</f>
        <v>45</v>
      </c>
      <c r="V42" s="17">
        <f>IF(MAX(Tabela8[[#This Row],[Cotação 1]]:Tabela8[[#This Row],[Cotação 5]])=0,"",MAX(Tabela8[[#This Row],[Cotação 1]]:Tabela8[[#This Row],[Cotação 5]]))</f>
        <v>45</v>
      </c>
      <c r="W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" s="17">
        <f>IF(AND([Ref]=5,[Cotação]&gt;0,[Cotação]&lt;&gt;""),[Total Exercício]/[Cotação],IF([Ref]&lt;4,0,""))</f>
        <v>0</v>
      </c>
      <c r="Y42" s="17">
        <f>IF([Tipo]="div",1,0)</f>
        <v>0</v>
      </c>
      <c r="Z42" s="17">
        <f>IF([Tipo]="jcp",1,0)</f>
        <v>0</v>
      </c>
    </row>
    <row r="43" spans="1:26" hidden="1">
      <c r="A43" s="3" t="s">
        <v>1225</v>
      </c>
      <c r="B43" s="57" t="s">
        <v>1211</v>
      </c>
      <c r="C43" s="16">
        <v>3</v>
      </c>
      <c r="D43" s="4"/>
      <c r="E43" s="4"/>
      <c r="F43" s="4"/>
      <c r="G43" s="4"/>
      <c r="H43" s="4"/>
      <c r="I43" s="4"/>
      <c r="J43" s="17">
        <f>IF(Tabela8[[#This Row],[Tipo]]="jcp",Tabela8[[#This Row],[Provento p/Ação]]*85%,Tabela8[[#This Row],[Provento p/Ação]])</f>
        <v>0</v>
      </c>
      <c r="K43" s="143" t="str">
        <f>IF([Lucro p/Ação]&lt;&gt;0,SUMPRODUCT(N([Papel]=Tabela8[[#This Row],[Papel]]),N([Exercício]=Tabela8[[#This Row],[Exercício]]),[Líquido p/Ação]),"")</f>
        <v/>
      </c>
      <c r="L43" s="42" t="str">
        <f>IF(Tabela8[[#This Row],[Lucro p/Ação]]="","",IF(Tabela8[[#This Row],[Lucro p/Ação]]&gt;0,Tabela8[[#This Row],[Total Exercício]]/Tabela8[[#This Row],[Lucro p/Ação]],0))</f>
        <v/>
      </c>
      <c r="M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" s="14" t="str">
        <f>IF(Tabela8[[#This Row],[Média Lucro p/Ação]]&lt;&gt;"",Tabela8[[#This Row],[Média Pago]]/Tabela8[[#This Row],[Média Lucro p/Ação]],"")</f>
        <v/>
      </c>
      <c r="P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" s="7">
        <f>SUMPRODUCT(N(Tabela1[Código]=Tabela8[[#This Row],[Papel]]),Tabela1[Fechamento])</f>
        <v>0</v>
      </c>
      <c r="R43" s="7">
        <f>SUMPRODUCT(N(Tabela17[Código]=Tabela8[[#This Row],[Papel]]),Tabela17[Fechamento])</f>
        <v>0</v>
      </c>
      <c r="S43" s="7">
        <f>SUMPRODUCT(N(Tabela176[Código]=Tabela8[[#This Row],[Papel]]),Tabela176[Fechamento])</f>
        <v>0</v>
      </c>
      <c r="T43" s="7">
        <f>SUMPRODUCT(N(Tabela1768[Código]=Tabela8[[#This Row],[Papel]]),Tabela1768[Fechamento])</f>
        <v>0</v>
      </c>
      <c r="U43" s="7">
        <f>SUMPRODUCT(N(Tabela17683[Código]=Tabela8[[#This Row],[Papel]]),Tabela17683[Fechamento])</f>
        <v>41</v>
      </c>
      <c r="V43" s="17">
        <f>IF(MAX(Tabela8[[#This Row],[Cotação 1]]:Tabela8[[#This Row],[Cotação 5]])=0,"",MAX(Tabela8[[#This Row],[Cotação 1]]:Tabela8[[#This Row],[Cotação 5]]))</f>
        <v>41</v>
      </c>
      <c r="W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" s="17">
        <f>IF(AND([Ref]=5,[Cotação]&gt;0,[Cotação]&lt;&gt;""),[Total Exercício]/[Cotação],IF([Ref]&lt;4,0,""))</f>
        <v>0</v>
      </c>
      <c r="Y43" s="17">
        <f>IF([Tipo]="div",1,0)</f>
        <v>0</v>
      </c>
      <c r="Z43" s="17">
        <f>IF([Tipo]="jcp",1,0)</f>
        <v>0</v>
      </c>
    </row>
    <row r="44" spans="1:26" hidden="1">
      <c r="A44" s="3" t="s">
        <v>269</v>
      </c>
      <c r="B44" s="58" t="s">
        <v>810</v>
      </c>
      <c r="C44" s="16">
        <v>4</v>
      </c>
      <c r="D44" s="4"/>
      <c r="E44" s="4"/>
      <c r="F44" s="4"/>
      <c r="G44" s="4"/>
      <c r="H44" s="4"/>
      <c r="I44" s="4"/>
      <c r="J44" s="17">
        <f>IF(Tabela8[[#This Row],[Tipo]]="jcp",Tabela8[[#This Row],[Provento p/Ação]]*85%,Tabela8[[#This Row],[Provento p/Ação]])</f>
        <v>0</v>
      </c>
      <c r="K44" s="143" t="str">
        <f>IF([Lucro p/Ação]&lt;&gt;0,SUMPRODUCT(N([Papel]=Tabela8[[#This Row],[Papel]]),N([Exercício]=Tabela8[[#This Row],[Exercício]]),[Líquido p/Ação]),"")</f>
        <v/>
      </c>
      <c r="L44" s="42" t="str">
        <f>IF(Tabela8[[#This Row],[Lucro p/Ação]]="","",IF(Tabela8[[#This Row],[Lucro p/Ação]]&gt;0,Tabela8[[#This Row],[Total Exercício]]/Tabela8[[#This Row],[Lucro p/Ação]],0))</f>
        <v/>
      </c>
      <c r="M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" s="14" t="str">
        <f>IF(Tabela8[[#This Row],[Média Lucro p/Ação]]&lt;&gt;"",Tabela8[[#This Row],[Média Pago]]/Tabela8[[#This Row],[Média Lucro p/Ação]],"")</f>
        <v/>
      </c>
      <c r="P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" s="7">
        <f>SUMPRODUCT(N(Tabela1[Código]=Tabela8[[#This Row],[Papel]]),Tabela1[Fechamento])</f>
        <v>0</v>
      </c>
      <c r="R44" s="7">
        <f>SUMPRODUCT(N(Tabela17[Código]=Tabela8[[#This Row],[Papel]]),Tabela17[Fechamento])</f>
        <v>0</v>
      </c>
      <c r="S44" s="7">
        <f>SUMPRODUCT(N(Tabela176[Código]=Tabela8[[#This Row],[Papel]]),Tabela176[Fechamento])</f>
        <v>9.8000000000000007</v>
      </c>
      <c r="T44" s="7">
        <f>SUMPRODUCT(N(Tabela1768[Código]=Tabela8[[#This Row],[Papel]]),Tabela1768[Fechamento])</f>
        <v>0</v>
      </c>
      <c r="U44" s="7">
        <f>SUMPRODUCT(N(Tabela17683[Código]=Tabela8[[#This Row],[Papel]]),Tabela17683[Fechamento])</f>
        <v>0</v>
      </c>
      <c r="V44" s="17">
        <f>IF(MAX(Tabela8[[#This Row],[Cotação 1]]:Tabela8[[#This Row],[Cotação 5]])=0,"",MAX(Tabela8[[#This Row],[Cotação 1]]:Tabela8[[#This Row],[Cotação 5]]))</f>
        <v>9.8000000000000007</v>
      </c>
      <c r="W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" s="17" t="str">
        <f>IF(AND([Ref]=5,[Cotação]&gt;0,[Cotação]&lt;&gt;""),[Total Exercício]/[Cotação],IF([Ref]&lt;4,0,""))</f>
        <v/>
      </c>
      <c r="Y44" s="17">
        <f>IF([Tipo]="div",1,0)</f>
        <v>0</v>
      </c>
      <c r="Z44" s="17">
        <f>IF([Tipo]="jcp",1,0)</f>
        <v>0</v>
      </c>
    </row>
    <row r="45" spans="1:26" hidden="1">
      <c r="A45" s="4" t="s">
        <v>14</v>
      </c>
      <c r="B45" s="57" t="s">
        <v>58</v>
      </c>
      <c r="C45" s="15">
        <v>4</v>
      </c>
      <c r="D45" s="4"/>
      <c r="E45" s="4"/>
      <c r="F45" s="4"/>
      <c r="G45" s="4"/>
      <c r="H45" s="4"/>
      <c r="I45" s="4"/>
      <c r="J45" s="17">
        <f>IF(Tabela8[[#This Row],[Tipo]]="jcp",Tabela8[[#This Row],[Provento p/Ação]]*85%,Tabela8[[#This Row],[Provento p/Ação]])</f>
        <v>0</v>
      </c>
      <c r="K45" s="143" t="str">
        <f>IF([Lucro p/Ação]&lt;&gt;0,SUMPRODUCT(N([Papel]=Tabela8[[#This Row],[Papel]]),N([Exercício]=Tabela8[[#This Row],[Exercício]]),[Líquido p/Ação]),"")</f>
        <v/>
      </c>
      <c r="L45" s="42" t="str">
        <f>IF(Tabela8[[#This Row],[Lucro p/Ação]]="","",IF(Tabela8[[#This Row],[Lucro p/Ação]]&gt;0,Tabela8[[#This Row],[Total Exercício]]/Tabela8[[#This Row],[Lucro p/Ação]],0))</f>
        <v/>
      </c>
      <c r="M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" s="14" t="str">
        <f>IF(Tabela8[[#This Row],[Média Lucro p/Ação]]&lt;&gt;"",Tabela8[[#This Row],[Média Pago]]/Tabela8[[#This Row],[Média Lucro p/Ação]],"")</f>
        <v/>
      </c>
      <c r="P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" s="5">
        <f>SUMPRODUCT(N(Tabela1[Código]=Tabela8[[#This Row],[Papel]]),Tabela1[Fechamento])</f>
        <v>0.43</v>
      </c>
      <c r="R45" s="5">
        <f>SUMPRODUCT(N(Tabela17[Código]=Tabela8[[#This Row],[Papel]]),Tabela17[Fechamento])</f>
        <v>0</v>
      </c>
      <c r="S45" s="7">
        <f>SUMPRODUCT(N(Tabela176[Código]=Tabela8[[#This Row],[Papel]]),Tabela176[Fechamento])</f>
        <v>0</v>
      </c>
      <c r="T45" s="7">
        <f>SUMPRODUCT(N(Tabela1768[Código]=Tabela8[[#This Row],[Papel]]),Tabela1768[Fechamento])</f>
        <v>0</v>
      </c>
      <c r="U45" s="7">
        <f>SUMPRODUCT(N(Tabela17683[Código]=Tabela8[[#This Row],[Papel]]),Tabela17683[Fechamento])</f>
        <v>0</v>
      </c>
      <c r="V45" s="17">
        <f>IF(MAX(Tabela8[[#This Row],[Cotação 1]]:Tabela8[[#This Row],[Cotação 5]])=0,"",MAX(Tabela8[[#This Row],[Cotação 1]]:Tabela8[[#This Row],[Cotação 5]]))</f>
        <v>0.43</v>
      </c>
      <c r="W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" s="17" t="str">
        <f>IF(AND([Ref]=5,[Cotação]&gt;0,[Cotação]&lt;&gt;""),[Total Exercício]/[Cotação],IF([Ref]&lt;4,0,""))</f>
        <v/>
      </c>
      <c r="Y45" s="17">
        <f>IF([Tipo]="div",1,0)</f>
        <v>0</v>
      </c>
      <c r="Z45" s="17">
        <f>IF([Tipo]="jcp",1,0)</f>
        <v>0</v>
      </c>
    </row>
    <row r="46" spans="1:26" hidden="1">
      <c r="A46" s="4" t="s">
        <v>14</v>
      </c>
      <c r="B46" s="57" t="s">
        <v>59</v>
      </c>
      <c r="C46" s="15">
        <v>4</v>
      </c>
      <c r="D46" s="4"/>
      <c r="E46" s="4"/>
      <c r="F46" s="4"/>
      <c r="G46" s="4"/>
      <c r="H46" s="4"/>
      <c r="I46" s="4"/>
      <c r="J46" s="17">
        <f>IF(Tabela8[[#This Row],[Tipo]]="jcp",Tabela8[[#This Row],[Provento p/Ação]]*85%,Tabela8[[#This Row],[Provento p/Ação]])</f>
        <v>0</v>
      </c>
      <c r="K46" s="143" t="str">
        <f>IF([Lucro p/Ação]&lt;&gt;0,SUMPRODUCT(N([Papel]=Tabela8[[#This Row],[Papel]]),N([Exercício]=Tabela8[[#This Row],[Exercício]]),[Líquido p/Ação]),"")</f>
        <v/>
      </c>
      <c r="L46" s="42" t="str">
        <f>IF(Tabela8[[#This Row],[Lucro p/Ação]]="","",IF(Tabela8[[#This Row],[Lucro p/Ação]]&gt;0,Tabela8[[#This Row],[Total Exercício]]/Tabela8[[#This Row],[Lucro p/Ação]],0))</f>
        <v/>
      </c>
      <c r="M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" s="14" t="str">
        <f>IF(Tabela8[[#This Row],[Média Lucro p/Ação]]&lt;&gt;"",Tabela8[[#This Row],[Média Pago]]/Tabela8[[#This Row],[Média Lucro p/Ação]],"")</f>
        <v/>
      </c>
      <c r="P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" s="5">
        <f>SUMPRODUCT(N(Tabela1[Código]=Tabela8[[#This Row],[Papel]]),Tabela1[Fechamento])</f>
        <v>0.42</v>
      </c>
      <c r="R46" s="5">
        <f>SUMPRODUCT(N(Tabela17[Código]=Tabela8[[#This Row],[Papel]]),Tabela17[Fechamento])</f>
        <v>0</v>
      </c>
      <c r="S46" s="7">
        <f>SUMPRODUCT(N(Tabela176[Código]=Tabela8[[#This Row],[Papel]]),Tabela176[Fechamento])</f>
        <v>0</v>
      </c>
      <c r="T46" s="7">
        <f>SUMPRODUCT(N(Tabela1768[Código]=Tabela8[[#This Row],[Papel]]),Tabela1768[Fechamento])</f>
        <v>0</v>
      </c>
      <c r="U46" s="7">
        <f>SUMPRODUCT(N(Tabela17683[Código]=Tabela8[[#This Row],[Papel]]),Tabela17683[Fechamento])</f>
        <v>0</v>
      </c>
      <c r="V46" s="17">
        <f>IF(MAX(Tabela8[[#This Row],[Cotação 1]]:Tabela8[[#This Row],[Cotação 5]])=0,"",MAX(Tabela8[[#This Row],[Cotação 1]]:Tabela8[[#This Row],[Cotação 5]]))</f>
        <v>0.42</v>
      </c>
      <c r="W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" s="17" t="str">
        <f>IF(AND([Ref]=5,[Cotação]&gt;0,[Cotação]&lt;&gt;""),[Total Exercício]/[Cotação],IF([Ref]&lt;4,0,""))</f>
        <v/>
      </c>
      <c r="Y46" s="17">
        <f>IF([Tipo]="div",1,0)</f>
        <v>0</v>
      </c>
      <c r="Z46" s="17">
        <f>IF([Tipo]="jcp",1,0)</f>
        <v>0</v>
      </c>
    </row>
    <row r="47" spans="1:26" hidden="1">
      <c r="A47" s="4" t="s">
        <v>570</v>
      </c>
      <c r="B47" s="57" t="s">
        <v>571</v>
      </c>
      <c r="C47" s="15">
        <v>4</v>
      </c>
      <c r="D47" s="4"/>
      <c r="E47" s="4"/>
      <c r="F47" s="4"/>
      <c r="G47" s="4"/>
      <c r="H47" s="4"/>
      <c r="I47" s="4"/>
      <c r="J47" s="17">
        <f>IF(Tabela8[[#This Row],[Tipo]]="jcp",Tabela8[[#This Row],[Provento p/Ação]]*85%,Tabela8[[#This Row],[Provento p/Ação]])</f>
        <v>0</v>
      </c>
      <c r="K47" s="143" t="str">
        <f>IF([Lucro p/Ação]&lt;&gt;0,SUMPRODUCT(N([Papel]=Tabela8[[#This Row],[Papel]]),N([Exercício]=Tabela8[[#This Row],[Exercício]]),[Líquido p/Ação]),"")</f>
        <v/>
      </c>
      <c r="L47" s="42" t="str">
        <f>IF(Tabela8[[#This Row],[Lucro p/Ação]]="","",IF(Tabela8[[#This Row],[Lucro p/Ação]]&gt;0,Tabela8[[#This Row],[Total Exercício]]/Tabela8[[#This Row],[Lucro p/Ação]],0))</f>
        <v/>
      </c>
      <c r="M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" s="14" t="str">
        <f>IF(Tabela8[[#This Row],[Média Lucro p/Ação]]&lt;&gt;"",Tabela8[[#This Row],[Média Pago]]/Tabela8[[#This Row],[Média Lucro p/Ação]],"")</f>
        <v/>
      </c>
      <c r="P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" s="17">
        <f>SUMPRODUCT(N(Tabela1[Código]=Tabela8[[#This Row],[Papel]]),Tabela1[Fechamento])</f>
        <v>0</v>
      </c>
      <c r="R47" s="17">
        <f>SUMPRODUCT(N(Tabela17[Código]=Tabela8[[#This Row],[Papel]]),Tabela17[Fechamento])</f>
        <v>0</v>
      </c>
      <c r="S47" s="17">
        <f>SUMPRODUCT(N(Tabela176[Código]=Tabela8[[#This Row],[Papel]]),Tabela176[Fechamento])</f>
        <v>7.9</v>
      </c>
      <c r="T47" s="17">
        <f>SUMPRODUCT(N(Tabela1768[Código]=Tabela8[[#This Row],[Papel]]),Tabela1768[Fechamento])</f>
        <v>0</v>
      </c>
      <c r="U47" s="7">
        <f>SUMPRODUCT(N(Tabela17683[Código]=Tabela8[[#This Row],[Papel]]),Tabela17683[Fechamento])</f>
        <v>0</v>
      </c>
      <c r="V47" s="17">
        <f>IF(MAX(Tabela8[[#This Row],[Cotação 1]]:Tabela8[[#This Row],[Cotação 5]])=0,"",MAX(Tabela8[[#This Row],[Cotação 1]]:Tabela8[[#This Row],[Cotação 5]]))</f>
        <v>7.9</v>
      </c>
      <c r="W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" s="17" t="str">
        <f>IF(AND([Ref]=5,[Cotação]&gt;0,[Cotação]&lt;&gt;""),[Total Exercício]/[Cotação],IF([Ref]&lt;4,0,""))</f>
        <v/>
      </c>
      <c r="Y47" s="17">
        <f>IF([Tipo]="div",1,0)</f>
        <v>0</v>
      </c>
      <c r="Z47" s="17">
        <f>IF([Tipo]="jcp",1,0)</f>
        <v>0</v>
      </c>
    </row>
    <row r="48" spans="1:26" hidden="1">
      <c r="A48" s="4" t="s">
        <v>14</v>
      </c>
      <c r="B48" s="57" t="s">
        <v>196</v>
      </c>
      <c r="C48" s="15">
        <v>4</v>
      </c>
      <c r="D48" s="4"/>
      <c r="E48" s="4"/>
      <c r="F48" s="4"/>
      <c r="G48" s="4"/>
      <c r="H48" s="4"/>
      <c r="I48" s="4"/>
      <c r="J48" s="17">
        <f>IF(Tabela8[[#This Row],[Tipo]]="jcp",Tabela8[[#This Row],[Provento p/Ação]]*85%,Tabela8[[#This Row],[Provento p/Ação]])</f>
        <v>0</v>
      </c>
      <c r="K48" s="143" t="str">
        <f>IF([Lucro p/Ação]&lt;&gt;0,SUMPRODUCT(N([Papel]=Tabela8[[#This Row],[Papel]]),N([Exercício]=Tabela8[[#This Row],[Exercício]]),[Líquido p/Ação]),"")</f>
        <v/>
      </c>
      <c r="L48" s="42" t="str">
        <f>IF(Tabela8[[#This Row],[Lucro p/Ação]]="","",IF(Tabela8[[#This Row],[Lucro p/Ação]]&gt;0,Tabela8[[#This Row],[Total Exercício]]/Tabela8[[#This Row],[Lucro p/Ação]],0))</f>
        <v/>
      </c>
      <c r="M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" s="14" t="str">
        <f>IF(Tabela8[[#This Row],[Média Lucro p/Ação]]&lt;&gt;"",Tabela8[[#This Row],[Média Pago]]/Tabela8[[#This Row],[Média Lucro p/Ação]],"")</f>
        <v/>
      </c>
      <c r="P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" s="5">
        <f>SUMPRODUCT(N(Tabela1[Código]=Tabela8[[#This Row],[Papel]]),Tabela1[Fechamento])</f>
        <v>43.25</v>
      </c>
      <c r="R48" s="5">
        <f>SUMPRODUCT(N(Tabela17[Código]=Tabela8[[#This Row],[Papel]]),Tabela17[Fechamento])</f>
        <v>0</v>
      </c>
      <c r="S48" s="7">
        <f>SUMPRODUCT(N(Tabela176[Código]=Tabela8[[#This Row],[Papel]]),Tabela176[Fechamento])</f>
        <v>0</v>
      </c>
      <c r="T48" s="7">
        <f>SUMPRODUCT(N(Tabela1768[Código]=Tabela8[[#This Row],[Papel]]),Tabela1768[Fechamento])</f>
        <v>0</v>
      </c>
      <c r="U48" s="7">
        <f>SUMPRODUCT(N(Tabela17683[Código]=Tabela8[[#This Row],[Papel]]),Tabela17683[Fechamento])</f>
        <v>0</v>
      </c>
      <c r="V48" s="17">
        <f>IF(MAX(Tabela8[[#This Row],[Cotação 1]]:Tabela8[[#This Row],[Cotação 5]])=0,"",MAX(Tabela8[[#This Row],[Cotação 1]]:Tabela8[[#This Row],[Cotação 5]]))</f>
        <v>43.25</v>
      </c>
      <c r="W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" s="17" t="str">
        <f>IF(AND([Ref]=5,[Cotação]&gt;0,[Cotação]&lt;&gt;""),[Total Exercício]/[Cotação],IF([Ref]&lt;4,0,""))</f>
        <v/>
      </c>
      <c r="Y48" s="17">
        <f>IF([Tipo]="div",1,0)</f>
        <v>0</v>
      </c>
      <c r="Z48" s="17">
        <f>IF([Tipo]="jcp",1,0)</f>
        <v>0</v>
      </c>
    </row>
    <row r="49" spans="1:26" hidden="1">
      <c r="A49" s="4" t="s">
        <v>14</v>
      </c>
      <c r="B49" s="57" t="s">
        <v>197</v>
      </c>
      <c r="C49" s="15">
        <v>4</v>
      </c>
      <c r="D49" s="4"/>
      <c r="E49" s="4"/>
      <c r="F49" s="4"/>
      <c r="G49" s="4"/>
      <c r="H49" s="4"/>
      <c r="I49" s="4"/>
      <c r="J49" s="17">
        <f>IF(Tabela8[[#This Row],[Tipo]]="jcp",Tabela8[[#This Row],[Provento p/Ação]]*85%,Tabela8[[#This Row],[Provento p/Ação]])</f>
        <v>0</v>
      </c>
      <c r="K49" s="143" t="str">
        <f>IF([Lucro p/Ação]&lt;&gt;0,SUMPRODUCT(N([Papel]=Tabela8[[#This Row],[Papel]]),N([Exercício]=Tabela8[[#This Row],[Exercício]]),[Líquido p/Ação]),"")</f>
        <v/>
      </c>
      <c r="L49" s="42" t="str">
        <f>IF(Tabela8[[#This Row],[Lucro p/Ação]]="","",IF(Tabela8[[#This Row],[Lucro p/Ação]]&gt;0,Tabela8[[#This Row],[Total Exercício]]/Tabela8[[#This Row],[Lucro p/Ação]],0))</f>
        <v/>
      </c>
      <c r="M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" s="14" t="str">
        <f>IF(Tabela8[[#This Row],[Média Lucro p/Ação]]&lt;&gt;"",Tabela8[[#This Row],[Média Pago]]/Tabela8[[#This Row],[Média Lucro p/Ação]],"")</f>
        <v/>
      </c>
      <c r="P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" s="5">
        <f>SUMPRODUCT(N(Tabela1[Código]=Tabela8[[#This Row],[Papel]]),Tabela1[Fechamento])</f>
        <v>43</v>
      </c>
      <c r="R49" s="5">
        <f>SUMPRODUCT(N(Tabela17[Código]=Tabela8[[#This Row],[Papel]]),Tabela17[Fechamento])</f>
        <v>0</v>
      </c>
      <c r="S49" s="7">
        <f>SUMPRODUCT(N(Tabela176[Código]=Tabela8[[#This Row],[Papel]]),Tabela176[Fechamento])</f>
        <v>0</v>
      </c>
      <c r="T49" s="7">
        <f>SUMPRODUCT(N(Tabela1768[Código]=Tabela8[[#This Row],[Papel]]),Tabela1768[Fechamento])</f>
        <v>0</v>
      </c>
      <c r="U49" s="7">
        <f>SUMPRODUCT(N(Tabela17683[Código]=Tabela8[[#This Row],[Papel]]),Tabela17683[Fechamento])</f>
        <v>0</v>
      </c>
      <c r="V49" s="17">
        <f>IF(MAX(Tabela8[[#This Row],[Cotação 1]]:Tabela8[[#This Row],[Cotação 5]])=0,"",MAX(Tabela8[[#This Row],[Cotação 1]]:Tabela8[[#This Row],[Cotação 5]]))</f>
        <v>43</v>
      </c>
      <c r="W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" s="17" t="str">
        <f>IF(AND([Ref]=5,[Cotação]&gt;0,[Cotação]&lt;&gt;""),[Total Exercício]/[Cotação],IF([Ref]&lt;4,0,""))</f>
        <v/>
      </c>
      <c r="Y49" s="17">
        <f>IF([Tipo]="div",1,0)</f>
        <v>0</v>
      </c>
      <c r="Z49" s="17">
        <f>IF([Tipo]="jcp",1,0)</f>
        <v>0</v>
      </c>
    </row>
    <row r="50" spans="1:26" hidden="1">
      <c r="A50" s="4" t="s">
        <v>14</v>
      </c>
      <c r="B50" s="57" t="s">
        <v>202</v>
      </c>
      <c r="C50" s="15">
        <v>4</v>
      </c>
      <c r="D50" s="4"/>
      <c r="E50" s="4"/>
      <c r="F50" s="4"/>
      <c r="G50" s="4"/>
      <c r="H50" s="4"/>
      <c r="I50" s="4"/>
      <c r="J50" s="17">
        <f>IF(Tabela8[[#This Row],[Tipo]]="jcp",Tabela8[[#This Row],[Provento p/Ação]]*85%,Tabela8[[#This Row],[Provento p/Ação]])</f>
        <v>0</v>
      </c>
      <c r="K50" s="143" t="str">
        <f>IF([Lucro p/Ação]&lt;&gt;0,SUMPRODUCT(N([Papel]=Tabela8[[#This Row],[Papel]]),N([Exercício]=Tabela8[[#This Row],[Exercício]]),[Líquido p/Ação]),"")</f>
        <v/>
      </c>
      <c r="L50" s="42" t="str">
        <f>IF(Tabela8[[#This Row],[Lucro p/Ação]]="","",IF(Tabela8[[#This Row],[Lucro p/Ação]]&gt;0,Tabela8[[#This Row],[Total Exercício]]/Tabela8[[#This Row],[Lucro p/Ação]],0))</f>
        <v/>
      </c>
      <c r="M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" s="14" t="str">
        <f>IF(Tabela8[[#This Row],[Média Lucro p/Ação]]&lt;&gt;"",Tabela8[[#This Row],[Média Pago]]/Tabela8[[#This Row],[Média Lucro p/Ação]],"")</f>
        <v/>
      </c>
      <c r="P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" s="5">
        <f>SUMPRODUCT(N(Tabela1[Código]=Tabela8[[#This Row],[Papel]]),Tabela1[Fechamento])</f>
        <v>7.21</v>
      </c>
      <c r="R50" s="5">
        <f>SUMPRODUCT(N(Tabela17[Código]=Tabela8[[#This Row],[Papel]]),Tabela17[Fechamento])</f>
        <v>0</v>
      </c>
      <c r="S50" s="7">
        <f>SUMPRODUCT(N(Tabela176[Código]=Tabela8[[#This Row],[Papel]]),Tabela176[Fechamento])</f>
        <v>0</v>
      </c>
      <c r="T50" s="7">
        <f>SUMPRODUCT(N(Tabela1768[Código]=Tabela8[[#This Row],[Papel]]),Tabela1768[Fechamento])</f>
        <v>0</v>
      </c>
      <c r="U50" s="7">
        <f>SUMPRODUCT(N(Tabela17683[Código]=Tabela8[[#This Row],[Papel]]),Tabela17683[Fechamento])</f>
        <v>0</v>
      </c>
      <c r="V50" s="17">
        <f>IF(MAX(Tabela8[[#This Row],[Cotação 1]]:Tabela8[[#This Row],[Cotação 5]])=0,"",MAX(Tabela8[[#This Row],[Cotação 1]]:Tabela8[[#This Row],[Cotação 5]]))</f>
        <v>7.21</v>
      </c>
      <c r="W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" s="17" t="str">
        <f>IF(AND([Ref]=5,[Cotação]&gt;0,[Cotação]&lt;&gt;""),[Total Exercício]/[Cotação],IF([Ref]&lt;4,0,""))</f>
        <v/>
      </c>
      <c r="Y50" s="17">
        <f>IF([Tipo]="div",1,0)</f>
        <v>0</v>
      </c>
      <c r="Z50" s="17">
        <f>IF([Tipo]="jcp",1,0)</f>
        <v>0</v>
      </c>
    </row>
    <row r="51" spans="1:26" hidden="1">
      <c r="A51" s="4" t="s">
        <v>14</v>
      </c>
      <c r="B51" s="57" t="s">
        <v>10</v>
      </c>
      <c r="C51" s="15">
        <v>4</v>
      </c>
      <c r="D51" s="4"/>
      <c r="E51" s="4"/>
      <c r="F51" s="4"/>
      <c r="G51" s="4"/>
      <c r="H51" s="4"/>
      <c r="I51" s="4"/>
      <c r="J51" s="17">
        <f>IF(Tabela8[[#This Row],[Tipo]]="jcp",Tabela8[[#This Row],[Provento p/Ação]]*85%,Tabela8[[#This Row],[Provento p/Ação]])</f>
        <v>0</v>
      </c>
      <c r="K51" s="143" t="str">
        <f>IF([Lucro p/Ação]&lt;&gt;0,SUMPRODUCT(N([Papel]=Tabela8[[#This Row],[Papel]]),N([Exercício]=Tabela8[[#This Row],[Exercício]]),[Líquido p/Ação]),"")</f>
        <v/>
      </c>
      <c r="L51" s="42" t="str">
        <f>IF(Tabela8[[#This Row],[Lucro p/Ação]]="","",IF(Tabela8[[#This Row],[Lucro p/Ação]]&gt;0,Tabela8[[#This Row],[Total Exercício]]/Tabela8[[#This Row],[Lucro p/Ação]],0))</f>
        <v/>
      </c>
      <c r="M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" s="14" t="str">
        <f>IF(Tabela8[[#This Row],[Média Lucro p/Ação]]&lt;&gt;"",Tabela8[[#This Row],[Média Pago]]/Tabela8[[#This Row],[Média Lucro p/Ação]],"")</f>
        <v/>
      </c>
      <c r="P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" s="5">
        <f>SUMPRODUCT(N(Tabela1[Código]=Tabela8[[#This Row],[Papel]]),Tabela1[Fechamento])</f>
        <v>7.15</v>
      </c>
      <c r="R51" s="5">
        <f>SUMPRODUCT(N(Tabela17[Código]=Tabela8[[#This Row],[Papel]]),Tabela17[Fechamento])</f>
        <v>0</v>
      </c>
      <c r="S51" s="7">
        <f>SUMPRODUCT(N(Tabela176[Código]=Tabela8[[#This Row],[Papel]]),Tabela176[Fechamento])</f>
        <v>0</v>
      </c>
      <c r="T51" s="7">
        <f>SUMPRODUCT(N(Tabela1768[Código]=Tabela8[[#This Row],[Papel]]),Tabela1768[Fechamento])</f>
        <v>0</v>
      </c>
      <c r="U51" s="7">
        <f>SUMPRODUCT(N(Tabela17683[Código]=Tabela8[[#This Row],[Papel]]),Tabela17683[Fechamento])</f>
        <v>0</v>
      </c>
      <c r="V51" s="17">
        <f>IF(MAX(Tabela8[[#This Row],[Cotação 1]]:Tabela8[[#This Row],[Cotação 5]])=0,"",MAX(Tabela8[[#This Row],[Cotação 1]]:Tabela8[[#This Row],[Cotação 5]]))</f>
        <v>7.15</v>
      </c>
      <c r="W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" s="17" t="str">
        <f>IF(AND([Ref]=5,[Cotação]&gt;0,[Cotação]&lt;&gt;""),[Total Exercício]/[Cotação],IF([Ref]&lt;4,0,""))</f>
        <v/>
      </c>
      <c r="Y51" s="17">
        <f>IF([Tipo]="div",1,0)</f>
        <v>0</v>
      </c>
      <c r="Z51" s="17">
        <f>IF([Tipo]="jcp",1,0)</f>
        <v>0</v>
      </c>
    </row>
    <row r="52" spans="1:26" hidden="1">
      <c r="A52" s="4" t="s">
        <v>733</v>
      </c>
      <c r="B52" s="57" t="s">
        <v>729</v>
      </c>
      <c r="C52" s="15">
        <v>3</v>
      </c>
      <c r="D52" s="4"/>
      <c r="E52" s="4"/>
      <c r="F52" s="4"/>
      <c r="G52" s="4"/>
      <c r="H52" s="4"/>
      <c r="I52" s="4"/>
      <c r="J52" s="17">
        <f>IF(Tabela8[[#This Row],[Tipo]]="jcp",Tabela8[[#This Row],[Provento p/Ação]]*85%,Tabela8[[#This Row],[Provento p/Ação]])</f>
        <v>0</v>
      </c>
      <c r="K52" s="143" t="str">
        <f>IF([Lucro p/Ação]&lt;&gt;0,SUMPRODUCT(N([Papel]=Tabela8[[#This Row],[Papel]]),N([Exercício]=Tabela8[[#This Row],[Exercício]]),[Líquido p/Ação]),"")</f>
        <v/>
      </c>
      <c r="L52" s="42" t="str">
        <f>IF(Tabela8[[#This Row],[Lucro p/Ação]]="","",IF(Tabela8[[#This Row],[Lucro p/Ação]]&gt;0,Tabela8[[#This Row],[Total Exercício]]/Tabela8[[#This Row],[Lucro p/Ação]],0))</f>
        <v/>
      </c>
      <c r="M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" s="14" t="str">
        <f>IF(Tabela8[[#This Row],[Média Lucro p/Ação]]&lt;&gt;"",Tabela8[[#This Row],[Média Pago]]/Tabela8[[#This Row],[Média Lucro p/Ação]],"")</f>
        <v/>
      </c>
      <c r="P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" s="17">
        <f>SUMPRODUCT(N(Tabela1[Código]=Tabela8[[#This Row],[Papel]]),Tabela1[Fechamento])</f>
        <v>0</v>
      </c>
      <c r="R52" s="17">
        <f>SUMPRODUCT(N(Tabela17[Código]=Tabela8[[#This Row],[Papel]]),Tabela17[Fechamento])</f>
        <v>0</v>
      </c>
      <c r="S52" s="17">
        <f>SUMPRODUCT(N(Tabela176[Código]=Tabela8[[#This Row],[Papel]]),Tabela176[Fechamento])</f>
        <v>9.75</v>
      </c>
      <c r="T52" s="17">
        <f>SUMPRODUCT(N(Tabela1768[Código]=Tabela8[[#This Row],[Papel]]),Tabela1768[Fechamento])</f>
        <v>0</v>
      </c>
      <c r="U52" s="7">
        <f>SUMPRODUCT(N(Tabela17683[Código]=Tabela8[[#This Row],[Papel]]),Tabela17683[Fechamento])</f>
        <v>0</v>
      </c>
      <c r="V52" s="17">
        <f>IF(MAX(Tabela8[[#This Row],[Cotação 1]]:Tabela8[[#This Row],[Cotação 5]])=0,"",MAX(Tabela8[[#This Row],[Cotação 1]]:Tabela8[[#This Row],[Cotação 5]]))</f>
        <v>9.75</v>
      </c>
      <c r="W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" s="17">
        <f>IF(AND([Ref]=5,[Cotação]&gt;0,[Cotação]&lt;&gt;""),[Total Exercício]/[Cotação],IF([Ref]&lt;4,0,""))</f>
        <v>0</v>
      </c>
      <c r="Y52" s="17">
        <f>IF([Tipo]="div",1,0)</f>
        <v>0</v>
      </c>
      <c r="Z52" s="17">
        <f>IF([Tipo]="jcp",1,0)</f>
        <v>0</v>
      </c>
    </row>
    <row r="53" spans="1:26" hidden="1">
      <c r="A53" s="3" t="s">
        <v>1019</v>
      </c>
      <c r="B53" s="58" t="s">
        <v>1020</v>
      </c>
      <c r="C53" s="16">
        <v>3</v>
      </c>
      <c r="D53" s="4"/>
      <c r="E53" s="4"/>
      <c r="F53" s="4"/>
      <c r="G53" s="4"/>
      <c r="H53" s="4"/>
      <c r="I53" s="4"/>
      <c r="J53" s="17">
        <f>IF(Tabela8[[#This Row],[Tipo]]="jcp",Tabela8[[#This Row],[Provento p/Ação]]*85%,Tabela8[[#This Row],[Provento p/Ação]])</f>
        <v>0</v>
      </c>
      <c r="K53" s="143" t="str">
        <f>IF([Lucro p/Ação]&lt;&gt;0,SUMPRODUCT(N([Papel]=Tabela8[[#This Row],[Papel]]),N([Exercício]=Tabela8[[#This Row],[Exercício]]),[Líquido p/Ação]),"")</f>
        <v/>
      </c>
      <c r="L53" s="42" t="str">
        <f>IF(Tabela8[[#This Row],[Lucro p/Ação]]="","",IF(Tabela8[[#This Row],[Lucro p/Ação]]&gt;0,Tabela8[[#This Row],[Total Exercício]]/Tabela8[[#This Row],[Lucro p/Ação]],0))</f>
        <v/>
      </c>
      <c r="M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" s="14" t="str">
        <f>IF(Tabela8[[#This Row],[Média Lucro p/Ação]]&lt;&gt;"",Tabela8[[#This Row],[Média Pago]]/Tabela8[[#This Row],[Média Lucro p/Ação]],"")</f>
        <v/>
      </c>
      <c r="P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" s="7">
        <f>SUMPRODUCT(N(Tabela1[Código]=Tabela8[[#This Row],[Papel]]),Tabela1[Fechamento])</f>
        <v>0</v>
      </c>
      <c r="R53" s="7">
        <f>SUMPRODUCT(N(Tabela17[Código]=Tabela8[[#This Row],[Papel]]),Tabela17[Fechamento])</f>
        <v>0</v>
      </c>
      <c r="S53" s="7">
        <f>SUMPRODUCT(N(Tabela176[Código]=Tabela8[[#This Row],[Papel]]),Tabela176[Fechamento])</f>
        <v>0</v>
      </c>
      <c r="T53" s="7">
        <f>SUMPRODUCT(N(Tabela1768[Código]=Tabela8[[#This Row],[Papel]]),Tabela1768[Fechamento])</f>
        <v>1.46</v>
      </c>
      <c r="U53" s="7">
        <f>SUMPRODUCT(N(Tabela17683[Código]=Tabela8[[#This Row],[Papel]]),Tabela17683[Fechamento])</f>
        <v>0</v>
      </c>
      <c r="V53" s="17">
        <f>IF(MAX(Tabela8[[#This Row],[Cotação 1]]:Tabela8[[#This Row],[Cotação 5]])=0,"",MAX(Tabela8[[#This Row],[Cotação 1]]:Tabela8[[#This Row],[Cotação 5]]))</f>
        <v>1.46</v>
      </c>
      <c r="W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" s="17">
        <f>IF(AND([Ref]=5,[Cotação]&gt;0,[Cotação]&lt;&gt;""),[Total Exercício]/[Cotação],IF([Ref]&lt;4,0,""))</f>
        <v>0</v>
      </c>
      <c r="Y53" s="17">
        <f>IF([Tipo]="div",1,0)</f>
        <v>0</v>
      </c>
      <c r="Z53" s="17">
        <f>IF([Tipo]="jcp",1,0)</f>
        <v>0</v>
      </c>
    </row>
    <row r="54" spans="1:26" hidden="1">
      <c r="A54" s="4" t="s">
        <v>14</v>
      </c>
      <c r="B54" s="57" t="s">
        <v>536</v>
      </c>
      <c r="C54" s="15">
        <v>4</v>
      </c>
      <c r="D54" s="4"/>
      <c r="E54" s="4"/>
      <c r="F54" s="4"/>
      <c r="G54" s="4"/>
      <c r="H54" s="4"/>
      <c r="I54" s="4"/>
      <c r="J54" s="17">
        <f>IF(Tabela8[[#This Row],[Tipo]]="jcp",Tabela8[[#This Row],[Provento p/Ação]]*85%,Tabela8[[#This Row],[Provento p/Ação]])</f>
        <v>0</v>
      </c>
      <c r="K54" s="143" t="str">
        <f>IF([Lucro p/Ação]&lt;&gt;0,SUMPRODUCT(N([Papel]=Tabela8[[#This Row],[Papel]]),N([Exercício]=Tabela8[[#This Row],[Exercício]]),[Líquido p/Ação]),"")</f>
        <v/>
      </c>
      <c r="L54" s="42" t="str">
        <f>IF(Tabela8[[#This Row],[Lucro p/Ação]]="","",IF(Tabela8[[#This Row],[Lucro p/Ação]]&gt;0,Tabela8[[#This Row],[Total Exercício]]/Tabela8[[#This Row],[Lucro p/Ação]],0))</f>
        <v/>
      </c>
      <c r="M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" s="14" t="str">
        <f>IF(Tabela8[[#This Row],[Média Lucro p/Ação]]&lt;&gt;"",Tabela8[[#This Row],[Média Pago]]/Tabela8[[#This Row],[Média Lucro p/Ação]],"")</f>
        <v/>
      </c>
      <c r="P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" s="17">
        <f>SUMPRODUCT(N(Tabela1[Código]=Tabela8[[#This Row],[Papel]]),Tabela1[Fechamento])</f>
        <v>0</v>
      </c>
      <c r="R54" s="17">
        <f>SUMPRODUCT(N(Tabela17[Código]=Tabela8[[#This Row],[Papel]]),Tabela17[Fechamento])</f>
        <v>0</v>
      </c>
      <c r="S54" s="17">
        <f>SUMPRODUCT(N(Tabela176[Código]=Tabela8[[#This Row],[Papel]]),Tabela176[Fechamento])</f>
        <v>11.5</v>
      </c>
      <c r="T54" s="17">
        <f>SUMPRODUCT(N(Tabela1768[Código]=Tabela8[[#This Row],[Papel]]),Tabela1768[Fechamento])</f>
        <v>0</v>
      </c>
      <c r="U54" s="7">
        <f>SUMPRODUCT(N(Tabela17683[Código]=Tabela8[[#This Row],[Papel]]),Tabela17683[Fechamento])</f>
        <v>0</v>
      </c>
      <c r="V54" s="17">
        <f>IF(MAX(Tabela8[[#This Row],[Cotação 1]]:Tabela8[[#This Row],[Cotação 5]])=0,"",MAX(Tabela8[[#This Row],[Cotação 1]]:Tabela8[[#This Row],[Cotação 5]]))</f>
        <v>11.5</v>
      </c>
      <c r="W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" s="17" t="str">
        <f>IF(AND([Ref]=5,[Cotação]&gt;0,[Cotação]&lt;&gt;""),[Total Exercício]/[Cotação],IF([Ref]&lt;4,0,""))</f>
        <v/>
      </c>
      <c r="Y54" s="17">
        <f>IF([Tipo]="div",1,0)</f>
        <v>0</v>
      </c>
      <c r="Z54" s="17">
        <f>IF([Tipo]="jcp",1,0)</f>
        <v>0</v>
      </c>
    </row>
    <row r="55" spans="1:26" hidden="1">
      <c r="A55" s="4" t="s">
        <v>14</v>
      </c>
      <c r="B55" s="57" t="s">
        <v>537</v>
      </c>
      <c r="C55" s="15">
        <v>4</v>
      </c>
      <c r="D55" s="4"/>
      <c r="E55" s="4"/>
      <c r="F55" s="4"/>
      <c r="G55" s="4"/>
      <c r="H55" s="4"/>
      <c r="I55" s="4"/>
      <c r="J55" s="17">
        <f>IF(Tabela8[[#This Row],[Tipo]]="jcp",Tabela8[[#This Row],[Provento p/Ação]]*85%,Tabela8[[#This Row],[Provento p/Ação]])</f>
        <v>0</v>
      </c>
      <c r="K55" s="143" t="str">
        <f>IF([Lucro p/Ação]&lt;&gt;0,SUMPRODUCT(N([Papel]=Tabela8[[#This Row],[Papel]]),N([Exercício]=Tabela8[[#This Row],[Exercício]]),[Líquido p/Ação]),"")</f>
        <v/>
      </c>
      <c r="L55" s="42" t="str">
        <f>IF(Tabela8[[#This Row],[Lucro p/Ação]]="","",IF(Tabela8[[#This Row],[Lucro p/Ação]]&gt;0,Tabela8[[#This Row],[Total Exercício]]/Tabela8[[#This Row],[Lucro p/Ação]],0))</f>
        <v/>
      </c>
      <c r="M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" s="14" t="str">
        <f>IF(Tabela8[[#This Row],[Média Lucro p/Ação]]&lt;&gt;"",Tabela8[[#This Row],[Média Pago]]/Tabela8[[#This Row],[Média Lucro p/Ação]],"")</f>
        <v/>
      </c>
      <c r="P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" s="17">
        <f>SUMPRODUCT(N(Tabela1[Código]=Tabela8[[#This Row],[Papel]]),Tabela1[Fechamento])</f>
        <v>0</v>
      </c>
      <c r="R55" s="17">
        <f>SUMPRODUCT(N(Tabela17[Código]=Tabela8[[#This Row],[Papel]]),Tabela17[Fechamento])</f>
        <v>0</v>
      </c>
      <c r="S55" s="17">
        <f>SUMPRODUCT(N(Tabela176[Código]=Tabela8[[#This Row],[Papel]]),Tabela176[Fechamento])</f>
        <v>6.61</v>
      </c>
      <c r="T55" s="17">
        <f>SUMPRODUCT(N(Tabela1768[Código]=Tabela8[[#This Row],[Papel]]),Tabela1768[Fechamento])</f>
        <v>0</v>
      </c>
      <c r="U55" s="7">
        <f>SUMPRODUCT(N(Tabela17683[Código]=Tabela8[[#This Row],[Papel]]),Tabela17683[Fechamento])</f>
        <v>0</v>
      </c>
      <c r="V55" s="17">
        <f>IF(MAX(Tabela8[[#This Row],[Cotação 1]]:Tabela8[[#This Row],[Cotação 5]])=0,"",MAX(Tabela8[[#This Row],[Cotação 1]]:Tabela8[[#This Row],[Cotação 5]]))</f>
        <v>6.61</v>
      </c>
      <c r="W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" s="17" t="str">
        <f>IF(AND([Ref]=5,[Cotação]&gt;0,[Cotação]&lt;&gt;""),[Total Exercício]/[Cotação],IF([Ref]&lt;4,0,""))</f>
        <v/>
      </c>
      <c r="Y55" s="17">
        <f>IF([Tipo]="div",1,0)</f>
        <v>0</v>
      </c>
      <c r="Z55" s="17">
        <f>IF([Tipo]="jcp",1,0)</f>
        <v>0</v>
      </c>
    </row>
    <row r="56" spans="1:26" hidden="1">
      <c r="A56" s="4" t="s">
        <v>14</v>
      </c>
      <c r="B56" s="57" t="s">
        <v>204</v>
      </c>
      <c r="C56" s="15">
        <v>4</v>
      </c>
      <c r="D56" s="4"/>
      <c r="E56" s="4"/>
      <c r="F56" s="4"/>
      <c r="G56" s="4"/>
      <c r="H56" s="4"/>
      <c r="I56" s="4"/>
      <c r="J56" s="17">
        <f>IF(Tabela8[[#This Row],[Tipo]]="jcp",Tabela8[[#This Row],[Provento p/Ação]]*85%,Tabela8[[#This Row],[Provento p/Ação]])</f>
        <v>0</v>
      </c>
      <c r="K56" s="143" t="str">
        <f>IF([Lucro p/Ação]&lt;&gt;0,SUMPRODUCT(N([Papel]=Tabela8[[#This Row],[Papel]]),N([Exercício]=Tabela8[[#This Row],[Exercício]]),[Líquido p/Ação]),"")</f>
        <v/>
      </c>
      <c r="L56" s="42" t="str">
        <f>IF(Tabela8[[#This Row],[Lucro p/Ação]]="","",IF(Tabela8[[#This Row],[Lucro p/Ação]]&gt;0,Tabela8[[#This Row],[Total Exercício]]/Tabela8[[#This Row],[Lucro p/Ação]],0))</f>
        <v/>
      </c>
      <c r="M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" s="14" t="str">
        <f>IF(Tabela8[[#This Row],[Média Lucro p/Ação]]&lt;&gt;"",Tabela8[[#This Row],[Média Pago]]/Tabela8[[#This Row],[Média Lucro p/Ação]],"")</f>
        <v/>
      </c>
      <c r="P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" s="5">
        <f>SUMPRODUCT(N(Tabela1[Código]=Tabela8[[#This Row],[Papel]]),Tabela1[Fechamento])</f>
        <v>1</v>
      </c>
      <c r="R56" s="5">
        <f>SUMPRODUCT(N(Tabela17[Código]=Tabela8[[#This Row],[Papel]]),Tabela17[Fechamento])</f>
        <v>0</v>
      </c>
      <c r="S56" s="7">
        <f>SUMPRODUCT(N(Tabela176[Código]=Tabela8[[#This Row],[Papel]]),Tabela176[Fechamento])</f>
        <v>0</v>
      </c>
      <c r="T56" s="7">
        <f>SUMPRODUCT(N(Tabela1768[Código]=Tabela8[[#This Row],[Papel]]),Tabela1768[Fechamento])</f>
        <v>0</v>
      </c>
      <c r="U56" s="7">
        <f>SUMPRODUCT(N(Tabela17683[Código]=Tabela8[[#This Row],[Papel]]),Tabela17683[Fechamento])</f>
        <v>0</v>
      </c>
      <c r="V56" s="17">
        <f>IF(MAX(Tabela8[[#This Row],[Cotação 1]]:Tabela8[[#This Row],[Cotação 5]])=0,"",MAX(Tabela8[[#This Row],[Cotação 1]]:Tabela8[[#This Row],[Cotação 5]]))</f>
        <v>1</v>
      </c>
      <c r="W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" s="17" t="str">
        <f>IF(AND([Ref]=5,[Cotação]&gt;0,[Cotação]&lt;&gt;""),[Total Exercício]/[Cotação],IF([Ref]&lt;4,0,""))</f>
        <v/>
      </c>
      <c r="Y56" s="17">
        <f>IF([Tipo]="div",1,0)</f>
        <v>0</v>
      </c>
      <c r="Z56" s="17">
        <f>IF([Tipo]="jcp",1,0)</f>
        <v>0</v>
      </c>
    </row>
    <row r="57" spans="1:26" hidden="1">
      <c r="A57" s="4" t="s">
        <v>14</v>
      </c>
      <c r="B57" s="57" t="s">
        <v>61</v>
      </c>
      <c r="C57" s="15">
        <v>4</v>
      </c>
      <c r="D57" s="4"/>
      <c r="E57" s="4"/>
      <c r="F57" s="4"/>
      <c r="G57" s="4"/>
      <c r="H57" s="4"/>
      <c r="I57" s="4"/>
      <c r="J57" s="17">
        <f>IF(Tabela8[[#This Row],[Tipo]]="jcp",Tabela8[[#This Row],[Provento p/Ação]]*85%,Tabela8[[#This Row],[Provento p/Ação]])</f>
        <v>0</v>
      </c>
      <c r="K57" s="143" t="str">
        <f>IF([Lucro p/Ação]&lt;&gt;0,SUMPRODUCT(N([Papel]=Tabela8[[#This Row],[Papel]]),N([Exercício]=Tabela8[[#This Row],[Exercício]]),[Líquido p/Ação]),"")</f>
        <v/>
      </c>
      <c r="L57" s="42" t="str">
        <f>IF(Tabela8[[#This Row],[Lucro p/Ação]]="","",IF(Tabela8[[#This Row],[Lucro p/Ação]]&gt;0,Tabela8[[#This Row],[Total Exercício]]/Tabela8[[#This Row],[Lucro p/Ação]],0))</f>
        <v/>
      </c>
      <c r="M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" s="14" t="str">
        <f>IF(Tabela8[[#This Row],[Média Lucro p/Ação]]&lt;&gt;"",Tabela8[[#This Row],[Média Pago]]/Tabela8[[#This Row],[Média Lucro p/Ação]],"")</f>
        <v/>
      </c>
      <c r="P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" s="5">
        <f>SUMPRODUCT(N(Tabela1[Código]=Tabela8[[#This Row],[Papel]]),Tabela1[Fechamento])</f>
        <v>0.21</v>
      </c>
      <c r="R57" s="5">
        <f>SUMPRODUCT(N(Tabela17[Código]=Tabela8[[#This Row],[Papel]]),Tabela17[Fechamento])</f>
        <v>0</v>
      </c>
      <c r="S57" s="7">
        <f>SUMPRODUCT(N(Tabela176[Código]=Tabela8[[#This Row],[Papel]]),Tabela176[Fechamento])</f>
        <v>0</v>
      </c>
      <c r="T57" s="7">
        <f>SUMPRODUCT(N(Tabela1768[Código]=Tabela8[[#This Row],[Papel]]),Tabela1768[Fechamento])</f>
        <v>0</v>
      </c>
      <c r="U57" s="7">
        <f>SUMPRODUCT(N(Tabela17683[Código]=Tabela8[[#This Row],[Papel]]),Tabela17683[Fechamento])</f>
        <v>0</v>
      </c>
      <c r="V57" s="17">
        <f>IF(MAX(Tabela8[[#This Row],[Cotação 1]]:Tabela8[[#This Row],[Cotação 5]])=0,"",MAX(Tabela8[[#This Row],[Cotação 1]]:Tabela8[[#This Row],[Cotação 5]]))</f>
        <v>0.21</v>
      </c>
      <c r="W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" s="17" t="str">
        <f>IF(AND([Ref]=5,[Cotação]&gt;0,[Cotação]&lt;&gt;""),[Total Exercício]/[Cotação],IF([Ref]&lt;4,0,""))</f>
        <v/>
      </c>
      <c r="Y57" s="17">
        <f>IF([Tipo]="div",1,0)</f>
        <v>0</v>
      </c>
      <c r="Z57" s="17">
        <f>IF([Tipo]="jcp",1,0)</f>
        <v>0</v>
      </c>
    </row>
    <row r="58" spans="1:26" hidden="1">
      <c r="A58" s="3" t="s">
        <v>851</v>
      </c>
      <c r="B58" s="58" t="s">
        <v>849</v>
      </c>
      <c r="C58" s="16">
        <v>3</v>
      </c>
      <c r="D58" s="4"/>
      <c r="E58" s="4"/>
      <c r="F58" s="4"/>
      <c r="G58" s="4"/>
      <c r="H58" s="4"/>
      <c r="I58" s="4"/>
      <c r="J58" s="17">
        <f>IF(Tabela8[[#This Row],[Tipo]]="jcp",Tabela8[[#This Row],[Provento p/Ação]]*85%,Tabela8[[#This Row],[Provento p/Ação]])</f>
        <v>0</v>
      </c>
      <c r="K58" s="143" t="str">
        <f>IF([Lucro p/Ação]&lt;&gt;0,SUMPRODUCT(N([Papel]=Tabela8[[#This Row],[Papel]]),N([Exercício]=Tabela8[[#This Row],[Exercício]]),[Líquido p/Ação]),"")</f>
        <v/>
      </c>
      <c r="L58" s="42" t="str">
        <f>IF(Tabela8[[#This Row],[Lucro p/Ação]]="","",IF(Tabela8[[#This Row],[Lucro p/Ação]]&gt;0,Tabela8[[#This Row],[Total Exercício]]/Tabela8[[#This Row],[Lucro p/Ação]],0))</f>
        <v/>
      </c>
      <c r="M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" s="14" t="str">
        <f>IF(Tabela8[[#This Row],[Média Lucro p/Ação]]&lt;&gt;"",Tabela8[[#This Row],[Média Pago]]/Tabela8[[#This Row],[Média Lucro p/Ação]],"")</f>
        <v/>
      </c>
      <c r="P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" s="7">
        <f>SUMPRODUCT(N(Tabela1[Código]=Tabela8[[#This Row],[Papel]]),Tabela1[Fechamento])</f>
        <v>0</v>
      </c>
      <c r="R58" s="7">
        <f>SUMPRODUCT(N(Tabela17[Código]=Tabela8[[#This Row],[Papel]]),Tabela17[Fechamento])</f>
        <v>0</v>
      </c>
      <c r="S58" s="7">
        <f>SUMPRODUCT(N(Tabela176[Código]=Tabela8[[#This Row],[Papel]]),Tabela176[Fechamento])</f>
        <v>0</v>
      </c>
      <c r="T58" s="7">
        <f>SUMPRODUCT(N(Tabela1768[Código]=Tabela8[[#This Row],[Papel]]),Tabela1768[Fechamento])</f>
        <v>360</v>
      </c>
      <c r="U58" s="7">
        <f>SUMPRODUCT(N(Tabela17683[Código]=Tabela8[[#This Row],[Papel]]),Tabela17683[Fechamento])</f>
        <v>0</v>
      </c>
      <c r="V58" s="17">
        <f>IF(MAX(Tabela8[[#This Row],[Cotação 1]]:Tabela8[[#This Row],[Cotação 5]])=0,"",MAX(Tabela8[[#This Row],[Cotação 1]]:Tabela8[[#This Row],[Cotação 5]]))</f>
        <v>360</v>
      </c>
      <c r="W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" s="17">
        <f>IF(AND([Ref]=5,[Cotação]&gt;0,[Cotação]&lt;&gt;""),[Total Exercício]/[Cotação],IF([Ref]&lt;4,0,""))</f>
        <v>0</v>
      </c>
      <c r="Y58" s="17">
        <f>IF([Tipo]="div",1,0)</f>
        <v>0</v>
      </c>
      <c r="Z58" s="17">
        <f>IF([Tipo]="jcp",1,0)</f>
        <v>0</v>
      </c>
    </row>
    <row r="59" spans="1:26" hidden="1">
      <c r="A59" s="3" t="s">
        <v>855</v>
      </c>
      <c r="B59" s="58" t="s">
        <v>860</v>
      </c>
      <c r="C59" s="16">
        <v>4</v>
      </c>
      <c r="D59" s="4"/>
      <c r="E59" s="4"/>
      <c r="F59" s="4"/>
      <c r="G59" s="4"/>
      <c r="H59" s="4"/>
      <c r="I59" s="4"/>
      <c r="J59" s="17">
        <f>IF(Tabela8[[#This Row],[Tipo]]="jcp",Tabela8[[#This Row],[Provento p/Ação]]*85%,Tabela8[[#This Row],[Provento p/Ação]])</f>
        <v>0</v>
      </c>
      <c r="K59" s="143" t="str">
        <f>IF([Lucro p/Ação]&lt;&gt;0,SUMPRODUCT(N([Papel]=Tabela8[[#This Row],[Papel]]),N([Exercício]=Tabela8[[#This Row],[Exercício]]),[Líquido p/Ação]),"")</f>
        <v/>
      </c>
      <c r="L59" s="42" t="str">
        <f>IF(Tabela8[[#This Row],[Lucro p/Ação]]="","",IF(Tabela8[[#This Row],[Lucro p/Ação]]&gt;0,Tabela8[[#This Row],[Total Exercício]]/Tabela8[[#This Row],[Lucro p/Ação]],0))</f>
        <v/>
      </c>
      <c r="M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" s="14" t="str">
        <f>IF(Tabela8[[#This Row],[Média Lucro p/Ação]]&lt;&gt;"",Tabela8[[#This Row],[Média Pago]]/Tabela8[[#This Row],[Média Lucro p/Ação]],"")</f>
        <v/>
      </c>
      <c r="P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" s="7">
        <f>SUMPRODUCT(N(Tabela1[Código]=Tabela8[[#This Row],[Papel]]),Tabela1[Fechamento])</f>
        <v>0</v>
      </c>
      <c r="R59" s="7">
        <f>SUMPRODUCT(N(Tabela17[Código]=Tabela8[[#This Row],[Papel]]),Tabela17[Fechamento])</f>
        <v>0</v>
      </c>
      <c r="S59" s="7">
        <f>SUMPRODUCT(N(Tabela176[Código]=Tabela8[[#This Row],[Papel]]),Tabela176[Fechamento])</f>
        <v>0</v>
      </c>
      <c r="T59" s="7">
        <f>SUMPRODUCT(N(Tabela1768[Código]=Tabela8[[#This Row],[Papel]]),Tabela1768[Fechamento])</f>
        <v>0.78</v>
      </c>
      <c r="U59" s="7">
        <f>SUMPRODUCT(N(Tabela17683[Código]=Tabela8[[#This Row],[Papel]]),Tabela17683[Fechamento])</f>
        <v>0</v>
      </c>
      <c r="V59" s="17">
        <f>IF(MAX(Tabela8[[#This Row],[Cotação 1]]:Tabela8[[#This Row],[Cotação 5]])=0,"",MAX(Tabela8[[#This Row],[Cotação 1]]:Tabela8[[#This Row],[Cotação 5]]))</f>
        <v>0.78</v>
      </c>
      <c r="W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" s="17" t="str">
        <f>IF(AND([Ref]=5,[Cotação]&gt;0,[Cotação]&lt;&gt;""),[Total Exercício]/[Cotação],IF([Ref]&lt;4,0,""))</f>
        <v/>
      </c>
      <c r="Y59" s="17">
        <f>IF([Tipo]="div",1,0)</f>
        <v>0</v>
      </c>
      <c r="Z59" s="17">
        <f>IF([Tipo]="jcp",1,0)</f>
        <v>0</v>
      </c>
    </row>
    <row r="60" spans="1:26" hidden="1">
      <c r="A60" s="3" t="s">
        <v>855</v>
      </c>
      <c r="B60" s="58" t="s">
        <v>861</v>
      </c>
      <c r="C60" s="16">
        <v>3</v>
      </c>
      <c r="D60" s="4"/>
      <c r="E60" s="4"/>
      <c r="F60" s="4"/>
      <c r="G60" s="4"/>
      <c r="H60" s="4"/>
      <c r="I60" s="4"/>
      <c r="J60" s="17">
        <f>IF(Tabela8[[#This Row],[Tipo]]="jcp",Tabela8[[#This Row],[Provento p/Ação]]*85%,Tabela8[[#This Row],[Provento p/Ação]])</f>
        <v>0</v>
      </c>
      <c r="K60" s="143" t="str">
        <f>IF([Lucro p/Ação]&lt;&gt;0,SUMPRODUCT(N([Papel]=Tabela8[[#This Row],[Papel]]),N([Exercício]=Tabela8[[#This Row],[Exercício]]),[Líquido p/Ação]),"")</f>
        <v/>
      </c>
      <c r="L60" s="42" t="str">
        <f>IF(Tabela8[[#This Row],[Lucro p/Ação]]="","",IF(Tabela8[[#This Row],[Lucro p/Ação]]&gt;0,Tabela8[[#This Row],[Total Exercício]]/Tabela8[[#This Row],[Lucro p/Ação]],0))</f>
        <v/>
      </c>
      <c r="M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" s="14" t="str">
        <f>IF(Tabela8[[#This Row],[Média Lucro p/Ação]]&lt;&gt;"",Tabela8[[#This Row],[Média Pago]]/Tabela8[[#This Row],[Média Lucro p/Ação]],"")</f>
        <v/>
      </c>
      <c r="P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" s="7">
        <f>SUMPRODUCT(N(Tabela1[Código]=Tabela8[[#This Row],[Papel]]),Tabela1[Fechamento])</f>
        <v>0</v>
      </c>
      <c r="R60" s="7">
        <f>SUMPRODUCT(N(Tabela17[Código]=Tabela8[[#This Row],[Papel]]),Tabela17[Fechamento])</f>
        <v>0</v>
      </c>
      <c r="S60" s="7">
        <f>SUMPRODUCT(N(Tabela176[Código]=Tabela8[[#This Row],[Papel]]),Tabela176[Fechamento])</f>
        <v>0</v>
      </c>
      <c r="T60" s="7">
        <f>SUMPRODUCT(N(Tabela1768[Código]=Tabela8[[#This Row],[Papel]]),Tabela1768[Fechamento])</f>
        <v>0.84</v>
      </c>
      <c r="U60" s="7">
        <f>SUMPRODUCT(N(Tabela17683[Código]=Tabela8[[#This Row],[Papel]]),Tabela17683[Fechamento])</f>
        <v>0</v>
      </c>
      <c r="V60" s="17">
        <f>IF(MAX(Tabela8[[#This Row],[Cotação 1]]:Tabela8[[#This Row],[Cotação 5]])=0,"",MAX(Tabela8[[#This Row],[Cotação 1]]:Tabela8[[#This Row],[Cotação 5]]))</f>
        <v>0.84</v>
      </c>
      <c r="W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" s="17">
        <f>IF(AND([Ref]=5,[Cotação]&gt;0,[Cotação]&lt;&gt;""),[Total Exercício]/[Cotação],IF([Ref]&lt;4,0,""))</f>
        <v>0</v>
      </c>
      <c r="Y60" s="17">
        <f>IF([Tipo]="div",1,0)</f>
        <v>0</v>
      </c>
      <c r="Z60" s="17">
        <f>IF([Tipo]="jcp",1,0)</f>
        <v>0</v>
      </c>
    </row>
    <row r="61" spans="1:26" hidden="1">
      <c r="A61" s="4" t="s">
        <v>14</v>
      </c>
      <c r="B61" s="57" t="s">
        <v>205</v>
      </c>
      <c r="C61" s="15">
        <v>4</v>
      </c>
      <c r="D61" s="4"/>
      <c r="E61" s="4"/>
      <c r="F61" s="4"/>
      <c r="G61" s="4"/>
      <c r="H61" s="4"/>
      <c r="I61" s="4"/>
      <c r="J61" s="17">
        <f>IF(Tabela8[[#This Row],[Tipo]]="jcp",Tabela8[[#This Row],[Provento p/Ação]]*85%,Tabela8[[#This Row],[Provento p/Ação]])</f>
        <v>0</v>
      </c>
      <c r="K61" s="143" t="str">
        <f>IF([Lucro p/Ação]&lt;&gt;0,SUMPRODUCT(N([Papel]=Tabela8[[#This Row],[Papel]]),N([Exercício]=Tabela8[[#This Row],[Exercício]]),[Líquido p/Ação]),"")</f>
        <v/>
      </c>
      <c r="L61" s="42" t="str">
        <f>IF(Tabela8[[#This Row],[Lucro p/Ação]]="","",IF(Tabela8[[#This Row],[Lucro p/Ação]]&gt;0,Tabela8[[#This Row],[Total Exercício]]/Tabela8[[#This Row],[Lucro p/Ação]],0))</f>
        <v/>
      </c>
      <c r="M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" s="14" t="str">
        <f>IF(Tabela8[[#This Row],[Média Lucro p/Ação]]&lt;&gt;"",Tabela8[[#This Row],[Média Pago]]/Tabela8[[#This Row],[Média Lucro p/Ação]],"")</f>
        <v/>
      </c>
      <c r="P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" s="5">
        <f>SUMPRODUCT(N(Tabela1[Código]=Tabela8[[#This Row],[Papel]]),Tabela1[Fechamento])</f>
        <v>25.08</v>
      </c>
      <c r="R61" s="5">
        <f>SUMPRODUCT(N(Tabela17[Código]=Tabela8[[#This Row],[Papel]]),Tabela17[Fechamento])</f>
        <v>0</v>
      </c>
      <c r="S61" s="7">
        <f>SUMPRODUCT(N(Tabela176[Código]=Tabela8[[#This Row],[Papel]]),Tabela176[Fechamento])</f>
        <v>0</v>
      </c>
      <c r="T61" s="7">
        <f>SUMPRODUCT(N(Tabela1768[Código]=Tabela8[[#This Row],[Papel]]),Tabela1768[Fechamento])</f>
        <v>0</v>
      </c>
      <c r="U61" s="7">
        <f>SUMPRODUCT(N(Tabela17683[Código]=Tabela8[[#This Row],[Papel]]),Tabela17683[Fechamento])</f>
        <v>0</v>
      </c>
      <c r="V61" s="17">
        <f>IF(MAX(Tabela8[[#This Row],[Cotação 1]]:Tabela8[[#This Row],[Cotação 5]])=0,"",MAX(Tabela8[[#This Row],[Cotação 1]]:Tabela8[[#This Row],[Cotação 5]]))</f>
        <v>25.08</v>
      </c>
      <c r="W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" s="17" t="str">
        <f>IF(AND([Ref]=5,[Cotação]&gt;0,[Cotação]&lt;&gt;""),[Total Exercício]/[Cotação],IF([Ref]&lt;4,0,""))</f>
        <v/>
      </c>
      <c r="Y61" s="17">
        <f>IF([Tipo]="div",1,0)</f>
        <v>0</v>
      </c>
      <c r="Z61" s="17">
        <f>IF([Tipo]="jcp",1,0)</f>
        <v>0</v>
      </c>
    </row>
    <row r="62" spans="1:26" hidden="1">
      <c r="A62" s="4" t="s">
        <v>14</v>
      </c>
      <c r="B62" s="57" t="s">
        <v>206</v>
      </c>
      <c r="C62" s="15">
        <v>4</v>
      </c>
      <c r="D62" s="4"/>
      <c r="E62" s="4"/>
      <c r="F62" s="4"/>
      <c r="G62" s="4"/>
      <c r="H62" s="4"/>
      <c r="I62" s="4"/>
      <c r="J62" s="17">
        <f>IF(Tabela8[[#This Row],[Tipo]]="jcp",Tabela8[[#This Row],[Provento p/Ação]]*85%,Tabela8[[#This Row],[Provento p/Ação]])</f>
        <v>0</v>
      </c>
      <c r="K62" s="143" t="str">
        <f>IF([Lucro p/Ação]&lt;&gt;0,SUMPRODUCT(N([Papel]=Tabela8[[#This Row],[Papel]]),N([Exercício]=Tabela8[[#This Row],[Exercício]]),[Líquido p/Ação]),"")</f>
        <v/>
      </c>
      <c r="L62" s="42" t="str">
        <f>IF(Tabela8[[#This Row],[Lucro p/Ação]]="","",IF(Tabela8[[#This Row],[Lucro p/Ação]]&gt;0,Tabela8[[#This Row],[Total Exercício]]/Tabela8[[#This Row],[Lucro p/Ação]],0))</f>
        <v/>
      </c>
      <c r="M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" s="14" t="str">
        <f>IF(Tabela8[[#This Row],[Média Lucro p/Ação]]&lt;&gt;"",Tabela8[[#This Row],[Média Pago]]/Tabela8[[#This Row],[Média Lucro p/Ação]],"")</f>
        <v/>
      </c>
      <c r="P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" s="5">
        <f>SUMPRODUCT(N(Tabela1[Código]=Tabela8[[#This Row],[Papel]]),Tabela1[Fechamento])</f>
        <v>27.01</v>
      </c>
      <c r="R62" s="5">
        <f>SUMPRODUCT(N(Tabela17[Código]=Tabela8[[#This Row],[Papel]]),Tabela17[Fechamento])</f>
        <v>0</v>
      </c>
      <c r="S62" s="7">
        <f>SUMPRODUCT(N(Tabela176[Código]=Tabela8[[#This Row],[Papel]]),Tabela176[Fechamento])</f>
        <v>0</v>
      </c>
      <c r="T62" s="7">
        <f>SUMPRODUCT(N(Tabela1768[Código]=Tabela8[[#This Row],[Papel]]),Tabela1768[Fechamento])</f>
        <v>0</v>
      </c>
      <c r="U62" s="7">
        <f>SUMPRODUCT(N(Tabela17683[Código]=Tabela8[[#This Row],[Papel]]),Tabela17683[Fechamento])</f>
        <v>0</v>
      </c>
      <c r="V62" s="17">
        <f>IF(MAX(Tabela8[[#This Row],[Cotação 1]]:Tabela8[[#This Row],[Cotação 5]])=0,"",MAX(Tabela8[[#This Row],[Cotação 1]]:Tabela8[[#This Row],[Cotação 5]]))</f>
        <v>27.01</v>
      </c>
      <c r="W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" s="17" t="str">
        <f>IF(AND([Ref]=5,[Cotação]&gt;0,[Cotação]&lt;&gt;""),[Total Exercício]/[Cotação],IF([Ref]&lt;4,0,""))</f>
        <v/>
      </c>
      <c r="Y62" s="17">
        <f>IF([Tipo]="div",1,0)</f>
        <v>0</v>
      </c>
      <c r="Z62" s="17">
        <f>IF([Tipo]="jcp",1,0)</f>
        <v>0</v>
      </c>
    </row>
    <row r="63" spans="1:26" hidden="1">
      <c r="A63" s="3" t="s">
        <v>761</v>
      </c>
      <c r="B63" s="58" t="s">
        <v>762</v>
      </c>
      <c r="C63" s="16">
        <v>3</v>
      </c>
      <c r="D63" s="4"/>
      <c r="E63" s="4"/>
      <c r="F63" s="4"/>
      <c r="G63" s="4"/>
      <c r="H63" s="4"/>
      <c r="I63" s="4"/>
      <c r="J63" s="17">
        <f>IF(Tabela8[[#This Row],[Tipo]]="jcp",Tabela8[[#This Row],[Provento p/Ação]]*85%,Tabela8[[#This Row],[Provento p/Ação]])</f>
        <v>0</v>
      </c>
      <c r="K63" s="143" t="str">
        <f>IF([Lucro p/Ação]&lt;&gt;0,SUMPRODUCT(N([Papel]=Tabela8[[#This Row],[Papel]]),N([Exercício]=Tabela8[[#This Row],[Exercício]]),[Líquido p/Ação]),"")</f>
        <v/>
      </c>
      <c r="L63" s="42" t="str">
        <f>IF(Tabela8[[#This Row],[Lucro p/Ação]]="","",IF(Tabela8[[#This Row],[Lucro p/Ação]]&gt;0,Tabela8[[#This Row],[Total Exercício]]/Tabela8[[#This Row],[Lucro p/Ação]],0))</f>
        <v/>
      </c>
      <c r="M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" s="14" t="str">
        <f>IF(Tabela8[[#This Row],[Média Lucro p/Ação]]&lt;&gt;"",Tabela8[[#This Row],[Média Pago]]/Tabela8[[#This Row],[Média Lucro p/Ação]],"")</f>
        <v/>
      </c>
      <c r="P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" s="7">
        <f>SUMPRODUCT(N(Tabela1[Código]=Tabela8[[#This Row],[Papel]]),Tabela1[Fechamento])</f>
        <v>0</v>
      </c>
      <c r="R63" s="7">
        <f>SUMPRODUCT(N(Tabela17[Código]=Tabela8[[#This Row],[Papel]]),Tabela17[Fechamento])</f>
        <v>0</v>
      </c>
      <c r="S63" s="7">
        <f>SUMPRODUCT(N(Tabela176[Código]=Tabela8[[#This Row],[Papel]]),Tabela176[Fechamento])</f>
        <v>0</v>
      </c>
      <c r="T63" s="7">
        <f>SUMPRODUCT(N(Tabela1768[Código]=Tabela8[[#This Row],[Papel]]),Tabela1768[Fechamento])</f>
        <v>0</v>
      </c>
      <c r="U63" s="7">
        <f>SUMPRODUCT(N(Tabela17683[Código]=Tabela8[[#This Row],[Papel]]),Tabela17683[Fechamento])</f>
        <v>0</v>
      </c>
      <c r="V63" s="17" t="str">
        <f>IF(MAX(Tabela8[[#This Row],[Cotação 1]]:Tabela8[[#This Row],[Cotação 5]])=0,"",MAX(Tabela8[[#This Row],[Cotação 1]]:Tabela8[[#This Row],[Cotação 5]]))</f>
        <v/>
      </c>
      <c r="W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" s="17">
        <f>IF(AND([Ref]=5,[Cotação]&gt;0,[Cotação]&lt;&gt;""),[Total Exercício]/[Cotação],IF([Ref]&lt;4,0,""))</f>
        <v>0</v>
      </c>
      <c r="Y63" s="17">
        <f>IF([Tipo]="div",1,0)</f>
        <v>0</v>
      </c>
      <c r="Z63" s="17">
        <f>IF([Tipo]="jcp",1,0)</f>
        <v>0</v>
      </c>
    </row>
    <row r="64" spans="1:26" hidden="1">
      <c r="A64" s="3" t="s">
        <v>761</v>
      </c>
      <c r="B64" s="58" t="s">
        <v>763</v>
      </c>
      <c r="C64" s="16">
        <v>3</v>
      </c>
      <c r="D64" s="4"/>
      <c r="E64" s="4"/>
      <c r="F64" s="4"/>
      <c r="G64" s="4"/>
      <c r="H64" s="4"/>
      <c r="I64" s="4"/>
      <c r="J64" s="17">
        <f>IF(Tabela8[[#This Row],[Tipo]]="jcp",Tabela8[[#This Row],[Provento p/Ação]]*85%,Tabela8[[#This Row],[Provento p/Ação]])</f>
        <v>0</v>
      </c>
      <c r="K64" s="143" t="str">
        <f>IF([Lucro p/Ação]&lt;&gt;0,SUMPRODUCT(N([Papel]=Tabela8[[#This Row],[Papel]]),N([Exercício]=Tabela8[[#This Row],[Exercício]]),[Líquido p/Ação]),"")</f>
        <v/>
      </c>
      <c r="L64" s="42" t="str">
        <f>IF(Tabela8[[#This Row],[Lucro p/Ação]]="","",IF(Tabela8[[#This Row],[Lucro p/Ação]]&gt;0,Tabela8[[#This Row],[Total Exercício]]/Tabela8[[#This Row],[Lucro p/Ação]],0))</f>
        <v/>
      </c>
      <c r="M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" s="14" t="str">
        <f>IF(Tabela8[[#This Row],[Média Lucro p/Ação]]&lt;&gt;"",Tabela8[[#This Row],[Média Pago]]/Tabela8[[#This Row],[Média Lucro p/Ação]],"")</f>
        <v/>
      </c>
      <c r="P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" s="7">
        <f>SUMPRODUCT(N(Tabela1[Código]=Tabela8[[#This Row],[Papel]]),Tabela1[Fechamento])</f>
        <v>0</v>
      </c>
      <c r="R64" s="7">
        <f>SUMPRODUCT(N(Tabela17[Código]=Tabela8[[#This Row],[Papel]]),Tabela17[Fechamento])</f>
        <v>0</v>
      </c>
      <c r="S64" s="7">
        <f>SUMPRODUCT(N(Tabela176[Código]=Tabela8[[#This Row],[Papel]]),Tabela176[Fechamento])</f>
        <v>6.12</v>
      </c>
      <c r="T64" s="7">
        <f>SUMPRODUCT(N(Tabela1768[Código]=Tabela8[[#This Row],[Papel]]),Tabela1768[Fechamento])</f>
        <v>0</v>
      </c>
      <c r="U64" s="7">
        <f>SUMPRODUCT(N(Tabela17683[Código]=Tabela8[[#This Row],[Papel]]),Tabela17683[Fechamento])</f>
        <v>0</v>
      </c>
      <c r="V64" s="17">
        <f>IF(MAX(Tabela8[[#This Row],[Cotação 1]]:Tabela8[[#This Row],[Cotação 5]])=0,"",MAX(Tabela8[[#This Row],[Cotação 1]]:Tabela8[[#This Row],[Cotação 5]]))</f>
        <v>6.12</v>
      </c>
      <c r="W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" s="17">
        <f>IF(AND([Ref]=5,[Cotação]&gt;0,[Cotação]&lt;&gt;""),[Total Exercício]/[Cotação],IF([Ref]&lt;4,0,""))</f>
        <v>0</v>
      </c>
      <c r="Y64" s="17">
        <f>IF([Tipo]="div",1,0)</f>
        <v>0</v>
      </c>
      <c r="Z64" s="17">
        <f>IF([Tipo]="jcp",1,0)</f>
        <v>0</v>
      </c>
    </row>
    <row r="65" spans="1:26" hidden="1">
      <c r="A65" s="3" t="s">
        <v>779</v>
      </c>
      <c r="B65" s="58" t="s">
        <v>781</v>
      </c>
      <c r="C65" s="16">
        <v>3</v>
      </c>
      <c r="D65" s="4"/>
      <c r="E65" s="4"/>
      <c r="F65" s="4"/>
      <c r="G65" s="4"/>
      <c r="H65" s="4"/>
      <c r="I65" s="4"/>
      <c r="J65" s="17">
        <f>IF(Tabela8[[#This Row],[Tipo]]="jcp",Tabela8[[#This Row],[Provento p/Ação]]*85%,Tabela8[[#This Row],[Provento p/Ação]])</f>
        <v>0</v>
      </c>
      <c r="K65" s="143" t="str">
        <f>IF([Lucro p/Ação]&lt;&gt;0,SUMPRODUCT(N([Papel]=Tabela8[[#This Row],[Papel]]),N([Exercício]=Tabela8[[#This Row],[Exercício]]),[Líquido p/Ação]),"")</f>
        <v/>
      </c>
      <c r="L65" s="42" t="str">
        <f>IF(Tabela8[[#This Row],[Lucro p/Ação]]="","",IF(Tabela8[[#This Row],[Lucro p/Ação]]&gt;0,Tabela8[[#This Row],[Total Exercício]]/Tabela8[[#This Row],[Lucro p/Ação]],0))</f>
        <v/>
      </c>
      <c r="M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" s="14" t="str">
        <f>IF(Tabela8[[#This Row],[Média Lucro p/Ação]]&lt;&gt;"",Tabela8[[#This Row],[Média Pago]]/Tabela8[[#This Row],[Média Lucro p/Ação]],"")</f>
        <v/>
      </c>
      <c r="P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" s="7">
        <f>SUMPRODUCT(N(Tabela1[Código]=Tabela8[[#This Row],[Papel]]),Tabela1[Fechamento])</f>
        <v>0</v>
      </c>
      <c r="R65" s="7">
        <f>SUMPRODUCT(N(Tabela17[Código]=Tabela8[[#This Row],[Papel]]),Tabela17[Fechamento])</f>
        <v>0</v>
      </c>
      <c r="S65" s="7">
        <f>SUMPRODUCT(N(Tabela176[Código]=Tabela8[[#This Row],[Papel]]),Tabela176[Fechamento])</f>
        <v>4.6900000000000004</v>
      </c>
      <c r="T65" s="7">
        <f>SUMPRODUCT(N(Tabela1768[Código]=Tabela8[[#This Row],[Papel]]),Tabela1768[Fechamento])</f>
        <v>0</v>
      </c>
      <c r="U65" s="7">
        <f>SUMPRODUCT(N(Tabela17683[Código]=Tabela8[[#This Row],[Papel]]),Tabela17683[Fechamento])</f>
        <v>0</v>
      </c>
      <c r="V65" s="17">
        <f>IF(MAX(Tabela8[[#This Row],[Cotação 1]]:Tabela8[[#This Row],[Cotação 5]])=0,"",MAX(Tabela8[[#This Row],[Cotação 1]]:Tabela8[[#This Row],[Cotação 5]]))</f>
        <v>4.6900000000000004</v>
      </c>
      <c r="W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" s="17">
        <f>IF(AND([Ref]=5,[Cotação]&gt;0,[Cotação]&lt;&gt;""),[Total Exercício]/[Cotação],IF([Ref]&lt;4,0,""))</f>
        <v>0</v>
      </c>
      <c r="Y65" s="17">
        <f>IF([Tipo]="div",1,0)</f>
        <v>0</v>
      </c>
      <c r="Z65" s="17">
        <f>IF([Tipo]="jcp",1,0)</f>
        <v>0</v>
      </c>
    </row>
    <row r="66" spans="1:26" hidden="1">
      <c r="A66" s="4" t="s">
        <v>14</v>
      </c>
      <c r="B66" s="57" t="s">
        <v>543</v>
      </c>
      <c r="C66" s="15">
        <v>4</v>
      </c>
      <c r="D66" s="4"/>
      <c r="E66" s="4"/>
      <c r="F66" s="4"/>
      <c r="G66" s="4"/>
      <c r="H66" s="4"/>
      <c r="I66" s="4"/>
      <c r="J66" s="17">
        <f>IF(Tabela8[[#This Row],[Tipo]]="jcp",Tabela8[[#This Row],[Provento p/Ação]]*85%,Tabela8[[#This Row],[Provento p/Ação]])</f>
        <v>0</v>
      </c>
      <c r="K66" s="143" t="str">
        <f>IF([Lucro p/Ação]&lt;&gt;0,SUMPRODUCT(N([Papel]=Tabela8[[#This Row],[Papel]]),N([Exercício]=Tabela8[[#This Row],[Exercício]]),[Líquido p/Ação]),"")</f>
        <v/>
      </c>
      <c r="L66" s="42" t="str">
        <f>IF(Tabela8[[#This Row],[Lucro p/Ação]]="","",IF(Tabela8[[#This Row],[Lucro p/Ação]]&gt;0,Tabela8[[#This Row],[Total Exercício]]/Tabela8[[#This Row],[Lucro p/Ação]],0))</f>
        <v/>
      </c>
      <c r="M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" s="14" t="str">
        <f>IF(Tabela8[[#This Row],[Média Lucro p/Ação]]&lt;&gt;"",Tabela8[[#This Row],[Média Pago]]/Tabela8[[#This Row],[Média Lucro p/Ação]],"")</f>
        <v/>
      </c>
      <c r="P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" s="17">
        <f>SUMPRODUCT(N(Tabela1[Código]=Tabela8[[#This Row],[Papel]]),Tabela1[Fechamento])</f>
        <v>0</v>
      </c>
      <c r="R66" s="17">
        <f>SUMPRODUCT(N(Tabela17[Código]=Tabela8[[#This Row],[Papel]]),Tabela17[Fechamento])</f>
        <v>0</v>
      </c>
      <c r="S66" s="17">
        <f>SUMPRODUCT(N(Tabela176[Código]=Tabela8[[#This Row],[Papel]]),Tabela176[Fechamento])</f>
        <v>0</v>
      </c>
      <c r="T66" s="17">
        <f>SUMPRODUCT(N(Tabela1768[Código]=Tabela8[[#This Row],[Papel]]),Tabela1768[Fechamento])</f>
        <v>0</v>
      </c>
      <c r="U66" s="7">
        <f>SUMPRODUCT(N(Tabela17683[Código]=Tabela8[[#This Row],[Papel]]),Tabela17683[Fechamento])</f>
        <v>0</v>
      </c>
      <c r="V66" s="17" t="str">
        <f>IF(MAX(Tabela8[[#This Row],[Cotação 1]]:Tabela8[[#This Row],[Cotação 5]])=0,"",MAX(Tabela8[[#This Row],[Cotação 1]]:Tabela8[[#This Row],[Cotação 5]]))</f>
        <v/>
      </c>
      <c r="W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" s="17" t="str">
        <f>IF(AND([Ref]=5,[Cotação]&gt;0,[Cotação]&lt;&gt;""),[Total Exercício]/[Cotação],IF([Ref]&lt;4,0,""))</f>
        <v/>
      </c>
      <c r="Y66" s="17">
        <f>IF([Tipo]="div",1,0)</f>
        <v>0</v>
      </c>
      <c r="Z66" s="17">
        <f>IF([Tipo]="jcp",1,0)</f>
        <v>0</v>
      </c>
    </row>
    <row r="67" spans="1:26" hidden="1">
      <c r="A67" s="4" t="s">
        <v>14</v>
      </c>
      <c r="B67" s="57" t="s">
        <v>544</v>
      </c>
      <c r="C67" s="15">
        <v>4</v>
      </c>
      <c r="D67" s="4"/>
      <c r="E67" s="4"/>
      <c r="F67" s="4"/>
      <c r="G67" s="4"/>
      <c r="H67" s="4"/>
      <c r="I67" s="4"/>
      <c r="J67" s="17">
        <f>IF(Tabela8[[#This Row],[Tipo]]="jcp",Tabela8[[#This Row],[Provento p/Ação]]*85%,Tabela8[[#This Row],[Provento p/Ação]])</f>
        <v>0</v>
      </c>
      <c r="K67" s="143" t="str">
        <f>IF([Lucro p/Ação]&lt;&gt;0,SUMPRODUCT(N([Papel]=Tabela8[[#This Row],[Papel]]),N([Exercício]=Tabela8[[#This Row],[Exercício]]),[Líquido p/Ação]),"")</f>
        <v/>
      </c>
      <c r="L67" s="42" t="str">
        <f>IF(Tabela8[[#This Row],[Lucro p/Ação]]="","",IF(Tabela8[[#This Row],[Lucro p/Ação]]&gt;0,Tabela8[[#This Row],[Total Exercício]]/Tabela8[[#This Row],[Lucro p/Ação]],0))</f>
        <v/>
      </c>
      <c r="M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" s="14" t="str">
        <f>IF(Tabela8[[#This Row],[Média Lucro p/Ação]]&lt;&gt;"",Tabela8[[#This Row],[Média Pago]]/Tabela8[[#This Row],[Média Lucro p/Ação]],"")</f>
        <v/>
      </c>
      <c r="P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" s="17">
        <f>SUMPRODUCT(N(Tabela1[Código]=Tabela8[[#This Row],[Papel]]),Tabela1[Fechamento])</f>
        <v>0</v>
      </c>
      <c r="R67" s="17">
        <f>SUMPRODUCT(N(Tabela17[Código]=Tabela8[[#This Row],[Papel]]),Tabela17[Fechamento])</f>
        <v>0</v>
      </c>
      <c r="S67" s="17">
        <f>SUMPRODUCT(N(Tabela176[Código]=Tabela8[[#This Row],[Papel]]),Tabela176[Fechamento])</f>
        <v>0</v>
      </c>
      <c r="T67" s="17">
        <f>SUMPRODUCT(N(Tabela1768[Código]=Tabela8[[#This Row],[Papel]]),Tabela1768[Fechamento])</f>
        <v>0</v>
      </c>
      <c r="U67" s="7">
        <f>SUMPRODUCT(N(Tabela17683[Código]=Tabela8[[#This Row],[Papel]]),Tabela17683[Fechamento])</f>
        <v>0</v>
      </c>
      <c r="V67" s="17" t="str">
        <f>IF(MAX(Tabela8[[#This Row],[Cotação 1]]:Tabela8[[#This Row],[Cotação 5]])=0,"",MAX(Tabela8[[#This Row],[Cotação 1]]:Tabela8[[#This Row],[Cotação 5]]))</f>
        <v/>
      </c>
      <c r="W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" s="17" t="str">
        <f>IF(AND([Ref]=5,[Cotação]&gt;0,[Cotação]&lt;&gt;""),[Total Exercício]/[Cotação],IF([Ref]&lt;4,0,""))</f>
        <v/>
      </c>
      <c r="Y67" s="17">
        <f>IF([Tipo]="div",1,0)</f>
        <v>0</v>
      </c>
      <c r="Z67" s="17">
        <f>IF([Tipo]="jcp",1,0)</f>
        <v>0</v>
      </c>
    </row>
    <row r="68" spans="1:26" hidden="1">
      <c r="A68" s="3" t="s">
        <v>288</v>
      </c>
      <c r="B68" s="58" t="s">
        <v>286</v>
      </c>
      <c r="C68" s="16">
        <v>3</v>
      </c>
      <c r="D68" s="4"/>
      <c r="E68" s="4"/>
      <c r="F68" s="4"/>
      <c r="G68" s="4"/>
      <c r="H68" s="4"/>
      <c r="I68" s="4"/>
      <c r="J68" s="17">
        <f>IF(Tabela8[[#This Row],[Tipo]]="jcp",Tabela8[[#This Row],[Provento p/Ação]]*85%,Tabela8[[#This Row],[Provento p/Ação]])</f>
        <v>0</v>
      </c>
      <c r="K68" s="143" t="str">
        <f>IF([Lucro p/Ação]&lt;&gt;0,SUMPRODUCT(N([Papel]=Tabela8[[#This Row],[Papel]]),N([Exercício]=Tabela8[[#This Row],[Exercício]]),[Líquido p/Ação]),"")</f>
        <v/>
      </c>
      <c r="L68" s="42" t="str">
        <f>IF(Tabela8[[#This Row],[Lucro p/Ação]]="","",IF(Tabela8[[#This Row],[Lucro p/Ação]]&gt;0,Tabela8[[#This Row],[Total Exercício]]/Tabela8[[#This Row],[Lucro p/Ação]],0))</f>
        <v/>
      </c>
      <c r="M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8" s="14" t="str">
        <f>IF(Tabela8[[#This Row],[Média Lucro p/Ação]]&lt;&gt;"",Tabela8[[#This Row],[Média Pago]]/Tabela8[[#This Row],[Média Lucro p/Ação]],"")</f>
        <v/>
      </c>
      <c r="P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" s="47">
        <f>SUMPRODUCT(N(Tabela1[Código]=Tabela8[[#This Row],[Papel]]),Tabela1[Fechamento])</f>
        <v>0</v>
      </c>
      <c r="R68" s="54">
        <f>SUMPRODUCT(N(Tabela17[Código]=Tabela8[[#This Row],[Papel]]),Tabela17[Fechamento])</f>
        <v>15.9</v>
      </c>
      <c r="S68" s="7">
        <f>SUMPRODUCT(N(Tabela176[Código]=Tabela8[[#This Row],[Papel]]),Tabela176[Fechamento])</f>
        <v>0</v>
      </c>
      <c r="T68" s="7">
        <f>SUMPRODUCT(N(Tabela1768[Código]=Tabela8[[#This Row],[Papel]]),Tabela1768[Fechamento])</f>
        <v>0</v>
      </c>
      <c r="U68" s="7">
        <f>SUMPRODUCT(N(Tabela17683[Código]=Tabela8[[#This Row],[Papel]]),Tabela17683[Fechamento])</f>
        <v>0</v>
      </c>
      <c r="V68" s="17">
        <f>IF(MAX(Tabela8[[#This Row],[Cotação 1]]:Tabela8[[#This Row],[Cotação 5]])=0,"",MAX(Tabela8[[#This Row],[Cotação 1]]:Tabela8[[#This Row],[Cotação 5]]))</f>
        <v>15.9</v>
      </c>
      <c r="W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" s="17">
        <f>IF(AND([Ref]=5,[Cotação]&gt;0,[Cotação]&lt;&gt;""),[Total Exercício]/[Cotação],IF([Ref]&lt;4,0,""))</f>
        <v>0</v>
      </c>
      <c r="Y68" s="17">
        <f>IF([Tipo]="div",1,0)</f>
        <v>0</v>
      </c>
      <c r="Z68" s="17">
        <f>IF([Tipo]="jcp",1,0)</f>
        <v>0</v>
      </c>
    </row>
    <row r="69" spans="1:26" hidden="1">
      <c r="A69" s="3" t="s">
        <v>288</v>
      </c>
      <c r="B69" s="60" t="s">
        <v>287</v>
      </c>
      <c r="C69" s="16">
        <v>3</v>
      </c>
      <c r="D69" s="4"/>
      <c r="E69" s="4"/>
      <c r="F69" s="4"/>
      <c r="G69" s="4"/>
      <c r="H69" s="4"/>
      <c r="I69" s="4"/>
      <c r="J69" s="17">
        <f>IF(Tabela8[[#This Row],[Tipo]]="jcp",Tabela8[[#This Row],[Provento p/Ação]]*85%,Tabela8[[#This Row],[Provento p/Ação]])</f>
        <v>0</v>
      </c>
      <c r="K69" s="143" t="str">
        <f>IF([Lucro p/Ação]&lt;&gt;0,SUMPRODUCT(N([Papel]=Tabela8[[#This Row],[Papel]]),N([Exercício]=Tabela8[[#This Row],[Exercício]]),[Líquido p/Ação]),"")</f>
        <v/>
      </c>
      <c r="L69" s="42" t="str">
        <f>IF(Tabela8[[#This Row],[Lucro p/Ação]]="","",IF(Tabela8[[#This Row],[Lucro p/Ação]]&gt;0,Tabela8[[#This Row],[Total Exercício]]/Tabela8[[#This Row],[Lucro p/Ação]],0))</f>
        <v/>
      </c>
      <c r="M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" s="14" t="str">
        <f>IF(Tabela8[[#This Row],[Média Lucro p/Ação]]&lt;&gt;"",Tabela8[[#This Row],[Média Pago]]/Tabela8[[#This Row],[Média Lucro p/Ação]],"")</f>
        <v/>
      </c>
      <c r="P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" s="47">
        <f>SUMPRODUCT(N(Tabela1[Código]=Tabela8[[#This Row],[Papel]]),Tabela1[Fechamento])</f>
        <v>0</v>
      </c>
      <c r="R69" s="54">
        <f>SUMPRODUCT(N(Tabela17[Código]=Tabela8[[#This Row],[Papel]]),Tabela17[Fechamento])</f>
        <v>19.02</v>
      </c>
      <c r="S69" s="7">
        <f>SUMPRODUCT(N(Tabela176[Código]=Tabela8[[#This Row],[Papel]]),Tabela176[Fechamento])</f>
        <v>0</v>
      </c>
      <c r="T69" s="7">
        <f>SUMPRODUCT(N(Tabela1768[Código]=Tabela8[[#This Row],[Papel]]),Tabela1768[Fechamento])</f>
        <v>0</v>
      </c>
      <c r="U69" s="7">
        <f>SUMPRODUCT(N(Tabela17683[Código]=Tabela8[[#This Row],[Papel]]),Tabela17683[Fechamento])</f>
        <v>0</v>
      </c>
      <c r="V69" s="17">
        <f>IF(MAX(Tabela8[[#This Row],[Cotação 1]]:Tabela8[[#This Row],[Cotação 5]])=0,"",MAX(Tabela8[[#This Row],[Cotação 1]]:Tabela8[[#This Row],[Cotação 5]]))</f>
        <v>19.02</v>
      </c>
      <c r="W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" s="17">
        <f>IF(AND([Ref]=5,[Cotação]&gt;0,[Cotação]&lt;&gt;""),[Total Exercício]/[Cotação],IF([Ref]&lt;4,0,""))</f>
        <v>0</v>
      </c>
      <c r="Y69" s="17">
        <f>IF([Tipo]="div",1,0)</f>
        <v>0</v>
      </c>
      <c r="Z69" s="17">
        <f>IF([Tipo]="jcp",1,0)</f>
        <v>0</v>
      </c>
    </row>
    <row r="70" spans="1:26" hidden="1">
      <c r="A70" s="3" t="s">
        <v>269</v>
      </c>
      <c r="B70" s="58" t="s">
        <v>268</v>
      </c>
      <c r="C70" s="16">
        <v>4</v>
      </c>
      <c r="D70" s="4"/>
      <c r="E70" s="4"/>
      <c r="F70" s="4"/>
      <c r="G70" s="4"/>
      <c r="H70" s="4"/>
      <c r="I70" s="4"/>
      <c r="J70" s="17">
        <f>IF(Tabela8[[#This Row],[Tipo]]="jcp",Tabela8[[#This Row],[Provento p/Ação]]*85%,Tabela8[[#This Row],[Provento p/Ação]])</f>
        <v>0</v>
      </c>
      <c r="K70" s="143" t="str">
        <f>IF([Lucro p/Ação]&lt;&gt;0,SUMPRODUCT(N([Papel]=Tabela8[[#This Row],[Papel]]),N([Exercício]=Tabela8[[#This Row],[Exercício]]),[Líquido p/Ação]),"")</f>
        <v/>
      </c>
      <c r="L70" s="42" t="str">
        <f>IF(Tabela8[[#This Row],[Lucro p/Ação]]="","",IF(Tabela8[[#This Row],[Lucro p/Ação]]&gt;0,Tabela8[[#This Row],[Total Exercício]]/Tabela8[[#This Row],[Lucro p/Ação]],0))</f>
        <v/>
      </c>
      <c r="M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" s="14" t="str">
        <f>IF(Tabela8[[#This Row],[Média Lucro p/Ação]]&lt;&gt;"",Tabela8[[#This Row],[Média Pago]]/Tabela8[[#This Row],[Média Lucro p/Ação]],"")</f>
        <v/>
      </c>
      <c r="P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" s="47">
        <f>SUMPRODUCT(N(Tabela1[Código]=Tabela8[[#This Row],[Papel]]),Tabela1[Fechamento])</f>
        <v>0</v>
      </c>
      <c r="R70" s="54">
        <f>SUMPRODUCT(N(Tabela17[Código]=Tabela8[[#This Row],[Papel]]),Tabela17[Fechamento])</f>
        <v>44</v>
      </c>
      <c r="S70" s="7">
        <f>SUMPRODUCT(N(Tabela176[Código]=Tabela8[[#This Row],[Papel]]),Tabela176[Fechamento])</f>
        <v>0</v>
      </c>
      <c r="T70" s="7">
        <f>SUMPRODUCT(N(Tabela1768[Código]=Tabela8[[#This Row],[Papel]]),Tabela1768[Fechamento])</f>
        <v>0</v>
      </c>
      <c r="U70" s="7">
        <f>SUMPRODUCT(N(Tabela17683[Código]=Tabela8[[#This Row],[Papel]]),Tabela17683[Fechamento])</f>
        <v>0</v>
      </c>
      <c r="V70" s="17">
        <f>IF(MAX(Tabela8[[#This Row],[Cotação 1]]:Tabela8[[#This Row],[Cotação 5]])=0,"",MAX(Tabela8[[#This Row],[Cotação 1]]:Tabela8[[#This Row],[Cotação 5]]))</f>
        <v>44</v>
      </c>
      <c r="W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" s="17" t="str">
        <f>IF(AND([Ref]=5,[Cotação]&gt;0,[Cotação]&lt;&gt;""),[Total Exercício]/[Cotação],IF([Ref]&lt;4,0,""))</f>
        <v/>
      </c>
      <c r="Y70" s="17">
        <f>IF([Tipo]="div",1,0)</f>
        <v>0</v>
      </c>
      <c r="Z70" s="17">
        <f>IF([Tipo]="jcp",1,0)</f>
        <v>0</v>
      </c>
    </row>
    <row r="71" spans="1:26" hidden="1">
      <c r="A71" s="4" t="s">
        <v>14</v>
      </c>
      <c r="B71" s="57" t="s">
        <v>215</v>
      </c>
      <c r="C71" s="16">
        <v>3</v>
      </c>
      <c r="D71" s="4"/>
      <c r="E71" s="4"/>
      <c r="F71" s="4"/>
      <c r="G71" s="4"/>
      <c r="H71" s="4"/>
      <c r="I71" s="4"/>
      <c r="J71" s="17">
        <f>IF(Tabela8[[#This Row],[Tipo]]="jcp",Tabela8[[#This Row],[Provento p/Ação]]*85%,Tabela8[[#This Row],[Provento p/Ação]])</f>
        <v>0</v>
      </c>
      <c r="K71" s="143" t="str">
        <f>IF([Lucro p/Ação]&lt;&gt;0,SUMPRODUCT(N([Papel]=Tabela8[[#This Row],[Papel]]),N([Exercício]=Tabela8[[#This Row],[Exercício]]),[Líquido p/Ação]),"")</f>
        <v/>
      </c>
      <c r="L71" s="42" t="str">
        <f>IF(Tabela8[[#This Row],[Lucro p/Ação]]="","",IF(Tabela8[[#This Row],[Lucro p/Ação]]&gt;0,Tabela8[[#This Row],[Total Exercício]]/Tabela8[[#This Row],[Lucro p/Ação]],0))</f>
        <v/>
      </c>
      <c r="M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" s="14" t="str">
        <f>IF(Tabela8[[#This Row],[Média Lucro p/Ação]]&lt;&gt;"",Tabela8[[#This Row],[Média Pago]]/Tabela8[[#This Row],[Média Lucro p/Ação]],"")</f>
        <v/>
      </c>
      <c r="P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" s="5">
        <f>SUMPRODUCT(N(Tabela1[Código]=Tabela8[[#This Row],[Papel]]),Tabela1[Fechamento])</f>
        <v>3.87</v>
      </c>
      <c r="R71" s="5">
        <f>SUMPRODUCT(N(Tabela17[Código]=Tabela8[[#This Row],[Papel]]),Tabela17[Fechamento])</f>
        <v>0</v>
      </c>
      <c r="S71" s="7">
        <f>SUMPRODUCT(N(Tabela176[Código]=Tabela8[[#This Row],[Papel]]),Tabela176[Fechamento])</f>
        <v>0</v>
      </c>
      <c r="T71" s="7">
        <f>SUMPRODUCT(N(Tabela1768[Código]=Tabela8[[#This Row],[Papel]]),Tabela1768[Fechamento])</f>
        <v>0</v>
      </c>
      <c r="U71" s="7">
        <f>SUMPRODUCT(N(Tabela17683[Código]=Tabela8[[#This Row],[Papel]]),Tabela17683[Fechamento])</f>
        <v>0</v>
      </c>
      <c r="V71" s="17">
        <f>IF(MAX(Tabela8[[#This Row],[Cotação 1]]:Tabela8[[#This Row],[Cotação 5]])=0,"",MAX(Tabela8[[#This Row],[Cotação 1]]:Tabela8[[#This Row],[Cotação 5]]))</f>
        <v>3.87</v>
      </c>
      <c r="W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" s="17">
        <f>IF(AND([Ref]=5,[Cotação]&gt;0,[Cotação]&lt;&gt;""),[Total Exercício]/[Cotação],IF([Ref]&lt;4,0,""))</f>
        <v>0</v>
      </c>
      <c r="Y71" s="17">
        <f>IF([Tipo]="div",1,0)</f>
        <v>0</v>
      </c>
      <c r="Z71" s="17">
        <f>IF([Tipo]="jcp",1,0)</f>
        <v>0</v>
      </c>
    </row>
    <row r="72" spans="1:26" hidden="1">
      <c r="A72" s="4" t="s">
        <v>14</v>
      </c>
      <c r="B72" s="57" t="s">
        <v>216</v>
      </c>
      <c r="C72" s="15">
        <v>3</v>
      </c>
      <c r="D72" s="4"/>
      <c r="E72" s="4"/>
      <c r="F72" s="4"/>
      <c r="G72" s="4"/>
      <c r="H72" s="4"/>
      <c r="I72" s="4"/>
      <c r="J72" s="17">
        <f>IF(Tabela8[[#This Row],[Tipo]]="jcp",Tabela8[[#This Row],[Provento p/Ação]]*85%,Tabela8[[#This Row],[Provento p/Ação]])</f>
        <v>0</v>
      </c>
      <c r="K72" s="143" t="str">
        <f>IF([Lucro p/Ação]&lt;&gt;0,SUMPRODUCT(N([Papel]=Tabela8[[#This Row],[Papel]]),N([Exercício]=Tabela8[[#This Row],[Exercício]]),[Líquido p/Ação]),"")</f>
        <v/>
      </c>
      <c r="L72" s="42" t="str">
        <f>IF(Tabela8[[#This Row],[Lucro p/Ação]]="","",IF(Tabela8[[#This Row],[Lucro p/Ação]]&gt;0,Tabela8[[#This Row],[Total Exercício]]/Tabela8[[#This Row],[Lucro p/Ação]],0))</f>
        <v/>
      </c>
      <c r="M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2" s="14" t="str">
        <f>IF(Tabela8[[#This Row],[Média Lucro p/Ação]]&lt;&gt;"",Tabela8[[#This Row],[Média Pago]]/Tabela8[[#This Row],[Média Lucro p/Ação]],"")</f>
        <v/>
      </c>
      <c r="P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" s="5">
        <f>SUMPRODUCT(N(Tabela1[Código]=Tabela8[[#This Row],[Papel]]),Tabela1[Fechamento])</f>
        <v>3.87</v>
      </c>
      <c r="R72" s="5">
        <f>SUMPRODUCT(N(Tabela17[Código]=Tabela8[[#This Row],[Papel]]),Tabela17[Fechamento])</f>
        <v>0</v>
      </c>
      <c r="S72" s="7">
        <f>SUMPRODUCT(N(Tabela176[Código]=Tabela8[[#This Row],[Papel]]),Tabela176[Fechamento])</f>
        <v>0</v>
      </c>
      <c r="T72" s="7">
        <f>SUMPRODUCT(N(Tabela1768[Código]=Tabela8[[#This Row],[Papel]]),Tabela1768[Fechamento])</f>
        <v>0</v>
      </c>
      <c r="U72" s="7">
        <f>SUMPRODUCT(N(Tabela17683[Código]=Tabela8[[#This Row],[Papel]]),Tabela17683[Fechamento])</f>
        <v>0</v>
      </c>
      <c r="V72" s="17">
        <f>IF(MAX(Tabela8[[#This Row],[Cotação 1]]:Tabela8[[#This Row],[Cotação 5]])=0,"",MAX(Tabela8[[#This Row],[Cotação 1]]:Tabela8[[#This Row],[Cotação 5]]))</f>
        <v>3.87</v>
      </c>
      <c r="W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" s="17">
        <f>IF(AND([Ref]=5,[Cotação]&gt;0,[Cotação]&lt;&gt;""),[Total Exercício]/[Cotação],IF([Ref]&lt;4,0,""))</f>
        <v>0</v>
      </c>
      <c r="Y72" s="17">
        <f>IF([Tipo]="div",1,0)</f>
        <v>0</v>
      </c>
      <c r="Z72" s="17">
        <f>IF([Tipo]="jcp",1,0)</f>
        <v>0</v>
      </c>
    </row>
    <row r="73" spans="1:26" hidden="1">
      <c r="A73" s="4" t="s">
        <v>14</v>
      </c>
      <c r="B73" s="57" t="s">
        <v>211</v>
      </c>
      <c r="C73" s="16">
        <v>3</v>
      </c>
      <c r="D73" s="4"/>
      <c r="E73" s="4"/>
      <c r="F73" s="4"/>
      <c r="G73" s="4"/>
      <c r="H73" s="4"/>
      <c r="I73" s="4"/>
      <c r="J73" s="17">
        <f>IF(Tabela8[[#This Row],[Tipo]]="jcp",Tabela8[[#This Row],[Provento p/Ação]]*85%,Tabela8[[#This Row],[Provento p/Ação]])</f>
        <v>0</v>
      </c>
      <c r="K73" s="143" t="str">
        <f>IF([Lucro p/Ação]&lt;&gt;0,SUMPRODUCT(N([Papel]=Tabela8[[#This Row],[Papel]]),N([Exercício]=Tabela8[[#This Row],[Exercício]]),[Líquido p/Ação]),"")</f>
        <v/>
      </c>
      <c r="L73" s="42" t="str">
        <f>IF(Tabela8[[#This Row],[Lucro p/Ação]]="","",IF(Tabela8[[#This Row],[Lucro p/Ação]]&gt;0,Tabela8[[#This Row],[Total Exercício]]/Tabela8[[#This Row],[Lucro p/Ação]],0))</f>
        <v/>
      </c>
      <c r="M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" s="14" t="str">
        <f>IF(Tabela8[[#This Row],[Média Lucro p/Ação]]&lt;&gt;"",Tabela8[[#This Row],[Média Pago]]/Tabela8[[#This Row],[Média Lucro p/Ação]],"")</f>
        <v/>
      </c>
      <c r="P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" s="5">
        <f>SUMPRODUCT(N(Tabela1[Código]=Tabela8[[#This Row],[Papel]]),Tabela1[Fechamento])</f>
        <v>3.87</v>
      </c>
      <c r="R73" s="5">
        <f>SUMPRODUCT(N(Tabela17[Código]=Tabela8[[#This Row],[Papel]]),Tabela17[Fechamento])</f>
        <v>0</v>
      </c>
      <c r="S73" s="7">
        <f>SUMPRODUCT(N(Tabela176[Código]=Tabela8[[#This Row],[Papel]]),Tabela176[Fechamento])</f>
        <v>0</v>
      </c>
      <c r="T73" s="7">
        <f>SUMPRODUCT(N(Tabela1768[Código]=Tabela8[[#This Row],[Papel]]),Tabela1768[Fechamento])</f>
        <v>0</v>
      </c>
      <c r="U73" s="7">
        <f>SUMPRODUCT(N(Tabela17683[Código]=Tabela8[[#This Row],[Papel]]),Tabela17683[Fechamento])</f>
        <v>0</v>
      </c>
      <c r="V73" s="17">
        <f>IF(MAX(Tabela8[[#This Row],[Cotação 1]]:Tabela8[[#This Row],[Cotação 5]])=0,"",MAX(Tabela8[[#This Row],[Cotação 1]]:Tabela8[[#This Row],[Cotação 5]]))</f>
        <v>3.87</v>
      </c>
      <c r="W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" s="17">
        <f>IF(AND([Ref]=5,[Cotação]&gt;0,[Cotação]&lt;&gt;""),[Total Exercício]/[Cotação],IF([Ref]&lt;4,0,""))</f>
        <v>0</v>
      </c>
      <c r="Y73" s="17">
        <f>IF([Tipo]="div",1,0)</f>
        <v>0</v>
      </c>
      <c r="Z73" s="17">
        <f>IF([Tipo]="jcp",1,0)</f>
        <v>0</v>
      </c>
    </row>
    <row r="74" spans="1:26" hidden="1">
      <c r="A74" s="4" t="s">
        <v>14</v>
      </c>
      <c r="B74" s="57" t="s">
        <v>212</v>
      </c>
      <c r="C74" s="16">
        <v>3</v>
      </c>
      <c r="D74" s="4"/>
      <c r="E74" s="4"/>
      <c r="F74" s="4"/>
      <c r="G74" s="4"/>
      <c r="H74" s="4"/>
      <c r="I74" s="4"/>
      <c r="J74" s="17">
        <f>IF(Tabela8[[#This Row],[Tipo]]="jcp",Tabela8[[#This Row],[Provento p/Ação]]*85%,Tabela8[[#This Row],[Provento p/Ação]])</f>
        <v>0</v>
      </c>
      <c r="K74" s="143" t="str">
        <f>IF([Lucro p/Ação]&lt;&gt;0,SUMPRODUCT(N([Papel]=Tabela8[[#This Row],[Papel]]),N([Exercício]=Tabela8[[#This Row],[Exercício]]),[Líquido p/Ação]),"")</f>
        <v/>
      </c>
      <c r="L74" s="42" t="str">
        <f>IF(Tabela8[[#This Row],[Lucro p/Ação]]="","",IF(Tabela8[[#This Row],[Lucro p/Ação]]&gt;0,Tabela8[[#This Row],[Total Exercício]]/Tabela8[[#This Row],[Lucro p/Ação]],0))</f>
        <v/>
      </c>
      <c r="M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" s="14" t="str">
        <f>IF(Tabela8[[#This Row],[Média Lucro p/Ação]]&lt;&gt;"",Tabela8[[#This Row],[Média Pago]]/Tabela8[[#This Row],[Média Lucro p/Ação]],"")</f>
        <v/>
      </c>
      <c r="P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" s="5">
        <f>SUMPRODUCT(N(Tabela1[Código]=Tabela8[[#This Row],[Papel]]),Tabela1[Fechamento])</f>
        <v>3.27</v>
      </c>
      <c r="R74" s="5">
        <f>SUMPRODUCT(N(Tabela17[Código]=Tabela8[[#This Row],[Papel]]),Tabela17[Fechamento])</f>
        <v>0</v>
      </c>
      <c r="S74" s="7">
        <f>SUMPRODUCT(N(Tabela176[Código]=Tabela8[[#This Row],[Papel]]),Tabela176[Fechamento])</f>
        <v>0</v>
      </c>
      <c r="T74" s="7">
        <f>SUMPRODUCT(N(Tabela1768[Código]=Tabela8[[#This Row],[Papel]]),Tabela1768[Fechamento])</f>
        <v>0</v>
      </c>
      <c r="U74" s="7">
        <f>SUMPRODUCT(N(Tabela17683[Código]=Tabela8[[#This Row],[Papel]]),Tabela17683[Fechamento])</f>
        <v>0</v>
      </c>
      <c r="V74" s="17">
        <f>IF(MAX(Tabela8[[#This Row],[Cotação 1]]:Tabela8[[#This Row],[Cotação 5]])=0,"",MAX(Tabela8[[#This Row],[Cotação 1]]:Tabela8[[#This Row],[Cotação 5]]))</f>
        <v>3.27</v>
      </c>
      <c r="W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" s="17">
        <f>IF(AND([Ref]=5,[Cotação]&gt;0,[Cotação]&lt;&gt;""),[Total Exercício]/[Cotação],IF([Ref]&lt;4,0,""))</f>
        <v>0</v>
      </c>
      <c r="Y74" s="17">
        <f>IF([Tipo]="div",1,0)</f>
        <v>0</v>
      </c>
      <c r="Z74" s="17">
        <f>IF([Tipo]="jcp",1,0)</f>
        <v>0</v>
      </c>
    </row>
    <row r="75" spans="1:26" hidden="1">
      <c r="A75" s="4" t="s">
        <v>14</v>
      </c>
      <c r="B75" s="57" t="s">
        <v>77</v>
      </c>
      <c r="C75" s="16">
        <v>3</v>
      </c>
      <c r="D75" s="4"/>
      <c r="E75" s="4"/>
      <c r="F75" s="4"/>
      <c r="G75" s="4"/>
      <c r="H75" s="4"/>
      <c r="I75" s="4"/>
      <c r="J75" s="17">
        <f>IF(Tabela8[[#This Row],[Tipo]]="jcp",Tabela8[[#This Row],[Provento p/Ação]]*85%,Tabela8[[#This Row],[Provento p/Ação]])</f>
        <v>0</v>
      </c>
      <c r="K75" s="143" t="str">
        <f>IF([Lucro p/Ação]&lt;&gt;0,SUMPRODUCT(N([Papel]=Tabela8[[#This Row],[Papel]]),N([Exercício]=Tabela8[[#This Row],[Exercício]]),[Líquido p/Ação]),"")</f>
        <v/>
      </c>
      <c r="L75" s="42" t="str">
        <f>IF(Tabela8[[#This Row],[Lucro p/Ação]]="","",IF(Tabela8[[#This Row],[Lucro p/Ação]]&gt;0,Tabela8[[#This Row],[Total Exercício]]/Tabela8[[#This Row],[Lucro p/Ação]],0))</f>
        <v/>
      </c>
      <c r="M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" s="14" t="str">
        <f>IF(Tabela8[[#This Row],[Média Lucro p/Ação]]&lt;&gt;"",Tabela8[[#This Row],[Média Pago]]/Tabela8[[#This Row],[Média Lucro p/Ação]],"")</f>
        <v/>
      </c>
      <c r="P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" s="5">
        <f>SUMPRODUCT(N(Tabela1[Código]=Tabela8[[#This Row],[Papel]]),Tabela1[Fechamento])</f>
        <v>5.96</v>
      </c>
      <c r="R75" s="5">
        <f>SUMPRODUCT(N(Tabela17[Código]=Tabela8[[#This Row],[Papel]]),Tabela17[Fechamento])</f>
        <v>0</v>
      </c>
      <c r="S75" s="7">
        <f>SUMPRODUCT(N(Tabela176[Código]=Tabela8[[#This Row],[Papel]]),Tabela176[Fechamento])</f>
        <v>0</v>
      </c>
      <c r="T75" s="7">
        <f>SUMPRODUCT(N(Tabela1768[Código]=Tabela8[[#This Row],[Papel]]),Tabela1768[Fechamento])</f>
        <v>0</v>
      </c>
      <c r="U75" s="7">
        <f>SUMPRODUCT(N(Tabela17683[Código]=Tabela8[[#This Row],[Papel]]),Tabela17683[Fechamento])</f>
        <v>0</v>
      </c>
      <c r="V75" s="17">
        <f>IF(MAX(Tabela8[[#This Row],[Cotação 1]]:Tabela8[[#This Row],[Cotação 5]])=0,"",MAX(Tabela8[[#This Row],[Cotação 1]]:Tabela8[[#This Row],[Cotação 5]]))</f>
        <v>5.96</v>
      </c>
      <c r="W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" s="17">
        <f>IF(AND([Ref]=5,[Cotação]&gt;0,[Cotação]&lt;&gt;""),[Total Exercício]/[Cotação],IF([Ref]&lt;4,0,""))</f>
        <v>0</v>
      </c>
      <c r="Y75" s="17">
        <f>IF([Tipo]="div",1,0)</f>
        <v>0</v>
      </c>
      <c r="Z75" s="17">
        <f>IF([Tipo]="jcp",1,0)</f>
        <v>0</v>
      </c>
    </row>
    <row r="76" spans="1:26" hidden="1">
      <c r="A76" s="4" t="s">
        <v>14</v>
      </c>
      <c r="B76" s="57" t="s">
        <v>213</v>
      </c>
      <c r="C76" s="16">
        <v>3</v>
      </c>
      <c r="D76" s="4"/>
      <c r="E76" s="4"/>
      <c r="F76" s="4"/>
      <c r="G76" s="4"/>
      <c r="H76" s="4"/>
      <c r="I76" s="4"/>
      <c r="J76" s="17">
        <f>IF(Tabela8[[#This Row],[Tipo]]="jcp",Tabela8[[#This Row],[Provento p/Ação]]*85%,Tabela8[[#This Row],[Provento p/Ação]])</f>
        <v>0</v>
      </c>
      <c r="K76" s="143" t="str">
        <f>IF([Lucro p/Ação]&lt;&gt;0,SUMPRODUCT(N([Papel]=Tabela8[[#This Row],[Papel]]),N([Exercício]=Tabela8[[#This Row],[Exercício]]),[Líquido p/Ação]),"")</f>
        <v/>
      </c>
      <c r="L76" s="42" t="str">
        <f>IF(Tabela8[[#This Row],[Lucro p/Ação]]="","",IF(Tabela8[[#This Row],[Lucro p/Ação]]&gt;0,Tabela8[[#This Row],[Total Exercício]]/Tabela8[[#This Row],[Lucro p/Ação]],0))</f>
        <v/>
      </c>
      <c r="M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" s="14" t="str">
        <f>IF(Tabela8[[#This Row],[Média Lucro p/Ação]]&lt;&gt;"",Tabela8[[#This Row],[Média Pago]]/Tabela8[[#This Row],[Média Lucro p/Ação]],"")</f>
        <v/>
      </c>
      <c r="P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" s="5">
        <f>SUMPRODUCT(N(Tabela1[Código]=Tabela8[[#This Row],[Papel]]),Tabela1[Fechamento])</f>
        <v>3.6</v>
      </c>
      <c r="R76" s="5">
        <f>SUMPRODUCT(N(Tabela17[Código]=Tabela8[[#This Row],[Papel]]),Tabela17[Fechamento])</f>
        <v>0</v>
      </c>
      <c r="S76" s="7">
        <f>SUMPRODUCT(N(Tabela176[Código]=Tabela8[[#This Row],[Papel]]),Tabela176[Fechamento])</f>
        <v>0</v>
      </c>
      <c r="T76" s="7">
        <f>SUMPRODUCT(N(Tabela1768[Código]=Tabela8[[#This Row],[Papel]]),Tabela1768[Fechamento])</f>
        <v>0</v>
      </c>
      <c r="U76" s="7">
        <f>SUMPRODUCT(N(Tabela17683[Código]=Tabela8[[#This Row],[Papel]]),Tabela17683[Fechamento])</f>
        <v>0</v>
      </c>
      <c r="V76" s="17">
        <f>IF(MAX(Tabela8[[#This Row],[Cotação 1]]:Tabela8[[#This Row],[Cotação 5]])=0,"",MAX(Tabela8[[#This Row],[Cotação 1]]:Tabela8[[#This Row],[Cotação 5]]))</f>
        <v>3.6</v>
      </c>
      <c r="W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" s="17">
        <f>IF(AND([Ref]=5,[Cotação]&gt;0,[Cotação]&lt;&gt;""),[Total Exercício]/[Cotação],IF([Ref]&lt;4,0,""))</f>
        <v>0</v>
      </c>
      <c r="Y76" s="17">
        <f>IF([Tipo]="div",1,0)</f>
        <v>0</v>
      </c>
      <c r="Z76" s="17">
        <f>IF([Tipo]="jcp",1,0)</f>
        <v>0</v>
      </c>
    </row>
    <row r="77" spans="1:26" hidden="1">
      <c r="A77" s="4" t="s">
        <v>14</v>
      </c>
      <c r="B77" s="57" t="s">
        <v>214</v>
      </c>
      <c r="C77" s="16">
        <v>3</v>
      </c>
      <c r="D77" s="4"/>
      <c r="E77" s="4"/>
      <c r="F77" s="4"/>
      <c r="G77" s="4"/>
      <c r="H77" s="4"/>
      <c r="I77" s="4"/>
      <c r="J77" s="17">
        <f>IF(Tabela8[[#This Row],[Tipo]]="jcp",Tabela8[[#This Row],[Provento p/Ação]]*85%,Tabela8[[#This Row],[Provento p/Ação]])</f>
        <v>0</v>
      </c>
      <c r="K77" s="143" t="str">
        <f>IF([Lucro p/Ação]&lt;&gt;0,SUMPRODUCT(N([Papel]=Tabela8[[#This Row],[Papel]]),N([Exercício]=Tabela8[[#This Row],[Exercício]]),[Líquido p/Ação]),"")</f>
        <v/>
      </c>
      <c r="L77" s="42" t="str">
        <f>IF(Tabela8[[#This Row],[Lucro p/Ação]]="","",IF(Tabela8[[#This Row],[Lucro p/Ação]]&gt;0,Tabela8[[#This Row],[Total Exercício]]/Tabela8[[#This Row],[Lucro p/Ação]],0))</f>
        <v/>
      </c>
      <c r="M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" s="14" t="str">
        <f>IF(Tabela8[[#This Row],[Média Lucro p/Ação]]&lt;&gt;"",Tabela8[[#This Row],[Média Pago]]/Tabela8[[#This Row],[Média Lucro p/Ação]],"")</f>
        <v/>
      </c>
      <c r="P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" s="5">
        <f>SUMPRODUCT(N(Tabela1[Código]=Tabela8[[#This Row],[Papel]]),Tabela1[Fechamento])</f>
        <v>3.78</v>
      </c>
      <c r="R77" s="5">
        <f>SUMPRODUCT(N(Tabela17[Código]=Tabela8[[#This Row],[Papel]]),Tabela17[Fechamento])</f>
        <v>0</v>
      </c>
      <c r="S77" s="7">
        <f>SUMPRODUCT(N(Tabela176[Código]=Tabela8[[#This Row],[Papel]]),Tabela176[Fechamento])</f>
        <v>0</v>
      </c>
      <c r="T77" s="7">
        <f>SUMPRODUCT(N(Tabela1768[Código]=Tabela8[[#This Row],[Papel]]),Tabela1768[Fechamento])</f>
        <v>0</v>
      </c>
      <c r="U77" s="7">
        <f>SUMPRODUCT(N(Tabela17683[Código]=Tabela8[[#This Row],[Papel]]),Tabela17683[Fechamento])</f>
        <v>0</v>
      </c>
      <c r="V77" s="17">
        <f>IF(MAX(Tabela8[[#This Row],[Cotação 1]]:Tabela8[[#This Row],[Cotação 5]])=0,"",MAX(Tabela8[[#This Row],[Cotação 1]]:Tabela8[[#This Row],[Cotação 5]]))</f>
        <v>3.78</v>
      </c>
      <c r="W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" s="17">
        <f>IF(AND([Ref]=5,[Cotação]&gt;0,[Cotação]&lt;&gt;""),[Total Exercício]/[Cotação],IF([Ref]&lt;4,0,""))</f>
        <v>0</v>
      </c>
      <c r="Y77" s="17">
        <f>IF([Tipo]="div",1,0)</f>
        <v>0</v>
      </c>
      <c r="Z77" s="17">
        <f>IF([Tipo]="jcp",1,0)</f>
        <v>0</v>
      </c>
    </row>
    <row r="78" spans="1:26" hidden="1">
      <c r="A78" s="4" t="s">
        <v>359</v>
      </c>
      <c r="B78" s="57" t="s">
        <v>358</v>
      </c>
      <c r="C78" s="15">
        <v>3</v>
      </c>
      <c r="D78" s="4"/>
      <c r="E78" s="4"/>
      <c r="F78" s="4"/>
      <c r="G78" s="4"/>
      <c r="H78" s="4"/>
      <c r="I78" s="4"/>
      <c r="J78" s="17">
        <f>IF(Tabela8[[#This Row],[Tipo]]="jcp",Tabela8[[#This Row],[Provento p/Ação]]*85%,Tabela8[[#This Row],[Provento p/Ação]])</f>
        <v>0</v>
      </c>
      <c r="K78" s="143" t="str">
        <f>IF([Lucro p/Ação]&lt;&gt;0,SUMPRODUCT(N([Papel]=Tabela8[[#This Row],[Papel]]),N([Exercício]=Tabela8[[#This Row],[Exercício]]),[Líquido p/Ação]),"")</f>
        <v/>
      </c>
      <c r="L78" s="42" t="str">
        <f>IF(Tabela8[[#This Row],[Lucro p/Ação]]="","",IF(Tabela8[[#This Row],[Lucro p/Ação]]&gt;0,Tabela8[[#This Row],[Total Exercício]]/Tabela8[[#This Row],[Lucro p/Ação]],0))</f>
        <v/>
      </c>
      <c r="M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" s="14" t="str">
        <f>IF(Tabela8[[#This Row],[Média Lucro p/Ação]]&lt;&gt;"",Tabela8[[#This Row],[Média Pago]]/Tabela8[[#This Row],[Média Lucro p/Ação]],"")</f>
        <v/>
      </c>
      <c r="P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" s="13">
        <f>SUMPRODUCT(N(Tabela1[Código]=Tabela8[[#This Row],[Papel]]),Tabela1[Fechamento])</f>
        <v>0</v>
      </c>
      <c r="R78" s="55">
        <f>SUMPRODUCT(N(Tabela17[Código]=Tabela8[[#This Row],[Papel]]),Tabela17[Fechamento])</f>
        <v>15.1</v>
      </c>
      <c r="S78" s="7">
        <f>SUMPRODUCT(N(Tabela176[Código]=Tabela8[[#This Row],[Papel]]),Tabela176[Fechamento])</f>
        <v>0</v>
      </c>
      <c r="T78" s="7">
        <f>SUMPRODUCT(N(Tabela1768[Código]=Tabela8[[#This Row],[Papel]]),Tabela1768[Fechamento])</f>
        <v>0</v>
      </c>
      <c r="U78" s="7">
        <f>SUMPRODUCT(N(Tabela17683[Código]=Tabela8[[#This Row],[Papel]]),Tabela17683[Fechamento])</f>
        <v>0</v>
      </c>
      <c r="V78" s="17">
        <f>IF(MAX(Tabela8[[#This Row],[Cotação 1]]:Tabela8[[#This Row],[Cotação 5]])=0,"",MAX(Tabela8[[#This Row],[Cotação 1]]:Tabela8[[#This Row],[Cotação 5]]))</f>
        <v>15.1</v>
      </c>
      <c r="W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" s="17">
        <f>IF(AND([Ref]=5,[Cotação]&gt;0,[Cotação]&lt;&gt;""),[Total Exercício]/[Cotação],IF([Ref]&lt;4,0,""))</f>
        <v>0</v>
      </c>
      <c r="Y78" s="17">
        <f>IF([Tipo]="div",1,0)</f>
        <v>0</v>
      </c>
      <c r="Z78" s="17">
        <f>IF([Tipo]="jcp",1,0)</f>
        <v>0</v>
      </c>
    </row>
    <row r="79" spans="1:26" hidden="1">
      <c r="A79" s="4" t="s">
        <v>14</v>
      </c>
      <c r="B79" s="57" t="s">
        <v>190</v>
      </c>
      <c r="C79" s="15">
        <v>3</v>
      </c>
      <c r="D79" s="4"/>
      <c r="E79" s="4"/>
      <c r="F79" s="4"/>
      <c r="G79" s="4"/>
      <c r="H79" s="4"/>
      <c r="I79" s="4"/>
      <c r="J79" s="17">
        <f>IF(Tabela8[[#This Row],[Tipo]]="jcp",Tabela8[[#This Row],[Provento p/Ação]]*85%,Tabela8[[#This Row],[Provento p/Ação]])</f>
        <v>0</v>
      </c>
      <c r="K79" s="143" t="str">
        <f>IF([Lucro p/Ação]&lt;&gt;0,SUMPRODUCT(N([Papel]=Tabela8[[#This Row],[Papel]]),N([Exercício]=Tabela8[[#This Row],[Exercício]]),[Líquido p/Ação]),"")</f>
        <v/>
      </c>
      <c r="L79" s="42" t="str">
        <f>IF(Tabela8[[#This Row],[Lucro p/Ação]]="","",IF(Tabela8[[#This Row],[Lucro p/Ação]]&gt;0,Tabela8[[#This Row],[Total Exercício]]/Tabela8[[#This Row],[Lucro p/Ação]],0))</f>
        <v/>
      </c>
      <c r="M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" s="14" t="str">
        <f>IF(Tabela8[[#This Row],[Média Lucro p/Ação]]&lt;&gt;"",Tabela8[[#This Row],[Média Pago]]/Tabela8[[#This Row],[Média Lucro p/Ação]],"")</f>
        <v/>
      </c>
      <c r="P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" s="5">
        <f>SUMPRODUCT(N(Tabela1[Código]=Tabela8[[#This Row],[Papel]]),Tabela1[Fechamento])</f>
        <v>6</v>
      </c>
      <c r="R79" s="5">
        <f>SUMPRODUCT(N(Tabela17[Código]=Tabela8[[#This Row],[Papel]]),Tabela17[Fechamento])</f>
        <v>0</v>
      </c>
      <c r="S79" s="7">
        <f>SUMPRODUCT(N(Tabela176[Código]=Tabela8[[#This Row],[Papel]]),Tabela176[Fechamento])</f>
        <v>0</v>
      </c>
      <c r="T79" s="7">
        <f>SUMPRODUCT(N(Tabela1768[Código]=Tabela8[[#This Row],[Papel]]),Tabela1768[Fechamento])</f>
        <v>0</v>
      </c>
      <c r="U79" s="7">
        <f>SUMPRODUCT(N(Tabela17683[Código]=Tabela8[[#This Row],[Papel]]),Tabela17683[Fechamento])</f>
        <v>0</v>
      </c>
      <c r="V79" s="17">
        <f>IF(MAX(Tabela8[[#This Row],[Cotação 1]]:Tabela8[[#This Row],[Cotação 5]])=0,"",MAX(Tabela8[[#This Row],[Cotação 1]]:Tabela8[[#This Row],[Cotação 5]]))</f>
        <v>6</v>
      </c>
      <c r="W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" s="17">
        <f>IF(AND([Ref]=5,[Cotação]&gt;0,[Cotação]&lt;&gt;""),[Total Exercício]/[Cotação],IF([Ref]&lt;4,0,""))</f>
        <v>0</v>
      </c>
      <c r="Y79" s="17">
        <f>IF([Tipo]="div",1,0)</f>
        <v>0</v>
      </c>
      <c r="Z79" s="17">
        <f>IF([Tipo]="jcp",1,0)</f>
        <v>0</v>
      </c>
    </row>
    <row r="80" spans="1:26" hidden="1">
      <c r="A80" s="4" t="s">
        <v>14</v>
      </c>
      <c r="B80" s="57" t="s">
        <v>191</v>
      </c>
      <c r="C80" s="15">
        <v>3</v>
      </c>
      <c r="D80" s="4"/>
      <c r="E80" s="4"/>
      <c r="F80" s="4"/>
      <c r="G80" s="4"/>
      <c r="H80" s="4"/>
      <c r="I80" s="4"/>
      <c r="J80" s="17">
        <f>IF(Tabela8[[#This Row],[Tipo]]="jcp",Tabela8[[#This Row],[Provento p/Ação]]*85%,Tabela8[[#This Row],[Provento p/Ação]])</f>
        <v>0</v>
      </c>
      <c r="K80" s="143" t="str">
        <f>IF([Lucro p/Ação]&lt;&gt;0,SUMPRODUCT(N([Papel]=Tabela8[[#This Row],[Papel]]),N([Exercício]=Tabela8[[#This Row],[Exercício]]),[Líquido p/Ação]),"")</f>
        <v/>
      </c>
      <c r="L80" s="42" t="str">
        <f>IF(Tabela8[[#This Row],[Lucro p/Ação]]="","",IF(Tabela8[[#This Row],[Lucro p/Ação]]&gt;0,Tabela8[[#This Row],[Total Exercício]]/Tabela8[[#This Row],[Lucro p/Ação]],0))</f>
        <v/>
      </c>
      <c r="M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" s="14" t="str">
        <f>IF(Tabela8[[#This Row],[Média Lucro p/Ação]]&lt;&gt;"",Tabela8[[#This Row],[Média Pago]]/Tabela8[[#This Row],[Média Lucro p/Ação]],"")</f>
        <v/>
      </c>
      <c r="P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" s="5">
        <f>SUMPRODUCT(N(Tabela1[Código]=Tabela8[[#This Row],[Papel]]),Tabela1[Fechamento])</f>
        <v>5.69</v>
      </c>
      <c r="R80" s="5">
        <f>SUMPRODUCT(N(Tabela17[Código]=Tabela8[[#This Row],[Papel]]),Tabela17[Fechamento])</f>
        <v>0</v>
      </c>
      <c r="S80" s="7">
        <f>SUMPRODUCT(N(Tabela176[Código]=Tabela8[[#This Row],[Papel]]),Tabela176[Fechamento])</f>
        <v>0</v>
      </c>
      <c r="T80" s="7">
        <f>SUMPRODUCT(N(Tabela1768[Código]=Tabela8[[#This Row],[Papel]]),Tabela1768[Fechamento])</f>
        <v>0</v>
      </c>
      <c r="U80" s="7">
        <f>SUMPRODUCT(N(Tabela17683[Código]=Tabela8[[#This Row],[Papel]]),Tabela17683[Fechamento])</f>
        <v>0</v>
      </c>
      <c r="V80" s="17">
        <f>IF(MAX(Tabela8[[#This Row],[Cotação 1]]:Tabela8[[#This Row],[Cotação 5]])=0,"",MAX(Tabela8[[#This Row],[Cotação 1]]:Tabela8[[#This Row],[Cotação 5]]))</f>
        <v>5.69</v>
      </c>
      <c r="W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" s="17">
        <f>IF(AND([Ref]=5,[Cotação]&gt;0,[Cotação]&lt;&gt;""),[Total Exercício]/[Cotação],IF([Ref]&lt;4,0,""))</f>
        <v>0</v>
      </c>
      <c r="Y80" s="17">
        <f>IF([Tipo]="div",1,0)</f>
        <v>0</v>
      </c>
      <c r="Z80" s="17">
        <f>IF([Tipo]="jcp",1,0)</f>
        <v>0</v>
      </c>
    </row>
    <row r="81" spans="1:26" hidden="1">
      <c r="A81" s="4" t="s">
        <v>40</v>
      </c>
      <c r="B81" s="57" t="s">
        <v>253</v>
      </c>
      <c r="C81" s="16">
        <v>4</v>
      </c>
      <c r="D81" s="4"/>
      <c r="E81" s="4"/>
      <c r="F81" s="4"/>
      <c r="G81" s="4"/>
      <c r="H81" s="4"/>
      <c r="I81" s="4"/>
      <c r="J81" s="17">
        <f>IF(Tabela8[[#This Row],[Tipo]]="jcp",Tabela8[[#This Row],[Provento p/Ação]]*85%,Tabela8[[#This Row],[Provento p/Ação]])</f>
        <v>0</v>
      </c>
      <c r="K81" s="143" t="str">
        <f>IF([Lucro p/Ação]&lt;&gt;0,SUMPRODUCT(N([Papel]=Tabela8[[#This Row],[Papel]]),N([Exercício]=Tabela8[[#This Row],[Exercício]]),[Líquido p/Ação]),"")</f>
        <v/>
      </c>
      <c r="L81" s="42" t="str">
        <f>IF(Tabela8[[#This Row],[Lucro p/Ação]]="","",IF(Tabela8[[#This Row],[Lucro p/Ação]]&gt;0,Tabela8[[#This Row],[Total Exercício]]/Tabela8[[#This Row],[Lucro p/Ação]],0))</f>
        <v/>
      </c>
      <c r="M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" s="14" t="str">
        <f>IF(Tabela8[[#This Row],[Média Lucro p/Ação]]&lt;&gt;"",Tabela8[[#This Row],[Média Pago]]/Tabela8[[#This Row],[Média Lucro p/Ação]],"")</f>
        <v/>
      </c>
      <c r="P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" s="47">
        <f>SUMPRODUCT(N(Tabela1[Código]=Tabela8[[#This Row],[Papel]]),Tabela1[Fechamento])</f>
        <v>0</v>
      </c>
      <c r="R81" s="47">
        <f>SUMPRODUCT(N(Tabela17[Código]=Tabela8[[#This Row],[Papel]]),Tabela17[Fechamento])</f>
        <v>12.76</v>
      </c>
      <c r="S81" s="7">
        <f>SUMPRODUCT(N(Tabela176[Código]=Tabela8[[#This Row],[Papel]]),Tabela176[Fechamento])</f>
        <v>0</v>
      </c>
      <c r="T81" s="7">
        <f>SUMPRODUCT(N(Tabela1768[Código]=Tabela8[[#This Row],[Papel]]),Tabela1768[Fechamento])</f>
        <v>0</v>
      </c>
      <c r="U81" s="7">
        <f>SUMPRODUCT(N(Tabela17683[Código]=Tabela8[[#This Row],[Papel]]),Tabela17683[Fechamento])</f>
        <v>0</v>
      </c>
      <c r="V81" s="17">
        <f>IF(MAX(Tabela8[[#This Row],[Cotação 1]]:Tabela8[[#This Row],[Cotação 5]])=0,"",MAX(Tabela8[[#This Row],[Cotação 1]]:Tabela8[[#This Row],[Cotação 5]]))</f>
        <v>12.76</v>
      </c>
      <c r="W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" s="17" t="str">
        <f>IF(AND([Ref]=5,[Cotação]&gt;0,[Cotação]&lt;&gt;""),[Total Exercício]/[Cotação],IF([Ref]&lt;4,0,""))</f>
        <v/>
      </c>
      <c r="Y81" s="17">
        <f>IF([Tipo]="div",1,0)</f>
        <v>0</v>
      </c>
      <c r="Z81" s="17">
        <f>IF([Tipo]="jcp",1,0)</f>
        <v>0</v>
      </c>
    </row>
    <row r="82" spans="1:26" hidden="1">
      <c r="A82" s="4" t="s">
        <v>40</v>
      </c>
      <c r="B82" s="57" t="s">
        <v>254</v>
      </c>
      <c r="C82" s="16">
        <v>4</v>
      </c>
      <c r="D82" s="4"/>
      <c r="E82" s="4"/>
      <c r="F82" s="4"/>
      <c r="G82" s="4"/>
      <c r="H82" s="4"/>
      <c r="I82" s="4"/>
      <c r="J82" s="17">
        <f>IF(Tabela8[[#This Row],[Tipo]]="jcp",Tabela8[[#This Row],[Provento p/Ação]]*85%,Tabela8[[#This Row],[Provento p/Ação]])</f>
        <v>0</v>
      </c>
      <c r="K82" s="143" t="str">
        <f>IF([Lucro p/Ação]&lt;&gt;0,SUMPRODUCT(N([Papel]=Tabela8[[#This Row],[Papel]]),N([Exercício]=Tabela8[[#This Row],[Exercício]]),[Líquido p/Ação]),"")</f>
        <v/>
      </c>
      <c r="L82" s="42" t="str">
        <f>IF(Tabela8[[#This Row],[Lucro p/Ação]]="","",IF(Tabela8[[#This Row],[Lucro p/Ação]]&gt;0,Tabela8[[#This Row],[Total Exercício]]/Tabela8[[#This Row],[Lucro p/Ação]],0))</f>
        <v/>
      </c>
      <c r="M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" s="14" t="str">
        <f>IF(Tabela8[[#This Row],[Média Lucro p/Ação]]&lt;&gt;"",Tabela8[[#This Row],[Média Pago]]/Tabela8[[#This Row],[Média Lucro p/Ação]],"")</f>
        <v/>
      </c>
      <c r="P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" s="47">
        <f>SUMPRODUCT(N(Tabela1[Código]=Tabela8[[#This Row],[Papel]]),Tabela1[Fechamento])</f>
        <v>0</v>
      </c>
      <c r="R82" s="47">
        <f>SUMPRODUCT(N(Tabela17[Código]=Tabela8[[#This Row],[Papel]]),Tabela17[Fechamento])</f>
        <v>16.38</v>
      </c>
      <c r="S82" s="7">
        <f>SUMPRODUCT(N(Tabela176[Código]=Tabela8[[#This Row],[Papel]]),Tabela176[Fechamento])</f>
        <v>0</v>
      </c>
      <c r="T82" s="7">
        <f>SUMPRODUCT(N(Tabela1768[Código]=Tabela8[[#This Row],[Papel]]),Tabela1768[Fechamento])</f>
        <v>0</v>
      </c>
      <c r="U82" s="7">
        <f>SUMPRODUCT(N(Tabela17683[Código]=Tabela8[[#This Row],[Papel]]),Tabela17683[Fechamento])</f>
        <v>0</v>
      </c>
      <c r="V82" s="17">
        <f>IF(MAX(Tabela8[[#This Row],[Cotação 1]]:Tabela8[[#This Row],[Cotação 5]])=0,"",MAX(Tabela8[[#This Row],[Cotação 1]]:Tabela8[[#This Row],[Cotação 5]]))</f>
        <v>16.38</v>
      </c>
      <c r="W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" s="17" t="str">
        <f>IF(AND([Ref]=5,[Cotação]&gt;0,[Cotação]&lt;&gt;""),[Total Exercício]/[Cotação],IF([Ref]&lt;4,0,""))</f>
        <v/>
      </c>
      <c r="Y82" s="17">
        <f>IF([Tipo]="div",1,0)</f>
        <v>0</v>
      </c>
      <c r="Z82" s="17">
        <f>IF([Tipo]="jcp",1,0)</f>
        <v>0</v>
      </c>
    </row>
    <row r="83" spans="1:26" hidden="1">
      <c r="A83" s="4" t="s">
        <v>40</v>
      </c>
      <c r="B83" s="57" t="s">
        <v>255</v>
      </c>
      <c r="C83" s="15">
        <v>4</v>
      </c>
      <c r="D83" s="4"/>
      <c r="E83" s="4"/>
      <c r="F83" s="4"/>
      <c r="G83" s="4"/>
      <c r="H83" s="4"/>
      <c r="I83" s="4"/>
      <c r="J83" s="17">
        <f>IF(Tabela8[[#This Row],[Tipo]]="jcp",Tabela8[[#This Row],[Provento p/Ação]]*85%,Tabela8[[#This Row],[Provento p/Ação]])</f>
        <v>0</v>
      </c>
      <c r="K83" s="143" t="str">
        <f>IF([Lucro p/Ação]&lt;&gt;0,SUMPRODUCT(N([Papel]=Tabela8[[#This Row],[Papel]]),N([Exercício]=Tabela8[[#This Row],[Exercício]]),[Líquido p/Ação]),"")</f>
        <v/>
      </c>
      <c r="L83" s="42" t="str">
        <f>IF(Tabela8[[#This Row],[Lucro p/Ação]]="","",IF(Tabela8[[#This Row],[Lucro p/Ação]]&gt;0,Tabela8[[#This Row],[Total Exercício]]/Tabela8[[#This Row],[Lucro p/Ação]],0))</f>
        <v/>
      </c>
      <c r="M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" s="14" t="str">
        <f>IF(Tabela8[[#This Row],[Média Lucro p/Ação]]&lt;&gt;"",Tabela8[[#This Row],[Média Pago]]/Tabela8[[#This Row],[Média Lucro p/Ação]],"")</f>
        <v/>
      </c>
      <c r="P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" s="13">
        <f>SUMPRODUCT(N(Tabela1[Código]=Tabela8[[#This Row],[Papel]]),Tabela1[Fechamento])</f>
        <v>0</v>
      </c>
      <c r="R83" s="13">
        <f>SUMPRODUCT(N(Tabela17[Código]=Tabela8[[#This Row],[Papel]]),Tabela17[Fechamento])</f>
        <v>10.15</v>
      </c>
      <c r="S83" s="7">
        <f>SUMPRODUCT(N(Tabela176[Código]=Tabela8[[#This Row],[Papel]]),Tabela176[Fechamento])</f>
        <v>0</v>
      </c>
      <c r="T83" s="7">
        <f>SUMPRODUCT(N(Tabela1768[Código]=Tabela8[[#This Row],[Papel]]),Tabela1768[Fechamento])</f>
        <v>0</v>
      </c>
      <c r="U83" s="7">
        <f>SUMPRODUCT(N(Tabela17683[Código]=Tabela8[[#This Row],[Papel]]),Tabela17683[Fechamento])</f>
        <v>0</v>
      </c>
      <c r="V83" s="17">
        <f>IF(MAX(Tabela8[[#This Row],[Cotação 1]]:Tabela8[[#This Row],[Cotação 5]])=0,"",MAX(Tabela8[[#This Row],[Cotação 1]]:Tabela8[[#This Row],[Cotação 5]]))</f>
        <v>10.15</v>
      </c>
      <c r="W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" s="17" t="str">
        <f>IF(AND([Ref]=5,[Cotação]&gt;0,[Cotação]&lt;&gt;""),[Total Exercício]/[Cotação],IF([Ref]&lt;4,0,""))</f>
        <v/>
      </c>
      <c r="Y83" s="17">
        <f>IF([Tipo]="div",1,0)</f>
        <v>0</v>
      </c>
      <c r="Z83" s="17">
        <f>IF([Tipo]="jcp",1,0)</f>
        <v>0</v>
      </c>
    </row>
    <row r="84" spans="1:26" hidden="1">
      <c r="A84" s="3" t="s">
        <v>335</v>
      </c>
      <c r="B84" s="58" t="s">
        <v>338</v>
      </c>
      <c r="C84" s="16">
        <v>3</v>
      </c>
      <c r="D84" s="4"/>
      <c r="E84" s="4"/>
      <c r="F84" s="4"/>
      <c r="G84" s="4"/>
      <c r="H84" s="4"/>
      <c r="I84" s="4"/>
      <c r="J84" s="17">
        <f>IF(Tabela8[[#This Row],[Tipo]]="jcp",Tabela8[[#This Row],[Provento p/Ação]]*85%,Tabela8[[#This Row],[Provento p/Ação]])</f>
        <v>0</v>
      </c>
      <c r="K84" s="143" t="str">
        <f>IF([Lucro p/Ação]&lt;&gt;0,SUMPRODUCT(N([Papel]=Tabela8[[#This Row],[Papel]]),N([Exercício]=Tabela8[[#This Row],[Exercício]]),[Líquido p/Ação]),"")</f>
        <v/>
      </c>
      <c r="L84" s="42" t="str">
        <f>IF(Tabela8[[#This Row],[Lucro p/Ação]]="","",IF(Tabela8[[#This Row],[Lucro p/Ação]]&gt;0,Tabela8[[#This Row],[Total Exercício]]/Tabela8[[#This Row],[Lucro p/Ação]],0))</f>
        <v/>
      </c>
      <c r="M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" s="14" t="str">
        <f>IF(Tabela8[[#This Row],[Média Lucro p/Ação]]&lt;&gt;"",Tabela8[[#This Row],[Média Pago]]/Tabela8[[#This Row],[Média Lucro p/Ação]],"")</f>
        <v/>
      </c>
      <c r="P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" s="47">
        <f>SUMPRODUCT(N(Tabela1[Código]=Tabela8[[#This Row],[Papel]]),Tabela1[Fechamento])</f>
        <v>0</v>
      </c>
      <c r="R84" s="54">
        <f>SUMPRODUCT(N(Tabela17[Código]=Tabela8[[#This Row],[Papel]]),Tabela17[Fechamento])</f>
        <v>18.2</v>
      </c>
      <c r="S84" s="7">
        <f>SUMPRODUCT(N(Tabela176[Código]=Tabela8[[#This Row],[Papel]]),Tabela176[Fechamento])</f>
        <v>0</v>
      </c>
      <c r="T84" s="7">
        <f>SUMPRODUCT(N(Tabela1768[Código]=Tabela8[[#This Row],[Papel]]),Tabela1768[Fechamento])</f>
        <v>0</v>
      </c>
      <c r="U84" s="7">
        <f>SUMPRODUCT(N(Tabela17683[Código]=Tabela8[[#This Row],[Papel]]),Tabela17683[Fechamento])</f>
        <v>0</v>
      </c>
      <c r="V84" s="17">
        <f>IF(MAX(Tabela8[[#This Row],[Cotação 1]]:Tabela8[[#This Row],[Cotação 5]])=0,"",MAX(Tabela8[[#This Row],[Cotação 1]]:Tabela8[[#This Row],[Cotação 5]]))</f>
        <v>18.2</v>
      </c>
      <c r="W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" s="17">
        <f>IF(AND([Ref]=5,[Cotação]&gt;0,[Cotação]&lt;&gt;""),[Total Exercício]/[Cotação],IF([Ref]&lt;4,0,""))</f>
        <v>0</v>
      </c>
      <c r="Y84" s="17">
        <f>IF([Tipo]="div",1,0)</f>
        <v>0</v>
      </c>
      <c r="Z84" s="17">
        <f>IF([Tipo]="jcp",1,0)</f>
        <v>0</v>
      </c>
    </row>
    <row r="85" spans="1:26" hidden="1">
      <c r="A85" s="3" t="s">
        <v>335</v>
      </c>
      <c r="B85" s="58" t="s">
        <v>340</v>
      </c>
      <c r="C85" s="16">
        <v>4</v>
      </c>
      <c r="D85" s="4"/>
      <c r="E85" s="4"/>
      <c r="F85" s="4"/>
      <c r="G85" s="4"/>
      <c r="H85" s="4"/>
      <c r="I85" s="4"/>
      <c r="J85" s="17">
        <f>IF(Tabela8[[#This Row],[Tipo]]="jcp",Tabela8[[#This Row],[Provento p/Ação]]*85%,Tabela8[[#This Row],[Provento p/Ação]])</f>
        <v>0</v>
      </c>
      <c r="K85" s="143" t="str">
        <f>IF([Lucro p/Ação]&lt;&gt;0,SUMPRODUCT(N([Papel]=Tabela8[[#This Row],[Papel]]),N([Exercício]=Tabela8[[#This Row],[Exercício]]),[Líquido p/Ação]),"")</f>
        <v/>
      </c>
      <c r="L85" s="42" t="str">
        <f>IF(Tabela8[[#This Row],[Lucro p/Ação]]="","",IF(Tabela8[[#This Row],[Lucro p/Ação]]&gt;0,Tabela8[[#This Row],[Total Exercício]]/Tabela8[[#This Row],[Lucro p/Ação]],0))</f>
        <v/>
      </c>
      <c r="M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" s="14" t="str">
        <f>IF(Tabela8[[#This Row],[Média Lucro p/Ação]]&lt;&gt;"",Tabela8[[#This Row],[Média Pago]]/Tabela8[[#This Row],[Média Lucro p/Ação]],"")</f>
        <v/>
      </c>
      <c r="P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" s="47">
        <f>SUMPRODUCT(N(Tabela1[Código]=Tabela8[[#This Row],[Papel]]),Tabela1[Fechamento])</f>
        <v>0</v>
      </c>
      <c r="R85" s="54">
        <f>SUMPRODUCT(N(Tabela17[Código]=Tabela8[[#This Row],[Papel]]),Tabela17[Fechamento])</f>
        <v>16.850000000000001</v>
      </c>
      <c r="S85" s="7">
        <f>SUMPRODUCT(N(Tabela176[Código]=Tabela8[[#This Row],[Papel]]),Tabela176[Fechamento])</f>
        <v>0</v>
      </c>
      <c r="T85" s="7">
        <f>SUMPRODUCT(N(Tabela1768[Código]=Tabela8[[#This Row],[Papel]]),Tabela1768[Fechamento])</f>
        <v>0</v>
      </c>
      <c r="U85" s="7">
        <f>SUMPRODUCT(N(Tabela17683[Código]=Tabela8[[#This Row],[Papel]]),Tabela17683[Fechamento])</f>
        <v>0</v>
      </c>
      <c r="V85" s="17">
        <f>IF(MAX(Tabela8[[#This Row],[Cotação 1]]:Tabela8[[#This Row],[Cotação 5]])=0,"",MAX(Tabela8[[#This Row],[Cotação 1]]:Tabela8[[#This Row],[Cotação 5]]))</f>
        <v>16.850000000000001</v>
      </c>
      <c r="W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" s="17" t="str">
        <f>IF(AND([Ref]=5,[Cotação]&gt;0,[Cotação]&lt;&gt;""),[Total Exercício]/[Cotação],IF([Ref]&lt;4,0,""))</f>
        <v/>
      </c>
      <c r="Y85" s="17">
        <f>IF([Tipo]="div",1,0)</f>
        <v>0</v>
      </c>
      <c r="Z85" s="17">
        <f>IF([Tipo]="jcp",1,0)</f>
        <v>0</v>
      </c>
    </row>
    <row r="86" spans="1:26" hidden="1">
      <c r="A86" s="4" t="s">
        <v>14</v>
      </c>
      <c r="B86" s="57" t="s">
        <v>198</v>
      </c>
      <c r="C86" s="15">
        <v>4</v>
      </c>
      <c r="D86" s="4"/>
      <c r="E86" s="4"/>
      <c r="F86" s="4"/>
      <c r="G86" s="4"/>
      <c r="H86" s="4"/>
      <c r="I86" s="4"/>
      <c r="J86" s="17">
        <f>IF(Tabela8[[#This Row],[Tipo]]="jcp",Tabela8[[#This Row],[Provento p/Ação]]*85%,Tabela8[[#This Row],[Provento p/Ação]])</f>
        <v>0</v>
      </c>
      <c r="K86" s="143" t="str">
        <f>IF([Lucro p/Ação]&lt;&gt;0,SUMPRODUCT(N([Papel]=Tabela8[[#This Row],[Papel]]),N([Exercício]=Tabela8[[#This Row],[Exercício]]),[Líquido p/Ação]),"")</f>
        <v/>
      </c>
      <c r="L86" s="42" t="str">
        <f>IF(Tabela8[[#This Row],[Lucro p/Ação]]="","",IF(Tabela8[[#This Row],[Lucro p/Ação]]&gt;0,Tabela8[[#This Row],[Total Exercício]]/Tabela8[[#This Row],[Lucro p/Ação]],0))</f>
        <v/>
      </c>
      <c r="M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" s="14" t="str">
        <f>IF(Tabela8[[#This Row],[Média Lucro p/Ação]]&lt;&gt;"",Tabela8[[#This Row],[Média Pago]]/Tabela8[[#This Row],[Média Lucro p/Ação]],"")</f>
        <v/>
      </c>
      <c r="P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" s="5">
        <f>SUMPRODUCT(N(Tabela1[Código]=Tabela8[[#This Row],[Papel]]),Tabela1[Fechamento])</f>
        <v>12.2</v>
      </c>
      <c r="R86" s="5">
        <f>SUMPRODUCT(N(Tabela17[Código]=Tabela8[[#This Row],[Papel]]),Tabela17[Fechamento])</f>
        <v>0</v>
      </c>
      <c r="S86" s="7">
        <f>SUMPRODUCT(N(Tabela176[Código]=Tabela8[[#This Row],[Papel]]),Tabela176[Fechamento])</f>
        <v>0</v>
      </c>
      <c r="T86" s="7">
        <f>SUMPRODUCT(N(Tabela1768[Código]=Tabela8[[#This Row],[Papel]]),Tabela1768[Fechamento])</f>
        <v>0</v>
      </c>
      <c r="U86" s="7">
        <f>SUMPRODUCT(N(Tabela17683[Código]=Tabela8[[#This Row],[Papel]]),Tabela17683[Fechamento])</f>
        <v>0</v>
      </c>
      <c r="V86" s="17">
        <f>IF(MAX(Tabela8[[#This Row],[Cotação 1]]:Tabela8[[#This Row],[Cotação 5]])=0,"",MAX(Tabela8[[#This Row],[Cotação 1]]:Tabela8[[#This Row],[Cotação 5]]))</f>
        <v>12.2</v>
      </c>
      <c r="W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" s="17" t="str">
        <f>IF(AND([Ref]=5,[Cotação]&gt;0,[Cotação]&lt;&gt;""),[Total Exercício]/[Cotação],IF([Ref]&lt;4,0,""))</f>
        <v/>
      </c>
      <c r="Y86" s="17">
        <f>IF([Tipo]="div",1,0)</f>
        <v>0</v>
      </c>
      <c r="Z86" s="17">
        <f>IF([Tipo]="jcp",1,0)</f>
        <v>0</v>
      </c>
    </row>
    <row r="87" spans="1:26" hidden="1">
      <c r="A87" s="4" t="s">
        <v>14</v>
      </c>
      <c r="B87" s="57" t="s">
        <v>199</v>
      </c>
      <c r="C87" s="15">
        <v>4</v>
      </c>
      <c r="D87" s="4"/>
      <c r="E87" s="4"/>
      <c r="F87" s="4"/>
      <c r="G87" s="4"/>
      <c r="H87" s="4"/>
      <c r="I87" s="4"/>
      <c r="J87" s="17">
        <f>IF(Tabela8[[#This Row],[Tipo]]="jcp",Tabela8[[#This Row],[Provento p/Ação]]*85%,Tabela8[[#This Row],[Provento p/Ação]])</f>
        <v>0</v>
      </c>
      <c r="K87" s="143" t="str">
        <f>IF([Lucro p/Ação]&lt;&gt;0,SUMPRODUCT(N([Papel]=Tabela8[[#This Row],[Papel]]),N([Exercício]=Tabela8[[#This Row],[Exercício]]),[Líquido p/Ação]),"")</f>
        <v/>
      </c>
      <c r="L87" s="42" t="str">
        <f>IF(Tabela8[[#This Row],[Lucro p/Ação]]="","",IF(Tabela8[[#This Row],[Lucro p/Ação]]&gt;0,Tabela8[[#This Row],[Total Exercício]]/Tabela8[[#This Row],[Lucro p/Ação]],0))</f>
        <v/>
      </c>
      <c r="M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" s="14" t="str">
        <f>IF(Tabela8[[#This Row],[Média Lucro p/Ação]]&lt;&gt;"",Tabela8[[#This Row],[Média Pago]]/Tabela8[[#This Row],[Média Lucro p/Ação]],"")</f>
        <v/>
      </c>
      <c r="P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" s="5">
        <f>SUMPRODUCT(N(Tabela1[Código]=Tabela8[[#This Row],[Papel]]),Tabela1[Fechamento])</f>
        <v>11.6</v>
      </c>
      <c r="R87" s="5">
        <f>SUMPRODUCT(N(Tabela17[Código]=Tabela8[[#This Row],[Papel]]),Tabela17[Fechamento])</f>
        <v>0</v>
      </c>
      <c r="S87" s="7">
        <f>SUMPRODUCT(N(Tabela176[Código]=Tabela8[[#This Row],[Papel]]),Tabela176[Fechamento])</f>
        <v>0</v>
      </c>
      <c r="T87" s="7">
        <f>SUMPRODUCT(N(Tabela1768[Código]=Tabela8[[#This Row],[Papel]]),Tabela1768[Fechamento])</f>
        <v>0</v>
      </c>
      <c r="U87" s="7">
        <f>SUMPRODUCT(N(Tabela17683[Código]=Tabela8[[#This Row],[Papel]]),Tabela17683[Fechamento])</f>
        <v>0</v>
      </c>
      <c r="V87" s="17">
        <f>IF(MAX(Tabela8[[#This Row],[Cotação 1]]:Tabela8[[#This Row],[Cotação 5]])=0,"",MAX(Tabela8[[#This Row],[Cotação 1]]:Tabela8[[#This Row],[Cotação 5]]))</f>
        <v>11.6</v>
      </c>
      <c r="W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" s="17" t="str">
        <f>IF(AND([Ref]=5,[Cotação]&gt;0,[Cotação]&lt;&gt;""),[Total Exercício]/[Cotação],IF([Ref]&lt;4,0,""))</f>
        <v/>
      </c>
      <c r="Y87" s="17">
        <f>IF([Tipo]="div",1,0)</f>
        <v>0</v>
      </c>
      <c r="Z87" s="17">
        <f>IF([Tipo]="jcp",1,0)</f>
        <v>0</v>
      </c>
    </row>
    <row r="88" spans="1:26" hidden="1">
      <c r="A88" s="4" t="s">
        <v>14</v>
      </c>
      <c r="B88" s="57" t="s">
        <v>23</v>
      </c>
      <c r="C88" s="15">
        <v>4</v>
      </c>
      <c r="D88" s="4"/>
      <c r="E88" s="4"/>
      <c r="F88" s="4"/>
      <c r="G88" s="4"/>
      <c r="H88" s="4"/>
      <c r="I88" s="4"/>
      <c r="J88" s="17">
        <f>IF(Tabela8[[#This Row],[Tipo]]="jcp",Tabela8[[#This Row],[Provento p/Ação]]*85%,Tabela8[[#This Row],[Provento p/Ação]])</f>
        <v>0</v>
      </c>
      <c r="K88" s="143" t="str">
        <f>IF([Lucro p/Ação]&lt;&gt;0,SUMPRODUCT(N([Papel]=Tabela8[[#This Row],[Papel]]),N([Exercício]=Tabela8[[#This Row],[Exercício]]),[Líquido p/Ação]),"")</f>
        <v/>
      </c>
      <c r="L88" s="42" t="str">
        <f>IF(Tabela8[[#This Row],[Lucro p/Ação]]="","",IF(Tabela8[[#This Row],[Lucro p/Ação]]&gt;0,Tabela8[[#This Row],[Total Exercício]]/Tabela8[[#This Row],[Lucro p/Ação]],0))</f>
        <v/>
      </c>
      <c r="M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" s="14" t="str">
        <f>IF(Tabela8[[#This Row],[Média Lucro p/Ação]]&lt;&gt;"",Tabela8[[#This Row],[Média Pago]]/Tabela8[[#This Row],[Média Lucro p/Ação]],"")</f>
        <v/>
      </c>
      <c r="P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" s="5">
        <f>SUMPRODUCT(N(Tabela1[Código]=Tabela8[[#This Row],[Papel]]),Tabela1[Fechamento])</f>
        <v>11.43</v>
      </c>
      <c r="R88" s="5">
        <f>SUMPRODUCT(N(Tabela17[Código]=Tabela8[[#This Row],[Papel]]),Tabela17[Fechamento])</f>
        <v>0</v>
      </c>
      <c r="S88" s="7">
        <f>SUMPRODUCT(N(Tabela176[Código]=Tabela8[[#This Row],[Papel]]),Tabela176[Fechamento])</f>
        <v>0</v>
      </c>
      <c r="T88" s="7">
        <f>SUMPRODUCT(N(Tabela1768[Código]=Tabela8[[#This Row],[Papel]]),Tabela1768[Fechamento])</f>
        <v>0</v>
      </c>
      <c r="U88" s="7">
        <f>SUMPRODUCT(N(Tabela17683[Código]=Tabela8[[#This Row],[Papel]]),Tabela17683[Fechamento])</f>
        <v>0</v>
      </c>
      <c r="V88" s="17">
        <f>IF(MAX(Tabela8[[#This Row],[Cotação 1]]:Tabela8[[#This Row],[Cotação 5]])=0,"",MAX(Tabela8[[#This Row],[Cotação 1]]:Tabela8[[#This Row],[Cotação 5]]))</f>
        <v>11.43</v>
      </c>
      <c r="W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" s="17" t="str">
        <f>IF(AND([Ref]=5,[Cotação]&gt;0,[Cotação]&lt;&gt;""),[Total Exercício]/[Cotação],IF([Ref]&lt;4,0,""))</f>
        <v/>
      </c>
      <c r="Y88" s="17">
        <f>IF([Tipo]="div",1,0)</f>
        <v>0</v>
      </c>
      <c r="Z88" s="17">
        <f>IF([Tipo]="jcp",1,0)</f>
        <v>0</v>
      </c>
    </row>
    <row r="89" spans="1:26" hidden="1">
      <c r="A89" s="3" t="s">
        <v>259</v>
      </c>
      <c r="B89" s="58" t="s">
        <v>826</v>
      </c>
      <c r="C89" s="16">
        <v>4</v>
      </c>
      <c r="D89" s="4"/>
      <c r="E89" s="4"/>
      <c r="F89" s="4"/>
      <c r="G89" s="4"/>
      <c r="H89" s="4"/>
      <c r="I89" s="4"/>
      <c r="J89" s="17">
        <f>IF(Tabela8[[#This Row],[Tipo]]="jcp",Tabela8[[#This Row],[Provento p/Ação]]*85%,Tabela8[[#This Row],[Provento p/Ação]])</f>
        <v>0</v>
      </c>
      <c r="K89" s="143" t="str">
        <f>IF([Lucro p/Ação]&lt;&gt;0,SUMPRODUCT(N([Papel]=Tabela8[[#This Row],[Papel]]),N([Exercício]=Tabela8[[#This Row],[Exercício]]),[Líquido p/Ação]),"")</f>
        <v/>
      </c>
      <c r="L89" s="42" t="str">
        <f>IF(Tabela8[[#This Row],[Lucro p/Ação]]="","",IF(Tabela8[[#This Row],[Lucro p/Ação]]&gt;0,Tabela8[[#This Row],[Total Exercício]]/Tabela8[[#This Row],[Lucro p/Ação]],0))</f>
        <v/>
      </c>
      <c r="M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" s="14" t="str">
        <f>IF(Tabela8[[#This Row],[Média Lucro p/Ação]]&lt;&gt;"",Tabela8[[#This Row],[Média Pago]]/Tabela8[[#This Row],[Média Lucro p/Ação]],"")</f>
        <v/>
      </c>
      <c r="P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" s="7">
        <f>SUMPRODUCT(N(Tabela1[Código]=Tabela8[[#This Row],[Papel]]),Tabela1[Fechamento])</f>
        <v>0</v>
      </c>
      <c r="R89" s="7">
        <f>SUMPRODUCT(N(Tabela17[Código]=Tabela8[[#This Row],[Papel]]),Tabela17[Fechamento])</f>
        <v>0</v>
      </c>
      <c r="S89" s="7">
        <f>SUMPRODUCT(N(Tabela176[Código]=Tabela8[[#This Row],[Papel]]),Tabela176[Fechamento])</f>
        <v>0</v>
      </c>
      <c r="T89" s="7">
        <f>SUMPRODUCT(N(Tabela1768[Código]=Tabela8[[#This Row],[Papel]]),Tabela1768[Fechamento])</f>
        <v>8.85</v>
      </c>
      <c r="U89" s="7">
        <f>SUMPRODUCT(N(Tabela17683[Código]=Tabela8[[#This Row],[Papel]]),Tabela17683[Fechamento])</f>
        <v>0</v>
      </c>
      <c r="V89" s="17">
        <f>IF(MAX(Tabela8[[#This Row],[Cotação 1]]:Tabela8[[#This Row],[Cotação 5]])=0,"",MAX(Tabela8[[#This Row],[Cotação 1]]:Tabela8[[#This Row],[Cotação 5]]))</f>
        <v>8.85</v>
      </c>
      <c r="W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" s="17" t="str">
        <f>IF(AND([Ref]=5,[Cotação]&gt;0,[Cotação]&lt;&gt;""),[Total Exercício]/[Cotação],IF([Ref]&lt;4,0,""))</f>
        <v/>
      </c>
      <c r="Y89" s="17">
        <f>IF([Tipo]="div",1,0)</f>
        <v>0</v>
      </c>
      <c r="Z89" s="17">
        <f>IF([Tipo]="jcp",1,0)</f>
        <v>0</v>
      </c>
    </row>
    <row r="90" spans="1:26" hidden="1">
      <c r="A90" s="4" t="s">
        <v>14</v>
      </c>
      <c r="B90" s="57" t="s">
        <v>209</v>
      </c>
      <c r="C90" s="16">
        <v>4</v>
      </c>
      <c r="D90" s="4"/>
      <c r="E90" s="4"/>
      <c r="F90" s="4"/>
      <c r="G90" s="4"/>
      <c r="H90" s="4"/>
      <c r="I90" s="4"/>
      <c r="J90" s="17">
        <f>IF(Tabela8[[#This Row],[Tipo]]="jcp",Tabela8[[#This Row],[Provento p/Ação]]*85%,Tabela8[[#This Row],[Provento p/Ação]])</f>
        <v>0</v>
      </c>
      <c r="K90" s="143" t="str">
        <f>IF([Lucro p/Ação]&lt;&gt;0,SUMPRODUCT(N([Papel]=Tabela8[[#This Row],[Papel]]),N([Exercício]=Tabela8[[#This Row],[Exercício]]),[Líquido p/Ação]),"")</f>
        <v/>
      </c>
      <c r="L90" s="42" t="str">
        <f>IF(Tabela8[[#This Row],[Lucro p/Ação]]="","",IF(Tabela8[[#This Row],[Lucro p/Ação]]&gt;0,Tabela8[[#This Row],[Total Exercício]]/Tabela8[[#This Row],[Lucro p/Ação]],0))</f>
        <v/>
      </c>
      <c r="M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" s="14" t="str">
        <f>IF(Tabela8[[#This Row],[Média Lucro p/Ação]]&lt;&gt;"",Tabela8[[#This Row],[Média Pago]]/Tabela8[[#This Row],[Média Lucro p/Ação]],"")</f>
        <v/>
      </c>
      <c r="P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" s="5">
        <f>SUMPRODUCT(N(Tabela1[Código]=Tabela8[[#This Row],[Papel]]),Tabela1[Fechamento])</f>
        <v>26.75</v>
      </c>
      <c r="R90" s="5">
        <f>SUMPRODUCT(N(Tabela17[Código]=Tabela8[[#This Row],[Papel]]),Tabela17[Fechamento])</f>
        <v>0</v>
      </c>
      <c r="S90" s="7">
        <f>SUMPRODUCT(N(Tabela176[Código]=Tabela8[[#This Row],[Papel]]),Tabela176[Fechamento])</f>
        <v>0</v>
      </c>
      <c r="T90" s="7">
        <f>SUMPRODUCT(N(Tabela1768[Código]=Tabela8[[#This Row],[Papel]]),Tabela1768[Fechamento])</f>
        <v>0</v>
      </c>
      <c r="U90" s="7">
        <f>SUMPRODUCT(N(Tabela17683[Código]=Tabela8[[#This Row],[Papel]]),Tabela17683[Fechamento])</f>
        <v>0</v>
      </c>
      <c r="V90" s="17">
        <f>IF(MAX(Tabela8[[#This Row],[Cotação 1]]:Tabela8[[#This Row],[Cotação 5]])=0,"",MAX(Tabela8[[#This Row],[Cotação 1]]:Tabela8[[#This Row],[Cotação 5]]))</f>
        <v>26.75</v>
      </c>
      <c r="W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" s="17" t="str">
        <f>IF(AND([Ref]=5,[Cotação]&gt;0,[Cotação]&lt;&gt;""),[Total Exercício]/[Cotação],IF([Ref]&lt;4,0,""))</f>
        <v/>
      </c>
      <c r="Y90" s="17">
        <f>IF([Tipo]="div",1,0)</f>
        <v>0</v>
      </c>
      <c r="Z90" s="17">
        <f>IF([Tipo]="jcp",1,0)</f>
        <v>0</v>
      </c>
    </row>
    <row r="91" spans="1:26" hidden="1">
      <c r="A91" s="4" t="s">
        <v>14</v>
      </c>
      <c r="B91" s="57" t="s">
        <v>210</v>
      </c>
      <c r="C91" s="15">
        <v>4</v>
      </c>
      <c r="D91" s="4"/>
      <c r="E91" s="4"/>
      <c r="F91" s="4"/>
      <c r="G91" s="4"/>
      <c r="H91" s="4"/>
      <c r="I91" s="4"/>
      <c r="J91" s="17">
        <f>IF(Tabela8[[#This Row],[Tipo]]="jcp",Tabela8[[#This Row],[Provento p/Ação]]*85%,Tabela8[[#This Row],[Provento p/Ação]])</f>
        <v>0</v>
      </c>
      <c r="K91" s="143" t="str">
        <f>IF([Lucro p/Ação]&lt;&gt;0,SUMPRODUCT(N([Papel]=Tabela8[[#This Row],[Papel]]),N([Exercício]=Tabela8[[#This Row],[Exercício]]),[Líquido p/Ação]),"")</f>
        <v/>
      </c>
      <c r="L91" s="42" t="str">
        <f>IF(Tabela8[[#This Row],[Lucro p/Ação]]="","",IF(Tabela8[[#This Row],[Lucro p/Ação]]&gt;0,Tabela8[[#This Row],[Total Exercício]]/Tabela8[[#This Row],[Lucro p/Ação]],0))</f>
        <v/>
      </c>
      <c r="M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" s="14" t="str">
        <f>IF(Tabela8[[#This Row],[Média Lucro p/Ação]]&lt;&gt;"",Tabela8[[#This Row],[Média Pago]]/Tabela8[[#This Row],[Média Lucro p/Ação]],"")</f>
        <v/>
      </c>
      <c r="P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" s="5">
        <f>SUMPRODUCT(N(Tabela1[Código]=Tabela8[[#This Row],[Papel]]),Tabela1[Fechamento])</f>
        <v>28</v>
      </c>
      <c r="R91" s="5">
        <f>SUMPRODUCT(N(Tabela17[Código]=Tabela8[[#This Row],[Papel]]),Tabela17[Fechamento])</f>
        <v>0</v>
      </c>
      <c r="S91" s="7">
        <f>SUMPRODUCT(N(Tabela176[Código]=Tabela8[[#This Row],[Papel]]),Tabela176[Fechamento])</f>
        <v>0</v>
      </c>
      <c r="T91" s="7">
        <f>SUMPRODUCT(N(Tabela1768[Código]=Tabela8[[#This Row],[Papel]]),Tabela1768[Fechamento])</f>
        <v>0</v>
      </c>
      <c r="U91" s="7">
        <f>SUMPRODUCT(N(Tabela17683[Código]=Tabela8[[#This Row],[Papel]]),Tabela17683[Fechamento])</f>
        <v>0</v>
      </c>
      <c r="V91" s="17">
        <f>IF(MAX(Tabela8[[#This Row],[Cotação 1]]:Tabela8[[#This Row],[Cotação 5]])=0,"",MAX(Tabela8[[#This Row],[Cotação 1]]:Tabela8[[#This Row],[Cotação 5]]))</f>
        <v>28</v>
      </c>
      <c r="W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" s="17" t="str">
        <f>IF(AND([Ref]=5,[Cotação]&gt;0,[Cotação]&lt;&gt;""),[Total Exercício]/[Cotação],IF([Ref]&lt;4,0,""))</f>
        <v/>
      </c>
      <c r="Y91" s="17">
        <f>IF([Tipo]="div",1,0)</f>
        <v>0</v>
      </c>
      <c r="Z91" s="17">
        <f>IF([Tipo]="jcp",1,0)</f>
        <v>0</v>
      </c>
    </row>
    <row r="92" spans="1:26" hidden="1">
      <c r="A92" s="3" t="s">
        <v>769</v>
      </c>
      <c r="B92" s="58" t="s">
        <v>774</v>
      </c>
      <c r="C92" s="16">
        <v>4</v>
      </c>
      <c r="D92" s="4"/>
      <c r="E92" s="4"/>
      <c r="F92" s="4"/>
      <c r="G92" s="4"/>
      <c r="H92" s="4"/>
      <c r="I92" s="4"/>
      <c r="J92" s="17">
        <f>IF(Tabela8[[#This Row],[Tipo]]="jcp",Tabela8[[#This Row],[Provento p/Ação]]*85%,Tabela8[[#This Row],[Provento p/Ação]])</f>
        <v>0</v>
      </c>
      <c r="K92" s="143" t="str">
        <f>IF([Lucro p/Ação]&lt;&gt;0,SUMPRODUCT(N([Papel]=Tabela8[[#This Row],[Papel]]),N([Exercício]=Tabela8[[#This Row],[Exercício]]),[Líquido p/Ação]),"")</f>
        <v/>
      </c>
      <c r="L92" s="42" t="str">
        <f>IF(Tabela8[[#This Row],[Lucro p/Ação]]="","",IF(Tabela8[[#This Row],[Lucro p/Ação]]&gt;0,Tabela8[[#This Row],[Total Exercício]]/Tabela8[[#This Row],[Lucro p/Ação]],0))</f>
        <v/>
      </c>
      <c r="M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" s="14" t="str">
        <f>IF(Tabela8[[#This Row],[Média Lucro p/Ação]]&lt;&gt;"",Tabela8[[#This Row],[Média Pago]]/Tabela8[[#This Row],[Média Lucro p/Ação]],"")</f>
        <v/>
      </c>
      <c r="P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" s="7">
        <f>SUMPRODUCT(N(Tabela1[Código]=Tabela8[[#This Row],[Papel]]),Tabela1[Fechamento])</f>
        <v>0</v>
      </c>
      <c r="R92" s="7">
        <f>SUMPRODUCT(N(Tabela17[Código]=Tabela8[[#This Row],[Papel]]),Tabela17[Fechamento])</f>
        <v>0</v>
      </c>
      <c r="S92" s="7">
        <f>SUMPRODUCT(N(Tabela176[Código]=Tabela8[[#This Row],[Papel]]),Tabela176[Fechamento])</f>
        <v>25.07</v>
      </c>
      <c r="T92" s="7">
        <f>SUMPRODUCT(N(Tabela1768[Código]=Tabela8[[#This Row],[Papel]]),Tabela1768[Fechamento])</f>
        <v>0</v>
      </c>
      <c r="U92" s="7">
        <f>SUMPRODUCT(N(Tabela17683[Código]=Tabela8[[#This Row],[Papel]]),Tabela17683[Fechamento])</f>
        <v>0</v>
      </c>
      <c r="V92" s="17">
        <f>IF(MAX(Tabela8[[#This Row],[Cotação 1]]:Tabela8[[#This Row],[Cotação 5]])=0,"",MAX(Tabela8[[#This Row],[Cotação 1]]:Tabela8[[#This Row],[Cotação 5]]))</f>
        <v>25.07</v>
      </c>
      <c r="W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" s="17" t="str">
        <f>IF(AND([Ref]=5,[Cotação]&gt;0,[Cotação]&lt;&gt;""),[Total Exercício]/[Cotação],IF([Ref]&lt;4,0,""))</f>
        <v/>
      </c>
      <c r="Y92" s="17">
        <f>IF([Tipo]="div",1,0)</f>
        <v>0</v>
      </c>
      <c r="Z92" s="17">
        <f>IF([Tipo]="jcp",1,0)</f>
        <v>0</v>
      </c>
    </row>
    <row r="93" spans="1:26" hidden="1">
      <c r="A93" s="4" t="s">
        <v>288</v>
      </c>
      <c r="B93" s="57" t="s">
        <v>686</v>
      </c>
      <c r="C93" s="16">
        <v>4</v>
      </c>
      <c r="D93" s="4"/>
      <c r="E93" s="4"/>
      <c r="F93" s="4"/>
      <c r="G93" s="4"/>
      <c r="H93" s="4"/>
      <c r="I93" s="4"/>
      <c r="J93" s="17">
        <f>IF(Tabela8[[#This Row],[Tipo]]="jcp",Tabela8[[#This Row],[Provento p/Ação]]*85%,Tabela8[[#This Row],[Provento p/Ação]])</f>
        <v>0</v>
      </c>
      <c r="K93" s="143" t="str">
        <f>IF([Lucro p/Ação]&lt;&gt;0,SUMPRODUCT(N([Papel]=Tabela8[[#This Row],[Papel]]),N([Exercício]=Tabela8[[#This Row],[Exercício]]),[Líquido p/Ação]),"")</f>
        <v/>
      </c>
      <c r="L93" s="42" t="str">
        <f>IF(Tabela8[[#This Row],[Lucro p/Ação]]="","",IF(Tabela8[[#This Row],[Lucro p/Ação]]&gt;0,Tabela8[[#This Row],[Total Exercício]]/Tabela8[[#This Row],[Lucro p/Ação]],0))</f>
        <v/>
      </c>
      <c r="M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" s="14" t="str">
        <f>IF(Tabela8[[#This Row],[Média Lucro p/Ação]]&lt;&gt;"",Tabela8[[#This Row],[Média Pago]]/Tabela8[[#This Row],[Média Lucro p/Ação]],"")</f>
        <v/>
      </c>
      <c r="P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" s="17">
        <f>SUMPRODUCT(N(Tabela1[Código]=Tabela8[[#This Row],[Papel]]),Tabela1[Fechamento])</f>
        <v>0</v>
      </c>
      <c r="R93" s="17">
        <f>SUMPRODUCT(N(Tabela17[Código]=Tabela8[[#This Row],[Papel]]),Tabela17[Fechamento])</f>
        <v>0</v>
      </c>
      <c r="S93" s="17">
        <f>SUMPRODUCT(N(Tabela176[Código]=Tabela8[[#This Row],[Papel]]),Tabela176[Fechamento])</f>
        <v>0.8</v>
      </c>
      <c r="T93" s="17">
        <f>SUMPRODUCT(N(Tabela1768[Código]=Tabela8[[#This Row],[Papel]]),Tabela1768[Fechamento])</f>
        <v>0</v>
      </c>
      <c r="U93" s="7">
        <f>SUMPRODUCT(N(Tabela17683[Código]=Tabela8[[#This Row],[Papel]]),Tabela17683[Fechamento])</f>
        <v>0</v>
      </c>
      <c r="V93" s="17">
        <f>IF(MAX(Tabela8[[#This Row],[Cotação 1]]:Tabela8[[#This Row],[Cotação 5]])=0,"",MAX(Tabela8[[#This Row],[Cotação 1]]:Tabela8[[#This Row],[Cotação 5]]))</f>
        <v>0.8</v>
      </c>
      <c r="W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" s="17" t="str">
        <f>IF(AND([Ref]=5,[Cotação]&gt;0,[Cotação]&lt;&gt;""),[Total Exercício]/[Cotação],IF([Ref]&lt;4,0,""))</f>
        <v/>
      </c>
      <c r="Y93" s="17">
        <f>IF([Tipo]="div",1,0)</f>
        <v>0</v>
      </c>
      <c r="Z93" s="17">
        <f>IF([Tipo]="jcp",1,0)</f>
        <v>0</v>
      </c>
    </row>
    <row r="94" spans="1:26" hidden="1">
      <c r="A94" s="4" t="s">
        <v>288</v>
      </c>
      <c r="B94" s="57" t="s">
        <v>687</v>
      </c>
      <c r="C94" s="16">
        <v>4</v>
      </c>
      <c r="D94" s="4"/>
      <c r="E94" s="4"/>
      <c r="F94" s="4"/>
      <c r="G94" s="4"/>
      <c r="H94" s="4"/>
      <c r="I94" s="4"/>
      <c r="J94" s="17">
        <f>IF(Tabela8[[#This Row],[Tipo]]="jcp",Tabela8[[#This Row],[Provento p/Ação]]*85%,Tabela8[[#This Row],[Provento p/Ação]])</f>
        <v>0</v>
      </c>
      <c r="K94" s="143" t="str">
        <f>IF([Lucro p/Ação]&lt;&gt;0,SUMPRODUCT(N([Papel]=Tabela8[[#This Row],[Papel]]),N([Exercício]=Tabela8[[#This Row],[Exercício]]),[Líquido p/Ação]),"")</f>
        <v/>
      </c>
      <c r="L94" s="42" t="str">
        <f>IF(Tabela8[[#This Row],[Lucro p/Ação]]="","",IF(Tabela8[[#This Row],[Lucro p/Ação]]&gt;0,Tabela8[[#This Row],[Total Exercício]]/Tabela8[[#This Row],[Lucro p/Ação]],0))</f>
        <v/>
      </c>
      <c r="M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" s="14" t="str">
        <f>IF(Tabela8[[#This Row],[Média Lucro p/Ação]]&lt;&gt;"",Tabela8[[#This Row],[Média Pago]]/Tabela8[[#This Row],[Média Lucro p/Ação]],"")</f>
        <v/>
      </c>
      <c r="P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" s="17">
        <f>SUMPRODUCT(N(Tabela1[Código]=Tabela8[[#This Row],[Papel]]),Tabela1[Fechamento])</f>
        <v>0</v>
      </c>
      <c r="R94" s="17">
        <f>SUMPRODUCT(N(Tabela17[Código]=Tabela8[[#This Row],[Papel]]),Tabela17[Fechamento])</f>
        <v>0</v>
      </c>
      <c r="S94" s="17">
        <f>SUMPRODUCT(N(Tabela176[Código]=Tabela8[[#This Row],[Papel]]),Tabela176[Fechamento])</f>
        <v>0.86</v>
      </c>
      <c r="T94" s="17">
        <f>SUMPRODUCT(N(Tabela1768[Código]=Tabela8[[#This Row],[Papel]]),Tabela1768[Fechamento])</f>
        <v>0</v>
      </c>
      <c r="U94" s="7">
        <f>SUMPRODUCT(N(Tabela17683[Código]=Tabela8[[#This Row],[Papel]]),Tabela17683[Fechamento])</f>
        <v>0</v>
      </c>
      <c r="V94" s="17">
        <f>IF(MAX(Tabela8[[#This Row],[Cotação 1]]:Tabela8[[#This Row],[Cotação 5]])=0,"",MAX(Tabela8[[#This Row],[Cotação 1]]:Tabela8[[#This Row],[Cotação 5]]))</f>
        <v>0.86</v>
      </c>
      <c r="W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" s="17" t="str">
        <f>IF(AND([Ref]=5,[Cotação]&gt;0,[Cotação]&lt;&gt;""),[Total Exercício]/[Cotação],IF([Ref]&lt;4,0,""))</f>
        <v/>
      </c>
      <c r="Y94" s="17">
        <f>IF([Tipo]="div",1,0)</f>
        <v>0</v>
      </c>
      <c r="Z94" s="17">
        <f>IF([Tipo]="jcp",1,0)</f>
        <v>0</v>
      </c>
    </row>
    <row r="95" spans="1:26" hidden="1">
      <c r="A95" s="4" t="s">
        <v>365</v>
      </c>
      <c r="B95" s="57" t="s">
        <v>364</v>
      </c>
      <c r="C95" s="15">
        <v>4</v>
      </c>
      <c r="D95" s="4"/>
      <c r="E95" s="4"/>
      <c r="F95" s="4"/>
      <c r="G95" s="4"/>
      <c r="H95" s="4"/>
      <c r="I95" s="4"/>
      <c r="J95" s="17">
        <f>IF(Tabela8[[#This Row],[Tipo]]="jcp",Tabela8[[#This Row],[Provento p/Ação]]*85%,Tabela8[[#This Row],[Provento p/Ação]])</f>
        <v>0</v>
      </c>
      <c r="K95" s="143" t="str">
        <f>IF([Lucro p/Ação]&lt;&gt;0,SUMPRODUCT(N([Papel]=Tabela8[[#This Row],[Papel]]),N([Exercício]=Tabela8[[#This Row],[Exercício]]),[Líquido p/Ação]),"")</f>
        <v/>
      </c>
      <c r="L95" s="42" t="str">
        <f>IF(Tabela8[[#This Row],[Lucro p/Ação]]="","",IF(Tabela8[[#This Row],[Lucro p/Ação]]&gt;0,Tabela8[[#This Row],[Total Exercício]]/Tabela8[[#This Row],[Lucro p/Ação]],0))</f>
        <v/>
      </c>
      <c r="M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" s="14" t="str">
        <f>IF(Tabela8[[#This Row],[Média Lucro p/Ação]]&lt;&gt;"",Tabela8[[#This Row],[Média Pago]]/Tabela8[[#This Row],[Média Lucro p/Ação]],"")</f>
        <v/>
      </c>
      <c r="P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" s="13">
        <f>SUMPRODUCT(N(Tabela1[Código]=Tabela8[[#This Row],[Papel]]),Tabela1[Fechamento])</f>
        <v>0</v>
      </c>
      <c r="R95" s="55">
        <f>SUMPRODUCT(N(Tabela17[Código]=Tabela8[[#This Row],[Papel]]),Tabela17[Fechamento])</f>
        <v>10.34</v>
      </c>
      <c r="S95" s="7">
        <f>SUMPRODUCT(N(Tabela176[Código]=Tabela8[[#This Row],[Papel]]),Tabela176[Fechamento])</f>
        <v>0</v>
      </c>
      <c r="T95" s="7">
        <f>SUMPRODUCT(N(Tabela1768[Código]=Tabela8[[#This Row],[Papel]]),Tabela1768[Fechamento])</f>
        <v>0</v>
      </c>
      <c r="U95" s="7">
        <f>SUMPRODUCT(N(Tabela17683[Código]=Tabela8[[#This Row],[Papel]]),Tabela17683[Fechamento])</f>
        <v>0</v>
      </c>
      <c r="V95" s="17">
        <f>IF(MAX(Tabela8[[#This Row],[Cotação 1]]:Tabela8[[#This Row],[Cotação 5]])=0,"",MAX(Tabela8[[#This Row],[Cotação 1]]:Tabela8[[#This Row],[Cotação 5]]))</f>
        <v>10.34</v>
      </c>
      <c r="W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" s="17" t="str">
        <f>IF(AND([Ref]=5,[Cotação]&gt;0,[Cotação]&lt;&gt;""),[Total Exercício]/[Cotação],IF([Ref]&lt;4,0,""))</f>
        <v/>
      </c>
      <c r="Y95" s="17">
        <f>IF([Tipo]="div",1,0)</f>
        <v>0</v>
      </c>
      <c r="Z95" s="17">
        <f>IF([Tipo]="jcp",1,0)</f>
        <v>0</v>
      </c>
    </row>
    <row r="96" spans="1:26" hidden="1">
      <c r="A96" s="3" t="s">
        <v>1019</v>
      </c>
      <c r="B96" s="58" t="s">
        <v>1022</v>
      </c>
      <c r="C96" s="16">
        <v>3</v>
      </c>
      <c r="D96" s="4"/>
      <c r="E96" s="4"/>
      <c r="F96" s="4"/>
      <c r="G96" s="4"/>
      <c r="H96" s="4"/>
      <c r="I96" s="4"/>
      <c r="J96" s="17">
        <f>IF(Tabela8[[#This Row],[Tipo]]="jcp",Tabela8[[#This Row],[Provento p/Ação]]*85%,Tabela8[[#This Row],[Provento p/Ação]])</f>
        <v>0</v>
      </c>
      <c r="K96" s="143" t="str">
        <f>IF([Lucro p/Ação]&lt;&gt;0,SUMPRODUCT(N([Papel]=Tabela8[[#This Row],[Papel]]),N([Exercício]=Tabela8[[#This Row],[Exercício]]),[Líquido p/Ação]),"")</f>
        <v/>
      </c>
      <c r="L96" s="42" t="str">
        <f>IF(Tabela8[[#This Row],[Lucro p/Ação]]="","",IF(Tabela8[[#This Row],[Lucro p/Ação]]&gt;0,Tabela8[[#This Row],[Total Exercício]]/Tabela8[[#This Row],[Lucro p/Ação]],0))</f>
        <v/>
      </c>
      <c r="M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" s="14" t="str">
        <f>IF(Tabela8[[#This Row],[Média Lucro p/Ação]]&lt;&gt;"",Tabela8[[#This Row],[Média Pago]]/Tabela8[[#This Row],[Média Lucro p/Ação]],"")</f>
        <v/>
      </c>
      <c r="P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" s="7">
        <f>SUMPRODUCT(N(Tabela1[Código]=Tabela8[[#This Row],[Papel]]),Tabela1[Fechamento])</f>
        <v>0</v>
      </c>
      <c r="R96" s="7">
        <f>SUMPRODUCT(N(Tabela17[Código]=Tabela8[[#This Row],[Papel]]),Tabela17[Fechamento])</f>
        <v>0</v>
      </c>
      <c r="S96" s="7">
        <f>SUMPRODUCT(N(Tabela176[Código]=Tabela8[[#This Row],[Papel]]),Tabela176[Fechamento])</f>
        <v>0</v>
      </c>
      <c r="T96" s="7">
        <f>SUMPRODUCT(N(Tabela1768[Código]=Tabela8[[#This Row],[Papel]]),Tabela1768[Fechamento])</f>
        <v>126.01</v>
      </c>
      <c r="U96" s="7">
        <f>SUMPRODUCT(N(Tabela17683[Código]=Tabela8[[#This Row],[Papel]]),Tabela17683[Fechamento])</f>
        <v>0</v>
      </c>
      <c r="V96" s="17">
        <f>IF(MAX(Tabela8[[#This Row],[Cotação 1]]:Tabela8[[#This Row],[Cotação 5]])=0,"",MAX(Tabela8[[#This Row],[Cotação 1]]:Tabela8[[#This Row],[Cotação 5]]))</f>
        <v>126.01</v>
      </c>
      <c r="W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" s="17">
        <f>IF(AND([Ref]=5,[Cotação]&gt;0,[Cotação]&lt;&gt;""),[Total Exercício]/[Cotação],IF([Ref]&lt;4,0,""))</f>
        <v>0</v>
      </c>
      <c r="Y96" s="17">
        <f>IF([Tipo]="div",1,0)</f>
        <v>0</v>
      </c>
      <c r="Z96" s="17">
        <f>IF([Tipo]="jcp",1,0)</f>
        <v>0</v>
      </c>
    </row>
    <row r="97" spans="1:26" hidden="1">
      <c r="A97" s="3" t="s">
        <v>1019</v>
      </c>
      <c r="B97" s="58" t="s">
        <v>1023</v>
      </c>
      <c r="C97" s="16">
        <v>3</v>
      </c>
      <c r="D97" s="4"/>
      <c r="E97" s="4"/>
      <c r="F97" s="4"/>
      <c r="G97" s="4"/>
      <c r="H97" s="4"/>
      <c r="I97" s="4"/>
      <c r="J97" s="17">
        <f>IF(Tabela8[[#This Row],[Tipo]]="jcp",Tabela8[[#This Row],[Provento p/Ação]]*85%,Tabela8[[#This Row],[Provento p/Ação]])</f>
        <v>0</v>
      </c>
      <c r="K97" s="143" t="str">
        <f>IF([Lucro p/Ação]&lt;&gt;0,SUMPRODUCT(N([Papel]=Tabela8[[#This Row],[Papel]]),N([Exercício]=Tabela8[[#This Row],[Exercício]]),[Líquido p/Ação]),"")</f>
        <v/>
      </c>
      <c r="L97" s="42" t="str">
        <f>IF(Tabela8[[#This Row],[Lucro p/Ação]]="","",IF(Tabela8[[#This Row],[Lucro p/Ação]]&gt;0,Tabela8[[#This Row],[Total Exercício]]/Tabela8[[#This Row],[Lucro p/Ação]],0))</f>
        <v/>
      </c>
      <c r="M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" s="14" t="str">
        <f>IF(Tabela8[[#This Row],[Média Lucro p/Ação]]&lt;&gt;"",Tabela8[[#This Row],[Média Pago]]/Tabela8[[#This Row],[Média Lucro p/Ação]],"")</f>
        <v/>
      </c>
      <c r="P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" s="7">
        <f>SUMPRODUCT(N(Tabela1[Código]=Tabela8[[#This Row],[Papel]]),Tabela1[Fechamento])</f>
        <v>0</v>
      </c>
      <c r="R97" s="7">
        <f>SUMPRODUCT(N(Tabela17[Código]=Tabela8[[#This Row],[Papel]]),Tabela17[Fechamento])</f>
        <v>0</v>
      </c>
      <c r="S97" s="7">
        <f>SUMPRODUCT(N(Tabela176[Código]=Tabela8[[#This Row],[Papel]]),Tabela176[Fechamento])</f>
        <v>0</v>
      </c>
      <c r="T97" s="7">
        <f>SUMPRODUCT(N(Tabela1768[Código]=Tabela8[[#This Row],[Papel]]),Tabela1768[Fechamento])</f>
        <v>250</v>
      </c>
      <c r="U97" s="7">
        <f>SUMPRODUCT(N(Tabela17683[Código]=Tabela8[[#This Row],[Papel]]),Tabela17683[Fechamento])</f>
        <v>0</v>
      </c>
      <c r="V97" s="17">
        <f>IF(MAX(Tabela8[[#This Row],[Cotação 1]]:Tabela8[[#This Row],[Cotação 5]])=0,"",MAX(Tabela8[[#This Row],[Cotação 1]]:Tabela8[[#This Row],[Cotação 5]]))</f>
        <v>250</v>
      </c>
      <c r="W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" s="17">
        <f>IF(AND([Ref]=5,[Cotação]&gt;0,[Cotação]&lt;&gt;""),[Total Exercício]/[Cotação],IF([Ref]&lt;4,0,""))</f>
        <v>0</v>
      </c>
      <c r="Y97" s="17">
        <f>IF([Tipo]="div",1,0)</f>
        <v>0</v>
      </c>
      <c r="Z97" s="17">
        <f>IF([Tipo]="jcp",1,0)</f>
        <v>0</v>
      </c>
    </row>
    <row r="98" spans="1:26" hidden="1">
      <c r="A98" s="3" t="s">
        <v>957</v>
      </c>
      <c r="B98" s="58" t="s">
        <v>958</v>
      </c>
      <c r="C98" s="16">
        <v>3</v>
      </c>
      <c r="D98" s="4"/>
      <c r="E98" s="4"/>
      <c r="F98" s="4"/>
      <c r="G98" s="4"/>
      <c r="H98" s="4"/>
      <c r="I98" s="4"/>
      <c r="J98" s="17">
        <f>IF(Tabela8[[#This Row],[Tipo]]="jcp",Tabela8[[#This Row],[Provento p/Ação]]*85%,Tabela8[[#This Row],[Provento p/Ação]])</f>
        <v>0</v>
      </c>
      <c r="K98" s="143" t="str">
        <f>IF([Lucro p/Ação]&lt;&gt;0,SUMPRODUCT(N([Papel]=Tabela8[[#This Row],[Papel]]),N([Exercício]=Tabela8[[#This Row],[Exercício]]),[Líquido p/Ação]),"")</f>
        <v/>
      </c>
      <c r="L98" s="42" t="str">
        <f>IF(Tabela8[[#This Row],[Lucro p/Ação]]="","",IF(Tabela8[[#This Row],[Lucro p/Ação]]&gt;0,Tabela8[[#This Row],[Total Exercício]]/Tabela8[[#This Row],[Lucro p/Ação]],0))</f>
        <v/>
      </c>
      <c r="M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" s="14" t="str">
        <f>IF(Tabela8[[#This Row],[Média Lucro p/Ação]]&lt;&gt;"",Tabela8[[#This Row],[Média Pago]]/Tabela8[[#This Row],[Média Lucro p/Ação]],"")</f>
        <v/>
      </c>
      <c r="P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" s="7">
        <f>SUMPRODUCT(N(Tabela1[Código]=Tabela8[[#This Row],[Papel]]),Tabela1[Fechamento])</f>
        <v>0</v>
      </c>
      <c r="R98" s="7">
        <f>SUMPRODUCT(N(Tabela17[Código]=Tabela8[[#This Row],[Papel]]),Tabela17[Fechamento])</f>
        <v>0</v>
      </c>
      <c r="S98" s="7">
        <f>SUMPRODUCT(N(Tabela176[Código]=Tabela8[[#This Row],[Papel]]),Tabela176[Fechamento])</f>
        <v>0</v>
      </c>
      <c r="T98" s="7">
        <f>SUMPRODUCT(N(Tabela1768[Código]=Tabela8[[#This Row],[Papel]]),Tabela1768[Fechamento])</f>
        <v>0</v>
      </c>
      <c r="U98" s="7">
        <f>SUMPRODUCT(N(Tabela17683[Código]=Tabela8[[#This Row],[Papel]]),Tabela17683[Fechamento])</f>
        <v>0</v>
      </c>
      <c r="V98" s="17" t="str">
        <f>IF(MAX(Tabela8[[#This Row],[Cotação 1]]:Tabela8[[#This Row],[Cotação 5]])=0,"",MAX(Tabela8[[#This Row],[Cotação 1]]:Tabela8[[#This Row],[Cotação 5]]))</f>
        <v/>
      </c>
      <c r="W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" s="17">
        <f>IF(AND([Ref]=5,[Cotação]&gt;0,[Cotação]&lt;&gt;""),[Total Exercício]/[Cotação],IF([Ref]&lt;4,0,""))</f>
        <v>0</v>
      </c>
      <c r="Y98" s="17">
        <f>IF([Tipo]="div",1,0)</f>
        <v>0</v>
      </c>
      <c r="Z98" s="17">
        <f>IF([Tipo]="jcp",1,0)</f>
        <v>0</v>
      </c>
    </row>
    <row r="99" spans="1:26" hidden="1">
      <c r="A99" s="3" t="s">
        <v>957</v>
      </c>
      <c r="B99" s="58" t="s">
        <v>959</v>
      </c>
      <c r="C99" s="16">
        <v>3</v>
      </c>
      <c r="D99" s="4"/>
      <c r="E99" s="4"/>
      <c r="F99" s="4"/>
      <c r="G99" s="4"/>
      <c r="H99" s="4"/>
      <c r="I99" s="4"/>
      <c r="J99" s="17">
        <f>IF(Tabela8[[#This Row],[Tipo]]="jcp",Tabela8[[#This Row],[Provento p/Ação]]*85%,Tabela8[[#This Row],[Provento p/Ação]])</f>
        <v>0</v>
      </c>
      <c r="K99" s="143" t="str">
        <f>IF([Lucro p/Ação]&lt;&gt;0,SUMPRODUCT(N([Papel]=Tabela8[[#This Row],[Papel]]),N([Exercício]=Tabela8[[#This Row],[Exercício]]),[Líquido p/Ação]),"")</f>
        <v/>
      </c>
      <c r="L99" s="42" t="str">
        <f>IF(Tabela8[[#This Row],[Lucro p/Ação]]="","",IF(Tabela8[[#This Row],[Lucro p/Ação]]&gt;0,Tabela8[[#This Row],[Total Exercício]]/Tabela8[[#This Row],[Lucro p/Ação]],0))</f>
        <v/>
      </c>
      <c r="M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" s="14" t="str">
        <f>IF(Tabela8[[#This Row],[Média Lucro p/Ação]]&lt;&gt;"",Tabela8[[#This Row],[Média Pago]]/Tabela8[[#This Row],[Média Lucro p/Ação]],"")</f>
        <v/>
      </c>
      <c r="P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" s="7">
        <f>SUMPRODUCT(N(Tabela1[Código]=Tabela8[[#This Row],[Papel]]),Tabela1[Fechamento])</f>
        <v>0</v>
      </c>
      <c r="R99" s="7">
        <f>SUMPRODUCT(N(Tabela17[Código]=Tabela8[[#This Row],[Papel]]),Tabela17[Fechamento])</f>
        <v>0</v>
      </c>
      <c r="S99" s="7">
        <f>SUMPRODUCT(N(Tabela176[Código]=Tabela8[[#This Row],[Papel]]),Tabela176[Fechamento])</f>
        <v>0</v>
      </c>
      <c r="T99" s="7">
        <f>SUMPRODUCT(N(Tabela1768[Código]=Tabela8[[#This Row],[Papel]]),Tabela1768[Fechamento])</f>
        <v>2.17</v>
      </c>
      <c r="U99" s="7">
        <f>SUMPRODUCT(N(Tabela17683[Código]=Tabela8[[#This Row],[Papel]]),Tabela17683[Fechamento])</f>
        <v>0</v>
      </c>
      <c r="V99" s="17">
        <f>IF(MAX(Tabela8[[#This Row],[Cotação 1]]:Tabela8[[#This Row],[Cotação 5]])=0,"",MAX(Tabela8[[#This Row],[Cotação 1]]:Tabela8[[#This Row],[Cotação 5]]))</f>
        <v>2.17</v>
      </c>
      <c r="W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" s="17">
        <f>IF(AND([Ref]=5,[Cotação]&gt;0,[Cotação]&lt;&gt;""),[Total Exercício]/[Cotação],IF([Ref]&lt;4,0,""))</f>
        <v>0</v>
      </c>
      <c r="Y99" s="17">
        <f>IF([Tipo]="div",1,0)</f>
        <v>0</v>
      </c>
      <c r="Z99" s="17">
        <f>IF([Tipo]="jcp",1,0)</f>
        <v>0</v>
      </c>
    </row>
    <row r="100" spans="1:26" hidden="1">
      <c r="A100" s="3" t="s">
        <v>1131</v>
      </c>
      <c r="B100" s="57" t="s">
        <v>1118</v>
      </c>
      <c r="C100" s="16">
        <v>3</v>
      </c>
      <c r="D100" s="4"/>
      <c r="E100" s="4"/>
      <c r="F100" s="4"/>
      <c r="G100" s="4"/>
      <c r="H100" s="4"/>
      <c r="I100" s="4"/>
      <c r="J100" s="17">
        <f>IF(Tabela8[[#This Row],[Tipo]]="jcp",Tabela8[[#This Row],[Provento p/Ação]]*85%,Tabela8[[#This Row],[Provento p/Ação]])</f>
        <v>0</v>
      </c>
      <c r="K100" s="143" t="str">
        <f>IF([Lucro p/Ação]&lt;&gt;0,SUMPRODUCT(N([Papel]=Tabela8[[#This Row],[Papel]]),N([Exercício]=Tabela8[[#This Row],[Exercício]]),[Líquido p/Ação]),"")</f>
        <v/>
      </c>
      <c r="L100" s="42" t="str">
        <f>IF(Tabela8[[#This Row],[Lucro p/Ação]]="","",IF(Tabela8[[#This Row],[Lucro p/Ação]]&gt;0,Tabela8[[#This Row],[Total Exercício]]/Tabela8[[#This Row],[Lucro p/Ação]],0))</f>
        <v/>
      </c>
      <c r="M1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" s="14" t="str">
        <f>IF(Tabela8[[#This Row],[Média Lucro p/Ação]]&lt;&gt;"",Tabela8[[#This Row],[Média Pago]]/Tabela8[[#This Row],[Média Lucro p/Ação]],"")</f>
        <v/>
      </c>
      <c r="P1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" s="7">
        <f>SUMPRODUCT(N(Tabela1[Código]=Tabela8[[#This Row],[Papel]]),Tabela1[Fechamento])</f>
        <v>0</v>
      </c>
      <c r="R100" s="7">
        <f>SUMPRODUCT(N(Tabela17[Código]=Tabela8[[#This Row],[Papel]]),Tabela17[Fechamento])</f>
        <v>0</v>
      </c>
      <c r="S100" s="7">
        <f>SUMPRODUCT(N(Tabela176[Código]=Tabela8[[#This Row],[Papel]]),Tabela176[Fechamento])</f>
        <v>0</v>
      </c>
      <c r="T100" s="7">
        <f>SUMPRODUCT(N(Tabela1768[Código]=Tabela8[[#This Row],[Papel]]),Tabela1768[Fechamento])</f>
        <v>0</v>
      </c>
      <c r="U100" s="7">
        <f>SUMPRODUCT(N(Tabela17683[Código]=Tabela8[[#This Row],[Papel]]),Tabela17683[Fechamento])</f>
        <v>2.0499999999999998</v>
      </c>
      <c r="V100" s="17">
        <f>IF(MAX(Tabela8[[#This Row],[Cotação 1]]:Tabela8[[#This Row],[Cotação 5]])=0,"",MAX(Tabela8[[#This Row],[Cotação 1]]:Tabela8[[#This Row],[Cotação 5]]))</f>
        <v>2.0499999999999998</v>
      </c>
      <c r="W1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" s="17">
        <f>IF(AND([Ref]=5,[Cotação]&gt;0,[Cotação]&lt;&gt;""),[Total Exercício]/[Cotação],IF([Ref]&lt;4,0,""))</f>
        <v>0</v>
      </c>
      <c r="Y100" s="17">
        <f>IF([Tipo]="div",1,0)</f>
        <v>0</v>
      </c>
      <c r="Z100" s="17">
        <f>IF([Tipo]="jcp",1,0)</f>
        <v>0</v>
      </c>
    </row>
    <row r="101" spans="1:26" hidden="1">
      <c r="A101" s="4" t="s">
        <v>37</v>
      </c>
      <c r="B101" s="57" t="s">
        <v>173</v>
      </c>
      <c r="C101" s="15">
        <v>3</v>
      </c>
      <c r="D101" s="4"/>
      <c r="E101" s="4"/>
      <c r="F101" s="4"/>
      <c r="G101" s="4"/>
      <c r="H101" s="4"/>
      <c r="I101" s="4"/>
      <c r="J101" s="17">
        <f>IF(Tabela8[[#This Row],[Tipo]]="jcp",Tabela8[[#This Row],[Provento p/Ação]]*85%,Tabela8[[#This Row],[Provento p/Ação]])</f>
        <v>0</v>
      </c>
      <c r="K101" s="143" t="str">
        <f>IF([Lucro p/Ação]&lt;&gt;0,SUMPRODUCT(N([Papel]=Tabela8[[#This Row],[Papel]]),N([Exercício]=Tabela8[[#This Row],[Exercício]]),[Líquido p/Ação]),"")</f>
        <v/>
      </c>
      <c r="L101" s="42" t="str">
        <f>IF(Tabela8[[#This Row],[Lucro p/Ação]]="","",IF(Tabela8[[#This Row],[Lucro p/Ação]]&gt;0,Tabela8[[#This Row],[Total Exercício]]/Tabela8[[#This Row],[Lucro p/Ação]],0))</f>
        <v/>
      </c>
      <c r="M1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" s="14" t="str">
        <f>IF(Tabela8[[#This Row],[Média Lucro p/Ação]]&lt;&gt;"",Tabela8[[#This Row],[Média Pago]]/Tabela8[[#This Row],[Média Lucro p/Ação]],"")</f>
        <v/>
      </c>
      <c r="P1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" s="5">
        <f>SUMPRODUCT(N(Tabela1[Código]=Tabela8[[#This Row],[Papel]]),Tabela1[Fechamento])</f>
        <v>4.12</v>
      </c>
      <c r="R101" s="5">
        <f>SUMPRODUCT(N(Tabela17[Código]=Tabela8[[#This Row],[Papel]]),Tabela17[Fechamento])</f>
        <v>0</v>
      </c>
      <c r="S101" s="7">
        <f>SUMPRODUCT(N(Tabela176[Código]=Tabela8[[#This Row],[Papel]]),Tabela176[Fechamento])</f>
        <v>0</v>
      </c>
      <c r="T101" s="7">
        <f>SUMPRODUCT(N(Tabela1768[Código]=Tabela8[[#This Row],[Papel]]),Tabela1768[Fechamento])</f>
        <v>0</v>
      </c>
      <c r="U101" s="7">
        <f>SUMPRODUCT(N(Tabela17683[Código]=Tabela8[[#This Row],[Papel]]),Tabela17683[Fechamento])</f>
        <v>0</v>
      </c>
      <c r="V101" s="17">
        <f>IF(MAX(Tabela8[[#This Row],[Cotação 1]]:Tabela8[[#This Row],[Cotação 5]])=0,"",MAX(Tabela8[[#This Row],[Cotação 1]]:Tabela8[[#This Row],[Cotação 5]]))</f>
        <v>4.12</v>
      </c>
      <c r="W1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" s="17">
        <f>IF(AND([Ref]=5,[Cotação]&gt;0,[Cotação]&lt;&gt;""),[Total Exercício]/[Cotação],IF([Ref]&lt;4,0,""))</f>
        <v>0</v>
      </c>
      <c r="Y101" s="17">
        <f>IF([Tipo]="div",1,0)</f>
        <v>0</v>
      </c>
      <c r="Z101" s="17">
        <f>IF([Tipo]="jcp",1,0)</f>
        <v>0</v>
      </c>
    </row>
    <row r="102" spans="1:26" hidden="1">
      <c r="A102" s="4" t="s">
        <v>37</v>
      </c>
      <c r="B102" s="57" t="s">
        <v>503</v>
      </c>
      <c r="C102" s="16">
        <v>3</v>
      </c>
      <c r="D102" s="4"/>
      <c r="E102" s="4"/>
      <c r="F102" s="4"/>
      <c r="G102" s="4"/>
      <c r="H102" s="4"/>
      <c r="I102" s="4"/>
      <c r="J102" s="17">
        <f>IF(Tabela8[[#This Row],[Tipo]]="jcp",Tabela8[[#This Row],[Provento p/Ação]]*85%,Tabela8[[#This Row],[Provento p/Ação]])</f>
        <v>0</v>
      </c>
      <c r="K102" s="143" t="str">
        <f>IF([Lucro p/Ação]&lt;&gt;0,SUMPRODUCT(N([Papel]=Tabela8[[#This Row],[Papel]]),N([Exercício]=Tabela8[[#This Row],[Exercício]]),[Líquido p/Ação]),"")</f>
        <v/>
      </c>
      <c r="L102" s="42" t="str">
        <f>IF(Tabela8[[#This Row],[Lucro p/Ação]]="","",IF(Tabela8[[#This Row],[Lucro p/Ação]]&gt;0,Tabela8[[#This Row],[Total Exercício]]/Tabela8[[#This Row],[Lucro p/Ação]],0))</f>
        <v/>
      </c>
      <c r="M1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" s="14" t="str">
        <f>IF(Tabela8[[#This Row],[Média Lucro p/Ação]]&lt;&gt;"",Tabela8[[#This Row],[Média Pago]]/Tabela8[[#This Row],[Média Lucro p/Ação]],"")</f>
        <v/>
      </c>
      <c r="P1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" s="47">
        <f>SUMPRODUCT(N(Tabela1[Código]=Tabela8[[#This Row],[Papel]]),Tabela1[Fechamento])</f>
        <v>0</v>
      </c>
      <c r="R102" s="54">
        <f>SUMPRODUCT(N(Tabela17[Código]=Tabela8[[#This Row],[Papel]]),Tabela17[Fechamento])</f>
        <v>0</v>
      </c>
      <c r="S102" s="7">
        <f>SUMPRODUCT(N(Tabela176[Código]=Tabela8[[#This Row],[Papel]]),Tabela176[Fechamento])</f>
        <v>0</v>
      </c>
      <c r="T102" s="7">
        <f>SUMPRODUCT(N(Tabela1768[Código]=Tabela8[[#This Row],[Papel]]),Tabela1768[Fechamento])</f>
        <v>0</v>
      </c>
      <c r="U102" s="7">
        <f>SUMPRODUCT(N(Tabela17683[Código]=Tabela8[[#This Row],[Papel]]),Tabela17683[Fechamento])</f>
        <v>0</v>
      </c>
      <c r="V102" s="17" t="str">
        <f>IF(MAX(Tabela8[[#This Row],[Cotação 1]]:Tabela8[[#This Row],[Cotação 5]])=0,"",MAX(Tabela8[[#This Row],[Cotação 1]]:Tabela8[[#This Row],[Cotação 5]]))</f>
        <v/>
      </c>
      <c r="W1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" s="17">
        <f>IF(AND([Ref]=5,[Cotação]&gt;0,[Cotação]&lt;&gt;""),[Total Exercício]/[Cotação],IF([Ref]&lt;4,0,""))</f>
        <v>0</v>
      </c>
      <c r="Y102" s="17">
        <f>IF([Tipo]="div",1,0)</f>
        <v>0</v>
      </c>
      <c r="Z102" s="17">
        <f>IF([Tipo]="jcp",1,0)</f>
        <v>0</v>
      </c>
    </row>
    <row r="103" spans="1:26" hidden="1">
      <c r="A103" s="4" t="s">
        <v>12</v>
      </c>
      <c r="B103" s="3" t="s">
        <v>445</v>
      </c>
      <c r="C103" s="15">
        <v>4</v>
      </c>
      <c r="D103" s="14">
        <v>2010</v>
      </c>
      <c r="E103" s="4" t="s">
        <v>1468</v>
      </c>
      <c r="F103" s="4"/>
      <c r="G103" s="46">
        <v>39567</v>
      </c>
      <c r="H103" s="46">
        <v>39811</v>
      </c>
      <c r="I103" s="4">
        <v>0.01</v>
      </c>
      <c r="J103" s="133">
        <f>IF(Tabela8[[#This Row],[Tipo]]="jcp",Tabela8[[#This Row],[Provento p/Ação]]*85%,Tabela8[[#This Row],[Provento p/Ação]])</f>
        <v>0.01</v>
      </c>
      <c r="K103" s="133" t="str">
        <f>IF([Lucro p/Ação]&lt;&gt;0,SUMPRODUCT(N([Papel]=Tabela8[[#This Row],[Papel]]),N([Exercício]=Tabela8[[#This Row],[Exercício]]),[Líquido p/Ação]),"")</f>
        <v/>
      </c>
      <c r="L103" s="42" t="str">
        <f>IF(Tabela8[[#This Row],[Lucro p/Ação]]="","",IF(Tabela8[[#This Row],[Lucro p/Ação]]&gt;0,Tabela8[[#This Row],[Total Exercício]]/Tabela8[[#This Row],[Lucro p/Ação]],0))</f>
        <v/>
      </c>
      <c r="M1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" s="19" t="str">
        <f>IF(Tabela8[[#This Row],[Média Lucro p/Ação]]&lt;&gt;"",Tabela8[[#This Row],[Média Pago]]/Tabela8[[#This Row],[Média Lucro p/Ação]],"")</f>
        <v/>
      </c>
      <c r="P1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" s="17">
        <f>SUMPRODUCT(N(Tabela1[Código]=Tabela8[[#This Row],[Papel]]),Tabela1[Fechamento])</f>
        <v>0</v>
      </c>
      <c r="R103" s="17">
        <f>SUMPRODUCT(N(Tabela17[Código]=Tabela8[[#This Row],[Papel]]),Tabela17[Fechamento])</f>
        <v>1.07</v>
      </c>
      <c r="S103" s="7">
        <f>SUMPRODUCT(N(Tabela176[Código]=Tabela8[[#This Row],[Papel]]),Tabela176[Fechamento])</f>
        <v>0</v>
      </c>
      <c r="T103" s="7">
        <f>SUMPRODUCT(N(Tabela1768[Código]=Tabela8[[#This Row],[Papel]]),Tabela1768[Fechamento])</f>
        <v>0</v>
      </c>
      <c r="U103" s="7">
        <f>SUMPRODUCT(N(Tabela17683[Código]=Tabela8[[#This Row],[Papel]]),Tabela17683[Fechamento])</f>
        <v>0</v>
      </c>
      <c r="V103" s="17">
        <f>IF(MAX(Tabela8[[#This Row],[Cotação 1]]:Tabela8[[#This Row],[Cotação 5]])=0,"",MAX(Tabela8[[#This Row],[Cotação 1]]:Tabela8[[#This Row],[Cotação 5]]))</f>
        <v>1.07</v>
      </c>
      <c r="W1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" s="19" t="str">
        <f>IF(AND([Ref]=5,[Cotação]&gt;0,[Cotação]&lt;&gt;""),[Total Exercício]/[Cotação],IF([Ref]&lt;4,0,""))</f>
        <v/>
      </c>
      <c r="Y103" s="17">
        <f>IF([Tipo]="div",1,0)</f>
        <v>1</v>
      </c>
      <c r="Z103" s="17">
        <f>IF([Tipo]="jcp",1,0)</f>
        <v>0</v>
      </c>
    </row>
    <row r="104" spans="1:26" hidden="1">
      <c r="A104" s="3" t="s">
        <v>1236</v>
      </c>
      <c r="B104" s="57" t="s">
        <v>1237</v>
      </c>
      <c r="C104" s="16">
        <v>3</v>
      </c>
      <c r="D104" s="4"/>
      <c r="E104" s="4"/>
      <c r="F104" s="4"/>
      <c r="G104" s="4"/>
      <c r="H104" s="4"/>
      <c r="I104" s="4"/>
      <c r="J104" s="17">
        <f>IF(Tabela8[[#This Row],[Tipo]]="jcp",Tabela8[[#This Row],[Provento p/Ação]]*85%,Tabela8[[#This Row],[Provento p/Ação]])</f>
        <v>0</v>
      </c>
      <c r="K104" s="143" t="str">
        <f>IF([Lucro p/Ação]&lt;&gt;0,SUMPRODUCT(N([Papel]=Tabela8[[#This Row],[Papel]]),N([Exercício]=Tabela8[[#This Row],[Exercício]]),[Líquido p/Ação]),"")</f>
        <v/>
      </c>
      <c r="L104" s="42" t="str">
        <f>IF(Tabela8[[#This Row],[Lucro p/Ação]]="","",IF(Tabela8[[#This Row],[Lucro p/Ação]]&gt;0,Tabela8[[#This Row],[Total Exercício]]/Tabela8[[#This Row],[Lucro p/Ação]],0))</f>
        <v/>
      </c>
      <c r="M1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" s="14" t="str">
        <f>IF(Tabela8[[#This Row],[Média Lucro p/Ação]]&lt;&gt;"",Tabela8[[#This Row],[Média Pago]]/Tabela8[[#This Row],[Média Lucro p/Ação]],"")</f>
        <v/>
      </c>
      <c r="P1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" s="7">
        <f>SUMPRODUCT(N(Tabela1[Código]=Tabela8[[#This Row],[Papel]]),Tabela1[Fechamento])</f>
        <v>0</v>
      </c>
      <c r="R104" s="7">
        <f>SUMPRODUCT(N(Tabela17[Código]=Tabela8[[#This Row],[Papel]]),Tabela17[Fechamento])</f>
        <v>0</v>
      </c>
      <c r="S104" s="7">
        <f>SUMPRODUCT(N(Tabela176[Código]=Tabela8[[#This Row],[Papel]]),Tabela176[Fechamento])</f>
        <v>0</v>
      </c>
      <c r="T104" s="7">
        <f>SUMPRODUCT(N(Tabela1768[Código]=Tabela8[[#This Row],[Papel]]),Tabela1768[Fechamento])</f>
        <v>0</v>
      </c>
      <c r="U104" s="7">
        <f>SUMPRODUCT(N(Tabela17683[Código]=Tabela8[[#This Row],[Papel]]),Tabela17683[Fechamento])</f>
        <v>0.04</v>
      </c>
      <c r="V104" s="17">
        <f>IF(MAX(Tabela8[[#This Row],[Cotação 1]]:Tabela8[[#This Row],[Cotação 5]])=0,"",MAX(Tabela8[[#This Row],[Cotação 1]]:Tabela8[[#This Row],[Cotação 5]]))</f>
        <v>0.04</v>
      </c>
      <c r="W1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" s="17">
        <f>IF(AND([Ref]=5,[Cotação]&gt;0,[Cotação]&lt;&gt;""),[Total Exercício]/[Cotação],IF([Ref]&lt;4,0,""))</f>
        <v>0</v>
      </c>
      <c r="Y104" s="17">
        <f>IF([Tipo]="div",1,0)</f>
        <v>0</v>
      </c>
      <c r="Z104" s="17">
        <f>IF([Tipo]="jcp",1,0)</f>
        <v>0</v>
      </c>
    </row>
    <row r="105" spans="1:26" hidden="1">
      <c r="A105" s="3" t="s">
        <v>1236</v>
      </c>
      <c r="B105" s="57" t="s">
        <v>1238</v>
      </c>
      <c r="C105" s="16">
        <v>3</v>
      </c>
      <c r="D105" s="4"/>
      <c r="E105" s="4"/>
      <c r="F105" s="4"/>
      <c r="G105" s="4"/>
      <c r="H105" s="4"/>
      <c r="I105" s="4"/>
      <c r="J105" s="17">
        <f>IF(Tabela8[[#This Row],[Tipo]]="jcp",Tabela8[[#This Row],[Provento p/Ação]]*85%,Tabela8[[#This Row],[Provento p/Ação]])</f>
        <v>0</v>
      </c>
      <c r="K105" s="143" t="str">
        <f>IF([Lucro p/Ação]&lt;&gt;0,SUMPRODUCT(N([Papel]=Tabela8[[#This Row],[Papel]]),N([Exercício]=Tabela8[[#This Row],[Exercício]]),[Líquido p/Ação]),"")</f>
        <v/>
      </c>
      <c r="L105" s="42" t="str">
        <f>IF(Tabela8[[#This Row],[Lucro p/Ação]]="","",IF(Tabela8[[#This Row],[Lucro p/Ação]]&gt;0,Tabela8[[#This Row],[Total Exercício]]/Tabela8[[#This Row],[Lucro p/Ação]],0))</f>
        <v/>
      </c>
      <c r="M1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" s="14" t="str">
        <f>IF(Tabela8[[#This Row],[Média Lucro p/Ação]]&lt;&gt;"",Tabela8[[#This Row],[Média Pago]]/Tabela8[[#This Row],[Média Lucro p/Ação]],"")</f>
        <v/>
      </c>
      <c r="P1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" s="7">
        <f>SUMPRODUCT(N(Tabela1[Código]=Tabela8[[#This Row],[Papel]]),Tabela1[Fechamento])</f>
        <v>0</v>
      </c>
      <c r="R105" s="7">
        <f>SUMPRODUCT(N(Tabela17[Código]=Tabela8[[#This Row],[Papel]]),Tabela17[Fechamento])</f>
        <v>0</v>
      </c>
      <c r="S105" s="7">
        <f>SUMPRODUCT(N(Tabela176[Código]=Tabela8[[#This Row],[Papel]]),Tabela176[Fechamento])</f>
        <v>0</v>
      </c>
      <c r="T105" s="7">
        <f>SUMPRODUCT(N(Tabela1768[Código]=Tabela8[[#This Row],[Papel]]),Tabela1768[Fechamento])</f>
        <v>0</v>
      </c>
      <c r="U105" s="7">
        <f>SUMPRODUCT(N(Tabela17683[Código]=Tabela8[[#This Row],[Papel]]),Tabela17683[Fechamento])</f>
        <v>0.04</v>
      </c>
      <c r="V105" s="17">
        <f>IF(MAX(Tabela8[[#This Row],[Cotação 1]]:Tabela8[[#This Row],[Cotação 5]])=0,"",MAX(Tabela8[[#This Row],[Cotação 1]]:Tabela8[[#This Row],[Cotação 5]]))</f>
        <v>0.04</v>
      </c>
      <c r="W1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" s="17">
        <f>IF(AND([Ref]=5,[Cotação]&gt;0,[Cotação]&lt;&gt;""),[Total Exercício]/[Cotação],IF([Ref]&lt;4,0,""))</f>
        <v>0</v>
      </c>
      <c r="Y105" s="17">
        <f>IF([Tipo]="div",1,0)</f>
        <v>0</v>
      </c>
      <c r="Z105" s="17">
        <f>IF([Tipo]="jcp",1,0)</f>
        <v>0</v>
      </c>
    </row>
    <row r="106" spans="1:26" hidden="1">
      <c r="A106" s="4" t="s">
        <v>330</v>
      </c>
      <c r="B106" s="115" t="s">
        <v>1105</v>
      </c>
      <c r="C106" s="16">
        <v>3</v>
      </c>
      <c r="D106" s="4"/>
      <c r="E106" s="4"/>
      <c r="F106" s="4"/>
      <c r="G106" s="4"/>
      <c r="H106" s="4"/>
      <c r="I106" s="4"/>
      <c r="J106" s="17">
        <f>IF(Tabela8[[#This Row],[Tipo]]="jcp",Tabela8[[#This Row],[Provento p/Ação]]*85%,Tabela8[[#This Row],[Provento p/Ação]])</f>
        <v>0</v>
      </c>
      <c r="K106" s="143" t="str">
        <f>IF([Lucro p/Ação]&lt;&gt;0,SUMPRODUCT(N([Papel]=Tabela8[[#This Row],[Papel]]),N([Exercício]=Tabela8[[#This Row],[Exercício]]),[Líquido p/Ação]),"")</f>
        <v/>
      </c>
      <c r="L106" s="42" t="str">
        <f>IF(Tabela8[[#This Row],[Lucro p/Ação]]="","",IF(Tabela8[[#This Row],[Lucro p/Ação]]&gt;0,Tabela8[[#This Row],[Total Exercício]]/Tabela8[[#This Row],[Lucro p/Ação]],0))</f>
        <v/>
      </c>
      <c r="M1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" s="14" t="str">
        <f>IF(Tabela8[[#This Row],[Média Lucro p/Ação]]&lt;&gt;"",Tabela8[[#This Row],[Média Pago]]/Tabela8[[#This Row],[Média Lucro p/Ação]],"")</f>
        <v/>
      </c>
      <c r="P1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" s="7">
        <f>SUMPRODUCT(N(Tabela1[Código]=Tabela8[[#This Row],[Papel]]),Tabela1[Fechamento])</f>
        <v>0</v>
      </c>
      <c r="R106" s="7">
        <f>SUMPRODUCT(N(Tabela17[Código]=Tabela8[[#This Row],[Papel]]),Tabela17[Fechamento])</f>
        <v>0</v>
      </c>
      <c r="S106" s="7">
        <f>SUMPRODUCT(N(Tabela176[Código]=Tabela8[[#This Row],[Papel]]),Tabela176[Fechamento])</f>
        <v>0</v>
      </c>
      <c r="T106" s="7">
        <f>SUMPRODUCT(N(Tabela1768[Código]=Tabela8[[#This Row],[Papel]]),Tabela1768[Fechamento])</f>
        <v>0</v>
      </c>
      <c r="U106" s="7">
        <f>SUMPRODUCT(N(Tabela17683[Código]=Tabela8[[#This Row],[Papel]]),Tabela17683[Fechamento])</f>
        <v>0.12</v>
      </c>
      <c r="V106" s="17">
        <f>IF(MAX(Tabela8[[#This Row],[Cotação 1]]:Tabela8[[#This Row],[Cotação 5]])=0,"",MAX(Tabela8[[#This Row],[Cotação 1]]:Tabela8[[#This Row],[Cotação 5]]))</f>
        <v>0.12</v>
      </c>
      <c r="W1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" s="17">
        <f>IF(AND([Ref]=5,[Cotação]&gt;0,[Cotação]&lt;&gt;""),[Total Exercício]/[Cotação],IF([Ref]&lt;4,0,""))</f>
        <v>0</v>
      </c>
      <c r="Y106" s="17">
        <f>IF([Tipo]="div",1,0)</f>
        <v>0</v>
      </c>
      <c r="Z106" s="17">
        <f>IF([Tipo]="jcp",1,0)</f>
        <v>0</v>
      </c>
    </row>
    <row r="107" spans="1:26" hidden="1">
      <c r="A107" s="4" t="s">
        <v>330</v>
      </c>
      <c r="B107" s="115" t="s">
        <v>1106</v>
      </c>
      <c r="C107" s="16">
        <v>3</v>
      </c>
      <c r="D107" s="4"/>
      <c r="E107" s="4"/>
      <c r="F107" s="4"/>
      <c r="G107" s="4"/>
      <c r="H107" s="4"/>
      <c r="I107" s="4"/>
      <c r="J107" s="17">
        <f>IF(Tabela8[[#This Row],[Tipo]]="jcp",Tabela8[[#This Row],[Provento p/Ação]]*85%,Tabela8[[#This Row],[Provento p/Ação]])</f>
        <v>0</v>
      </c>
      <c r="K107" s="143" t="str">
        <f>IF([Lucro p/Ação]&lt;&gt;0,SUMPRODUCT(N([Papel]=Tabela8[[#This Row],[Papel]]),N([Exercício]=Tabela8[[#This Row],[Exercício]]),[Líquido p/Ação]),"")</f>
        <v/>
      </c>
      <c r="L107" s="42" t="str">
        <f>IF(Tabela8[[#This Row],[Lucro p/Ação]]="","",IF(Tabela8[[#This Row],[Lucro p/Ação]]&gt;0,Tabela8[[#This Row],[Total Exercício]]/Tabela8[[#This Row],[Lucro p/Ação]],0))</f>
        <v/>
      </c>
      <c r="M1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" s="14" t="str">
        <f>IF(Tabela8[[#This Row],[Média Lucro p/Ação]]&lt;&gt;"",Tabela8[[#This Row],[Média Pago]]/Tabela8[[#This Row],[Média Lucro p/Ação]],"")</f>
        <v/>
      </c>
      <c r="P1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" s="7">
        <f>SUMPRODUCT(N(Tabela1[Código]=Tabela8[[#This Row],[Papel]]),Tabela1[Fechamento])</f>
        <v>0</v>
      </c>
      <c r="R107" s="7">
        <f>SUMPRODUCT(N(Tabela17[Código]=Tabela8[[#This Row],[Papel]]),Tabela17[Fechamento])</f>
        <v>0</v>
      </c>
      <c r="S107" s="7">
        <f>SUMPRODUCT(N(Tabela176[Código]=Tabela8[[#This Row],[Papel]]),Tabela176[Fechamento])</f>
        <v>0</v>
      </c>
      <c r="T107" s="7">
        <f>SUMPRODUCT(N(Tabela1768[Código]=Tabela8[[#This Row],[Papel]]),Tabela1768[Fechamento])</f>
        <v>0</v>
      </c>
      <c r="U107" s="7">
        <f>SUMPRODUCT(N(Tabela17683[Código]=Tabela8[[#This Row],[Papel]]),Tabela17683[Fechamento])</f>
        <v>0.09</v>
      </c>
      <c r="V107" s="17">
        <f>IF(MAX(Tabela8[[#This Row],[Cotação 1]]:Tabela8[[#This Row],[Cotação 5]])=0,"",MAX(Tabela8[[#This Row],[Cotação 1]]:Tabela8[[#This Row],[Cotação 5]]))</f>
        <v>0.09</v>
      </c>
      <c r="W1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" s="17">
        <f>IF(AND([Ref]=5,[Cotação]&gt;0,[Cotação]&lt;&gt;""),[Total Exercício]/[Cotação],IF([Ref]&lt;4,0,""))</f>
        <v>0</v>
      </c>
      <c r="Y107" s="17">
        <f>IF([Tipo]="div",1,0)</f>
        <v>0</v>
      </c>
      <c r="Z107" s="17">
        <f>IF([Tipo]="jcp",1,0)</f>
        <v>0</v>
      </c>
    </row>
    <row r="108" spans="1:26" hidden="1">
      <c r="A108" s="3" t="s">
        <v>335</v>
      </c>
      <c r="B108" s="58" t="s">
        <v>342</v>
      </c>
      <c r="C108" s="16">
        <v>4</v>
      </c>
      <c r="D108" s="4"/>
      <c r="E108" s="4"/>
      <c r="F108" s="4"/>
      <c r="G108" s="4"/>
      <c r="H108" s="4"/>
      <c r="I108" s="4"/>
      <c r="J108" s="17">
        <f>IF(Tabela8[[#This Row],[Tipo]]="jcp",Tabela8[[#This Row],[Provento p/Ação]]*85%,Tabela8[[#This Row],[Provento p/Ação]])</f>
        <v>0</v>
      </c>
      <c r="K108" s="143" t="str">
        <f>IF([Lucro p/Ação]&lt;&gt;0,SUMPRODUCT(N([Papel]=Tabela8[[#This Row],[Papel]]),N([Exercício]=Tabela8[[#This Row],[Exercício]]),[Líquido p/Ação]),"")</f>
        <v/>
      </c>
      <c r="L108" s="42" t="str">
        <f>IF(Tabela8[[#This Row],[Lucro p/Ação]]="","",IF(Tabela8[[#This Row],[Lucro p/Ação]]&gt;0,Tabela8[[#This Row],[Total Exercício]]/Tabela8[[#This Row],[Lucro p/Ação]],0))</f>
        <v/>
      </c>
      <c r="M1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8" s="14" t="str">
        <f>IF(Tabela8[[#This Row],[Média Lucro p/Ação]]&lt;&gt;"",Tabela8[[#This Row],[Média Pago]]/Tabela8[[#This Row],[Média Lucro p/Ação]],"")</f>
        <v/>
      </c>
      <c r="P1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" s="47">
        <f>SUMPRODUCT(N(Tabela1[Código]=Tabela8[[#This Row],[Papel]]),Tabela1[Fechamento])</f>
        <v>0</v>
      </c>
      <c r="R108" s="54">
        <f>SUMPRODUCT(N(Tabela17[Código]=Tabela8[[#This Row],[Papel]]),Tabela17[Fechamento])</f>
        <v>18.91</v>
      </c>
      <c r="S108" s="7">
        <f>SUMPRODUCT(N(Tabela176[Código]=Tabela8[[#This Row],[Papel]]),Tabela176[Fechamento])</f>
        <v>0</v>
      </c>
      <c r="T108" s="7">
        <f>SUMPRODUCT(N(Tabela1768[Código]=Tabela8[[#This Row],[Papel]]),Tabela1768[Fechamento])</f>
        <v>0</v>
      </c>
      <c r="U108" s="7">
        <f>SUMPRODUCT(N(Tabela17683[Código]=Tabela8[[#This Row],[Papel]]),Tabela17683[Fechamento])</f>
        <v>0</v>
      </c>
      <c r="V108" s="17">
        <f>IF(MAX(Tabela8[[#This Row],[Cotação 1]]:Tabela8[[#This Row],[Cotação 5]])=0,"",MAX(Tabela8[[#This Row],[Cotação 1]]:Tabela8[[#This Row],[Cotação 5]]))</f>
        <v>18.91</v>
      </c>
      <c r="W1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" s="17" t="str">
        <f>IF(AND([Ref]=5,[Cotação]&gt;0,[Cotação]&lt;&gt;""),[Total Exercício]/[Cotação],IF([Ref]&lt;4,0,""))</f>
        <v/>
      </c>
      <c r="Y108" s="17">
        <f>IF([Tipo]="div",1,0)</f>
        <v>0</v>
      </c>
      <c r="Z108" s="17">
        <f>IF([Tipo]="jcp",1,0)</f>
        <v>0</v>
      </c>
    </row>
    <row r="109" spans="1:26" hidden="1">
      <c r="A109" s="3" t="s">
        <v>1140</v>
      </c>
      <c r="B109" s="57" t="s">
        <v>1133</v>
      </c>
      <c r="C109" s="16">
        <v>4</v>
      </c>
      <c r="D109" s="4"/>
      <c r="E109" s="4"/>
      <c r="F109" s="4"/>
      <c r="G109" s="4"/>
      <c r="H109" s="4"/>
      <c r="I109" s="4"/>
      <c r="J109" s="17">
        <f>IF(Tabela8[[#This Row],[Tipo]]="jcp",Tabela8[[#This Row],[Provento p/Ação]]*85%,Tabela8[[#This Row],[Provento p/Ação]])</f>
        <v>0</v>
      </c>
      <c r="K109" s="143" t="str">
        <f>IF([Lucro p/Ação]&lt;&gt;0,SUMPRODUCT(N([Papel]=Tabela8[[#This Row],[Papel]]),N([Exercício]=Tabela8[[#This Row],[Exercício]]),[Líquido p/Ação]),"")</f>
        <v/>
      </c>
      <c r="L109" s="42" t="str">
        <f>IF(Tabela8[[#This Row],[Lucro p/Ação]]="","",IF(Tabela8[[#This Row],[Lucro p/Ação]]&gt;0,Tabela8[[#This Row],[Total Exercício]]/Tabela8[[#This Row],[Lucro p/Ação]],0))</f>
        <v/>
      </c>
      <c r="M1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9" s="14" t="str">
        <f>IF(Tabela8[[#This Row],[Média Lucro p/Ação]]&lt;&gt;"",Tabela8[[#This Row],[Média Pago]]/Tabela8[[#This Row],[Média Lucro p/Ação]],"")</f>
        <v/>
      </c>
      <c r="P1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" s="7">
        <f>SUMPRODUCT(N(Tabela1[Código]=Tabela8[[#This Row],[Papel]]),Tabela1[Fechamento])</f>
        <v>0</v>
      </c>
      <c r="R109" s="7">
        <f>SUMPRODUCT(N(Tabela17[Código]=Tabela8[[#This Row],[Papel]]),Tabela17[Fechamento])</f>
        <v>0</v>
      </c>
      <c r="S109" s="7">
        <f>SUMPRODUCT(N(Tabela176[Código]=Tabela8[[#This Row],[Papel]]),Tabela176[Fechamento])</f>
        <v>0</v>
      </c>
      <c r="T109" s="7">
        <f>SUMPRODUCT(N(Tabela1768[Código]=Tabela8[[#This Row],[Papel]]),Tabela1768[Fechamento])</f>
        <v>0</v>
      </c>
      <c r="U109" s="7">
        <f>SUMPRODUCT(N(Tabela17683[Código]=Tabela8[[#This Row],[Papel]]),Tabela17683[Fechamento])</f>
        <v>16.829999999999998</v>
      </c>
      <c r="V109" s="17">
        <f>IF(MAX(Tabela8[[#This Row],[Cotação 1]]:Tabela8[[#This Row],[Cotação 5]])=0,"",MAX(Tabela8[[#This Row],[Cotação 1]]:Tabela8[[#This Row],[Cotação 5]]))</f>
        <v>16.829999999999998</v>
      </c>
      <c r="W1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" s="17" t="str">
        <f>IF(AND([Ref]=5,[Cotação]&gt;0,[Cotação]&lt;&gt;""),[Total Exercício]/[Cotação],IF([Ref]&lt;4,0,""))</f>
        <v/>
      </c>
      <c r="Y109" s="17">
        <f>IF([Tipo]="div",1,0)</f>
        <v>0</v>
      </c>
      <c r="Z109" s="17">
        <f>IF([Tipo]="jcp",1,0)</f>
        <v>0</v>
      </c>
    </row>
    <row r="110" spans="1:26" hidden="1">
      <c r="A110" s="4" t="s">
        <v>643</v>
      </c>
      <c r="B110" s="57" t="s">
        <v>644</v>
      </c>
      <c r="C110" s="15">
        <v>3</v>
      </c>
      <c r="D110" s="4"/>
      <c r="E110" s="4"/>
      <c r="F110" s="4"/>
      <c r="G110" s="4"/>
      <c r="H110" s="4"/>
      <c r="I110" s="4"/>
      <c r="J110" s="17">
        <f>IF(Tabela8[[#This Row],[Tipo]]="jcp",Tabela8[[#This Row],[Provento p/Ação]]*85%,Tabela8[[#This Row],[Provento p/Ação]])</f>
        <v>0</v>
      </c>
      <c r="K110" s="143" t="str">
        <f>IF([Lucro p/Ação]&lt;&gt;0,SUMPRODUCT(N([Papel]=Tabela8[[#This Row],[Papel]]),N([Exercício]=Tabela8[[#This Row],[Exercício]]),[Líquido p/Ação]),"")</f>
        <v/>
      </c>
      <c r="L110" s="42" t="str">
        <f>IF(Tabela8[[#This Row],[Lucro p/Ação]]="","",IF(Tabela8[[#This Row],[Lucro p/Ação]]&gt;0,Tabela8[[#This Row],[Total Exercício]]/Tabela8[[#This Row],[Lucro p/Ação]],0))</f>
        <v/>
      </c>
      <c r="M1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0" s="14" t="str">
        <f>IF(Tabela8[[#This Row],[Média Lucro p/Ação]]&lt;&gt;"",Tabela8[[#This Row],[Média Pago]]/Tabela8[[#This Row],[Média Lucro p/Ação]],"")</f>
        <v/>
      </c>
      <c r="P1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" s="17">
        <f>SUMPRODUCT(N(Tabela1[Código]=Tabela8[[#This Row],[Papel]]),Tabela1[Fechamento])</f>
        <v>0</v>
      </c>
      <c r="R110" s="17">
        <f>SUMPRODUCT(N(Tabela17[Código]=Tabela8[[#This Row],[Papel]]),Tabela17[Fechamento])</f>
        <v>0</v>
      </c>
      <c r="S110" s="17">
        <f>SUMPRODUCT(N(Tabela176[Código]=Tabela8[[#This Row],[Papel]]),Tabela176[Fechamento])</f>
        <v>0.93</v>
      </c>
      <c r="T110" s="17">
        <f>SUMPRODUCT(N(Tabela1768[Código]=Tabela8[[#This Row],[Papel]]),Tabela1768[Fechamento])</f>
        <v>0</v>
      </c>
      <c r="U110" s="7">
        <f>SUMPRODUCT(N(Tabela17683[Código]=Tabela8[[#This Row],[Papel]]),Tabela17683[Fechamento])</f>
        <v>0</v>
      </c>
      <c r="V110" s="17">
        <f>IF(MAX(Tabela8[[#This Row],[Cotação 1]]:Tabela8[[#This Row],[Cotação 5]])=0,"",MAX(Tabela8[[#This Row],[Cotação 1]]:Tabela8[[#This Row],[Cotação 5]]))</f>
        <v>0.93</v>
      </c>
      <c r="W1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" s="17">
        <f>IF(AND([Ref]=5,[Cotação]&gt;0,[Cotação]&lt;&gt;""),[Total Exercício]/[Cotação],IF([Ref]&lt;4,0,""))</f>
        <v>0</v>
      </c>
      <c r="Y110" s="17">
        <f>IF([Tipo]="div",1,0)</f>
        <v>0</v>
      </c>
      <c r="Z110" s="17">
        <f>IF([Tipo]="jcp",1,0)</f>
        <v>0</v>
      </c>
    </row>
    <row r="111" spans="1:26" hidden="1">
      <c r="A111" s="4" t="s">
        <v>12</v>
      </c>
      <c r="B111" s="57" t="s">
        <v>90</v>
      </c>
      <c r="C111" s="15">
        <v>3</v>
      </c>
      <c r="D111" s="14"/>
      <c r="E111" s="4"/>
      <c r="F111" s="4"/>
      <c r="G111" s="4"/>
      <c r="H111" s="4"/>
      <c r="I111" s="4"/>
      <c r="J111" s="133">
        <f>IF(Tabela8[[#This Row],[Tipo]]="jcp",Tabela8[[#This Row],[Provento p/Ação]]*85%,Tabela8[[#This Row],[Provento p/Ação]])</f>
        <v>0</v>
      </c>
      <c r="K111" s="143" t="str">
        <f>IF([Lucro p/Ação]&lt;&gt;0,SUMPRODUCT(N([Papel]=Tabela8[[#This Row],[Papel]]),N([Exercício]=Tabela8[[#This Row],[Exercício]]),[Líquido p/Ação]),"")</f>
        <v/>
      </c>
      <c r="L111" s="42" t="str">
        <f>IF(Tabela8[[#This Row],[Lucro p/Ação]]="","",IF(Tabela8[[#This Row],[Lucro p/Ação]]&gt;0,Tabela8[[#This Row],[Total Exercício]]/Tabela8[[#This Row],[Lucro p/Ação]],0))</f>
        <v/>
      </c>
      <c r="M1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1" s="14" t="str">
        <f>IF(Tabela8[[#This Row],[Média Lucro p/Ação]]&lt;&gt;"",Tabela8[[#This Row],[Média Pago]]/Tabela8[[#This Row],[Média Lucro p/Ação]],"")</f>
        <v/>
      </c>
      <c r="P1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" s="5">
        <f>SUMPRODUCT(N(Tabela1[Código]=Tabela8[[#This Row],[Papel]]),Tabela1[Fechamento])</f>
        <v>14</v>
      </c>
      <c r="R111" s="5">
        <f>SUMPRODUCT(N(Tabela17[Código]=Tabela8[[#This Row],[Papel]]),Tabela17[Fechamento])</f>
        <v>0</v>
      </c>
      <c r="S111" s="7">
        <f>SUMPRODUCT(N(Tabela176[Código]=Tabela8[[#This Row],[Papel]]),Tabela176[Fechamento])</f>
        <v>0</v>
      </c>
      <c r="T111" s="7">
        <f>SUMPRODUCT(N(Tabela1768[Código]=Tabela8[[#This Row],[Papel]]),Tabela1768[Fechamento])</f>
        <v>0</v>
      </c>
      <c r="U111" s="7">
        <f>SUMPRODUCT(N(Tabela17683[Código]=Tabela8[[#This Row],[Papel]]),Tabela17683[Fechamento])</f>
        <v>0</v>
      </c>
      <c r="V111" s="17">
        <f>IF(MAX(Tabela8[[#This Row],[Cotação 1]]:Tabela8[[#This Row],[Cotação 5]])=0,"",MAX(Tabela8[[#This Row],[Cotação 1]]:Tabela8[[#This Row],[Cotação 5]]))</f>
        <v>14</v>
      </c>
      <c r="W1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" s="17">
        <f>IF(AND([Ref]=5,[Cotação]&gt;0,[Cotação]&lt;&gt;""),[Total Exercício]/[Cotação],IF([Ref]&lt;4,0,""))</f>
        <v>0</v>
      </c>
      <c r="Y111" s="17">
        <f>IF([Tipo]="div",1,0)</f>
        <v>0</v>
      </c>
      <c r="Z111" s="17">
        <f>IF([Tipo]="jcp",1,0)</f>
        <v>0</v>
      </c>
    </row>
    <row r="112" spans="1:26" hidden="1">
      <c r="A112" s="4" t="s">
        <v>12</v>
      </c>
      <c r="B112" s="57" t="s">
        <v>91</v>
      </c>
      <c r="C112" s="15">
        <v>3</v>
      </c>
      <c r="D112" s="14"/>
      <c r="E112" s="4"/>
      <c r="F112" s="4"/>
      <c r="G112" s="4"/>
      <c r="H112" s="4"/>
      <c r="I112" s="4"/>
      <c r="J112" s="133">
        <f>IF(Tabela8[[#This Row],[Tipo]]="jcp",Tabela8[[#This Row],[Provento p/Ação]]*85%,Tabela8[[#This Row],[Provento p/Ação]])</f>
        <v>0</v>
      </c>
      <c r="K112" s="143" t="str">
        <f>IF([Lucro p/Ação]&lt;&gt;0,SUMPRODUCT(N([Papel]=Tabela8[[#This Row],[Papel]]),N([Exercício]=Tabela8[[#This Row],[Exercício]]),[Líquido p/Ação]),"")</f>
        <v/>
      </c>
      <c r="L112" s="42" t="str">
        <f>IF(Tabela8[[#This Row],[Lucro p/Ação]]="","",IF(Tabela8[[#This Row],[Lucro p/Ação]]&gt;0,Tabela8[[#This Row],[Total Exercício]]/Tabela8[[#This Row],[Lucro p/Ação]],0))</f>
        <v/>
      </c>
      <c r="M1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2" s="14" t="str">
        <f>IF(Tabela8[[#This Row],[Média Lucro p/Ação]]&lt;&gt;"",Tabela8[[#This Row],[Média Pago]]/Tabela8[[#This Row],[Média Lucro p/Ação]],"")</f>
        <v/>
      </c>
      <c r="P1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" s="5">
        <f>SUMPRODUCT(N(Tabela1[Código]=Tabela8[[#This Row],[Papel]]),Tabela1[Fechamento])</f>
        <v>21</v>
      </c>
      <c r="R112" s="5">
        <f>SUMPRODUCT(N(Tabela17[Código]=Tabela8[[#This Row],[Papel]]),Tabela17[Fechamento])</f>
        <v>0</v>
      </c>
      <c r="S112" s="7">
        <f>SUMPRODUCT(N(Tabela176[Código]=Tabela8[[#This Row],[Papel]]),Tabela176[Fechamento])</f>
        <v>0</v>
      </c>
      <c r="T112" s="7">
        <f>SUMPRODUCT(N(Tabela1768[Código]=Tabela8[[#This Row],[Papel]]),Tabela1768[Fechamento])</f>
        <v>0</v>
      </c>
      <c r="U112" s="7">
        <f>SUMPRODUCT(N(Tabela17683[Código]=Tabela8[[#This Row],[Papel]]),Tabela17683[Fechamento])</f>
        <v>0</v>
      </c>
      <c r="V112" s="17">
        <f>IF(MAX(Tabela8[[#This Row],[Cotação 1]]:Tabela8[[#This Row],[Cotação 5]])=0,"",MAX(Tabela8[[#This Row],[Cotação 1]]:Tabela8[[#This Row],[Cotação 5]]))</f>
        <v>21</v>
      </c>
      <c r="W1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" s="17">
        <f>IF(AND([Ref]=5,[Cotação]&gt;0,[Cotação]&lt;&gt;""),[Total Exercício]/[Cotação],IF([Ref]&lt;4,0,""))</f>
        <v>0</v>
      </c>
      <c r="Y112" s="17">
        <f>IF([Tipo]="div",1,0)</f>
        <v>0</v>
      </c>
      <c r="Z112" s="17">
        <f>IF([Tipo]="jcp",1,0)</f>
        <v>0</v>
      </c>
    </row>
    <row r="113" spans="1:26" hidden="1">
      <c r="A113" s="4" t="s">
        <v>12</v>
      </c>
      <c r="B113" s="57" t="s">
        <v>69</v>
      </c>
      <c r="C113" s="15">
        <v>3</v>
      </c>
      <c r="D113" s="14"/>
      <c r="E113" s="4"/>
      <c r="F113" s="4"/>
      <c r="G113" s="4"/>
      <c r="H113" s="4"/>
      <c r="I113" s="4"/>
      <c r="J113" s="133">
        <f>IF(Tabela8[[#This Row],[Tipo]]="jcp",Tabela8[[#This Row],[Provento p/Ação]]*85%,Tabela8[[#This Row],[Provento p/Ação]])</f>
        <v>0</v>
      </c>
      <c r="K113" s="143" t="str">
        <f>IF([Lucro p/Ação]&lt;&gt;0,SUMPRODUCT(N([Papel]=Tabela8[[#This Row],[Papel]]),N([Exercício]=Tabela8[[#This Row],[Exercício]]),[Líquido p/Ação]),"")</f>
        <v/>
      </c>
      <c r="L113" s="42" t="str">
        <f>IF(Tabela8[[#This Row],[Lucro p/Ação]]="","",IF(Tabela8[[#This Row],[Lucro p/Ação]]&gt;0,Tabela8[[#This Row],[Total Exercício]]/Tabela8[[#This Row],[Lucro p/Ação]],0))</f>
        <v/>
      </c>
      <c r="M1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3" s="14" t="str">
        <f>IF(Tabela8[[#This Row],[Média Lucro p/Ação]]&lt;&gt;"",Tabela8[[#This Row],[Média Pago]]/Tabela8[[#This Row],[Média Lucro p/Ação]],"")</f>
        <v/>
      </c>
      <c r="P1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3" s="5">
        <f>SUMPRODUCT(N(Tabela1[Código]=Tabela8[[#This Row],[Papel]]),Tabela1[Fechamento])</f>
        <v>17.100000000000001</v>
      </c>
      <c r="R113" s="5">
        <f>SUMPRODUCT(N(Tabela17[Código]=Tabela8[[#This Row],[Papel]]),Tabela17[Fechamento])</f>
        <v>0</v>
      </c>
      <c r="S113" s="7">
        <f>SUMPRODUCT(N(Tabela176[Código]=Tabela8[[#This Row],[Papel]]),Tabela176[Fechamento])</f>
        <v>0</v>
      </c>
      <c r="T113" s="7">
        <f>SUMPRODUCT(N(Tabela1768[Código]=Tabela8[[#This Row],[Papel]]),Tabela1768[Fechamento])</f>
        <v>0</v>
      </c>
      <c r="U113" s="7">
        <f>SUMPRODUCT(N(Tabela17683[Código]=Tabela8[[#This Row],[Papel]]),Tabela17683[Fechamento])</f>
        <v>0</v>
      </c>
      <c r="V113" s="17">
        <f>IF(MAX(Tabela8[[#This Row],[Cotação 1]]:Tabela8[[#This Row],[Cotação 5]])=0,"",MAX(Tabela8[[#This Row],[Cotação 1]]:Tabela8[[#This Row],[Cotação 5]]))</f>
        <v>17.100000000000001</v>
      </c>
      <c r="W1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3" s="17">
        <f>IF(AND([Ref]=5,[Cotação]&gt;0,[Cotação]&lt;&gt;""),[Total Exercício]/[Cotação],IF([Ref]&lt;4,0,""))</f>
        <v>0</v>
      </c>
      <c r="Y113" s="17">
        <f>IF([Tipo]="div",1,0)</f>
        <v>0</v>
      </c>
      <c r="Z113" s="17">
        <f>IF([Tipo]="jcp",1,0)</f>
        <v>0</v>
      </c>
    </row>
    <row r="114" spans="1:26" hidden="1">
      <c r="A114" s="3" t="s">
        <v>876</v>
      </c>
      <c r="B114" s="58" t="s">
        <v>877</v>
      </c>
      <c r="C114" s="16">
        <v>3</v>
      </c>
      <c r="D114" s="4"/>
      <c r="E114" s="4"/>
      <c r="F114" s="4"/>
      <c r="G114" s="4"/>
      <c r="H114" s="4"/>
      <c r="I114" s="4"/>
      <c r="J114" s="17">
        <f>IF(Tabela8[[#This Row],[Tipo]]="jcp",Tabela8[[#This Row],[Provento p/Ação]]*85%,Tabela8[[#This Row],[Provento p/Ação]])</f>
        <v>0</v>
      </c>
      <c r="K114" s="143" t="str">
        <f>IF([Lucro p/Ação]&lt;&gt;0,SUMPRODUCT(N([Papel]=Tabela8[[#This Row],[Papel]]),N([Exercício]=Tabela8[[#This Row],[Exercício]]),[Líquido p/Ação]),"")</f>
        <v/>
      </c>
      <c r="L114" s="42" t="str">
        <f>IF(Tabela8[[#This Row],[Lucro p/Ação]]="","",IF(Tabela8[[#This Row],[Lucro p/Ação]]&gt;0,Tabela8[[#This Row],[Total Exercício]]/Tabela8[[#This Row],[Lucro p/Ação]],0))</f>
        <v/>
      </c>
      <c r="M1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4" s="14" t="str">
        <f>IF(Tabela8[[#This Row],[Média Lucro p/Ação]]&lt;&gt;"",Tabela8[[#This Row],[Média Pago]]/Tabela8[[#This Row],[Média Lucro p/Ação]],"")</f>
        <v/>
      </c>
      <c r="P1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4" s="7">
        <f>SUMPRODUCT(N(Tabela1[Código]=Tabela8[[#This Row],[Papel]]),Tabela1[Fechamento])</f>
        <v>0</v>
      </c>
      <c r="R114" s="7">
        <f>SUMPRODUCT(N(Tabela17[Código]=Tabela8[[#This Row],[Papel]]),Tabela17[Fechamento])</f>
        <v>0</v>
      </c>
      <c r="S114" s="7">
        <f>SUMPRODUCT(N(Tabela176[Código]=Tabela8[[#This Row],[Papel]]),Tabela176[Fechamento])</f>
        <v>0</v>
      </c>
      <c r="T114" s="7">
        <f>SUMPRODUCT(N(Tabela1768[Código]=Tabela8[[#This Row],[Papel]]),Tabela1768[Fechamento])</f>
        <v>10</v>
      </c>
      <c r="U114" s="7">
        <f>SUMPRODUCT(N(Tabela17683[Código]=Tabela8[[#This Row],[Papel]]),Tabela17683[Fechamento])</f>
        <v>0</v>
      </c>
      <c r="V114" s="17">
        <f>IF(MAX(Tabela8[[#This Row],[Cotação 1]]:Tabela8[[#This Row],[Cotação 5]])=0,"",MAX(Tabela8[[#This Row],[Cotação 1]]:Tabela8[[#This Row],[Cotação 5]]))</f>
        <v>10</v>
      </c>
      <c r="W1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4" s="17">
        <f>IF(AND([Ref]=5,[Cotação]&gt;0,[Cotação]&lt;&gt;""),[Total Exercício]/[Cotação],IF([Ref]&lt;4,0,""))</f>
        <v>0</v>
      </c>
      <c r="Y114" s="17">
        <f>IF([Tipo]="div",1,0)</f>
        <v>0</v>
      </c>
      <c r="Z114" s="17">
        <f>IF([Tipo]="jcp",1,0)</f>
        <v>0</v>
      </c>
    </row>
    <row r="115" spans="1:26" hidden="1">
      <c r="A115" s="3" t="s">
        <v>876</v>
      </c>
      <c r="B115" s="58" t="s">
        <v>878</v>
      </c>
      <c r="C115" s="16">
        <v>3</v>
      </c>
      <c r="D115" s="4"/>
      <c r="E115" s="4"/>
      <c r="F115" s="4"/>
      <c r="G115" s="4"/>
      <c r="H115" s="4"/>
      <c r="I115" s="4"/>
      <c r="J115" s="17">
        <f>IF(Tabela8[[#This Row],[Tipo]]="jcp",Tabela8[[#This Row],[Provento p/Ação]]*85%,Tabela8[[#This Row],[Provento p/Ação]])</f>
        <v>0</v>
      </c>
      <c r="K115" s="143" t="str">
        <f>IF([Lucro p/Ação]&lt;&gt;0,SUMPRODUCT(N([Papel]=Tabela8[[#This Row],[Papel]]),N([Exercício]=Tabela8[[#This Row],[Exercício]]),[Líquido p/Ação]),"")</f>
        <v/>
      </c>
      <c r="L115" s="42" t="str">
        <f>IF(Tabela8[[#This Row],[Lucro p/Ação]]="","",IF(Tabela8[[#This Row],[Lucro p/Ação]]&gt;0,Tabela8[[#This Row],[Total Exercício]]/Tabela8[[#This Row],[Lucro p/Ação]],0))</f>
        <v/>
      </c>
      <c r="M1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5" s="14" t="str">
        <f>IF(Tabela8[[#This Row],[Média Lucro p/Ação]]&lt;&gt;"",Tabela8[[#This Row],[Média Pago]]/Tabela8[[#This Row],[Média Lucro p/Ação]],"")</f>
        <v/>
      </c>
      <c r="P1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5" s="7">
        <f>SUMPRODUCT(N(Tabela1[Código]=Tabela8[[#This Row],[Papel]]),Tabela1[Fechamento])</f>
        <v>0</v>
      </c>
      <c r="R115" s="7">
        <f>SUMPRODUCT(N(Tabela17[Código]=Tabela8[[#This Row],[Papel]]),Tabela17[Fechamento])</f>
        <v>0</v>
      </c>
      <c r="S115" s="7">
        <f>SUMPRODUCT(N(Tabela176[Código]=Tabela8[[#This Row],[Papel]]),Tabela176[Fechamento])</f>
        <v>0</v>
      </c>
      <c r="T115" s="7">
        <f>SUMPRODUCT(N(Tabela1768[Código]=Tabela8[[#This Row],[Papel]]),Tabela1768[Fechamento])</f>
        <v>10.5</v>
      </c>
      <c r="U115" s="7">
        <f>SUMPRODUCT(N(Tabela17683[Código]=Tabela8[[#This Row],[Papel]]),Tabela17683[Fechamento])</f>
        <v>0</v>
      </c>
      <c r="V115" s="17">
        <f>IF(MAX(Tabela8[[#This Row],[Cotação 1]]:Tabela8[[#This Row],[Cotação 5]])=0,"",MAX(Tabela8[[#This Row],[Cotação 1]]:Tabela8[[#This Row],[Cotação 5]]))</f>
        <v>10.5</v>
      </c>
      <c r="W1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5" s="17">
        <f>IF(AND([Ref]=5,[Cotação]&gt;0,[Cotação]&lt;&gt;""),[Total Exercício]/[Cotação],IF([Ref]&lt;4,0,""))</f>
        <v>0</v>
      </c>
      <c r="Y115" s="17">
        <f>IF([Tipo]="div",1,0)</f>
        <v>0</v>
      </c>
      <c r="Z115" s="17">
        <f>IF([Tipo]="jcp",1,0)</f>
        <v>0</v>
      </c>
    </row>
    <row r="116" spans="1:26" hidden="1">
      <c r="A116" s="4" t="s">
        <v>12</v>
      </c>
      <c r="B116" s="3" t="s">
        <v>88</v>
      </c>
      <c r="C116" s="15">
        <v>4</v>
      </c>
      <c r="D116" s="14">
        <v>2010</v>
      </c>
      <c r="E116" s="4" t="s">
        <v>1468</v>
      </c>
      <c r="F116" s="4"/>
      <c r="G116" s="46">
        <v>40266</v>
      </c>
      <c r="H116" s="46">
        <v>40345</v>
      </c>
      <c r="I116" s="4">
        <v>1.6702699999999999</v>
      </c>
      <c r="J116" s="133">
        <f>IF(Tabela8[[#This Row],[Tipo]]="jcp",Tabela8[[#This Row],[Provento p/Ação]]*85%,Tabela8[[#This Row],[Provento p/Ação]])</f>
        <v>1.6702699999999999</v>
      </c>
      <c r="K116" s="143" t="str">
        <f>IF([Lucro p/Ação]&lt;&gt;0,SUMPRODUCT(N([Papel]=Tabela8[[#This Row],[Papel]]),N([Exercício]=Tabela8[[#This Row],[Exercício]]),[Líquido p/Ação]),"")</f>
        <v/>
      </c>
      <c r="L116" s="42" t="str">
        <f>IF(Tabela8[[#This Row],[Lucro p/Ação]]="","",IF(Tabela8[[#This Row],[Lucro p/Ação]]&gt;0,Tabela8[[#This Row],[Total Exercício]]/Tabela8[[#This Row],[Lucro p/Ação]],0))</f>
        <v/>
      </c>
      <c r="M1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6" s="19" t="str">
        <f>IF(Tabela8[[#This Row],[Média Lucro p/Ação]]&lt;&gt;"",Tabela8[[#This Row],[Média Pago]]/Tabela8[[#This Row],[Média Lucro p/Ação]],"")</f>
        <v/>
      </c>
      <c r="P1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6" s="5">
        <f>SUMPRODUCT(N(Tabela1[Código]=Tabela8[[#This Row],[Papel]]),Tabela1[Fechamento])</f>
        <v>27.3</v>
      </c>
      <c r="R116" s="5">
        <f>SUMPRODUCT(N(Tabela17[Código]=Tabela8[[#This Row],[Papel]]),Tabela17[Fechamento])</f>
        <v>0</v>
      </c>
      <c r="S116" s="7">
        <f>SUMPRODUCT(N(Tabela176[Código]=Tabela8[[#This Row],[Papel]]),Tabela176[Fechamento])</f>
        <v>0</v>
      </c>
      <c r="T116" s="7">
        <f>SUMPRODUCT(N(Tabela1768[Código]=Tabela8[[#This Row],[Papel]]),Tabela1768[Fechamento])</f>
        <v>0</v>
      </c>
      <c r="U116" s="7">
        <f>SUMPRODUCT(N(Tabela17683[Código]=Tabela8[[#This Row],[Papel]]),Tabela17683[Fechamento])</f>
        <v>0</v>
      </c>
      <c r="V116" s="17">
        <f>IF(MAX(Tabela8[[#This Row],[Cotação 1]]:Tabela8[[#This Row],[Cotação 5]])=0,"",MAX(Tabela8[[#This Row],[Cotação 1]]:Tabela8[[#This Row],[Cotação 5]]))</f>
        <v>27.3</v>
      </c>
      <c r="W1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6" s="17" t="str">
        <f>IF(AND([Ref]=5,[Cotação]&gt;0,[Cotação]&lt;&gt;""),[Total Exercício]/[Cotação],IF([Ref]&lt;4,0,""))</f>
        <v/>
      </c>
      <c r="Y116" s="17">
        <f>IF([Tipo]="div",1,0)</f>
        <v>1</v>
      </c>
      <c r="Z116" s="17">
        <f>IF([Tipo]="jcp",1,0)</f>
        <v>0</v>
      </c>
    </row>
    <row r="117" spans="1:26" hidden="1">
      <c r="A117" s="4" t="s">
        <v>12</v>
      </c>
      <c r="B117" s="3" t="s">
        <v>89</v>
      </c>
      <c r="C117" s="15">
        <v>4</v>
      </c>
      <c r="D117" s="14">
        <v>2010</v>
      </c>
      <c r="E117" s="4" t="s">
        <v>1468</v>
      </c>
      <c r="F117" s="4"/>
      <c r="G117" s="46">
        <v>40266</v>
      </c>
      <c r="H117" s="46">
        <v>40345</v>
      </c>
      <c r="I117" s="4">
        <v>1.6702699999999999</v>
      </c>
      <c r="J117" s="133">
        <f>IF(Tabela8[[#This Row],[Tipo]]="jcp",Tabela8[[#This Row],[Provento p/Ação]]*85%,Tabela8[[#This Row],[Provento p/Ação]])</f>
        <v>1.6702699999999999</v>
      </c>
      <c r="K117" s="143" t="str">
        <f>IF([Lucro p/Ação]&lt;&gt;0,SUMPRODUCT(N([Papel]=Tabela8[[#This Row],[Papel]]),N([Exercício]=Tabela8[[#This Row],[Exercício]]),[Líquido p/Ação]),"")</f>
        <v/>
      </c>
      <c r="L117" s="42" t="str">
        <f>IF(Tabela8[[#This Row],[Lucro p/Ação]]="","",IF(Tabela8[[#This Row],[Lucro p/Ação]]&gt;0,Tabela8[[#This Row],[Total Exercício]]/Tabela8[[#This Row],[Lucro p/Ação]],0))</f>
        <v/>
      </c>
      <c r="M1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7" s="19" t="str">
        <f>IF(Tabela8[[#This Row],[Média Lucro p/Ação]]&lt;&gt;"",Tabela8[[#This Row],[Média Pago]]/Tabela8[[#This Row],[Média Lucro p/Ação]],"")</f>
        <v/>
      </c>
      <c r="P1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7" s="5">
        <f>SUMPRODUCT(N(Tabela1[Código]=Tabela8[[#This Row],[Papel]]),Tabela1[Fechamento])</f>
        <v>32.01</v>
      </c>
      <c r="R117" s="5">
        <f>SUMPRODUCT(N(Tabela17[Código]=Tabela8[[#This Row],[Papel]]),Tabela17[Fechamento])</f>
        <v>0</v>
      </c>
      <c r="S117" s="7">
        <f>SUMPRODUCT(N(Tabela176[Código]=Tabela8[[#This Row],[Papel]]),Tabela176[Fechamento])</f>
        <v>0</v>
      </c>
      <c r="T117" s="7">
        <f>SUMPRODUCT(N(Tabela1768[Código]=Tabela8[[#This Row],[Papel]]),Tabela1768[Fechamento])</f>
        <v>0</v>
      </c>
      <c r="U117" s="7">
        <f>SUMPRODUCT(N(Tabela17683[Código]=Tabela8[[#This Row],[Papel]]),Tabela17683[Fechamento])</f>
        <v>0</v>
      </c>
      <c r="V117" s="17">
        <f>IF(MAX(Tabela8[[#This Row],[Cotação 1]]:Tabela8[[#This Row],[Cotação 5]])=0,"",MAX(Tabela8[[#This Row],[Cotação 1]]:Tabela8[[#This Row],[Cotação 5]]))</f>
        <v>32.01</v>
      </c>
      <c r="W1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7" s="17" t="str">
        <f>IF(AND([Ref]=5,[Cotação]&gt;0,[Cotação]&lt;&gt;""),[Total Exercício]/[Cotação],IF([Ref]&lt;4,0,""))</f>
        <v/>
      </c>
      <c r="Y117" s="17">
        <f>IF([Tipo]="div",1,0)</f>
        <v>1</v>
      </c>
      <c r="Z117" s="17">
        <f>IF([Tipo]="jcp",1,0)</f>
        <v>0</v>
      </c>
    </row>
    <row r="118" spans="1:26" hidden="1">
      <c r="A118" s="4" t="s">
        <v>12</v>
      </c>
      <c r="B118" s="3" t="s">
        <v>466</v>
      </c>
      <c r="C118" s="15">
        <v>4</v>
      </c>
      <c r="D118" s="14">
        <v>2010</v>
      </c>
      <c r="E118" s="4" t="s">
        <v>1468</v>
      </c>
      <c r="F118" s="4"/>
      <c r="G118" s="46">
        <v>40266</v>
      </c>
      <c r="H118" s="46">
        <v>40345</v>
      </c>
      <c r="I118" s="4">
        <v>1.8372999999999999</v>
      </c>
      <c r="J118" s="133">
        <f>IF(Tabela8[[#This Row],[Tipo]]="jcp",Tabela8[[#This Row],[Provento p/Ação]]*85%,Tabela8[[#This Row],[Provento p/Ação]])</f>
        <v>1.8372999999999999</v>
      </c>
      <c r="K118" s="143" t="str">
        <f>IF([Lucro p/Ação]&lt;&gt;0,SUMPRODUCT(N([Papel]=Tabela8[[#This Row],[Papel]]),N([Exercício]=Tabela8[[#This Row],[Exercício]]),[Líquido p/Ação]),"")</f>
        <v/>
      </c>
      <c r="L118" s="42" t="str">
        <f>IF(Tabela8[[#This Row],[Lucro p/Ação]]="","",IF(Tabela8[[#This Row],[Lucro p/Ação]]&gt;0,Tabela8[[#This Row],[Total Exercício]]/Tabela8[[#This Row],[Lucro p/Ação]],0))</f>
        <v/>
      </c>
      <c r="M1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8" s="19" t="str">
        <f>IF(Tabela8[[#This Row],[Média Lucro p/Ação]]&lt;&gt;"",Tabela8[[#This Row],[Média Pago]]/Tabela8[[#This Row],[Média Lucro p/Ação]],"")</f>
        <v/>
      </c>
      <c r="P1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8" s="5">
        <f>SUMPRODUCT(N(Tabela1[Código]=Tabela8[[#This Row],[Papel]]),Tabela1[Fechamento])</f>
        <v>0</v>
      </c>
      <c r="R118" s="5">
        <f>SUMPRODUCT(N(Tabela17[Código]=Tabela8[[#This Row],[Papel]]),Tabela17[Fechamento])</f>
        <v>0</v>
      </c>
      <c r="S118" s="7">
        <f>SUMPRODUCT(N(Tabela176[Código]=Tabela8[[#This Row],[Papel]]),Tabela176[Fechamento])</f>
        <v>0</v>
      </c>
      <c r="T118" s="7">
        <f>SUMPRODUCT(N(Tabela1768[Código]=Tabela8[[#This Row],[Papel]]),Tabela1768[Fechamento])</f>
        <v>0</v>
      </c>
      <c r="U118" s="7">
        <f>SUMPRODUCT(N(Tabela17683[Código]=Tabela8[[#This Row],[Papel]]),Tabela17683[Fechamento])</f>
        <v>0</v>
      </c>
      <c r="V118" s="17" t="str">
        <f>IF(MAX(Tabela8[[#This Row],[Cotação 1]]:Tabela8[[#This Row],[Cotação 5]])=0,"",MAX(Tabela8[[#This Row],[Cotação 1]]:Tabela8[[#This Row],[Cotação 5]]))</f>
        <v/>
      </c>
      <c r="W1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8" s="17" t="str">
        <f>IF(AND([Ref]=5,[Cotação]&gt;0,[Cotação]&lt;&gt;""),[Total Exercício]/[Cotação],IF([Ref]&lt;4,0,""))</f>
        <v/>
      </c>
      <c r="Y118" s="17">
        <f>IF([Tipo]="div",1,0)</f>
        <v>1</v>
      </c>
      <c r="Z118" s="17">
        <f>IF([Tipo]="jcp",1,0)</f>
        <v>0</v>
      </c>
    </row>
    <row r="119" spans="1:26" hidden="1">
      <c r="A119" s="4" t="s">
        <v>12</v>
      </c>
      <c r="B119" s="57" t="s">
        <v>477</v>
      </c>
      <c r="C119" s="15">
        <v>3</v>
      </c>
      <c r="D119" s="14"/>
      <c r="E119" s="4"/>
      <c r="F119" s="4"/>
      <c r="G119" s="4"/>
      <c r="H119" s="4"/>
      <c r="I119" s="4"/>
      <c r="J119" s="133">
        <f>IF(Tabela8[[#This Row],[Tipo]]="jcp",Tabela8[[#This Row],[Provento p/Ação]]*85%,Tabela8[[#This Row],[Provento p/Ação]])</f>
        <v>0</v>
      </c>
      <c r="K119" s="143" t="str">
        <f>IF([Lucro p/Ação]&lt;&gt;0,SUMPRODUCT(N([Papel]=Tabela8[[#This Row],[Papel]]),N([Exercício]=Tabela8[[#This Row],[Exercício]]),[Líquido p/Ação]),"")</f>
        <v/>
      </c>
      <c r="L119" s="42" t="str">
        <f>IF(Tabela8[[#This Row],[Lucro p/Ação]]="","",IF(Tabela8[[#This Row],[Lucro p/Ação]]&gt;0,Tabela8[[#This Row],[Total Exercício]]/Tabela8[[#This Row],[Lucro p/Ação]],0))</f>
        <v/>
      </c>
      <c r="M1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19" s="14" t="str">
        <f>IF(Tabela8[[#This Row],[Média Lucro p/Ação]]&lt;&gt;"",Tabela8[[#This Row],[Média Pago]]/Tabela8[[#This Row],[Média Lucro p/Ação]],"")</f>
        <v/>
      </c>
      <c r="P1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9" s="17">
        <f>SUMPRODUCT(N(Tabela1[Código]=Tabela8[[#This Row],[Papel]]),Tabela1[Fechamento])</f>
        <v>0</v>
      </c>
      <c r="R119" s="17">
        <f>SUMPRODUCT(N(Tabela17[Código]=Tabela8[[#This Row],[Papel]]),Tabela17[Fechamento])</f>
        <v>1</v>
      </c>
      <c r="S119" s="7">
        <f>SUMPRODUCT(N(Tabela176[Código]=Tabela8[[#This Row],[Papel]]),Tabela176[Fechamento])</f>
        <v>0</v>
      </c>
      <c r="T119" s="7">
        <f>SUMPRODUCT(N(Tabela1768[Código]=Tabela8[[#This Row],[Papel]]),Tabela1768[Fechamento])</f>
        <v>0</v>
      </c>
      <c r="U119" s="7">
        <f>SUMPRODUCT(N(Tabela17683[Código]=Tabela8[[#This Row],[Papel]]),Tabela17683[Fechamento])</f>
        <v>0</v>
      </c>
      <c r="V119" s="17">
        <f>IF(MAX(Tabela8[[#This Row],[Cotação 1]]:Tabela8[[#This Row],[Cotação 5]])=0,"",MAX(Tabela8[[#This Row],[Cotação 1]]:Tabela8[[#This Row],[Cotação 5]]))</f>
        <v>1</v>
      </c>
      <c r="W1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9" s="17">
        <f>IF(AND([Ref]=5,[Cotação]&gt;0,[Cotação]&lt;&gt;""),[Total Exercício]/[Cotação],IF([Ref]&lt;4,0,""))</f>
        <v>0</v>
      </c>
      <c r="Y119" s="17">
        <f>IF([Tipo]="div",1,0)</f>
        <v>0</v>
      </c>
      <c r="Z119" s="17">
        <f>IF([Tipo]="jcp",1,0)</f>
        <v>0</v>
      </c>
    </row>
    <row r="120" spans="1:26" hidden="1">
      <c r="A120" s="4" t="s">
        <v>12</v>
      </c>
      <c r="B120" s="57" t="s">
        <v>478</v>
      </c>
      <c r="C120" s="15">
        <v>3</v>
      </c>
      <c r="D120" s="14"/>
      <c r="E120" s="4"/>
      <c r="F120" s="4"/>
      <c r="G120" s="4"/>
      <c r="H120" s="4"/>
      <c r="I120" s="4"/>
      <c r="J120" s="133">
        <f>IF(Tabela8[[#This Row],[Tipo]]="jcp",Tabela8[[#This Row],[Provento p/Ação]]*85%,Tabela8[[#This Row],[Provento p/Ação]])</f>
        <v>0</v>
      </c>
      <c r="K120" s="143" t="str">
        <f>IF([Lucro p/Ação]&lt;&gt;0,SUMPRODUCT(N([Papel]=Tabela8[[#This Row],[Papel]]),N([Exercício]=Tabela8[[#This Row],[Exercício]]),[Líquido p/Ação]),"")</f>
        <v/>
      </c>
      <c r="L120" s="42" t="str">
        <f>IF(Tabela8[[#This Row],[Lucro p/Ação]]="","",IF(Tabela8[[#This Row],[Lucro p/Ação]]&gt;0,Tabela8[[#This Row],[Total Exercício]]/Tabela8[[#This Row],[Lucro p/Ação]],0))</f>
        <v/>
      </c>
      <c r="M1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0" s="14" t="str">
        <f>IF(Tabela8[[#This Row],[Média Lucro p/Ação]]&lt;&gt;"",Tabela8[[#This Row],[Média Pago]]/Tabela8[[#This Row],[Média Lucro p/Ação]],"")</f>
        <v/>
      </c>
      <c r="P1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0" s="17">
        <f>SUMPRODUCT(N(Tabela1[Código]=Tabela8[[#This Row],[Papel]]),Tabela1[Fechamento])</f>
        <v>0</v>
      </c>
      <c r="R120" s="17">
        <f>SUMPRODUCT(N(Tabela17[Código]=Tabela8[[#This Row],[Papel]]),Tabela17[Fechamento])</f>
        <v>1.59</v>
      </c>
      <c r="S120" s="7">
        <f>SUMPRODUCT(N(Tabela176[Código]=Tabela8[[#This Row],[Papel]]),Tabela176[Fechamento])</f>
        <v>0</v>
      </c>
      <c r="T120" s="7">
        <f>SUMPRODUCT(N(Tabela1768[Código]=Tabela8[[#This Row],[Papel]]),Tabela1768[Fechamento])</f>
        <v>0</v>
      </c>
      <c r="U120" s="7">
        <f>SUMPRODUCT(N(Tabela17683[Código]=Tabela8[[#This Row],[Papel]]),Tabela17683[Fechamento])</f>
        <v>0</v>
      </c>
      <c r="V120" s="17">
        <f>IF(MAX(Tabela8[[#This Row],[Cotação 1]]:Tabela8[[#This Row],[Cotação 5]])=0,"",MAX(Tabela8[[#This Row],[Cotação 1]]:Tabela8[[#This Row],[Cotação 5]]))</f>
        <v>1.59</v>
      </c>
      <c r="W1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0" s="17">
        <f>IF(AND([Ref]=5,[Cotação]&gt;0,[Cotação]&lt;&gt;""),[Total Exercício]/[Cotação],IF([Ref]&lt;4,0,""))</f>
        <v>0</v>
      </c>
      <c r="Y120" s="17">
        <f>IF([Tipo]="div",1,0)</f>
        <v>0</v>
      </c>
      <c r="Z120" s="17">
        <f>IF([Tipo]="jcp",1,0)</f>
        <v>0</v>
      </c>
    </row>
    <row r="121" spans="1:26" hidden="1">
      <c r="A121" s="4" t="s">
        <v>506</v>
      </c>
      <c r="B121" s="57" t="s">
        <v>511</v>
      </c>
      <c r="C121" s="15">
        <v>3</v>
      </c>
      <c r="D121" s="4"/>
      <c r="E121" s="4"/>
      <c r="F121" s="4"/>
      <c r="G121" s="4"/>
      <c r="H121" s="4"/>
      <c r="I121" s="4"/>
      <c r="J121" s="17">
        <f>IF(Tabela8[[#This Row],[Tipo]]="jcp",Tabela8[[#This Row],[Provento p/Ação]]*85%,Tabela8[[#This Row],[Provento p/Ação]])</f>
        <v>0</v>
      </c>
      <c r="K121" s="143" t="str">
        <f>IF([Lucro p/Ação]&lt;&gt;0,SUMPRODUCT(N([Papel]=Tabela8[[#This Row],[Papel]]),N([Exercício]=Tabela8[[#This Row],[Exercício]]),[Líquido p/Ação]),"")</f>
        <v/>
      </c>
      <c r="L121" s="42" t="str">
        <f>IF(Tabela8[[#This Row],[Lucro p/Ação]]="","",IF(Tabela8[[#This Row],[Lucro p/Ação]]&gt;0,Tabela8[[#This Row],[Total Exercício]]/Tabela8[[#This Row],[Lucro p/Ação]],0))</f>
        <v/>
      </c>
      <c r="M1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1" s="14" t="str">
        <f>IF(Tabela8[[#This Row],[Média Lucro p/Ação]]&lt;&gt;"",Tabela8[[#This Row],[Média Pago]]/Tabela8[[#This Row],[Média Lucro p/Ação]],"")</f>
        <v/>
      </c>
      <c r="P1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1" s="17">
        <f>SUMPRODUCT(N(Tabela1[Código]=Tabela8[[#This Row],[Papel]]),Tabela1[Fechamento])</f>
        <v>0</v>
      </c>
      <c r="R121" s="17">
        <f>SUMPRODUCT(N(Tabela17[Código]=Tabela8[[#This Row],[Papel]]),Tabela17[Fechamento])</f>
        <v>85</v>
      </c>
      <c r="S121" s="7">
        <f>SUMPRODUCT(N(Tabela176[Código]=Tabela8[[#This Row],[Papel]]),Tabela176[Fechamento])</f>
        <v>0</v>
      </c>
      <c r="T121" s="7">
        <f>SUMPRODUCT(N(Tabela1768[Código]=Tabela8[[#This Row],[Papel]]),Tabela1768[Fechamento])</f>
        <v>0</v>
      </c>
      <c r="U121" s="7">
        <f>SUMPRODUCT(N(Tabela17683[Código]=Tabela8[[#This Row],[Papel]]),Tabela17683[Fechamento])</f>
        <v>0</v>
      </c>
      <c r="V121" s="17">
        <f>IF(MAX(Tabela8[[#This Row],[Cotação 1]]:Tabela8[[#This Row],[Cotação 5]])=0,"",MAX(Tabela8[[#This Row],[Cotação 1]]:Tabela8[[#This Row],[Cotação 5]]))</f>
        <v>85</v>
      </c>
      <c r="W1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1" s="17">
        <f>IF(AND([Ref]=5,[Cotação]&gt;0,[Cotação]&lt;&gt;""),[Total Exercício]/[Cotação],IF([Ref]&lt;4,0,""))</f>
        <v>0</v>
      </c>
      <c r="Y121" s="17">
        <f>IF([Tipo]="div",1,0)</f>
        <v>0</v>
      </c>
      <c r="Z121" s="17">
        <f>IF([Tipo]="jcp",1,0)</f>
        <v>0</v>
      </c>
    </row>
    <row r="122" spans="1:26" hidden="1">
      <c r="A122" s="4" t="s">
        <v>12</v>
      </c>
      <c r="B122" s="115" t="s">
        <v>454</v>
      </c>
      <c r="C122" s="15">
        <v>4</v>
      </c>
      <c r="D122" s="14"/>
      <c r="E122" s="4"/>
      <c r="F122" s="4"/>
      <c r="G122" s="4"/>
      <c r="H122" s="4"/>
      <c r="I122" s="4"/>
      <c r="J122" s="133">
        <f>IF(Tabela8[[#This Row],[Tipo]]="jcp",Tabela8[[#This Row],[Provento p/Ação]]*85%,Tabela8[[#This Row],[Provento p/Ação]])</f>
        <v>0</v>
      </c>
      <c r="K122" s="143" t="str">
        <f>IF([Lucro p/Ação]&lt;&gt;0,SUMPRODUCT(N([Papel]=Tabela8[[#This Row],[Papel]]),N([Exercício]=Tabela8[[#This Row],[Exercício]]),[Líquido p/Ação]),"")</f>
        <v/>
      </c>
      <c r="L122" s="42" t="str">
        <f>IF(Tabela8[[#This Row],[Lucro p/Ação]]="","",IF(Tabela8[[#This Row],[Lucro p/Ação]]&gt;0,Tabela8[[#This Row],[Total Exercício]]/Tabela8[[#This Row],[Lucro p/Ação]],0))</f>
        <v/>
      </c>
      <c r="M1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2" s="14" t="str">
        <f>IF(Tabela8[[#This Row],[Média Lucro p/Ação]]&lt;&gt;"",Tabela8[[#This Row],[Média Pago]]/Tabela8[[#This Row],[Média Lucro p/Ação]],"")</f>
        <v/>
      </c>
      <c r="P1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2" s="17">
        <f>SUMPRODUCT(N(Tabela1[Código]=Tabela8[[#This Row],[Papel]]),Tabela1[Fechamento])</f>
        <v>0</v>
      </c>
      <c r="R122" s="17">
        <f>SUMPRODUCT(N(Tabela17[Código]=Tabela8[[#This Row],[Papel]]),Tabela17[Fechamento])</f>
        <v>1.2</v>
      </c>
      <c r="S122" s="7">
        <f>SUMPRODUCT(N(Tabela176[Código]=Tabela8[[#This Row],[Papel]]),Tabela176[Fechamento])</f>
        <v>0</v>
      </c>
      <c r="T122" s="7">
        <f>SUMPRODUCT(N(Tabela1768[Código]=Tabela8[[#This Row],[Papel]]),Tabela1768[Fechamento])</f>
        <v>0</v>
      </c>
      <c r="U122" s="7">
        <f>SUMPRODUCT(N(Tabela17683[Código]=Tabela8[[#This Row],[Papel]]),Tabela17683[Fechamento])</f>
        <v>0</v>
      </c>
      <c r="V122" s="17">
        <f>IF(MAX(Tabela8[[#This Row],[Cotação 1]]:Tabela8[[#This Row],[Cotação 5]])=0,"",MAX(Tabela8[[#This Row],[Cotação 1]]:Tabela8[[#This Row],[Cotação 5]]))</f>
        <v>1.2</v>
      </c>
      <c r="W1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2" s="17" t="str">
        <f>IF(AND([Ref]=5,[Cotação]&gt;0,[Cotação]&lt;&gt;""),[Total Exercício]/[Cotação],IF([Ref]&lt;4,0,""))</f>
        <v/>
      </c>
      <c r="Y122" s="17">
        <f>IF([Tipo]="div",1,0)</f>
        <v>0</v>
      </c>
      <c r="Z122" s="17">
        <f>IF([Tipo]="jcp",1,0)</f>
        <v>0</v>
      </c>
    </row>
    <row r="123" spans="1:26" hidden="1">
      <c r="A123" s="4" t="s">
        <v>12</v>
      </c>
      <c r="B123" s="115" t="s">
        <v>455</v>
      </c>
      <c r="C123" s="15">
        <v>4</v>
      </c>
      <c r="D123" s="14"/>
      <c r="E123" s="4"/>
      <c r="F123" s="4"/>
      <c r="G123" s="4"/>
      <c r="H123" s="4"/>
      <c r="I123" s="4"/>
      <c r="J123" s="133">
        <f>IF(Tabela8[[#This Row],[Tipo]]="jcp",Tabela8[[#This Row],[Provento p/Ação]]*85%,Tabela8[[#This Row],[Provento p/Ação]])</f>
        <v>0</v>
      </c>
      <c r="K123" s="143" t="str">
        <f>IF([Lucro p/Ação]&lt;&gt;0,SUMPRODUCT(N([Papel]=Tabela8[[#This Row],[Papel]]),N([Exercício]=Tabela8[[#This Row],[Exercício]]),[Líquido p/Ação]),"")</f>
        <v/>
      </c>
      <c r="L123" s="42" t="str">
        <f>IF(Tabela8[[#This Row],[Lucro p/Ação]]="","",IF(Tabela8[[#This Row],[Lucro p/Ação]]&gt;0,Tabela8[[#This Row],[Total Exercício]]/Tabela8[[#This Row],[Lucro p/Ação]],0))</f>
        <v/>
      </c>
      <c r="M1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3" s="14" t="str">
        <f>IF(Tabela8[[#This Row],[Média Lucro p/Ação]]&lt;&gt;"",Tabela8[[#This Row],[Média Pago]]/Tabela8[[#This Row],[Média Lucro p/Ação]],"")</f>
        <v/>
      </c>
      <c r="P1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3" s="17">
        <f>SUMPRODUCT(N(Tabela1[Código]=Tabela8[[#This Row],[Papel]]),Tabela1[Fechamento])</f>
        <v>0</v>
      </c>
      <c r="R123" s="17">
        <f>SUMPRODUCT(N(Tabela17[Código]=Tabela8[[#This Row],[Papel]]),Tabela17[Fechamento])</f>
        <v>1</v>
      </c>
      <c r="S123" s="7">
        <f>SUMPRODUCT(N(Tabela176[Código]=Tabela8[[#This Row],[Papel]]),Tabela176[Fechamento])</f>
        <v>0</v>
      </c>
      <c r="T123" s="7">
        <f>SUMPRODUCT(N(Tabela1768[Código]=Tabela8[[#This Row],[Papel]]),Tabela1768[Fechamento])</f>
        <v>0</v>
      </c>
      <c r="U123" s="7">
        <f>SUMPRODUCT(N(Tabela17683[Código]=Tabela8[[#This Row],[Papel]]),Tabela17683[Fechamento])</f>
        <v>0</v>
      </c>
      <c r="V123" s="17">
        <f>IF(MAX(Tabela8[[#This Row],[Cotação 1]]:Tabela8[[#This Row],[Cotação 5]])=0,"",MAX(Tabela8[[#This Row],[Cotação 1]]:Tabela8[[#This Row],[Cotação 5]]))</f>
        <v>1</v>
      </c>
      <c r="W1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3" s="17" t="str">
        <f>IF(AND([Ref]=5,[Cotação]&gt;0,[Cotação]&lt;&gt;""),[Total Exercício]/[Cotação],IF([Ref]&lt;4,0,""))</f>
        <v/>
      </c>
      <c r="Y123" s="17">
        <f>IF([Tipo]="div",1,0)</f>
        <v>0</v>
      </c>
      <c r="Z123" s="17">
        <f>IF([Tipo]="jcp",1,0)</f>
        <v>0</v>
      </c>
    </row>
    <row r="124" spans="1:26" hidden="1">
      <c r="A124" s="4" t="s">
        <v>12</v>
      </c>
      <c r="B124" s="115" t="s">
        <v>456</v>
      </c>
      <c r="C124" s="15">
        <v>4</v>
      </c>
      <c r="D124" s="14"/>
      <c r="E124" s="4"/>
      <c r="F124" s="4"/>
      <c r="G124" s="4"/>
      <c r="H124" s="4"/>
      <c r="I124" s="4"/>
      <c r="J124" s="133">
        <f>IF(Tabela8[[#This Row],[Tipo]]="jcp",Tabela8[[#This Row],[Provento p/Ação]]*85%,Tabela8[[#This Row],[Provento p/Ação]])</f>
        <v>0</v>
      </c>
      <c r="K124" s="143" t="str">
        <f>IF([Lucro p/Ação]&lt;&gt;0,SUMPRODUCT(N([Papel]=Tabela8[[#This Row],[Papel]]),N([Exercício]=Tabela8[[#This Row],[Exercício]]),[Líquido p/Ação]),"")</f>
        <v/>
      </c>
      <c r="L124" s="42" t="str">
        <f>IF(Tabela8[[#This Row],[Lucro p/Ação]]="","",IF(Tabela8[[#This Row],[Lucro p/Ação]]&gt;0,Tabela8[[#This Row],[Total Exercício]]/Tabela8[[#This Row],[Lucro p/Ação]],0))</f>
        <v/>
      </c>
      <c r="M1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4" s="14" t="str">
        <f>IF(Tabela8[[#This Row],[Média Lucro p/Ação]]&lt;&gt;"",Tabela8[[#This Row],[Média Pago]]/Tabela8[[#This Row],[Média Lucro p/Ação]],"")</f>
        <v/>
      </c>
      <c r="P1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4" s="17">
        <f>SUMPRODUCT(N(Tabela1[Código]=Tabela8[[#This Row],[Papel]]),Tabela1[Fechamento])</f>
        <v>0</v>
      </c>
      <c r="R124" s="17">
        <f>SUMPRODUCT(N(Tabela17[Código]=Tabela8[[#This Row],[Papel]]),Tabela17[Fechamento])</f>
        <v>0.75</v>
      </c>
      <c r="S124" s="7">
        <f>SUMPRODUCT(N(Tabela176[Código]=Tabela8[[#This Row],[Papel]]),Tabela176[Fechamento])</f>
        <v>0</v>
      </c>
      <c r="T124" s="7">
        <f>SUMPRODUCT(N(Tabela1768[Código]=Tabela8[[#This Row],[Papel]]),Tabela1768[Fechamento])</f>
        <v>0</v>
      </c>
      <c r="U124" s="7">
        <f>SUMPRODUCT(N(Tabela17683[Código]=Tabela8[[#This Row],[Papel]]),Tabela17683[Fechamento])</f>
        <v>0</v>
      </c>
      <c r="V124" s="17">
        <f>IF(MAX(Tabela8[[#This Row],[Cotação 1]]:Tabela8[[#This Row],[Cotação 5]])=0,"",MAX(Tabela8[[#This Row],[Cotação 1]]:Tabela8[[#This Row],[Cotação 5]]))</f>
        <v>0.75</v>
      </c>
      <c r="W1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4" s="17" t="str">
        <f>IF(AND([Ref]=5,[Cotação]&gt;0,[Cotação]&lt;&gt;""),[Total Exercício]/[Cotação],IF([Ref]&lt;4,0,""))</f>
        <v/>
      </c>
      <c r="Y124" s="17">
        <f>IF([Tipo]="div",1,0)</f>
        <v>0</v>
      </c>
      <c r="Z124" s="17">
        <f>IF([Tipo]="jcp",1,0)</f>
        <v>0</v>
      </c>
    </row>
    <row r="125" spans="1:26" hidden="1">
      <c r="A125" s="4" t="s">
        <v>12</v>
      </c>
      <c r="B125" s="115" t="s">
        <v>457</v>
      </c>
      <c r="C125" s="15">
        <v>4</v>
      </c>
      <c r="D125" s="14"/>
      <c r="E125" s="4"/>
      <c r="F125" s="4"/>
      <c r="G125" s="4"/>
      <c r="H125" s="4"/>
      <c r="I125" s="4"/>
      <c r="J125" s="133">
        <f>IF(Tabela8[[#This Row],[Tipo]]="jcp",Tabela8[[#This Row],[Provento p/Ação]]*85%,Tabela8[[#This Row],[Provento p/Ação]])</f>
        <v>0</v>
      </c>
      <c r="K125" s="143" t="str">
        <f>IF([Lucro p/Ação]&lt;&gt;0,SUMPRODUCT(N([Papel]=Tabela8[[#This Row],[Papel]]),N([Exercício]=Tabela8[[#This Row],[Exercício]]),[Líquido p/Ação]),"")</f>
        <v/>
      </c>
      <c r="L125" s="42" t="str">
        <f>IF(Tabela8[[#This Row],[Lucro p/Ação]]="","",IF(Tabela8[[#This Row],[Lucro p/Ação]]&gt;0,Tabela8[[#This Row],[Total Exercício]]/Tabela8[[#This Row],[Lucro p/Ação]],0))</f>
        <v/>
      </c>
      <c r="M1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5" s="14" t="str">
        <f>IF(Tabela8[[#This Row],[Média Lucro p/Ação]]&lt;&gt;"",Tabela8[[#This Row],[Média Pago]]/Tabela8[[#This Row],[Média Lucro p/Ação]],"")</f>
        <v/>
      </c>
      <c r="P1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5" s="17">
        <f>SUMPRODUCT(N(Tabela1[Código]=Tabela8[[#This Row],[Papel]]),Tabela1[Fechamento])</f>
        <v>0</v>
      </c>
      <c r="R125" s="17">
        <f>SUMPRODUCT(N(Tabela17[Código]=Tabela8[[#This Row],[Papel]]),Tabela17[Fechamento])</f>
        <v>0.5</v>
      </c>
      <c r="S125" s="7">
        <f>SUMPRODUCT(N(Tabela176[Código]=Tabela8[[#This Row],[Papel]]),Tabela176[Fechamento])</f>
        <v>0</v>
      </c>
      <c r="T125" s="7">
        <f>SUMPRODUCT(N(Tabela1768[Código]=Tabela8[[#This Row],[Papel]]),Tabela1768[Fechamento])</f>
        <v>0</v>
      </c>
      <c r="U125" s="7">
        <f>SUMPRODUCT(N(Tabela17683[Código]=Tabela8[[#This Row],[Papel]]),Tabela17683[Fechamento])</f>
        <v>0</v>
      </c>
      <c r="V125" s="17">
        <f>IF(MAX(Tabela8[[#This Row],[Cotação 1]]:Tabela8[[#This Row],[Cotação 5]])=0,"",MAX(Tabela8[[#This Row],[Cotação 1]]:Tabela8[[#This Row],[Cotação 5]]))</f>
        <v>0.5</v>
      </c>
      <c r="W1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5" s="17" t="str">
        <f>IF(AND([Ref]=5,[Cotação]&gt;0,[Cotação]&lt;&gt;""),[Total Exercício]/[Cotação],IF([Ref]&lt;4,0,""))</f>
        <v/>
      </c>
      <c r="Y125" s="17">
        <f>IF([Tipo]="div",1,0)</f>
        <v>0</v>
      </c>
      <c r="Z125" s="17">
        <f>IF([Tipo]="jcp",1,0)</f>
        <v>0</v>
      </c>
    </row>
    <row r="126" spans="1:26" hidden="1">
      <c r="A126" s="4" t="s">
        <v>12</v>
      </c>
      <c r="B126" s="57" t="s">
        <v>467</v>
      </c>
      <c r="C126" s="15">
        <v>3</v>
      </c>
      <c r="D126" s="14"/>
      <c r="E126" s="4"/>
      <c r="F126" s="4"/>
      <c r="G126" s="4"/>
      <c r="H126" s="4"/>
      <c r="I126" s="4"/>
      <c r="J126" s="133">
        <f>IF(Tabela8[[#This Row],[Tipo]]="jcp",Tabela8[[#This Row],[Provento p/Ação]]*85%,Tabela8[[#This Row],[Provento p/Ação]])</f>
        <v>0</v>
      </c>
      <c r="K126" s="143" t="str">
        <f>IF([Lucro p/Ação]&lt;&gt;0,SUMPRODUCT(N([Papel]=Tabela8[[#This Row],[Papel]]),N([Exercício]=Tabela8[[#This Row],[Exercício]]),[Líquido p/Ação]),"")</f>
        <v/>
      </c>
      <c r="L126" s="42" t="str">
        <f>IF(Tabela8[[#This Row],[Lucro p/Ação]]="","",IF(Tabela8[[#This Row],[Lucro p/Ação]]&gt;0,Tabela8[[#This Row],[Total Exercício]]/Tabela8[[#This Row],[Lucro p/Ação]],0))</f>
        <v/>
      </c>
      <c r="M1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6" s="14" t="str">
        <f>IF(Tabela8[[#This Row],[Média Lucro p/Ação]]&lt;&gt;"",Tabela8[[#This Row],[Média Pago]]/Tabela8[[#This Row],[Média Lucro p/Ação]],"")</f>
        <v/>
      </c>
      <c r="P1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6" s="17">
        <f>SUMPRODUCT(N(Tabela1[Código]=Tabela8[[#This Row],[Papel]]),Tabela1[Fechamento])</f>
        <v>0</v>
      </c>
      <c r="R126" s="17">
        <f>SUMPRODUCT(N(Tabela17[Código]=Tabela8[[#This Row],[Papel]]),Tabela17[Fechamento])</f>
        <v>24.53</v>
      </c>
      <c r="S126" s="7">
        <f>SUMPRODUCT(N(Tabela176[Código]=Tabela8[[#This Row],[Papel]]),Tabela176[Fechamento])</f>
        <v>0</v>
      </c>
      <c r="T126" s="7">
        <f>SUMPRODUCT(N(Tabela1768[Código]=Tabela8[[#This Row],[Papel]]),Tabela1768[Fechamento])</f>
        <v>0</v>
      </c>
      <c r="U126" s="7">
        <f>SUMPRODUCT(N(Tabela17683[Código]=Tabela8[[#This Row],[Papel]]),Tabela17683[Fechamento])</f>
        <v>0</v>
      </c>
      <c r="V126" s="17">
        <f>IF(MAX(Tabela8[[#This Row],[Cotação 1]]:Tabela8[[#This Row],[Cotação 5]])=0,"",MAX(Tabela8[[#This Row],[Cotação 1]]:Tabela8[[#This Row],[Cotação 5]]))</f>
        <v>24.53</v>
      </c>
      <c r="W1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6" s="17">
        <f>IF(AND([Ref]=5,[Cotação]&gt;0,[Cotação]&lt;&gt;""),[Total Exercício]/[Cotação],IF([Ref]&lt;4,0,""))</f>
        <v>0</v>
      </c>
      <c r="Y126" s="17">
        <f>IF([Tipo]="div",1,0)</f>
        <v>0</v>
      </c>
      <c r="Z126" s="17">
        <f>IF([Tipo]="jcp",1,0)</f>
        <v>0</v>
      </c>
    </row>
    <row r="127" spans="1:26" hidden="1">
      <c r="A127" s="4" t="s">
        <v>12</v>
      </c>
      <c r="B127" s="57" t="s">
        <v>70</v>
      </c>
      <c r="C127" s="15">
        <v>3</v>
      </c>
      <c r="D127" s="14"/>
      <c r="E127" s="4"/>
      <c r="F127" s="4"/>
      <c r="G127" s="4"/>
      <c r="H127" s="4"/>
      <c r="I127" s="4"/>
      <c r="J127" s="133">
        <f>IF(Tabela8[[#This Row],[Tipo]]="jcp",Tabela8[[#This Row],[Provento p/Ação]]*85%,Tabela8[[#This Row],[Provento p/Ação]])</f>
        <v>0</v>
      </c>
      <c r="K127" s="143" t="str">
        <f>IF([Lucro p/Ação]&lt;&gt;0,SUMPRODUCT(N([Papel]=Tabela8[[#This Row],[Papel]]),N([Exercício]=Tabela8[[#This Row],[Exercício]]),[Líquido p/Ação]),"")</f>
        <v/>
      </c>
      <c r="L127" s="42" t="str">
        <f>IF(Tabela8[[#This Row],[Lucro p/Ação]]="","",IF(Tabela8[[#This Row],[Lucro p/Ação]]&gt;0,Tabela8[[#This Row],[Total Exercício]]/Tabela8[[#This Row],[Lucro p/Ação]],0))</f>
        <v/>
      </c>
      <c r="M1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7" s="14" t="str">
        <f>IF(Tabela8[[#This Row],[Média Lucro p/Ação]]&lt;&gt;"",Tabela8[[#This Row],[Média Pago]]/Tabela8[[#This Row],[Média Lucro p/Ação]],"")</f>
        <v/>
      </c>
      <c r="P1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7" s="5">
        <f>SUMPRODUCT(N(Tabela1[Código]=Tabela8[[#This Row],[Papel]]),Tabela1[Fechamento])</f>
        <v>17.899999999999999</v>
      </c>
      <c r="R127" s="5">
        <f>SUMPRODUCT(N(Tabela17[Código]=Tabela8[[#This Row],[Papel]]),Tabela17[Fechamento])</f>
        <v>0</v>
      </c>
      <c r="S127" s="7">
        <f>SUMPRODUCT(N(Tabela176[Código]=Tabela8[[#This Row],[Papel]]),Tabela176[Fechamento])</f>
        <v>0</v>
      </c>
      <c r="T127" s="7">
        <f>SUMPRODUCT(N(Tabela1768[Código]=Tabela8[[#This Row],[Papel]]),Tabela1768[Fechamento])</f>
        <v>0</v>
      </c>
      <c r="U127" s="7">
        <f>SUMPRODUCT(N(Tabela17683[Código]=Tabela8[[#This Row],[Papel]]),Tabela17683[Fechamento])</f>
        <v>0</v>
      </c>
      <c r="V127" s="17">
        <f>IF(MAX(Tabela8[[#This Row],[Cotação 1]]:Tabela8[[#This Row],[Cotação 5]])=0,"",MAX(Tabela8[[#This Row],[Cotação 1]]:Tabela8[[#This Row],[Cotação 5]]))</f>
        <v>17.899999999999999</v>
      </c>
      <c r="W1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7" s="17">
        <f>IF(AND([Ref]=5,[Cotação]&gt;0,[Cotação]&lt;&gt;""),[Total Exercício]/[Cotação],IF([Ref]&lt;4,0,""))</f>
        <v>0</v>
      </c>
      <c r="Y127" s="17">
        <f>IF([Tipo]="div",1,0)</f>
        <v>0</v>
      </c>
      <c r="Z127" s="17">
        <f>IF([Tipo]="jcp",1,0)</f>
        <v>0</v>
      </c>
    </row>
    <row r="128" spans="1:26" hidden="1">
      <c r="A128" s="4" t="s">
        <v>12</v>
      </c>
      <c r="B128" s="57" t="s">
        <v>92</v>
      </c>
      <c r="C128" s="15">
        <v>3</v>
      </c>
      <c r="D128" s="14"/>
      <c r="E128" s="4"/>
      <c r="F128" s="4"/>
      <c r="G128" s="4"/>
      <c r="H128" s="4"/>
      <c r="I128" s="4"/>
      <c r="J128" s="133">
        <f>IF(Tabela8[[#This Row],[Tipo]]="jcp",Tabela8[[#This Row],[Provento p/Ação]]*85%,Tabela8[[#This Row],[Provento p/Ação]])</f>
        <v>0</v>
      </c>
      <c r="K128" s="143" t="str">
        <f>IF([Lucro p/Ação]&lt;&gt;0,SUMPRODUCT(N([Papel]=Tabela8[[#This Row],[Papel]]),N([Exercício]=Tabela8[[#This Row],[Exercício]]),[Líquido p/Ação]),"")</f>
        <v/>
      </c>
      <c r="L128" s="42" t="str">
        <f>IF(Tabela8[[#This Row],[Lucro p/Ação]]="","",IF(Tabela8[[#This Row],[Lucro p/Ação]]&gt;0,Tabela8[[#This Row],[Total Exercício]]/Tabela8[[#This Row],[Lucro p/Ação]],0))</f>
        <v/>
      </c>
      <c r="M1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8" s="14" t="str">
        <f>IF(Tabela8[[#This Row],[Média Lucro p/Ação]]&lt;&gt;"",Tabela8[[#This Row],[Média Pago]]/Tabela8[[#This Row],[Média Lucro p/Ação]],"")</f>
        <v/>
      </c>
      <c r="P1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8" s="5">
        <f>SUMPRODUCT(N(Tabela1[Código]=Tabela8[[#This Row],[Papel]]),Tabela1[Fechamento])</f>
        <v>18.010000000000002</v>
      </c>
      <c r="R128" s="5">
        <f>SUMPRODUCT(N(Tabela17[Código]=Tabela8[[#This Row],[Papel]]),Tabela17[Fechamento])</f>
        <v>0</v>
      </c>
      <c r="S128" s="7">
        <f>SUMPRODUCT(N(Tabela176[Código]=Tabela8[[#This Row],[Papel]]),Tabela176[Fechamento])</f>
        <v>0</v>
      </c>
      <c r="T128" s="7">
        <f>SUMPRODUCT(N(Tabela1768[Código]=Tabela8[[#This Row],[Papel]]),Tabela1768[Fechamento])</f>
        <v>0</v>
      </c>
      <c r="U128" s="7">
        <f>SUMPRODUCT(N(Tabela17683[Código]=Tabela8[[#This Row],[Papel]]),Tabela17683[Fechamento])</f>
        <v>0</v>
      </c>
      <c r="V128" s="17">
        <f>IF(MAX(Tabela8[[#This Row],[Cotação 1]]:Tabela8[[#This Row],[Cotação 5]])=0,"",MAX(Tabela8[[#This Row],[Cotação 1]]:Tabela8[[#This Row],[Cotação 5]]))</f>
        <v>18.010000000000002</v>
      </c>
      <c r="W1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8" s="17">
        <f>IF(AND([Ref]=5,[Cotação]&gt;0,[Cotação]&lt;&gt;""),[Total Exercício]/[Cotação],IF([Ref]&lt;4,0,""))</f>
        <v>0</v>
      </c>
      <c r="Y128" s="17">
        <f>IF([Tipo]="div",1,0)</f>
        <v>0</v>
      </c>
      <c r="Z128" s="17">
        <f>IF([Tipo]="jcp",1,0)</f>
        <v>0</v>
      </c>
    </row>
    <row r="129" spans="1:26" hidden="1">
      <c r="A129" s="4" t="s">
        <v>12</v>
      </c>
      <c r="B129" s="57" t="s">
        <v>72</v>
      </c>
      <c r="C129" s="15">
        <v>3</v>
      </c>
      <c r="D129" s="14"/>
      <c r="E129" s="4"/>
      <c r="F129" s="4"/>
      <c r="G129" s="4"/>
      <c r="H129" s="4"/>
      <c r="I129" s="4"/>
      <c r="J129" s="133">
        <f>IF(Tabela8[[#This Row],[Tipo]]="jcp",Tabela8[[#This Row],[Provento p/Ação]]*85%,Tabela8[[#This Row],[Provento p/Ação]])</f>
        <v>0</v>
      </c>
      <c r="K129" s="143" t="str">
        <f>IF([Lucro p/Ação]&lt;&gt;0,SUMPRODUCT(N([Papel]=Tabela8[[#This Row],[Papel]]),N([Exercício]=Tabela8[[#This Row],[Exercício]]),[Líquido p/Ação]),"")</f>
        <v/>
      </c>
      <c r="L129" s="42" t="str">
        <f>IF(Tabela8[[#This Row],[Lucro p/Ação]]="","",IF(Tabela8[[#This Row],[Lucro p/Ação]]&gt;0,Tabela8[[#This Row],[Total Exercício]]/Tabela8[[#This Row],[Lucro p/Ação]],0))</f>
        <v/>
      </c>
      <c r="M1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29" s="14" t="str">
        <f>IF(Tabela8[[#This Row],[Média Lucro p/Ação]]&lt;&gt;"",Tabela8[[#This Row],[Média Pago]]/Tabela8[[#This Row],[Média Lucro p/Ação]],"")</f>
        <v/>
      </c>
      <c r="P1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29" s="5">
        <f>SUMPRODUCT(N(Tabela1[Código]=Tabela8[[#This Row],[Papel]]),Tabela1[Fechamento])</f>
        <v>18.399999999999999</v>
      </c>
      <c r="R129" s="5">
        <f>SUMPRODUCT(N(Tabela17[Código]=Tabela8[[#This Row],[Papel]]),Tabela17[Fechamento])</f>
        <v>0</v>
      </c>
      <c r="S129" s="7">
        <f>SUMPRODUCT(N(Tabela176[Código]=Tabela8[[#This Row],[Papel]]),Tabela176[Fechamento])</f>
        <v>0</v>
      </c>
      <c r="T129" s="7">
        <f>SUMPRODUCT(N(Tabela1768[Código]=Tabela8[[#This Row],[Papel]]),Tabela1768[Fechamento])</f>
        <v>0</v>
      </c>
      <c r="U129" s="7">
        <f>SUMPRODUCT(N(Tabela17683[Código]=Tabela8[[#This Row],[Papel]]),Tabela17683[Fechamento])</f>
        <v>0</v>
      </c>
      <c r="V129" s="17">
        <f>IF(MAX(Tabela8[[#This Row],[Cotação 1]]:Tabela8[[#This Row],[Cotação 5]])=0,"",MAX(Tabela8[[#This Row],[Cotação 1]]:Tabela8[[#This Row],[Cotação 5]]))</f>
        <v>18.399999999999999</v>
      </c>
      <c r="W1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29" s="17">
        <f>IF(AND([Ref]=5,[Cotação]&gt;0,[Cotação]&lt;&gt;""),[Total Exercício]/[Cotação],IF([Ref]&lt;4,0,""))</f>
        <v>0</v>
      </c>
      <c r="Y129" s="17">
        <f>IF([Tipo]="div",1,0)</f>
        <v>0</v>
      </c>
      <c r="Z129" s="17">
        <f>IF([Tipo]="jcp",1,0)</f>
        <v>0</v>
      </c>
    </row>
    <row r="130" spans="1:26" hidden="1">
      <c r="A130" s="4" t="s">
        <v>12</v>
      </c>
      <c r="B130" s="57" t="s">
        <v>86</v>
      </c>
      <c r="C130" s="15">
        <v>3</v>
      </c>
      <c r="D130" s="14"/>
      <c r="E130" s="4"/>
      <c r="F130" s="4"/>
      <c r="G130" s="4"/>
      <c r="H130" s="4"/>
      <c r="I130" s="4"/>
      <c r="J130" s="133">
        <f>IF(Tabela8[[#This Row],[Tipo]]="jcp",Tabela8[[#This Row],[Provento p/Ação]]*85%,Tabela8[[#This Row],[Provento p/Ação]])</f>
        <v>0</v>
      </c>
      <c r="K130" s="143" t="str">
        <f>IF([Lucro p/Ação]&lt;&gt;0,SUMPRODUCT(N([Papel]=Tabela8[[#This Row],[Papel]]),N([Exercício]=Tabela8[[#This Row],[Exercício]]),[Líquido p/Ação]),"")</f>
        <v/>
      </c>
      <c r="L130" s="42" t="str">
        <f>IF(Tabela8[[#This Row],[Lucro p/Ação]]="","",IF(Tabela8[[#This Row],[Lucro p/Ação]]&gt;0,Tabela8[[#This Row],[Total Exercício]]/Tabela8[[#This Row],[Lucro p/Ação]],0))</f>
        <v/>
      </c>
      <c r="M1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0" s="14" t="str">
        <f>IF(Tabela8[[#This Row],[Média Lucro p/Ação]]&lt;&gt;"",Tabela8[[#This Row],[Média Pago]]/Tabela8[[#This Row],[Média Lucro p/Ação]],"")</f>
        <v/>
      </c>
      <c r="P1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0" s="47">
        <f>SUMPRODUCT(N(Tabela1[Código]=Tabela8[[#This Row],[Papel]]),Tabela1[Fechamento])</f>
        <v>22.65</v>
      </c>
      <c r="R130" s="47">
        <f>SUMPRODUCT(N(Tabela17[Código]=Tabela8[[#This Row],[Papel]]),Tabela17[Fechamento])</f>
        <v>0</v>
      </c>
      <c r="S130" s="7">
        <f>SUMPRODUCT(N(Tabela176[Código]=Tabela8[[#This Row],[Papel]]),Tabela176[Fechamento])</f>
        <v>0</v>
      </c>
      <c r="T130" s="7">
        <f>SUMPRODUCT(N(Tabela1768[Código]=Tabela8[[#This Row],[Papel]]),Tabela1768[Fechamento])</f>
        <v>0</v>
      </c>
      <c r="U130" s="7">
        <f>SUMPRODUCT(N(Tabela17683[Código]=Tabela8[[#This Row],[Papel]]),Tabela17683[Fechamento])</f>
        <v>0</v>
      </c>
      <c r="V130" s="17">
        <f>IF(MAX(Tabela8[[#This Row],[Cotação 1]]:Tabela8[[#This Row],[Cotação 5]])=0,"",MAX(Tabela8[[#This Row],[Cotação 1]]:Tabela8[[#This Row],[Cotação 5]]))</f>
        <v>22.65</v>
      </c>
      <c r="W1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0" s="17">
        <f>IF(AND([Ref]=5,[Cotação]&gt;0,[Cotação]&lt;&gt;""),[Total Exercício]/[Cotação],IF([Ref]&lt;4,0,""))</f>
        <v>0</v>
      </c>
      <c r="Y130" s="17">
        <f>IF([Tipo]="div",1,0)</f>
        <v>0</v>
      </c>
      <c r="Z130" s="17">
        <f>IF([Tipo]="jcp",1,0)</f>
        <v>0</v>
      </c>
    </row>
    <row r="131" spans="1:26" hidden="1">
      <c r="A131" s="4" t="s">
        <v>12</v>
      </c>
      <c r="B131" s="57" t="s">
        <v>87</v>
      </c>
      <c r="C131" s="15">
        <v>3</v>
      </c>
      <c r="D131" s="14"/>
      <c r="E131" s="4"/>
      <c r="F131" s="4"/>
      <c r="G131" s="4"/>
      <c r="H131" s="4"/>
      <c r="I131" s="4"/>
      <c r="J131" s="133">
        <f>IF(Tabela8[[#This Row],[Tipo]]="jcp",Tabela8[[#This Row],[Provento p/Ação]]*85%,Tabela8[[#This Row],[Provento p/Ação]])</f>
        <v>0</v>
      </c>
      <c r="K131" s="143" t="str">
        <f>IF([Lucro p/Ação]&lt;&gt;0,SUMPRODUCT(N([Papel]=Tabela8[[#This Row],[Papel]]),N([Exercício]=Tabela8[[#This Row],[Exercício]]),[Líquido p/Ação]),"")</f>
        <v/>
      </c>
      <c r="L131" s="42" t="str">
        <f>IF(Tabela8[[#This Row],[Lucro p/Ação]]="","",IF(Tabela8[[#This Row],[Lucro p/Ação]]&gt;0,Tabela8[[#This Row],[Total Exercício]]/Tabela8[[#This Row],[Lucro p/Ação]],0))</f>
        <v/>
      </c>
      <c r="M1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1" s="14" t="str">
        <f>IF(Tabela8[[#This Row],[Média Lucro p/Ação]]&lt;&gt;"",Tabela8[[#This Row],[Média Pago]]/Tabela8[[#This Row],[Média Lucro p/Ação]],"")</f>
        <v/>
      </c>
      <c r="P1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1" s="5">
        <f>SUMPRODUCT(N(Tabela1[Código]=Tabela8[[#This Row],[Papel]]),Tabela1[Fechamento])</f>
        <v>22.76</v>
      </c>
      <c r="R131" s="5">
        <f>SUMPRODUCT(N(Tabela17[Código]=Tabela8[[#This Row],[Papel]]),Tabela17[Fechamento])</f>
        <v>0</v>
      </c>
      <c r="S131" s="7">
        <f>SUMPRODUCT(N(Tabela176[Código]=Tabela8[[#This Row],[Papel]]),Tabela176[Fechamento])</f>
        <v>0</v>
      </c>
      <c r="T131" s="7">
        <f>SUMPRODUCT(N(Tabela1768[Código]=Tabela8[[#This Row],[Papel]]),Tabela1768[Fechamento])</f>
        <v>0</v>
      </c>
      <c r="U131" s="7">
        <f>SUMPRODUCT(N(Tabela17683[Código]=Tabela8[[#This Row],[Papel]]),Tabela17683[Fechamento])</f>
        <v>0</v>
      </c>
      <c r="V131" s="17">
        <f>IF(MAX(Tabela8[[#This Row],[Cotação 1]]:Tabela8[[#This Row],[Cotação 5]])=0,"",MAX(Tabela8[[#This Row],[Cotação 1]]:Tabela8[[#This Row],[Cotação 5]]))</f>
        <v>22.76</v>
      </c>
      <c r="W1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1" s="17">
        <f>IF(AND([Ref]=5,[Cotação]&gt;0,[Cotação]&lt;&gt;""),[Total Exercício]/[Cotação],IF([Ref]&lt;4,0,""))</f>
        <v>0</v>
      </c>
      <c r="Y131" s="17">
        <f>IF([Tipo]="div",1,0)</f>
        <v>0</v>
      </c>
      <c r="Z131" s="17">
        <f>IF([Tipo]="jcp",1,0)</f>
        <v>0</v>
      </c>
    </row>
    <row r="132" spans="1:26" hidden="1">
      <c r="A132" s="4" t="s">
        <v>506</v>
      </c>
      <c r="B132" s="57" t="s">
        <v>507</v>
      </c>
      <c r="C132" s="15">
        <v>4</v>
      </c>
      <c r="D132" s="4"/>
      <c r="E132" s="4"/>
      <c r="F132" s="4"/>
      <c r="G132" s="4"/>
      <c r="H132" s="4"/>
      <c r="I132" s="4"/>
      <c r="J132" s="17">
        <f>IF(Tabela8[[#This Row],[Tipo]]="jcp",Tabela8[[#This Row],[Provento p/Ação]]*85%,Tabela8[[#This Row],[Provento p/Ação]])</f>
        <v>0</v>
      </c>
      <c r="K132" s="143" t="str">
        <f>IF([Lucro p/Ação]&lt;&gt;0,SUMPRODUCT(N([Papel]=Tabela8[[#This Row],[Papel]]),N([Exercício]=Tabela8[[#This Row],[Exercício]]),[Líquido p/Ação]),"")</f>
        <v/>
      </c>
      <c r="L132" s="42" t="str">
        <f>IF(Tabela8[[#This Row],[Lucro p/Ação]]="","",IF(Tabela8[[#This Row],[Lucro p/Ação]]&gt;0,Tabela8[[#This Row],[Total Exercício]]/Tabela8[[#This Row],[Lucro p/Ação]],0))</f>
        <v/>
      </c>
      <c r="M1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2" s="14" t="str">
        <f>IF(Tabela8[[#This Row],[Média Lucro p/Ação]]&lt;&gt;"",Tabela8[[#This Row],[Média Pago]]/Tabela8[[#This Row],[Média Lucro p/Ação]],"")</f>
        <v/>
      </c>
      <c r="P1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2" s="17">
        <f>SUMPRODUCT(N(Tabela1[Código]=Tabela8[[#This Row],[Papel]]),Tabela1[Fechamento])</f>
        <v>0</v>
      </c>
      <c r="R132" s="17">
        <f>SUMPRODUCT(N(Tabela17[Código]=Tabela8[[#This Row],[Papel]]),Tabela17[Fechamento])</f>
        <v>50.2</v>
      </c>
      <c r="S132" s="7">
        <f>SUMPRODUCT(N(Tabela176[Código]=Tabela8[[#This Row],[Papel]]),Tabela176[Fechamento])</f>
        <v>0</v>
      </c>
      <c r="T132" s="7">
        <f>SUMPRODUCT(N(Tabela1768[Código]=Tabela8[[#This Row],[Papel]]),Tabela1768[Fechamento])</f>
        <v>0</v>
      </c>
      <c r="U132" s="7">
        <f>SUMPRODUCT(N(Tabela17683[Código]=Tabela8[[#This Row],[Papel]]),Tabela17683[Fechamento])</f>
        <v>0</v>
      </c>
      <c r="V132" s="17">
        <f>IF(MAX(Tabela8[[#This Row],[Cotação 1]]:Tabela8[[#This Row],[Cotação 5]])=0,"",MAX(Tabela8[[#This Row],[Cotação 1]]:Tabela8[[#This Row],[Cotação 5]]))</f>
        <v>50.2</v>
      </c>
      <c r="W1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2" s="17" t="str">
        <f>IF(AND([Ref]=5,[Cotação]&gt;0,[Cotação]&lt;&gt;""),[Total Exercício]/[Cotação],IF([Ref]&lt;4,0,""))</f>
        <v/>
      </c>
      <c r="Y132" s="17">
        <f>IF([Tipo]="div",1,0)</f>
        <v>0</v>
      </c>
      <c r="Z132" s="17">
        <f>IF([Tipo]="jcp",1,0)</f>
        <v>0</v>
      </c>
    </row>
    <row r="133" spans="1:26" hidden="1">
      <c r="A133" s="4" t="s">
        <v>506</v>
      </c>
      <c r="B133" s="57" t="s">
        <v>508</v>
      </c>
      <c r="C133" s="15">
        <v>4</v>
      </c>
      <c r="D133" s="4"/>
      <c r="E133" s="4"/>
      <c r="F133" s="4"/>
      <c r="G133" s="4"/>
      <c r="H133" s="4"/>
      <c r="I133" s="4"/>
      <c r="J133" s="17">
        <f>IF(Tabela8[[#This Row],[Tipo]]="jcp",Tabela8[[#This Row],[Provento p/Ação]]*85%,Tabela8[[#This Row],[Provento p/Ação]])</f>
        <v>0</v>
      </c>
      <c r="K133" s="143" t="str">
        <f>IF([Lucro p/Ação]&lt;&gt;0,SUMPRODUCT(N([Papel]=Tabela8[[#This Row],[Papel]]),N([Exercício]=Tabela8[[#This Row],[Exercício]]),[Líquido p/Ação]),"")</f>
        <v/>
      </c>
      <c r="L133" s="42" t="str">
        <f>IF(Tabela8[[#This Row],[Lucro p/Ação]]="","",IF(Tabela8[[#This Row],[Lucro p/Ação]]&gt;0,Tabela8[[#This Row],[Total Exercício]]/Tabela8[[#This Row],[Lucro p/Ação]],0))</f>
        <v/>
      </c>
      <c r="M1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3" s="14" t="str">
        <f>IF(Tabela8[[#This Row],[Média Lucro p/Ação]]&lt;&gt;"",Tabela8[[#This Row],[Média Pago]]/Tabela8[[#This Row],[Média Lucro p/Ação]],"")</f>
        <v/>
      </c>
      <c r="P1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3" s="17">
        <f>SUMPRODUCT(N(Tabela1[Código]=Tabela8[[#This Row],[Papel]]),Tabela1[Fechamento])</f>
        <v>0</v>
      </c>
      <c r="R133" s="17">
        <f>SUMPRODUCT(N(Tabela17[Código]=Tabela8[[#This Row],[Papel]]),Tabela17[Fechamento])</f>
        <v>49.99</v>
      </c>
      <c r="S133" s="7">
        <f>SUMPRODUCT(N(Tabela176[Código]=Tabela8[[#This Row],[Papel]]),Tabela176[Fechamento])</f>
        <v>0</v>
      </c>
      <c r="T133" s="7">
        <f>SUMPRODUCT(N(Tabela1768[Código]=Tabela8[[#This Row],[Papel]]),Tabela1768[Fechamento])</f>
        <v>0</v>
      </c>
      <c r="U133" s="7">
        <f>SUMPRODUCT(N(Tabela17683[Código]=Tabela8[[#This Row],[Papel]]),Tabela17683[Fechamento])</f>
        <v>0</v>
      </c>
      <c r="V133" s="17">
        <f>IF(MAX(Tabela8[[#This Row],[Cotação 1]]:Tabela8[[#This Row],[Cotação 5]])=0,"",MAX(Tabela8[[#This Row],[Cotação 1]]:Tabela8[[#This Row],[Cotação 5]]))</f>
        <v>49.99</v>
      </c>
      <c r="W1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3" s="17" t="str">
        <f>IF(AND([Ref]=5,[Cotação]&gt;0,[Cotação]&lt;&gt;""),[Total Exercício]/[Cotação],IF([Ref]&lt;4,0,""))</f>
        <v/>
      </c>
      <c r="Y133" s="17">
        <f>IF([Tipo]="div",1,0)</f>
        <v>0</v>
      </c>
      <c r="Z133" s="17">
        <f>IF([Tipo]="jcp",1,0)</f>
        <v>0</v>
      </c>
    </row>
    <row r="134" spans="1:26" hidden="1">
      <c r="A134" s="3" t="s">
        <v>996</v>
      </c>
      <c r="B134" s="58" t="s">
        <v>999</v>
      </c>
      <c r="C134" s="16">
        <v>4</v>
      </c>
      <c r="D134" s="4"/>
      <c r="E134" s="4"/>
      <c r="F134" s="4"/>
      <c r="G134" s="4"/>
      <c r="H134" s="4"/>
      <c r="I134" s="4"/>
      <c r="J134" s="17">
        <f>IF(Tabela8[[#This Row],[Tipo]]="jcp",Tabela8[[#This Row],[Provento p/Ação]]*85%,Tabela8[[#This Row],[Provento p/Ação]])</f>
        <v>0</v>
      </c>
      <c r="K134" s="143" t="str">
        <f>IF([Lucro p/Ação]&lt;&gt;0,SUMPRODUCT(N([Papel]=Tabela8[[#This Row],[Papel]]),N([Exercício]=Tabela8[[#This Row],[Exercício]]),[Líquido p/Ação]),"")</f>
        <v/>
      </c>
      <c r="L134" s="42" t="str">
        <f>IF(Tabela8[[#This Row],[Lucro p/Ação]]="","",IF(Tabela8[[#This Row],[Lucro p/Ação]]&gt;0,Tabela8[[#This Row],[Total Exercício]]/Tabela8[[#This Row],[Lucro p/Ação]],0))</f>
        <v/>
      </c>
      <c r="M1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4" s="14" t="str">
        <f>IF(Tabela8[[#This Row],[Média Lucro p/Ação]]&lt;&gt;"",Tabela8[[#This Row],[Média Pago]]/Tabela8[[#This Row],[Média Lucro p/Ação]],"")</f>
        <v/>
      </c>
      <c r="P1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4" s="7">
        <f>SUMPRODUCT(N(Tabela1[Código]=Tabela8[[#This Row],[Papel]]),Tabela1[Fechamento])</f>
        <v>0</v>
      </c>
      <c r="R134" s="7">
        <f>SUMPRODUCT(N(Tabela17[Código]=Tabela8[[#This Row],[Papel]]),Tabela17[Fechamento])</f>
        <v>0</v>
      </c>
      <c r="S134" s="7">
        <f>SUMPRODUCT(N(Tabela176[Código]=Tabela8[[#This Row],[Papel]]),Tabela176[Fechamento])</f>
        <v>0</v>
      </c>
      <c r="T134" s="7">
        <f>SUMPRODUCT(N(Tabela1768[Código]=Tabela8[[#This Row],[Papel]]),Tabela1768[Fechamento])</f>
        <v>16.8</v>
      </c>
      <c r="U134" s="7">
        <f>SUMPRODUCT(N(Tabela17683[Código]=Tabela8[[#This Row],[Papel]]),Tabela17683[Fechamento])</f>
        <v>0</v>
      </c>
      <c r="V134" s="17">
        <f>IF(MAX(Tabela8[[#This Row],[Cotação 1]]:Tabela8[[#This Row],[Cotação 5]])=0,"",MAX(Tabela8[[#This Row],[Cotação 1]]:Tabela8[[#This Row],[Cotação 5]]))</f>
        <v>16.8</v>
      </c>
      <c r="W1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4" s="17" t="str">
        <f>IF(AND([Ref]=5,[Cotação]&gt;0,[Cotação]&lt;&gt;""),[Total Exercício]/[Cotação],IF([Ref]&lt;4,0,""))</f>
        <v/>
      </c>
      <c r="Y134" s="17">
        <f>IF([Tipo]="div",1,0)</f>
        <v>0</v>
      </c>
      <c r="Z134" s="17">
        <f>IF([Tipo]="jcp",1,0)</f>
        <v>0</v>
      </c>
    </row>
    <row r="135" spans="1:26" hidden="1">
      <c r="A135" s="3" t="s">
        <v>996</v>
      </c>
      <c r="B135" s="58" t="s">
        <v>1000</v>
      </c>
      <c r="C135" s="16">
        <v>4</v>
      </c>
      <c r="D135" s="4"/>
      <c r="E135" s="4"/>
      <c r="F135" s="4"/>
      <c r="G135" s="4"/>
      <c r="H135" s="4"/>
      <c r="I135" s="4"/>
      <c r="J135" s="17">
        <f>IF(Tabela8[[#This Row],[Tipo]]="jcp",Tabela8[[#This Row],[Provento p/Ação]]*85%,Tabela8[[#This Row],[Provento p/Ação]])</f>
        <v>0</v>
      </c>
      <c r="K135" s="143" t="str">
        <f>IF([Lucro p/Ação]&lt;&gt;0,SUMPRODUCT(N([Papel]=Tabela8[[#This Row],[Papel]]),N([Exercício]=Tabela8[[#This Row],[Exercício]]),[Líquido p/Ação]),"")</f>
        <v/>
      </c>
      <c r="L135" s="42" t="str">
        <f>IF(Tabela8[[#This Row],[Lucro p/Ação]]="","",IF(Tabela8[[#This Row],[Lucro p/Ação]]&gt;0,Tabela8[[#This Row],[Total Exercício]]/Tabela8[[#This Row],[Lucro p/Ação]],0))</f>
        <v/>
      </c>
      <c r="M1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5" s="14" t="str">
        <f>IF(Tabela8[[#This Row],[Média Lucro p/Ação]]&lt;&gt;"",Tabela8[[#This Row],[Média Pago]]/Tabela8[[#This Row],[Média Lucro p/Ação]],"")</f>
        <v/>
      </c>
      <c r="P1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5" s="7">
        <f>SUMPRODUCT(N(Tabela1[Código]=Tabela8[[#This Row],[Papel]]),Tabela1[Fechamento])</f>
        <v>0</v>
      </c>
      <c r="R135" s="7">
        <f>SUMPRODUCT(N(Tabela17[Código]=Tabela8[[#This Row],[Papel]]),Tabela17[Fechamento])</f>
        <v>0</v>
      </c>
      <c r="S135" s="7">
        <f>SUMPRODUCT(N(Tabela176[Código]=Tabela8[[#This Row],[Papel]]),Tabela176[Fechamento])</f>
        <v>0</v>
      </c>
      <c r="T135" s="7">
        <f>SUMPRODUCT(N(Tabela1768[Código]=Tabela8[[#This Row],[Papel]]),Tabela1768[Fechamento])</f>
        <v>17.18</v>
      </c>
      <c r="U135" s="7">
        <f>SUMPRODUCT(N(Tabela17683[Código]=Tabela8[[#This Row],[Papel]]),Tabela17683[Fechamento])</f>
        <v>0</v>
      </c>
      <c r="V135" s="17">
        <f>IF(MAX(Tabela8[[#This Row],[Cotação 1]]:Tabela8[[#This Row],[Cotação 5]])=0,"",MAX(Tabela8[[#This Row],[Cotação 1]]:Tabela8[[#This Row],[Cotação 5]]))</f>
        <v>17.18</v>
      </c>
      <c r="W1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5" s="17" t="str">
        <f>IF(AND([Ref]=5,[Cotação]&gt;0,[Cotação]&lt;&gt;""),[Total Exercício]/[Cotação],IF([Ref]&lt;4,0,""))</f>
        <v/>
      </c>
      <c r="Y135" s="17">
        <f>IF([Tipo]="div",1,0)</f>
        <v>0</v>
      </c>
      <c r="Z135" s="17">
        <f>IF([Tipo]="jcp",1,0)</f>
        <v>0</v>
      </c>
    </row>
    <row r="136" spans="1:26" hidden="1">
      <c r="A136" s="4" t="s">
        <v>365</v>
      </c>
      <c r="B136" s="57" t="s">
        <v>368</v>
      </c>
      <c r="C136" s="15">
        <v>4</v>
      </c>
      <c r="D136" s="4"/>
      <c r="E136" s="4"/>
      <c r="F136" s="4"/>
      <c r="G136" s="4"/>
      <c r="H136" s="4"/>
      <c r="I136" s="4"/>
      <c r="J136" s="17">
        <f>IF(Tabela8[[#This Row],[Tipo]]="jcp",Tabela8[[#This Row],[Provento p/Ação]]*85%,Tabela8[[#This Row],[Provento p/Ação]])</f>
        <v>0</v>
      </c>
      <c r="K136" s="143" t="str">
        <f>IF([Lucro p/Ação]&lt;&gt;0,SUMPRODUCT(N([Papel]=Tabela8[[#This Row],[Papel]]),N([Exercício]=Tabela8[[#This Row],[Exercício]]),[Líquido p/Ação]),"")</f>
        <v/>
      </c>
      <c r="L136" s="42" t="str">
        <f>IF(Tabela8[[#This Row],[Lucro p/Ação]]="","",IF(Tabela8[[#This Row],[Lucro p/Ação]]&gt;0,Tabela8[[#This Row],[Total Exercício]]/Tabela8[[#This Row],[Lucro p/Ação]],0))</f>
        <v/>
      </c>
      <c r="M1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6" s="14" t="str">
        <f>IF(Tabela8[[#This Row],[Média Lucro p/Ação]]&lt;&gt;"",Tabela8[[#This Row],[Média Pago]]/Tabela8[[#This Row],[Média Lucro p/Ação]],"")</f>
        <v/>
      </c>
      <c r="P1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6" s="13">
        <f>SUMPRODUCT(N(Tabela1[Código]=Tabela8[[#This Row],[Papel]]),Tabela1[Fechamento])</f>
        <v>0</v>
      </c>
      <c r="R136" s="55">
        <f>SUMPRODUCT(N(Tabela17[Código]=Tabela8[[#This Row],[Papel]]),Tabela17[Fechamento])</f>
        <v>69.510000000000005</v>
      </c>
      <c r="S136" s="7">
        <f>SUMPRODUCT(N(Tabela176[Código]=Tabela8[[#This Row],[Papel]]),Tabela176[Fechamento])</f>
        <v>0</v>
      </c>
      <c r="T136" s="7">
        <f>SUMPRODUCT(N(Tabela1768[Código]=Tabela8[[#This Row],[Papel]]),Tabela1768[Fechamento])</f>
        <v>0</v>
      </c>
      <c r="U136" s="7">
        <f>SUMPRODUCT(N(Tabela17683[Código]=Tabela8[[#This Row],[Papel]]),Tabela17683[Fechamento])</f>
        <v>0</v>
      </c>
      <c r="V136" s="17">
        <f>IF(MAX(Tabela8[[#This Row],[Cotação 1]]:Tabela8[[#This Row],[Cotação 5]])=0,"",MAX(Tabela8[[#This Row],[Cotação 1]]:Tabela8[[#This Row],[Cotação 5]]))</f>
        <v>69.510000000000005</v>
      </c>
      <c r="W1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6" s="17" t="str">
        <f>IF(AND([Ref]=5,[Cotação]&gt;0,[Cotação]&lt;&gt;""),[Total Exercício]/[Cotação],IF([Ref]&lt;4,0,""))</f>
        <v/>
      </c>
      <c r="Y136" s="17">
        <f>IF([Tipo]="div",1,0)</f>
        <v>0</v>
      </c>
      <c r="Z136" s="17">
        <f>IF([Tipo]="jcp",1,0)</f>
        <v>0</v>
      </c>
    </row>
    <row r="137" spans="1:26" hidden="1">
      <c r="A137" s="3" t="s">
        <v>267</v>
      </c>
      <c r="B137" s="58" t="s">
        <v>264</v>
      </c>
      <c r="C137" s="16">
        <v>3</v>
      </c>
      <c r="D137" s="4"/>
      <c r="E137" s="4"/>
      <c r="F137" s="4"/>
      <c r="G137" s="4"/>
      <c r="H137" s="4"/>
      <c r="I137" s="4"/>
      <c r="J137" s="17">
        <f>IF(Tabela8[[#This Row],[Tipo]]="jcp",Tabela8[[#This Row],[Provento p/Ação]]*85%,Tabela8[[#This Row],[Provento p/Ação]])</f>
        <v>0</v>
      </c>
      <c r="K137" s="143" t="str">
        <f>IF([Lucro p/Ação]&lt;&gt;0,SUMPRODUCT(N([Papel]=Tabela8[[#This Row],[Papel]]),N([Exercício]=Tabela8[[#This Row],[Exercício]]),[Líquido p/Ação]),"")</f>
        <v/>
      </c>
      <c r="L137" s="42" t="str">
        <f>IF(Tabela8[[#This Row],[Lucro p/Ação]]="","",IF(Tabela8[[#This Row],[Lucro p/Ação]]&gt;0,Tabela8[[#This Row],[Total Exercício]]/Tabela8[[#This Row],[Lucro p/Ação]],0))</f>
        <v/>
      </c>
      <c r="M1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7" s="14" t="str">
        <f>IF(Tabela8[[#This Row],[Média Lucro p/Ação]]&lt;&gt;"",Tabela8[[#This Row],[Média Pago]]/Tabela8[[#This Row],[Média Lucro p/Ação]],"")</f>
        <v/>
      </c>
      <c r="P1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7" s="47">
        <f>SUMPRODUCT(N(Tabela1[Código]=Tabela8[[#This Row],[Papel]]),Tabela1[Fechamento])</f>
        <v>0</v>
      </c>
      <c r="R137" s="54">
        <f>SUMPRODUCT(N(Tabela17[Código]=Tabela8[[#This Row],[Papel]]),Tabela17[Fechamento])</f>
        <v>7.08</v>
      </c>
      <c r="S137" s="7">
        <f>SUMPRODUCT(N(Tabela176[Código]=Tabela8[[#This Row],[Papel]]),Tabela176[Fechamento])</f>
        <v>0</v>
      </c>
      <c r="T137" s="7">
        <f>SUMPRODUCT(N(Tabela1768[Código]=Tabela8[[#This Row],[Papel]]),Tabela1768[Fechamento])</f>
        <v>0</v>
      </c>
      <c r="U137" s="7">
        <f>SUMPRODUCT(N(Tabela17683[Código]=Tabela8[[#This Row],[Papel]]),Tabela17683[Fechamento])</f>
        <v>0</v>
      </c>
      <c r="V137" s="17">
        <f>IF(MAX(Tabela8[[#This Row],[Cotação 1]]:Tabela8[[#This Row],[Cotação 5]])=0,"",MAX(Tabela8[[#This Row],[Cotação 1]]:Tabela8[[#This Row],[Cotação 5]]))</f>
        <v>7.08</v>
      </c>
      <c r="W1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7" s="17">
        <f>IF(AND([Ref]=5,[Cotação]&gt;0,[Cotação]&lt;&gt;""),[Total Exercício]/[Cotação],IF([Ref]&lt;4,0,""))</f>
        <v>0</v>
      </c>
      <c r="Y137" s="17">
        <f>IF([Tipo]="div",1,0)</f>
        <v>0</v>
      </c>
      <c r="Z137" s="17">
        <f>IF([Tipo]="jcp",1,0)</f>
        <v>0</v>
      </c>
    </row>
    <row r="138" spans="1:26" hidden="1">
      <c r="A138" s="3" t="s">
        <v>267</v>
      </c>
      <c r="B138" s="58" t="s">
        <v>265</v>
      </c>
      <c r="C138" s="16">
        <v>3</v>
      </c>
      <c r="D138" s="4"/>
      <c r="E138" s="4"/>
      <c r="F138" s="4"/>
      <c r="G138" s="4"/>
      <c r="H138" s="4"/>
      <c r="I138" s="4"/>
      <c r="J138" s="17">
        <f>IF(Tabela8[[#This Row],[Tipo]]="jcp",Tabela8[[#This Row],[Provento p/Ação]]*85%,Tabela8[[#This Row],[Provento p/Ação]])</f>
        <v>0</v>
      </c>
      <c r="K138" s="143" t="str">
        <f>IF([Lucro p/Ação]&lt;&gt;0,SUMPRODUCT(N([Papel]=Tabela8[[#This Row],[Papel]]),N([Exercício]=Tabela8[[#This Row],[Exercício]]),[Líquido p/Ação]),"")</f>
        <v/>
      </c>
      <c r="L138" s="42" t="str">
        <f>IF(Tabela8[[#This Row],[Lucro p/Ação]]="","",IF(Tabela8[[#This Row],[Lucro p/Ação]]&gt;0,Tabela8[[#This Row],[Total Exercício]]/Tabela8[[#This Row],[Lucro p/Ação]],0))</f>
        <v/>
      </c>
      <c r="M1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8" s="14" t="str">
        <f>IF(Tabela8[[#This Row],[Média Lucro p/Ação]]&lt;&gt;"",Tabela8[[#This Row],[Média Pago]]/Tabela8[[#This Row],[Média Lucro p/Ação]],"")</f>
        <v/>
      </c>
      <c r="P1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8" s="47">
        <f>SUMPRODUCT(N(Tabela1[Código]=Tabela8[[#This Row],[Papel]]),Tabela1[Fechamento])</f>
        <v>0</v>
      </c>
      <c r="R138" s="54">
        <f>SUMPRODUCT(N(Tabela17[Código]=Tabela8[[#This Row],[Papel]]),Tabela17[Fechamento])</f>
        <v>13.99</v>
      </c>
      <c r="S138" s="7">
        <f>SUMPRODUCT(N(Tabela176[Código]=Tabela8[[#This Row],[Papel]]),Tabela176[Fechamento])</f>
        <v>0</v>
      </c>
      <c r="T138" s="7">
        <f>SUMPRODUCT(N(Tabela1768[Código]=Tabela8[[#This Row],[Papel]]),Tabela1768[Fechamento])</f>
        <v>0</v>
      </c>
      <c r="U138" s="7">
        <f>SUMPRODUCT(N(Tabela17683[Código]=Tabela8[[#This Row],[Papel]]),Tabela17683[Fechamento])</f>
        <v>0</v>
      </c>
      <c r="V138" s="17">
        <f>IF(MAX(Tabela8[[#This Row],[Cotação 1]]:Tabela8[[#This Row],[Cotação 5]])=0,"",MAX(Tabela8[[#This Row],[Cotação 1]]:Tabela8[[#This Row],[Cotação 5]]))</f>
        <v>13.99</v>
      </c>
      <c r="W1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8" s="17">
        <f>IF(AND([Ref]=5,[Cotação]&gt;0,[Cotação]&lt;&gt;""),[Total Exercício]/[Cotação],IF([Ref]&lt;4,0,""))</f>
        <v>0</v>
      </c>
      <c r="Y138" s="17">
        <f>IF([Tipo]="div",1,0)</f>
        <v>0</v>
      </c>
      <c r="Z138" s="17">
        <f>IF([Tipo]="jcp",1,0)</f>
        <v>0</v>
      </c>
    </row>
    <row r="139" spans="1:26" hidden="1">
      <c r="A139" s="3" t="s">
        <v>802</v>
      </c>
      <c r="B139" s="114" t="s">
        <v>798</v>
      </c>
      <c r="C139" s="16">
        <v>2</v>
      </c>
      <c r="D139" s="4"/>
      <c r="E139" s="4"/>
      <c r="F139" s="4"/>
      <c r="G139" s="4"/>
      <c r="H139" s="4"/>
      <c r="I139" s="4"/>
      <c r="J139" s="17">
        <f>IF(Tabela8[[#This Row],[Tipo]]="jcp",Tabela8[[#This Row],[Provento p/Ação]]*85%,Tabela8[[#This Row],[Provento p/Ação]])</f>
        <v>0</v>
      </c>
      <c r="K139" s="143" t="str">
        <f>IF([Lucro p/Ação]&lt;&gt;0,SUMPRODUCT(N([Papel]=Tabela8[[#This Row],[Papel]]),N([Exercício]=Tabela8[[#This Row],[Exercício]]),[Líquido p/Ação]),"")</f>
        <v/>
      </c>
      <c r="L139" s="42" t="str">
        <f>IF(Tabela8[[#This Row],[Lucro p/Ação]]="","",IF(Tabela8[[#This Row],[Lucro p/Ação]]&gt;0,Tabela8[[#This Row],[Total Exercício]]/Tabela8[[#This Row],[Lucro p/Ação]],0))</f>
        <v/>
      </c>
      <c r="M1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39" s="14" t="str">
        <f>IF(Tabela8[[#This Row],[Média Lucro p/Ação]]&lt;&gt;"",Tabela8[[#This Row],[Média Pago]]/Tabela8[[#This Row],[Média Lucro p/Ação]],"")</f>
        <v/>
      </c>
      <c r="P1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39" s="7">
        <f>SUMPRODUCT(N(Tabela1[Código]=Tabela8[[#This Row],[Papel]]),Tabela1[Fechamento])</f>
        <v>0</v>
      </c>
      <c r="R139" s="7">
        <f>SUMPRODUCT(N(Tabela17[Código]=Tabela8[[#This Row],[Papel]]),Tabela17[Fechamento])</f>
        <v>0</v>
      </c>
      <c r="S139" s="7">
        <f>SUMPRODUCT(N(Tabela176[Código]=Tabela8[[#This Row],[Papel]]),Tabela176[Fechamento])</f>
        <v>0</v>
      </c>
      <c r="T139" s="7">
        <f>SUMPRODUCT(N(Tabela1768[Código]=Tabela8[[#This Row],[Papel]]),Tabela1768[Fechamento])</f>
        <v>0</v>
      </c>
      <c r="U139" s="7">
        <f>SUMPRODUCT(N(Tabela17683[Código]=Tabela8[[#This Row],[Papel]]),Tabela17683[Fechamento])</f>
        <v>0</v>
      </c>
      <c r="V139" s="17" t="str">
        <f>IF(MAX(Tabela8[[#This Row],[Cotação 1]]:Tabela8[[#This Row],[Cotação 5]])=0,"",MAX(Tabela8[[#This Row],[Cotação 1]]:Tabela8[[#This Row],[Cotação 5]]))</f>
        <v/>
      </c>
      <c r="W1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39" s="17">
        <f>IF(AND([Ref]=5,[Cotação]&gt;0,[Cotação]&lt;&gt;""),[Total Exercício]/[Cotação],IF([Ref]&lt;4,0,""))</f>
        <v>0</v>
      </c>
      <c r="Y139" s="17">
        <f>IF([Tipo]="div",1,0)</f>
        <v>0</v>
      </c>
      <c r="Z139" s="17">
        <f>IF([Tipo]="jcp",1,0)</f>
        <v>0</v>
      </c>
    </row>
    <row r="140" spans="1:26" hidden="1">
      <c r="A140" s="3" t="s">
        <v>802</v>
      </c>
      <c r="B140" s="114" t="s">
        <v>799</v>
      </c>
      <c r="C140" s="16">
        <v>2</v>
      </c>
      <c r="D140" s="4"/>
      <c r="E140" s="4"/>
      <c r="F140" s="4"/>
      <c r="G140" s="4"/>
      <c r="H140" s="4"/>
      <c r="I140" s="4"/>
      <c r="J140" s="17">
        <f>IF(Tabela8[[#This Row],[Tipo]]="jcp",Tabela8[[#This Row],[Provento p/Ação]]*85%,Tabela8[[#This Row],[Provento p/Ação]])</f>
        <v>0</v>
      </c>
      <c r="K140" s="143" t="str">
        <f>IF([Lucro p/Ação]&lt;&gt;0,SUMPRODUCT(N([Papel]=Tabela8[[#This Row],[Papel]]),N([Exercício]=Tabela8[[#This Row],[Exercício]]),[Líquido p/Ação]),"")</f>
        <v/>
      </c>
      <c r="L140" s="42" t="str">
        <f>IF(Tabela8[[#This Row],[Lucro p/Ação]]="","",IF(Tabela8[[#This Row],[Lucro p/Ação]]&gt;0,Tabela8[[#This Row],[Total Exercício]]/Tabela8[[#This Row],[Lucro p/Ação]],0))</f>
        <v/>
      </c>
      <c r="M1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0" s="14" t="str">
        <f>IF(Tabela8[[#This Row],[Média Lucro p/Ação]]&lt;&gt;"",Tabela8[[#This Row],[Média Pago]]/Tabela8[[#This Row],[Média Lucro p/Ação]],"")</f>
        <v/>
      </c>
      <c r="P1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0" s="7">
        <f>SUMPRODUCT(N(Tabela1[Código]=Tabela8[[#This Row],[Papel]]),Tabela1[Fechamento])</f>
        <v>0</v>
      </c>
      <c r="R140" s="7">
        <f>SUMPRODUCT(N(Tabela17[Código]=Tabela8[[#This Row],[Papel]]),Tabela17[Fechamento])</f>
        <v>0</v>
      </c>
      <c r="S140" s="7">
        <f>SUMPRODUCT(N(Tabela176[Código]=Tabela8[[#This Row],[Papel]]),Tabela176[Fechamento])</f>
        <v>3</v>
      </c>
      <c r="T140" s="7">
        <f>SUMPRODUCT(N(Tabela1768[Código]=Tabela8[[#This Row],[Papel]]),Tabela1768[Fechamento])</f>
        <v>0</v>
      </c>
      <c r="U140" s="7">
        <f>SUMPRODUCT(N(Tabela17683[Código]=Tabela8[[#This Row],[Papel]]),Tabela17683[Fechamento])</f>
        <v>0</v>
      </c>
      <c r="V140" s="17">
        <f>IF(MAX(Tabela8[[#This Row],[Cotação 1]]:Tabela8[[#This Row],[Cotação 5]])=0,"",MAX(Tabela8[[#This Row],[Cotação 1]]:Tabela8[[#This Row],[Cotação 5]]))</f>
        <v>3</v>
      </c>
      <c r="W1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0" s="17">
        <f>IF(AND([Ref]=5,[Cotação]&gt;0,[Cotação]&lt;&gt;""),[Total Exercício]/[Cotação],IF([Ref]&lt;4,0,""))</f>
        <v>0</v>
      </c>
      <c r="Y140" s="17">
        <f>IF([Tipo]="div",1,0)</f>
        <v>0</v>
      </c>
      <c r="Z140" s="17">
        <f>IF([Tipo]="jcp",1,0)</f>
        <v>0</v>
      </c>
    </row>
    <row r="141" spans="1:26" hidden="1">
      <c r="A141" s="4" t="s">
        <v>12</v>
      </c>
      <c r="B141" s="3" t="s">
        <v>451</v>
      </c>
      <c r="C141" s="15">
        <v>4</v>
      </c>
      <c r="D141" s="14">
        <v>2010</v>
      </c>
      <c r="E141" s="4" t="s">
        <v>1468</v>
      </c>
      <c r="F141" s="4"/>
      <c r="G141" s="46">
        <v>40298</v>
      </c>
      <c r="H141" s="46">
        <v>40358</v>
      </c>
      <c r="I141" s="4">
        <v>0.88744999999999996</v>
      </c>
      <c r="J141" s="133">
        <f>IF(Tabela8[[#This Row],[Tipo]]="jcp",Tabela8[[#This Row],[Provento p/Ação]]*85%,Tabela8[[#This Row],[Provento p/Ação]])</f>
        <v>0.88744999999999996</v>
      </c>
      <c r="K141" s="143" t="str">
        <f>IF([Lucro p/Ação]&lt;&gt;0,SUMPRODUCT(N([Papel]=Tabela8[[#This Row],[Papel]]),N([Exercício]=Tabela8[[#This Row],[Exercício]]),[Líquido p/Ação]),"")</f>
        <v/>
      </c>
      <c r="L141" s="42" t="str">
        <f>IF(Tabela8[[#This Row],[Lucro p/Ação]]="","",IF(Tabela8[[#This Row],[Lucro p/Ação]]&gt;0,Tabela8[[#This Row],[Total Exercício]]/Tabela8[[#This Row],[Lucro p/Ação]],0))</f>
        <v/>
      </c>
      <c r="M1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1" s="19" t="str">
        <f>IF(Tabela8[[#This Row],[Média Lucro p/Ação]]&lt;&gt;"",Tabela8[[#This Row],[Média Pago]]/Tabela8[[#This Row],[Média Lucro p/Ação]],"")</f>
        <v/>
      </c>
      <c r="P1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1" s="5">
        <f>SUMPRODUCT(N(Tabela1[Código]=Tabela8[[#This Row],[Papel]]),Tabela1[Fechamento])</f>
        <v>0</v>
      </c>
      <c r="R141" s="5">
        <f>SUMPRODUCT(N(Tabela17[Código]=Tabela8[[#This Row],[Papel]]),Tabela17[Fechamento])</f>
        <v>40</v>
      </c>
      <c r="S141" s="7">
        <f>SUMPRODUCT(N(Tabela176[Código]=Tabela8[[#This Row],[Papel]]),Tabela176[Fechamento])</f>
        <v>0</v>
      </c>
      <c r="T141" s="7">
        <f>SUMPRODUCT(N(Tabela1768[Código]=Tabela8[[#This Row],[Papel]]),Tabela1768[Fechamento])</f>
        <v>0</v>
      </c>
      <c r="U141" s="7">
        <f>SUMPRODUCT(N(Tabela17683[Código]=Tabela8[[#This Row],[Papel]]),Tabela17683[Fechamento])</f>
        <v>0</v>
      </c>
      <c r="V141" s="17">
        <f>IF(MAX(Tabela8[[#This Row],[Cotação 1]]:Tabela8[[#This Row],[Cotação 5]])=0,"",MAX(Tabela8[[#This Row],[Cotação 1]]:Tabela8[[#This Row],[Cotação 5]]))</f>
        <v>40</v>
      </c>
      <c r="W1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1" s="17" t="str">
        <f>IF(AND([Ref]=5,[Cotação]&gt;0,[Cotação]&lt;&gt;""),[Total Exercício]/[Cotação],IF([Ref]&lt;4,0,""))</f>
        <v/>
      </c>
      <c r="Y141" s="14">
        <f>IF([Tipo]="div",1,0)</f>
        <v>1</v>
      </c>
      <c r="Z141" s="14">
        <f>IF([Tipo]="jcp",1,0)</f>
        <v>0</v>
      </c>
    </row>
    <row r="142" spans="1:26" hidden="1">
      <c r="A142" s="4" t="s">
        <v>12</v>
      </c>
      <c r="B142" s="3" t="s">
        <v>71</v>
      </c>
      <c r="C142" s="15">
        <v>4</v>
      </c>
      <c r="D142" s="14">
        <v>2010</v>
      </c>
      <c r="E142" s="4" t="s">
        <v>1468</v>
      </c>
      <c r="F142" s="4"/>
      <c r="G142" s="46">
        <v>40298</v>
      </c>
      <c r="H142" s="46">
        <v>40358</v>
      </c>
      <c r="I142" s="4">
        <v>0.97619999999999996</v>
      </c>
      <c r="J142" s="133">
        <f>IF(Tabela8[[#This Row],[Tipo]]="jcp",Tabela8[[#This Row],[Provento p/Ação]]*85%,Tabela8[[#This Row],[Provento p/Ação]])</f>
        <v>0.97619999999999996</v>
      </c>
      <c r="K142" s="143" t="str">
        <f>IF([Lucro p/Ação]&lt;&gt;0,SUMPRODUCT(N([Papel]=Tabela8[[#This Row],[Papel]]),N([Exercício]=Tabela8[[#This Row],[Exercício]]),[Líquido p/Ação]),"")</f>
        <v/>
      </c>
      <c r="L142" s="42" t="str">
        <f>IF(Tabela8[[#This Row],[Lucro p/Ação]]="","",IF(Tabela8[[#This Row],[Lucro p/Ação]]&gt;0,Tabela8[[#This Row],[Total Exercício]]/Tabela8[[#This Row],[Lucro p/Ação]],0))</f>
        <v/>
      </c>
      <c r="M1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2" s="19" t="str">
        <f>IF(Tabela8[[#This Row],[Média Lucro p/Ação]]&lt;&gt;"",Tabela8[[#This Row],[Média Pago]]/Tabela8[[#This Row],[Média Lucro p/Ação]],"")</f>
        <v/>
      </c>
      <c r="P1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2" s="5">
        <f>SUMPRODUCT(N(Tabela1[Código]=Tabela8[[#This Row],[Papel]]),Tabela1[Fechamento])</f>
        <v>15.47</v>
      </c>
      <c r="R142" s="5">
        <f>SUMPRODUCT(N(Tabela17[Código]=Tabela8[[#This Row],[Papel]]),Tabela17[Fechamento])</f>
        <v>0</v>
      </c>
      <c r="S142" s="7">
        <f>SUMPRODUCT(N(Tabela176[Código]=Tabela8[[#This Row],[Papel]]),Tabela176[Fechamento])</f>
        <v>0</v>
      </c>
      <c r="T142" s="7">
        <f>SUMPRODUCT(N(Tabela1768[Código]=Tabela8[[#This Row],[Papel]]),Tabela1768[Fechamento])</f>
        <v>0</v>
      </c>
      <c r="U142" s="7">
        <f>SUMPRODUCT(N(Tabela17683[Código]=Tabela8[[#This Row],[Papel]]),Tabela17683[Fechamento])</f>
        <v>0</v>
      </c>
      <c r="V142" s="17">
        <f>IF(MAX(Tabela8[[#This Row],[Cotação 1]]:Tabela8[[#This Row],[Cotação 5]])=0,"",MAX(Tabela8[[#This Row],[Cotação 1]]:Tabela8[[#This Row],[Cotação 5]]))</f>
        <v>15.47</v>
      </c>
      <c r="W1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2" s="17" t="str">
        <f>IF(AND([Ref]=5,[Cotação]&gt;0,[Cotação]&lt;&gt;""),[Total Exercício]/[Cotação],IF([Ref]&lt;4,0,""))</f>
        <v/>
      </c>
      <c r="Y142" s="14">
        <f>IF([Tipo]="div",1,0)</f>
        <v>1</v>
      </c>
      <c r="Z142" s="14">
        <f>IF([Tipo]="jcp",1,0)</f>
        <v>0</v>
      </c>
    </row>
    <row r="143" spans="1:26" hidden="1">
      <c r="A143" s="4" t="s">
        <v>12</v>
      </c>
      <c r="B143" s="131" t="s">
        <v>93</v>
      </c>
      <c r="C143" s="15">
        <v>5</v>
      </c>
      <c r="D143" s="14">
        <v>2010</v>
      </c>
      <c r="E143" s="4" t="s">
        <v>1468</v>
      </c>
      <c r="F143" s="4">
        <v>6.0612899999999996</v>
      </c>
      <c r="G143" s="46">
        <v>40296</v>
      </c>
      <c r="H143" s="46">
        <v>40522</v>
      </c>
      <c r="I143" s="4">
        <v>2.73584</v>
      </c>
      <c r="J143" s="133">
        <f>IF(Tabela8[[#This Row],[Tipo]]="jcp",Tabela8[[#This Row],[Provento p/Ação]]*85%,Tabela8[[#This Row],[Provento p/Ação]])</f>
        <v>2.73584</v>
      </c>
      <c r="K143" s="143">
        <f>IF([Lucro p/Ação]&lt;&gt;0,SUMPRODUCT(N([Papel]=Tabela8[[#This Row],[Papel]]),N([Exercício]=Tabela8[[#This Row],[Exercício]]),[Líquido p/Ação]),"")</f>
        <v>2.73584</v>
      </c>
      <c r="L143" s="42">
        <f>IF(Tabela8[[#This Row],[Lucro p/Ação]]="","",IF(Tabela8[[#This Row],[Lucro p/Ação]]&gt;0,Tabela8[[#This Row],[Total Exercício]]/Tabela8[[#This Row],[Lucro p/Ação]],0))</f>
        <v>0.45136266372339884</v>
      </c>
      <c r="M143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3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3" s="19">
        <f>IF(Tabela8[[#This Row],[Média Lucro p/Ação]]&lt;&gt;"",Tabela8[[#This Row],[Média Pago]]/Tabela8[[#This Row],[Média Lucro p/Ação]],"")</f>
        <v>0.45136266372339884</v>
      </c>
      <c r="P1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3" s="5">
        <f>SUMPRODUCT(N(Tabela1[Código]=Tabela8[[#This Row],[Papel]]),Tabela1[Fechamento])</f>
        <v>48.9</v>
      </c>
      <c r="R143" s="5">
        <f>SUMPRODUCT(N(Tabela17[Código]=Tabela8[[#This Row],[Papel]]),Tabela17[Fechamento])</f>
        <v>0</v>
      </c>
      <c r="S143" s="7">
        <f>SUMPRODUCT(N(Tabela176[Código]=Tabela8[[#This Row],[Papel]]),Tabela176[Fechamento])</f>
        <v>0</v>
      </c>
      <c r="T143" s="7">
        <f>SUMPRODUCT(N(Tabela1768[Código]=Tabela8[[#This Row],[Papel]]),Tabela1768[Fechamento])</f>
        <v>0</v>
      </c>
      <c r="U143" s="7">
        <f>SUMPRODUCT(N(Tabela17683[Código]=Tabela8[[#This Row],[Papel]]),Tabela17683[Fechamento])</f>
        <v>0</v>
      </c>
      <c r="V143" s="17">
        <f>IF(MAX(Tabela8[[#This Row],[Cotação 1]]:Tabela8[[#This Row],[Cotação 5]])=0,"",MAX(Tabela8[[#This Row],[Cotação 1]]:Tabela8[[#This Row],[Cotação 5]]))</f>
        <v>48.9</v>
      </c>
      <c r="W1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3" s="19">
        <f>IF(AND([Ref]=5,[Cotação]&gt;0,[Cotação]&lt;&gt;""),[Total Exercício]/[Cotação],IF([Ref]&lt;4,0,""))</f>
        <v>5.5947648261758694E-2</v>
      </c>
      <c r="Y143" s="17">
        <f>IF([Tipo]="div",1,0)</f>
        <v>1</v>
      </c>
      <c r="Z143" s="17">
        <f>IF([Tipo]="jcp",1,0)</f>
        <v>0</v>
      </c>
    </row>
    <row r="144" spans="1:26" hidden="1">
      <c r="A144" s="3" t="s">
        <v>12</v>
      </c>
      <c r="B144" s="139" t="s">
        <v>81</v>
      </c>
      <c r="C144" s="16">
        <v>5</v>
      </c>
      <c r="D144" s="14">
        <v>2010</v>
      </c>
      <c r="E144" s="4" t="s">
        <v>1468</v>
      </c>
      <c r="F144" s="4">
        <v>6.0612899999999996</v>
      </c>
      <c r="G144" s="46">
        <v>40296</v>
      </c>
      <c r="H144" s="46">
        <v>40522</v>
      </c>
      <c r="I144" s="4">
        <v>2.73584</v>
      </c>
      <c r="J144" s="133">
        <f>IF(Tabela8[[#This Row],[Tipo]]="jcp",Tabela8[[#This Row],[Provento p/Ação]]*85%,Tabela8[[#This Row],[Provento p/Ação]])</f>
        <v>2.73584</v>
      </c>
      <c r="K144" s="143">
        <f>IF([Lucro p/Ação]&lt;&gt;0,SUMPRODUCT(N([Papel]=Tabela8[[#This Row],[Papel]]),N([Exercício]=Tabela8[[#This Row],[Exercício]]),[Líquido p/Ação]),"")</f>
        <v>2.73584</v>
      </c>
      <c r="L144" s="42">
        <f>IF(Tabela8[[#This Row],[Lucro p/Ação]]="","",IF(Tabela8[[#This Row],[Lucro p/Ação]]&gt;0,Tabela8[[#This Row],[Total Exercício]]/Tabela8[[#This Row],[Lucro p/Ação]],0))</f>
        <v>0.45136266372339884</v>
      </c>
      <c r="M14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4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4" s="19">
        <f>IF(Tabela8[[#This Row],[Média Lucro p/Ação]]&lt;&gt;"",Tabela8[[#This Row],[Média Pago]]/Tabela8[[#This Row],[Média Lucro p/Ação]],"")</f>
        <v>0.45136266372339884</v>
      </c>
      <c r="P1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4" s="5">
        <f>SUMPRODUCT(N(Tabela1[Código]=Tabela8[[#This Row],[Papel]]),Tabela1[Fechamento])</f>
        <v>36.28</v>
      </c>
      <c r="R144" s="5">
        <f>SUMPRODUCT(N(Tabela17[Código]=Tabela8[[#This Row],[Papel]]),Tabela17[Fechamento])</f>
        <v>0</v>
      </c>
      <c r="S144" s="7">
        <f>SUMPRODUCT(N(Tabela176[Código]=Tabela8[[#This Row],[Papel]]),Tabela176[Fechamento])</f>
        <v>0</v>
      </c>
      <c r="T144" s="7">
        <f>SUMPRODUCT(N(Tabela1768[Código]=Tabela8[[#This Row],[Papel]]),Tabela1768[Fechamento])</f>
        <v>0</v>
      </c>
      <c r="U144" s="7">
        <f>SUMPRODUCT(N(Tabela17683[Código]=Tabela8[[#This Row],[Papel]]),Tabela17683[Fechamento])</f>
        <v>0</v>
      </c>
      <c r="V144" s="17">
        <f>IF(MAX(Tabela8[[#This Row],[Cotação 1]]:Tabela8[[#This Row],[Cotação 5]])=0,"",MAX(Tabela8[[#This Row],[Cotação 1]]:Tabela8[[#This Row],[Cotação 5]]))</f>
        <v>36.28</v>
      </c>
      <c r="W1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4" s="19">
        <f>IF(AND([Ref]=5,[Cotação]&gt;0,[Cotação]&lt;&gt;""),[Total Exercício]/[Cotação],IF([Ref]&lt;4,0,""))</f>
        <v>7.5409040793825793E-2</v>
      </c>
      <c r="Y144" s="17">
        <f>IF([Tipo]="div",1,0)</f>
        <v>1</v>
      </c>
      <c r="Z144" s="17">
        <f>IF([Tipo]="jcp",1,0)</f>
        <v>0</v>
      </c>
    </row>
    <row r="145" spans="1:26" hidden="1">
      <c r="A145" s="3" t="s">
        <v>12</v>
      </c>
      <c r="B145" s="139" t="s">
        <v>470</v>
      </c>
      <c r="C145" s="16">
        <v>5</v>
      </c>
      <c r="D145" s="14">
        <v>2010</v>
      </c>
      <c r="E145" s="4" t="s">
        <v>1468</v>
      </c>
      <c r="F145" s="4">
        <v>6.0612899999999996</v>
      </c>
      <c r="G145" s="46">
        <v>40296</v>
      </c>
      <c r="H145" s="46">
        <v>40522</v>
      </c>
      <c r="I145" s="4">
        <v>2.73584</v>
      </c>
      <c r="J145" s="133">
        <f>IF(Tabela8[[#This Row],[Tipo]]="jcp",Tabela8[[#This Row],[Provento p/Ação]]*85%,Tabela8[[#This Row],[Provento p/Ação]])</f>
        <v>2.73584</v>
      </c>
      <c r="K145" s="143">
        <f>IF([Lucro p/Ação]&lt;&gt;0,SUMPRODUCT(N([Papel]=Tabela8[[#This Row],[Papel]]),N([Exercício]=Tabela8[[#This Row],[Exercício]]),[Líquido p/Ação]),"")</f>
        <v>2.73584</v>
      </c>
      <c r="L145" s="42">
        <f>IF(Tabela8[[#This Row],[Lucro p/Ação]]="","",IF(Tabela8[[#This Row],[Lucro p/Ação]]&gt;0,Tabela8[[#This Row],[Total Exercício]]/Tabela8[[#This Row],[Lucro p/Ação]],0))</f>
        <v>0.45136266372339884</v>
      </c>
      <c r="M145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6.0612899999999996</v>
      </c>
      <c r="N145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2.73584</v>
      </c>
      <c r="O145" s="19">
        <f>IF(Tabela8[[#This Row],[Média Lucro p/Ação]]&lt;&gt;"",Tabela8[[#This Row],[Média Pago]]/Tabela8[[#This Row],[Média Lucro p/Ação]],"")</f>
        <v>0.45136266372339884</v>
      </c>
      <c r="P1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5" s="5">
        <f>SUMPRODUCT(N(Tabela1[Código]=Tabela8[[#This Row],[Papel]]),Tabela1[Fechamento])</f>
        <v>0</v>
      </c>
      <c r="R145" s="5">
        <f>SUMPRODUCT(N(Tabela17[Código]=Tabela8[[#This Row],[Papel]]),Tabela17[Fechamento])</f>
        <v>35</v>
      </c>
      <c r="S145" s="7">
        <f>SUMPRODUCT(N(Tabela176[Código]=Tabela8[[#This Row],[Papel]]),Tabela176[Fechamento])</f>
        <v>0</v>
      </c>
      <c r="T145" s="7">
        <f>SUMPRODUCT(N(Tabela1768[Código]=Tabela8[[#This Row],[Papel]]),Tabela1768[Fechamento])</f>
        <v>0</v>
      </c>
      <c r="U145" s="7">
        <f>SUMPRODUCT(N(Tabela17683[Código]=Tabela8[[#This Row],[Papel]]),Tabela17683[Fechamento])</f>
        <v>0</v>
      </c>
      <c r="V145" s="17">
        <f>IF(MAX(Tabela8[[#This Row],[Cotação 1]]:Tabela8[[#This Row],[Cotação 5]])=0,"",MAX(Tabela8[[#This Row],[Cotação 1]]:Tabela8[[#This Row],[Cotação 5]]))</f>
        <v>35</v>
      </c>
      <c r="W1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5" s="19">
        <f>IF(AND([Ref]=5,[Cotação]&gt;0,[Cotação]&lt;&gt;""),[Total Exercício]/[Cotação],IF([Ref]&lt;4,0,""))</f>
        <v>7.8166857142857149E-2</v>
      </c>
      <c r="Y145" s="17">
        <f>IF([Tipo]="div",1,0)</f>
        <v>1</v>
      </c>
      <c r="Z145" s="17">
        <f>IF([Tipo]="jcp",1,0)</f>
        <v>0</v>
      </c>
    </row>
    <row r="146" spans="1:26" hidden="1">
      <c r="A146" s="3" t="s">
        <v>335</v>
      </c>
      <c r="B146" s="57" t="s">
        <v>705</v>
      </c>
      <c r="C146" s="15">
        <v>3</v>
      </c>
      <c r="D146" s="4"/>
      <c r="E146" s="4"/>
      <c r="F146" s="4"/>
      <c r="G146" s="4"/>
      <c r="H146" s="4"/>
      <c r="I146" s="4"/>
      <c r="J146" s="17">
        <f>IF(Tabela8[[#This Row],[Tipo]]="jcp",Tabela8[[#This Row],[Provento p/Ação]]*85%,Tabela8[[#This Row],[Provento p/Ação]])</f>
        <v>0</v>
      </c>
      <c r="K146" s="143" t="str">
        <f>IF([Lucro p/Ação]&lt;&gt;0,SUMPRODUCT(N([Papel]=Tabela8[[#This Row],[Papel]]),N([Exercício]=Tabela8[[#This Row],[Exercício]]),[Líquido p/Ação]),"")</f>
        <v/>
      </c>
      <c r="L146" s="42" t="str">
        <f>IF(Tabela8[[#This Row],[Lucro p/Ação]]="","",IF(Tabela8[[#This Row],[Lucro p/Ação]]&gt;0,Tabela8[[#This Row],[Total Exercício]]/Tabela8[[#This Row],[Lucro p/Ação]],0))</f>
        <v/>
      </c>
      <c r="M1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6" s="14" t="str">
        <f>IF(Tabela8[[#This Row],[Média Lucro p/Ação]]&lt;&gt;"",Tabela8[[#This Row],[Média Pago]]/Tabela8[[#This Row],[Média Lucro p/Ação]],"")</f>
        <v/>
      </c>
      <c r="P1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6" s="17">
        <f>SUMPRODUCT(N(Tabela1[Código]=Tabela8[[#This Row],[Papel]]),Tabela1[Fechamento])</f>
        <v>0</v>
      </c>
      <c r="R146" s="17">
        <f>SUMPRODUCT(N(Tabela17[Código]=Tabela8[[#This Row],[Papel]]),Tabela17[Fechamento])</f>
        <v>0</v>
      </c>
      <c r="S146" s="17">
        <f>SUMPRODUCT(N(Tabela176[Código]=Tabela8[[#This Row],[Papel]]),Tabela176[Fechamento])</f>
        <v>0</v>
      </c>
      <c r="T146" s="17">
        <f>SUMPRODUCT(N(Tabela1768[Código]=Tabela8[[#This Row],[Papel]]),Tabela1768[Fechamento])</f>
        <v>0</v>
      </c>
      <c r="U146" s="7">
        <f>SUMPRODUCT(N(Tabela17683[Código]=Tabela8[[#This Row],[Papel]]),Tabela17683[Fechamento])</f>
        <v>0</v>
      </c>
      <c r="V146" s="17" t="str">
        <f>IF(MAX(Tabela8[[#This Row],[Cotação 1]]:Tabela8[[#This Row],[Cotação 5]])=0,"",MAX(Tabela8[[#This Row],[Cotação 1]]:Tabela8[[#This Row],[Cotação 5]]))</f>
        <v/>
      </c>
      <c r="W1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6" s="17">
        <f>IF(AND([Ref]=5,[Cotação]&gt;0,[Cotação]&lt;&gt;""),[Total Exercício]/[Cotação],IF([Ref]&lt;4,0,""))</f>
        <v>0</v>
      </c>
      <c r="Y146" s="17">
        <f>IF([Tipo]="div",1,0)</f>
        <v>0</v>
      </c>
      <c r="Z146" s="17">
        <f>IF([Tipo]="jcp",1,0)</f>
        <v>0</v>
      </c>
    </row>
    <row r="147" spans="1:26" hidden="1">
      <c r="A147" s="3" t="s">
        <v>335</v>
      </c>
      <c r="B147" s="57" t="s">
        <v>706</v>
      </c>
      <c r="C147" s="15">
        <v>3</v>
      </c>
      <c r="D147" s="4"/>
      <c r="E147" s="4"/>
      <c r="F147" s="4"/>
      <c r="G147" s="4"/>
      <c r="H147" s="4"/>
      <c r="I147" s="4"/>
      <c r="J147" s="17">
        <f>IF(Tabela8[[#This Row],[Tipo]]="jcp",Tabela8[[#This Row],[Provento p/Ação]]*85%,Tabela8[[#This Row],[Provento p/Ação]])</f>
        <v>0</v>
      </c>
      <c r="K147" s="143" t="str">
        <f>IF([Lucro p/Ação]&lt;&gt;0,SUMPRODUCT(N([Papel]=Tabela8[[#This Row],[Papel]]),N([Exercício]=Tabela8[[#This Row],[Exercício]]),[Líquido p/Ação]),"")</f>
        <v/>
      </c>
      <c r="L147" s="42" t="str">
        <f>IF(Tabela8[[#This Row],[Lucro p/Ação]]="","",IF(Tabela8[[#This Row],[Lucro p/Ação]]&gt;0,Tabela8[[#This Row],[Total Exercício]]/Tabela8[[#This Row],[Lucro p/Ação]],0))</f>
        <v/>
      </c>
      <c r="M1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7" s="14" t="str">
        <f>IF(Tabela8[[#This Row],[Média Lucro p/Ação]]&lt;&gt;"",Tabela8[[#This Row],[Média Pago]]/Tabela8[[#This Row],[Média Lucro p/Ação]],"")</f>
        <v/>
      </c>
      <c r="P1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7" s="17">
        <f>SUMPRODUCT(N(Tabela1[Código]=Tabela8[[#This Row],[Papel]]),Tabela1[Fechamento])</f>
        <v>0</v>
      </c>
      <c r="R147" s="17">
        <f>SUMPRODUCT(N(Tabela17[Código]=Tabela8[[#This Row],[Papel]]),Tabela17[Fechamento])</f>
        <v>0</v>
      </c>
      <c r="S147" s="17">
        <f>SUMPRODUCT(N(Tabela176[Código]=Tabela8[[#This Row],[Papel]]),Tabela176[Fechamento])</f>
        <v>210.01</v>
      </c>
      <c r="T147" s="17">
        <f>SUMPRODUCT(N(Tabela1768[Código]=Tabela8[[#This Row],[Papel]]),Tabela1768[Fechamento])</f>
        <v>0</v>
      </c>
      <c r="U147" s="7">
        <f>SUMPRODUCT(N(Tabela17683[Código]=Tabela8[[#This Row],[Papel]]),Tabela17683[Fechamento])</f>
        <v>0</v>
      </c>
      <c r="V147" s="17">
        <f>IF(MAX(Tabela8[[#This Row],[Cotação 1]]:Tabela8[[#This Row],[Cotação 5]])=0,"",MAX(Tabela8[[#This Row],[Cotação 1]]:Tabela8[[#This Row],[Cotação 5]]))</f>
        <v>210.01</v>
      </c>
      <c r="W1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7" s="17">
        <f>IF(AND([Ref]=5,[Cotação]&gt;0,[Cotação]&lt;&gt;""),[Total Exercício]/[Cotação],IF([Ref]&lt;4,0,""))</f>
        <v>0</v>
      </c>
      <c r="Y147" s="17">
        <f>IF([Tipo]="div",1,0)</f>
        <v>0</v>
      </c>
      <c r="Z147" s="17">
        <f>IF([Tipo]="jcp",1,0)</f>
        <v>0</v>
      </c>
    </row>
    <row r="148" spans="1:26" hidden="1">
      <c r="A148" s="24" t="s">
        <v>12</v>
      </c>
      <c r="B148" s="57" t="s">
        <v>32</v>
      </c>
      <c r="C148" s="16">
        <v>3</v>
      </c>
      <c r="D148" s="14"/>
      <c r="E148" s="4"/>
      <c r="F148" s="4"/>
      <c r="G148" s="4"/>
      <c r="H148" s="4"/>
      <c r="I148" s="4"/>
      <c r="J148" s="133">
        <f>IF(Tabela8[[#This Row],[Tipo]]="jcp",Tabela8[[#This Row],[Provento p/Ação]]*85%,Tabela8[[#This Row],[Provento p/Ação]])</f>
        <v>0</v>
      </c>
      <c r="K148" s="143" t="str">
        <f>IF([Lucro p/Ação]&lt;&gt;0,SUMPRODUCT(N([Papel]=Tabela8[[#This Row],[Papel]]),N([Exercício]=Tabela8[[#This Row],[Exercício]]),[Líquido p/Ação]),"")</f>
        <v/>
      </c>
      <c r="L148" s="42" t="str">
        <f>IF(Tabela8[[#This Row],[Lucro p/Ação]]="","",IF(Tabela8[[#This Row],[Lucro p/Ação]]&gt;0,Tabela8[[#This Row],[Total Exercício]]/Tabela8[[#This Row],[Lucro p/Ação]],0))</f>
        <v/>
      </c>
      <c r="M1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8" s="14" t="str">
        <f>IF(Tabela8[[#This Row],[Média Lucro p/Ação]]&lt;&gt;"",Tabela8[[#This Row],[Média Pago]]/Tabela8[[#This Row],[Média Lucro p/Ação]],"")</f>
        <v/>
      </c>
      <c r="P1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8" s="5">
        <f>SUMPRODUCT(N(Tabela1[Código]=Tabela8[[#This Row],[Papel]]),Tabela1[Fechamento])</f>
        <v>16.96</v>
      </c>
      <c r="R148" s="5">
        <f>SUMPRODUCT(N(Tabela17[Código]=Tabela8[[#This Row],[Papel]]),Tabela17[Fechamento])</f>
        <v>0</v>
      </c>
      <c r="S148" s="7">
        <f>SUMPRODUCT(N(Tabela176[Código]=Tabela8[[#This Row],[Papel]]),Tabela176[Fechamento])</f>
        <v>0</v>
      </c>
      <c r="T148" s="7">
        <f>SUMPRODUCT(N(Tabela1768[Código]=Tabela8[[#This Row],[Papel]]),Tabela1768[Fechamento])</f>
        <v>0</v>
      </c>
      <c r="U148" s="7">
        <f>SUMPRODUCT(N(Tabela17683[Código]=Tabela8[[#This Row],[Papel]]),Tabela17683[Fechamento])</f>
        <v>0</v>
      </c>
      <c r="V148" s="17">
        <f>IF(MAX(Tabela8[[#This Row],[Cotação 1]]:Tabela8[[#This Row],[Cotação 5]])=0,"",MAX(Tabela8[[#This Row],[Cotação 1]]:Tabela8[[#This Row],[Cotação 5]]))</f>
        <v>16.96</v>
      </c>
      <c r="W1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8" s="17">
        <f>IF(AND([Ref]=5,[Cotação]&gt;0,[Cotação]&lt;&gt;""),[Total Exercício]/[Cotação],IF([Ref]&lt;4,0,""))</f>
        <v>0</v>
      </c>
      <c r="Y148" s="17">
        <f>IF([Tipo]="div",1,0)</f>
        <v>0</v>
      </c>
      <c r="Z148" s="17">
        <f>IF([Tipo]="jcp",1,0)</f>
        <v>0</v>
      </c>
    </row>
    <row r="149" spans="1:26" hidden="1">
      <c r="A149" s="24" t="s">
        <v>12</v>
      </c>
      <c r="B149" s="3" t="s">
        <v>34</v>
      </c>
      <c r="C149" s="15">
        <v>4</v>
      </c>
      <c r="D149" s="14">
        <v>2010</v>
      </c>
      <c r="E149" s="4" t="s">
        <v>1468</v>
      </c>
      <c r="F149" s="4"/>
      <c r="G149" s="4"/>
      <c r="H149" s="4"/>
      <c r="I149" s="4">
        <v>0.28327999999999998</v>
      </c>
      <c r="J149" s="133">
        <f>IF(Tabela8[[#This Row],[Tipo]]="jcp",Tabela8[[#This Row],[Provento p/Ação]]*85%,Tabela8[[#This Row],[Provento p/Ação]])</f>
        <v>0.28327999999999998</v>
      </c>
      <c r="K149" s="143" t="str">
        <f>IF([Lucro p/Ação]&lt;&gt;0,SUMPRODUCT(N([Papel]=Tabela8[[#This Row],[Papel]]),N([Exercício]=Tabela8[[#This Row],[Exercício]]),[Líquido p/Ação]),"")</f>
        <v/>
      </c>
      <c r="L149" s="42" t="str">
        <f>IF(Tabela8[[#This Row],[Lucro p/Ação]]="","",IF(Tabela8[[#This Row],[Lucro p/Ação]]&gt;0,Tabela8[[#This Row],[Total Exercício]]/Tabela8[[#This Row],[Lucro p/Ação]],0))</f>
        <v/>
      </c>
      <c r="M1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49" s="19" t="str">
        <f>IF(Tabela8[[#This Row],[Média Lucro p/Ação]]&lt;&gt;"",Tabela8[[#This Row],[Média Pago]]/Tabela8[[#This Row],[Média Lucro p/Ação]],"")</f>
        <v/>
      </c>
      <c r="P1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49" s="5">
        <f>SUMPRODUCT(N(Tabela1[Código]=Tabela8[[#This Row],[Papel]]),Tabela1[Fechamento])</f>
        <v>19.05</v>
      </c>
      <c r="R149" s="5">
        <f>SUMPRODUCT(N(Tabela17[Código]=Tabela8[[#This Row],[Papel]]),Tabela17[Fechamento])</f>
        <v>0</v>
      </c>
      <c r="S149" s="7">
        <f>SUMPRODUCT(N(Tabela176[Código]=Tabela8[[#This Row],[Papel]]),Tabela176[Fechamento])</f>
        <v>0</v>
      </c>
      <c r="T149" s="7">
        <f>SUMPRODUCT(N(Tabela1768[Código]=Tabela8[[#This Row],[Papel]]),Tabela1768[Fechamento])</f>
        <v>0</v>
      </c>
      <c r="U149" s="7">
        <f>SUMPRODUCT(N(Tabela17683[Código]=Tabela8[[#This Row],[Papel]]),Tabela17683[Fechamento])</f>
        <v>0</v>
      </c>
      <c r="V149" s="17">
        <f>IF(MAX(Tabela8[[#This Row],[Cotação 1]]:Tabela8[[#This Row],[Cotação 5]])=0,"",MAX(Tabela8[[#This Row],[Cotação 1]]:Tabela8[[#This Row],[Cotação 5]]))</f>
        <v>19.05</v>
      </c>
      <c r="W1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49" s="17" t="str">
        <f>IF(AND([Ref]=5,[Cotação]&gt;0,[Cotação]&lt;&gt;""),[Total Exercício]/[Cotação],IF([Ref]&lt;4,0,""))</f>
        <v/>
      </c>
      <c r="Y149" s="17">
        <f>IF([Tipo]="div",1,0)</f>
        <v>1</v>
      </c>
      <c r="Z149" s="17">
        <f>IF([Tipo]="jcp",1,0)</f>
        <v>0</v>
      </c>
    </row>
    <row r="150" spans="1:26" hidden="1">
      <c r="A150" s="4" t="s">
        <v>12</v>
      </c>
      <c r="B150" s="3" t="s">
        <v>99</v>
      </c>
      <c r="C150" s="15">
        <v>4</v>
      </c>
      <c r="D150" s="14">
        <v>2010</v>
      </c>
      <c r="E150" s="4" t="s">
        <v>1468</v>
      </c>
      <c r="F150" s="4"/>
      <c r="G150" s="4"/>
      <c r="H150" s="4"/>
      <c r="I150" s="4">
        <v>1.04782</v>
      </c>
      <c r="J150" s="133">
        <f>IF(Tabela8[[#This Row],[Tipo]]="jcp",Tabela8[[#This Row],[Provento p/Ação]]*85%,Tabela8[[#This Row],[Provento p/Ação]])</f>
        <v>1.04782</v>
      </c>
      <c r="K150" s="143" t="str">
        <f>IF([Lucro p/Ação]&lt;&gt;0,SUMPRODUCT(N([Papel]=Tabela8[[#This Row],[Papel]]),N([Exercício]=Tabela8[[#This Row],[Exercício]]),[Líquido p/Ação]),"")</f>
        <v/>
      </c>
      <c r="L150" s="42" t="str">
        <f>IF(Tabela8[[#This Row],[Lucro p/Ação]]="","",IF(Tabela8[[#This Row],[Lucro p/Ação]]&gt;0,Tabela8[[#This Row],[Total Exercício]]/Tabela8[[#This Row],[Lucro p/Ação]],0))</f>
        <v/>
      </c>
      <c r="M1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0" s="19" t="str">
        <f>IF(Tabela8[[#This Row],[Média Lucro p/Ação]]&lt;&gt;"",Tabela8[[#This Row],[Média Pago]]/Tabela8[[#This Row],[Média Lucro p/Ação]],"")</f>
        <v/>
      </c>
      <c r="P1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0" s="5">
        <f>SUMPRODUCT(N(Tabela1[Código]=Tabela8[[#This Row],[Papel]]),Tabela1[Fechamento])</f>
        <v>30</v>
      </c>
      <c r="R150" s="5">
        <f>SUMPRODUCT(N(Tabela17[Código]=Tabela8[[#This Row],[Papel]]),Tabela17[Fechamento])</f>
        <v>0</v>
      </c>
      <c r="S150" s="7">
        <f>SUMPRODUCT(N(Tabela176[Código]=Tabela8[[#This Row],[Papel]]),Tabela176[Fechamento])</f>
        <v>0</v>
      </c>
      <c r="T150" s="7">
        <f>SUMPRODUCT(N(Tabela1768[Código]=Tabela8[[#This Row],[Papel]]),Tabela1768[Fechamento])</f>
        <v>0</v>
      </c>
      <c r="U150" s="7">
        <f>SUMPRODUCT(N(Tabela17683[Código]=Tabela8[[#This Row],[Papel]]),Tabela17683[Fechamento])</f>
        <v>0</v>
      </c>
      <c r="V150" s="17">
        <f>IF(MAX(Tabela8[[#This Row],[Cotação 1]]:Tabela8[[#This Row],[Cotação 5]])=0,"",MAX(Tabela8[[#This Row],[Cotação 1]]:Tabela8[[#This Row],[Cotação 5]]))</f>
        <v>30</v>
      </c>
      <c r="W1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0" s="17" t="str">
        <f>IF(AND([Ref]=5,[Cotação]&gt;0,[Cotação]&lt;&gt;""),[Total Exercício]/[Cotação],IF([Ref]&lt;4,0,""))</f>
        <v/>
      </c>
      <c r="Y150" s="17">
        <f>IF([Tipo]="div",1,0)</f>
        <v>1</v>
      </c>
      <c r="Z150" s="17">
        <f>IF([Tipo]="jcp",1,0)</f>
        <v>0</v>
      </c>
    </row>
    <row r="151" spans="1:26" hidden="1">
      <c r="A151" s="4" t="s">
        <v>12</v>
      </c>
      <c r="B151" s="3" t="s">
        <v>100</v>
      </c>
      <c r="C151" s="15">
        <v>4</v>
      </c>
      <c r="D151" s="14">
        <v>2010</v>
      </c>
      <c r="E151" s="4" t="s">
        <v>1468</v>
      </c>
      <c r="F151" s="4"/>
      <c r="G151" s="4"/>
      <c r="H151" s="4"/>
      <c r="I151" s="4">
        <v>0.31167</v>
      </c>
      <c r="J151" s="133">
        <f>IF(Tabela8[[#This Row],[Tipo]]="jcp",Tabela8[[#This Row],[Provento p/Ação]]*85%,Tabela8[[#This Row],[Provento p/Ação]])</f>
        <v>0.31167</v>
      </c>
      <c r="K151" s="143" t="str">
        <f>IF([Lucro p/Ação]&lt;&gt;0,SUMPRODUCT(N([Papel]=Tabela8[[#This Row],[Papel]]),N([Exercício]=Tabela8[[#This Row],[Exercício]]),[Líquido p/Ação]),"")</f>
        <v/>
      </c>
      <c r="L151" s="42" t="str">
        <f>IF(Tabela8[[#This Row],[Lucro p/Ação]]="","",IF(Tabela8[[#This Row],[Lucro p/Ação]]&gt;0,Tabela8[[#This Row],[Total Exercício]]/Tabela8[[#This Row],[Lucro p/Ação]],0))</f>
        <v/>
      </c>
      <c r="M1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1" s="19" t="str">
        <f>IF(Tabela8[[#This Row],[Média Lucro p/Ação]]&lt;&gt;"",Tabela8[[#This Row],[Média Pago]]/Tabela8[[#This Row],[Média Lucro p/Ação]],"")</f>
        <v/>
      </c>
      <c r="P1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1" s="5">
        <f>SUMPRODUCT(N(Tabela1[Código]=Tabela8[[#This Row],[Papel]]),Tabela1[Fechamento])</f>
        <v>26.32</v>
      </c>
      <c r="R151" s="5">
        <f>SUMPRODUCT(N(Tabela17[Código]=Tabela8[[#This Row],[Papel]]),Tabela17[Fechamento])</f>
        <v>0</v>
      </c>
      <c r="S151" s="7">
        <f>SUMPRODUCT(N(Tabela176[Código]=Tabela8[[#This Row],[Papel]]),Tabela176[Fechamento])</f>
        <v>0</v>
      </c>
      <c r="T151" s="7">
        <f>SUMPRODUCT(N(Tabela1768[Código]=Tabela8[[#This Row],[Papel]]),Tabela1768[Fechamento])</f>
        <v>0</v>
      </c>
      <c r="U151" s="7">
        <f>SUMPRODUCT(N(Tabela17683[Código]=Tabela8[[#This Row],[Papel]]),Tabela17683[Fechamento])</f>
        <v>0</v>
      </c>
      <c r="V151" s="17">
        <f>IF(MAX(Tabela8[[#This Row],[Cotação 1]]:Tabela8[[#This Row],[Cotação 5]])=0,"",MAX(Tabela8[[#This Row],[Cotação 1]]:Tabela8[[#This Row],[Cotação 5]]))</f>
        <v>26.32</v>
      </c>
      <c r="W1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1" s="17" t="str">
        <f>IF(AND([Ref]=5,[Cotação]&gt;0,[Cotação]&lt;&gt;""),[Total Exercício]/[Cotação],IF([Ref]&lt;4,0,""))</f>
        <v/>
      </c>
      <c r="Y151" s="17">
        <f>IF([Tipo]="div",1,0)</f>
        <v>1</v>
      </c>
      <c r="Z151" s="17">
        <f>IF([Tipo]="jcp",1,0)</f>
        <v>0</v>
      </c>
    </row>
    <row r="152" spans="1:26" hidden="1">
      <c r="A152" s="3" t="s">
        <v>1019</v>
      </c>
      <c r="B152" s="57" t="s">
        <v>1028</v>
      </c>
      <c r="C152" s="16">
        <v>4</v>
      </c>
      <c r="D152" s="4"/>
      <c r="E152" s="4"/>
      <c r="F152" s="4"/>
      <c r="G152" s="4"/>
      <c r="H152" s="4"/>
      <c r="I152" s="4"/>
      <c r="J152" s="17">
        <f>IF(Tabela8[[#This Row],[Tipo]]="jcp",Tabela8[[#This Row],[Provento p/Ação]]*85%,Tabela8[[#This Row],[Provento p/Ação]])</f>
        <v>0</v>
      </c>
      <c r="K152" s="143" t="str">
        <f>IF([Lucro p/Ação]&lt;&gt;0,SUMPRODUCT(N([Papel]=Tabela8[[#This Row],[Papel]]),N([Exercício]=Tabela8[[#This Row],[Exercício]]),[Líquido p/Ação]),"")</f>
        <v/>
      </c>
      <c r="L152" s="42" t="str">
        <f>IF(Tabela8[[#This Row],[Lucro p/Ação]]="","",IF(Tabela8[[#This Row],[Lucro p/Ação]]&gt;0,Tabela8[[#This Row],[Total Exercício]]/Tabela8[[#This Row],[Lucro p/Ação]],0))</f>
        <v/>
      </c>
      <c r="M1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2" s="14" t="str">
        <f>IF(Tabela8[[#This Row],[Média Lucro p/Ação]]&lt;&gt;"",Tabela8[[#This Row],[Média Pago]]/Tabela8[[#This Row],[Média Lucro p/Ação]],"")</f>
        <v/>
      </c>
      <c r="P1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2" s="7">
        <f>SUMPRODUCT(N(Tabela1[Código]=Tabela8[[#This Row],[Papel]]),Tabela1[Fechamento])</f>
        <v>0</v>
      </c>
      <c r="R152" s="7">
        <f>SUMPRODUCT(N(Tabela17[Código]=Tabela8[[#This Row],[Papel]]),Tabela17[Fechamento])</f>
        <v>0</v>
      </c>
      <c r="S152" s="7">
        <f>SUMPRODUCT(N(Tabela176[Código]=Tabela8[[#This Row],[Papel]]),Tabela176[Fechamento])</f>
        <v>0</v>
      </c>
      <c r="T152" s="7">
        <f>SUMPRODUCT(N(Tabela1768[Código]=Tabela8[[#This Row],[Papel]]),Tabela1768[Fechamento])</f>
        <v>3.16</v>
      </c>
      <c r="U152" s="7">
        <f>SUMPRODUCT(N(Tabela17683[Código]=Tabela8[[#This Row],[Papel]]),Tabela17683[Fechamento])</f>
        <v>0</v>
      </c>
      <c r="V152" s="17">
        <f>IF(MAX(Tabela8[[#This Row],[Cotação 1]]:Tabela8[[#This Row],[Cotação 5]])=0,"",MAX(Tabela8[[#This Row],[Cotação 1]]:Tabela8[[#This Row],[Cotação 5]]))</f>
        <v>3.16</v>
      </c>
      <c r="W1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2" s="17" t="str">
        <f>IF(AND([Ref]=5,[Cotação]&gt;0,[Cotação]&lt;&gt;""),[Total Exercício]/[Cotação],IF([Ref]&lt;4,0,""))</f>
        <v/>
      </c>
      <c r="Y152" s="17">
        <f>IF([Tipo]="div",1,0)</f>
        <v>0</v>
      </c>
      <c r="Z152" s="17">
        <f>IF([Tipo]="jcp",1,0)</f>
        <v>0</v>
      </c>
    </row>
    <row r="153" spans="1:26" hidden="1">
      <c r="A153" s="4" t="s">
        <v>733</v>
      </c>
      <c r="B153" s="57" t="s">
        <v>731</v>
      </c>
      <c r="C153" s="15">
        <v>3</v>
      </c>
      <c r="D153" s="4"/>
      <c r="E153" s="4"/>
      <c r="F153" s="4"/>
      <c r="G153" s="4"/>
      <c r="H153" s="4"/>
      <c r="I153" s="4"/>
      <c r="J153" s="17">
        <f>IF(Tabela8[[#This Row],[Tipo]]="jcp",Tabela8[[#This Row],[Provento p/Ação]]*85%,Tabela8[[#This Row],[Provento p/Ação]])</f>
        <v>0</v>
      </c>
      <c r="K153" s="143" t="str">
        <f>IF([Lucro p/Ação]&lt;&gt;0,SUMPRODUCT(N([Papel]=Tabela8[[#This Row],[Papel]]),N([Exercício]=Tabela8[[#This Row],[Exercício]]),[Líquido p/Ação]),"")</f>
        <v/>
      </c>
      <c r="L153" s="42" t="str">
        <f>IF(Tabela8[[#This Row],[Lucro p/Ação]]="","",IF(Tabela8[[#This Row],[Lucro p/Ação]]&gt;0,Tabela8[[#This Row],[Total Exercício]]/Tabela8[[#This Row],[Lucro p/Ação]],0))</f>
        <v/>
      </c>
      <c r="M1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3" s="14" t="str">
        <f>IF(Tabela8[[#This Row],[Média Lucro p/Ação]]&lt;&gt;"",Tabela8[[#This Row],[Média Pago]]/Tabela8[[#This Row],[Média Lucro p/Ação]],"")</f>
        <v/>
      </c>
      <c r="P1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3" s="17">
        <f>SUMPRODUCT(N(Tabela1[Código]=Tabela8[[#This Row],[Papel]]),Tabela1[Fechamento])</f>
        <v>0</v>
      </c>
      <c r="R153" s="17">
        <f>SUMPRODUCT(N(Tabela17[Código]=Tabela8[[#This Row],[Papel]]),Tabela17[Fechamento])</f>
        <v>0</v>
      </c>
      <c r="S153" s="17">
        <f>SUMPRODUCT(N(Tabela176[Código]=Tabela8[[#This Row],[Papel]]),Tabela176[Fechamento])</f>
        <v>16.149999999999999</v>
      </c>
      <c r="T153" s="17">
        <f>SUMPRODUCT(N(Tabela1768[Código]=Tabela8[[#This Row],[Papel]]),Tabela1768[Fechamento])</f>
        <v>0</v>
      </c>
      <c r="U153" s="7">
        <f>SUMPRODUCT(N(Tabela17683[Código]=Tabela8[[#This Row],[Papel]]),Tabela17683[Fechamento])</f>
        <v>0</v>
      </c>
      <c r="V153" s="17">
        <f>IF(MAX(Tabela8[[#This Row],[Cotação 1]]:Tabela8[[#This Row],[Cotação 5]])=0,"",MAX(Tabela8[[#This Row],[Cotação 1]]:Tabela8[[#This Row],[Cotação 5]]))</f>
        <v>16.149999999999999</v>
      </c>
      <c r="W1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3" s="17">
        <f>IF(AND([Ref]=5,[Cotação]&gt;0,[Cotação]&lt;&gt;""),[Total Exercício]/[Cotação],IF([Ref]&lt;4,0,""))</f>
        <v>0</v>
      </c>
      <c r="Y153" s="17">
        <f>IF([Tipo]="div",1,0)</f>
        <v>0</v>
      </c>
      <c r="Z153" s="17">
        <f>IF([Tipo]="jcp",1,0)</f>
        <v>0</v>
      </c>
    </row>
    <row r="154" spans="1:26" hidden="1">
      <c r="A154" s="4" t="s">
        <v>354</v>
      </c>
      <c r="B154" s="57" t="s">
        <v>355</v>
      </c>
      <c r="C154" s="15">
        <v>3</v>
      </c>
      <c r="D154" s="4"/>
      <c r="E154" s="4"/>
      <c r="F154" s="4"/>
      <c r="G154" s="4"/>
      <c r="H154" s="4"/>
      <c r="I154" s="4"/>
      <c r="J154" s="17">
        <f>IF(Tabela8[[#This Row],[Tipo]]="jcp",Tabela8[[#This Row],[Provento p/Ação]]*85%,Tabela8[[#This Row],[Provento p/Ação]])</f>
        <v>0</v>
      </c>
      <c r="K154" s="143" t="str">
        <f>IF([Lucro p/Ação]&lt;&gt;0,SUMPRODUCT(N([Papel]=Tabela8[[#This Row],[Papel]]),N([Exercício]=Tabela8[[#This Row],[Exercício]]),[Líquido p/Ação]),"")</f>
        <v/>
      </c>
      <c r="L154" s="42" t="str">
        <f>IF(Tabela8[[#This Row],[Lucro p/Ação]]="","",IF(Tabela8[[#This Row],[Lucro p/Ação]]&gt;0,Tabela8[[#This Row],[Total Exercício]]/Tabela8[[#This Row],[Lucro p/Ação]],0))</f>
        <v/>
      </c>
      <c r="M1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4" s="14" t="str">
        <f>IF(Tabela8[[#This Row],[Média Lucro p/Ação]]&lt;&gt;"",Tabela8[[#This Row],[Média Pago]]/Tabela8[[#This Row],[Média Lucro p/Ação]],"")</f>
        <v/>
      </c>
      <c r="P1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4" s="13">
        <f>SUMPRODUCT(N(Tabela1[Código]=Tabela8[[#This Row],[Papel]]),Tabela1[Fechamento])</f>
        <v>0</v>
      </c>
      <c r="R154" s="55">
        <f>SUMPRODUCT(N(Tabela17[Código]=Tabela8[[#This Row],[Papel]]),Tabela17[Fechamento])</f>
        <v>4.04</v>
      </c>
      <c r="S154" s="7">
        <f>SUMPRODUCT(N(Tabela176[Código]=Tabela8[[#This Row],[Papel]]),Tabela176[Fechamento])</f>
        <v>0</v>
      </c>
      <c r="T154" s="7">
        <f>SUMPRODUCT(N(Tabela1768[Código]=Tabela8[[#This Row],[Papel]]),Tabela1768[Fechamento])</f>
        <v>0</v>
      </c>
      <c r="U154" s="7">
        <f>SUMPRODUCT(N(Tabela17683[Código]=Tabela8[[#This Row],[Papel]]),Tabela17683[Fechamento])</f>
        <v>0</v>
      </c>
      <c r="V154" s="17">
        <f>IF(MAX(Tabela8[[#This Row],[Cotação 1]]:Tabela8[[#This Row],[Cotação 5]])=0,"",MAX(Tabela8[[#This Row],[Cotação 1]]:Tabela8[[#This Row],[Cotação 5]]))</f>
        <v>4.04</v>
      </c>
      <c r="W1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4" s="17">
        <f>IF(AND([Ref]=5,[Cotação]&gt;0,[Cotação]&lt;&gt;""),[Total Exercício]/[Cotação],IF([Ref]&lt;4,0,""))</f>
        <v>0</v>
      </c>
      <c r="Y154" s="17">
        <f>IF([Tipo]="div",1,0)</f>
        <v>0</v>
      </c>
      <c r="Z154" s="17">
        <f>IF([Tipo]="jcp",1,0)</f>
        <v>0</v>
      </c>
    </row>
    <row r="155" spans="1:26" hidden="1">
      <c r="A155" s="4" t="s">
        <v>354</v>
      </c>
      <c r="B155" s="57" t="s">
        <v>356</v>
      </c>
      <c r="C155" s="15">
        <v>3</v>
      </c>
      <c r="D155" s="4"/>
      <c r="E155" s="4"/>
      <c r="F155" s="4"/>
      <c r="G155" s="4"/>
      <c r="H155" s="4"/>
      <c r="I155" s="4"/>
      <c r="J155" s="17">
        <f>IF(Tabela8[[#This Row],[Tipo]]="jcp",Tabela8[[#This Row],[Provento p/Ação]]*85%,Tabela8[[#This Row],[Provento p/Ação]])</f>
        <v>0</v>
      </c>
      <c r="K155" s="143" t="str">
        <f>IF([Lucro p/Ação]&lt;&gt;0,SUMPRODUCT(N([Papel]=Tabela8[[#This Row],[Papel]]),N([Exercício]=Tabela8[[#This Row],[Exercício]]),[Líquido p/Ação]),"")</f>
        <v/>
      </c>
      <c r="L155" s="42" t="str">
        <f>IF(Tabela8[[#This Row],[Lucro p/Ação]]="","",IF(Tabela8[[#This Row],[Lucro p/Ação]]&gt;0,Tabela8[[#This Row],[Total Exercício]]/Tabela8[[#This Row],[Lucro p/Ação]],0))</f>
        <v/>
      </c>
      <c r="M1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5" s="14" t="str">
        <f>IF(Tabela8[[#This Row],[Média Lucro p/Ação]]&lt;&gt;"",Tabela8[[#This Row],[Média Pago]]/Tabela8[[#This Row],[Média Lucro p/Ação]],"")</f>
        <v/>
      </c>
      <c r="P1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5" s="13">
        <f>SUMPRODUCT(N(Tabela1[Código]=Tabela8[[#This Row],[Papel]]),Tabela1[Fechamento])</f>
        <v>0</v>
      </c>
      <c r="R155" s="55">
        <f>SUMPRODUCT(N(Tabela17[Código]=Tabela8[[#This Row],[Papel]]),Tabela17[Fechamento])</f>
        <v>3.84</v>
      </c>
      <c r="S155" s="7">
        <f>SUMPRODUCT(N(Tabela176[Código]=Tabela8[[#This Row],[Papel]]),Tabela176[Fechamento])</f>
        <v>0</v>
      </c>
      <c r="T155" s="7">
        <f>SUMPRODUCT(N(Tabela1768[Código]=Tabela8[[#This Row],[Papel]]),Tabela1768[Fechamento])</f>
        <v>0</v>
      </c>
      <c r="U155" s="7">
        <f>SUMPRODUCT(N(Tabela17683[Código]=Tabela8[[#This Row],[Papel]]),Tabela17683[Fechamento])</f>
        <v>0</v>
      </c>
      <c r="V155" s="17">
        <f>IF(MAX(Tabela8[[#This Row],[Cotação 1]]:Tabela8[[#This Row],[Cotação 5]])=0,"",MAX(Tabela8[[#This Row],[Cotação 1]]:Tabela8[[#This Row],[Cotação 5]]))</f>
        <v>3.84</v>
      </c>
      <c r="W1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5" s="17">
        <f>IF(AND([Ref]=5,[Cotação]&gt;0,[Cotação]&lt;&gt;""),[Total Exercício]/[Cotação],IF([Ref]&lt;4,0,""))</f>
        <v>0</v>
      </c>
      <c r="Y155" s="17">
        <f>IF([Tipo]="div",1,0)</f>
        <v>0</v>
      </c>
      <c r="Z155" s="17">
        <f>IF([Tipo]="jcp",1,0)</f>
        <v>0</v>
      </c>
    </row>
    <row r="156" spans="1:26" hidden="1">
      <c r="A156" s="3" t="s">
        <v>767</v>
      </c>
      <c r="B156" s="58" t="s">
        <v>766</v>
      </c>
      <c r="C156" s="16">
        <v>4</v>
      </c>
      <c r="D156" s="4"/>
      <c r="E156" s="4"/>
      <c r="F156" s="4"/>
      <c r="G156" s="4"/>
      <c r="H156" s="4"/>
      <c r="I156" s="4"/>
      <c r="J156" s="17">
        <f>IF(Tabela8[[#This Row],[Tipo]]="jcp",Tabela8[[#This Row],[Provento p/Ação]]*85%,Tabela8[[#This Row],[Provento p/Ação]])</f>
        <v>0</v>
      </c>
      <c r="K156" s="143" t="str">
        <f>IF([Lucro p/Ação]&lt;&gt;0,SUMPRODUCT(N([Papel]=Tabela8[[#This Row],[Papel]]),N([Exercício]=Tabela8[[#This Row],[Exercício]]),[Líquido p/Ação]),"")</f>
        <v/>
      </c>
      <c r="L156" s="42" t="str">
        <f>IF(Tabela8[[#This Row],[Lucro p/Ação]]="","",IF(Tabela8[[#This Row],[Lucro p/Ação]]&gt;0,Tabela8[[#This Row],[Total Exercício]]/Tabela8[[#This Row],[Lucro p/Ação]],0))</f>
        <v/>
      </c>
      <c r="M1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6" s="14" t="str">
        <f>IF(Tabela8[[#This Row],[Média Lucro p/Ação]]&lt;&gt;"",Tabela8[[#This Row],[Média Pago]]/Tabela8[[#This Row],[Média Lucro p/Ação]],"")</f>
        <v/>
      </c>
      <c r="P1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6" s="7">
        <f>SUMPRODUCT(N(Tabela1[Código]=Tabela8[[#This Row],[Papel]]),Tabela1[Fechamento])</f>
        <v>0</v>
      </c>
      <c r="R156" s="7">
        <f>SUMPRODUCT(N(Tabela17[Código]=Tabela8[[#This Row],[Papel]]),Tabela17[Fechamento])</f>
        <v>0</v>
      </c>
      <c r="S156" s="7">
        <f>SUMPRODUCT(N(Tabela176[Código]=Tabela8[[#This Row],[Papel]]),Tabela176[Fechamento])</f>
        <v>21.34</v>
      </c>
      <c r="T156" s="7">
        <f>SUMPRODUCT(N(Tabela1768[Código]=Tabela8[[#This Row],[Papel]]),Tabela1768[Fechamento])</f>
        <v>0</v>
      </c>
      <c r="U156" s="7">
        <f>SUMPRODUCT(N(Tabela17683[Código]=Tabela8[[#This Row],[Papel]]),Tabela17683[Fechamento])</f>
        <v>0</v>
      </c>
      <c r="V156" s="17">
        <f>IF(MAX(Tabela8[[#This Row],[Cotação 1]]:Tabela8[[#This Row],[Cotação 5]])=0,"",MAX(Tabela8[[#This Row],[Cotação 1]]:Tabela8[[#This Row],[Cotação 5]]))</f>
        <v>21.34</v>
      </c>
      <c r="W1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6" s="17" t="str">
        <f>IF(AND([Ref]=5,[Cotação]&gt;0,[Cotação]&lt;&gt;""),[Total Exercício]/[Cotação],IF([Ref]&lt;4,0,""))</f>
        <v/>
      </c>
      <c r="Y156" s="17">
        <f>IF([Tipo]="div",1,0)</f>
        <v>0</v>
      </c>
      <c r="Z156" s="17">
        <f>IF([Tipo]="jcp",1,0)</f>
        <v>0</v>
      </c>
    </row>
    <row r="157" spans="1:26" hidden="1">
      <c r="A157" s="4" t="s">
        <v>26</v>
      </c>
      <c r="B157" s="57" t="s">
        <v>240</v>
      </c>
      <c r="C157" s="15">
        <v>4</v>
      </c>
      <c r="D157" s="4"/>
      <c r="E157" s="4"/>
      <c r="F157" s="4"/>
      <c r="G157" s="4"/>
      <c r="H157" s="4"/>
      <c r="I157" s="4"/>
      <c r="J157" s="17">
        <f>IF(Tabela8[[#This Row],[Tipo]]="jcp",Tabela8[[#This Row],[Provento p/Ação]]*85%,Tabela8[[#This Row],[Provento p/Ação]])</f>
        <v>0</v>
      </c>
      <c r="K157" s="143" t="str">
        <f>IF([Lucro p/Ação]&lt;&gt;0,SUMPRODUCT(N([Papel]=Tabela8[[#This Row],[Papel]]),N([Exercício]=Tabela8[[#This Row],[Exercício]]),[Líquido p/Ação]),"")</f>
        <v/>
      </c>
      <c r="L157" s="42" t="str">
        <f>IF(Tabela8[[#This Row],[Lucro p/Ação]]="","",IF(Tabela8[[#This Row],[Lucro p/Ação]]&gt;0,Tabela8[[#This Row],[Total Exercício]]/Tabela8[[#This Row],[Lucro p/Ação]],0))</f>
        <v/>
      </c>
      <c r="M1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7" s="14" t="str">
        <f>IF(Tabela8[[#This Row],[Média Lucro p/Ação]]&lt;&gt;"",Tabela8[[#This Row],[Média Pago]]/Tabela8[[#This Row],[Média Lucro p/Ação]],"")</f>
        <v/>
      </c>
      <c r="P1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7" s="13">
        <f>SUMPRODUCT(N(Tabela1[Código]=Tabela8[[#This Row],[Papel]]),Tabela1[Fechamento])</f>
        <v>0</v>
      </c>
      <c r="R157" s="13">
        <f>SUMPRODUCT(N(Tabela17[Código]=Tabela8[[#This Row],[Papel]]),Tabela17[Fechamento])</f>
        <v>30</v>
      </c>
      <c r="S157" s="7">
        <f>SUMPRODUCT(N(Tabela176[Código]=Tabela8[[#This Row],[Papel]]),Tabela176[Fechamento])</f>
        <v>0</v>
      </c>
      <c r="T157" s="7">
        <f>SUMPRODUCT(N(Tabela1768[Código]=Tabela8[[#This Row],[Papel]]),Tabela1768[Fechamento])</f>
        <v>0</v>
      </c>
      <c r="U157" s="7">
        <f>SUMPRODUCT(N(Tabela17683[Código]=Tabela8[[#This Row],[Papel]]),Tabela17683[Fechamento])</f>
        <v>0</v>
      </c>
      <c r="V157" s="17">
        <f>IF(MAX(Tabela8[[#This Row],[Cotação 1]]:Tabela8[[#This Row],[Cotação 5]])=0,"",MAX(Tabela8[[#This Row],[Cotação 1]]:Tabela8[[#This Row],[Cotação 5]]))</f>
        <v>30</v>
      </c>
      <c r="W1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7" s="17" t="str">
        <f>IF(AND([Ref]=5,[Cotação]&gt;0,[Cotação]&lt;&gt;""),[Total Exercício]/[Cotação],IF([Ref]&lt;4,0,""))</f>
        <v/>
      </c>
      <c r="Y157" s="17">
        <f>IF([Tipo]="div",1,0)</f>
        <v>0</v>
      </c>
      <c r="Z157" s="17">
        <f>IF([Tipo]="jcp",1,0)</f>
        <v>0</v>
      </c>
    </row>
    <row r="158" spans="1:26" hidden="1">
      <c r="A158" s="4" t="s">
        <v>26</v>
      </c>
      <c r="B158" s="57" t="s">
        <v>241</v>
      </c>
      <c r="C158" s="15">
        <v>4</v>
      </c>
      <c r="D158" s="4"/>
      <c r="E158" s="4"/>
      <c r="F158" s="4"/>
      <c r="G158" s="4"/>
      <c r="H158" s="4"/>
      <c r="I158" s="4"/>
      <c r="J158" s="17">
        <f>IF(Tabela8[[#This Row],[Tipo]]="jcp",Tabela8[[#This Row],[Provento p/Ação]]*85%,Tabela8[[#This Row],[Provento p/Ação]])</f>
        <v>0</v>
      </c>
      <c r="K158" s="143" t="str">
        <f>IF([Lucro p/Ação]&lt;&gt;0,SUMPRODUCT(N([Papel]=Tabela8[[#This Row],[Papel]]),N([Exercício]=Tabela8[[#This Row],[Exercício]]),[Líquido p/Ação]),"")</f>
        <v/>
      </c>
      <c r="L158" s="42" t="str">
        <f>IF(Tabela8[[#This Row],[Lucro p/Ação]]="","",IF(Tabela8[[#This Row],[Lucro p/Ação]]&gt;0,Tabela8[[#This Row],[Total Exercício]]/Tabela8[[#This Row],[Lucro p/Ação]],0))</f>
        <v/>
      </c>
      <c r="M1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8" s="14" t="str">
        <f>IF(Tabela8[[#This Row],[Média Lucro p/Ação]]&lt;&gt;"",Tabela8[[#This Row],[Média Pago]]/Tabela8[[#This Row],[Média Lucro p/Ação]],"")</f>
        <v/>
      </c>
      <c r="P1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8" s="13">
        <f>SUMPRODUCT(N(Tabela1[Código]=Tabela8[[#This Row],[Papel]]),Tabela1[Fechamento])</f>
        <v>0</v>
      </c>
      <c r="R158" s="13">
        <f>SUMPRODUCT(N(Tabela17[Código]=Tabela8[[#This Row],[Papel]]),Tabela17[Fechamento])</f>
        <v>30</v>
      </c>
      <c r="S158" s="7">
        <f>SUMPRODUCT(N(Tabela176[Código]=Tabela8[[#This Row],[Papel]]),Tabela176[Fechamento])</f>
        <v>0</v>
      </c>
      <c r="T158" s="7">
        <f>SUMPRODUCT(N(Tabela1768[Código]=Tabela8[[#This Row],[Papel]]),Tabela1768[Fechamento])</f>
        <v>0</v>
      </c>
      <c r="U158" s="7">
        <f>SUMPRODUCT(N(Tabela17683[Código]=Tabela8[[#This Row],[Papel]]),Tabela17683[Fechamento])</f>
        <v>0</v>
      </c>
      <c r="V158" s="17">
        <f>IF(MAX(Tabela8[[#This Row],[Cotação 1]]:Tabela8[[#This Row],[Cotação 5]])=0,"",MAX(Tabela8[[#This Row],[Cotação 1]]:Tabela8[[#This Row],[Cotação 5]]))</f>
        <v>30</v>
      </c>
      <c r="W1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8" s="17" t="str">
        <f>IF(AND([Ref]=5,[Cotação]&gt;0,[Cotação]&lt;&gt;""),[Total Exercício]/[Cotação],IF([Ref]&lt;4,0,""))</f>
        <v/>
      </c>
      <c r="Y158" s="17">
        <f>IF([Tipo]="div",1,0)</f>
        <v>0</v>
      </c>
      <c r="Z158" s="17">
        <f>IF([Tipo]="jcp",1,0)</f>
        <v>0</v>
      </c>
    </row>
    <row r="159" spans="1:26" hidden="1">
      <c r="A159" s="3" t="s">
        <v>259</v>
      </c>
      <c r="B159" s="58" t="s">
        <v>260</v>
      </c>
      <c r="C159" s="16">
        <v>4</v>
      </c>
      <c r="D159" s="4"/>
      <c r="E159" s="4"/>
      <c r="F159" s="4"/>
      <c r="G159" s="4"/>
      <c r="H159" s="4"/>
      <c r="I159" s="4"/>
      <c r="J159" s="17">
        <f>IF(Tabela8[[#This Row],[Tipo]]="jcp",Tabela8[[#This Row],[Provento p/Ação]]*85%,Tabela8[[#This Row],[Provento p/Ação]])</f>
        <v>0</v>
      </c>
      <c r="K159" s="143" t="str">
        <f>IF([Lucro p/Ação]&lt;&gt;0,SUMPRODUCT(N([Papel]=Tabela8[[#This Row],[Papel]]),N([Exercício]=Tabela8[[#This Row],[Exercício]]),[Líquido p/Ação]),"")</f>
        <v/>
      </c>
      <c r="L159" s="42" t="str">
        <f>IF(Tabela8[[#This Row],[Lucro p/Ação]]="","",IF(Tabela8[[#This Row],[Lucro p/Ação]]&gt;0,Tabela8[[#This Row],[Total Exercício]]/Tabela8[[#This Row],[Lucro p/Ação]],0))</f>
        <v/>
      </c>
      <c r="M1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59" s="14" t="str">
        <f>IF(Tabela8[[#This Row],[Média Lucro p/Ação]]&lt;&gt;"",Tabela8[[#This Row],[Média Pago]]/Tabela8[[#This Row],[Média Lucro p/Ação]],"")</f>
        <v/>
      </c>
      <c r="P1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59" s="47">
        <f>SUMPRODUCT(N(Tabela1[Código]=Tabela8[[#This Row],[Papel]]),Tabela1[Fechamento])</f>
        <v>0</v>
      </c>
      <c r="R159" s="54">
        <f>SUMPRODUCT(N(Tabela17[Código]=Tabela8[[#This Row],[Papel]]),Tabela17[Fechamento])</f>
        <v>33.700000000000003</v>
      </c>
      <c r="S159" s="7">
        <f>SUMPRODUCT(N(Tabela176[Código]=Tabela8[[#This Row],[Papel]]),Tabela176[Fechamento])</f>
        <v>0</v>
      </c>
      <c r="T159" s="7">
        <f>SUMPRODUCT(N(Tabela1768[Código]=Tabela8[[#This Row],[Papel]]),Tabela1768[Fechamento])</f>
        <v>0</v>
      </c>
      <c r="U159" s="7">
        <f>SUMPRODUCT(N(Tabela17683[Código]=Tabela8[[#This Row],[Papel]]),Tabela17683[Fechamento])</f>
        <v>0</v>
      </c>
      <c r="V159" s="17">
        <f>IF(MAX(Tabela8[[#This Row],[Cotação 1]]:Tabela8[[#This Row],[Cotação 5]])=0,"",MAX(Tabela8[[#This Row],[Cotação 1]]:Tabela8[[#This Row],[Cotação 5]]))</f>
        <v>33.700000000000003</v>
      </c>
      <c r="W1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59" s="17" t="str">
        <f>IF(AND([Ref]=5,[Cotação]&gt;0,[Cotação]&lt;&gt;""),[Total Exercício]/[Cotação],IF([Ref]&lt;4,0,""))</f>
        <v/>
      </c>
      <c r="Y159" s="17">
        <f>IF([Tipo]="div",1,0)</f>
        <v>0</v>
      </c>
      <c r="Z159" s="17">
        <f>IF([Tipo]="jcp",1,0)</f>
        <v>0</v>
      </c>
    </row>
    <row r="160" spans="1:26" hidden="1">
      <c r="A160" s="4" t="s">
        <v>37</v>
      </c>
      <c r="B160" s="57" t="s">
        <v>175</v>
      </c>
      <c r="C160" s="15">
        <v>4</v>
      </c>
      <c r="D160" s="4"/>
      <c r="E160" s="4"/>
      <c r="F160" s="4"/>
      <c r="G160" s="4"/>
      <c r="H160" s="4"/>
      <c r="I160" s="4"/>
      <c r="J160" s="17">
        <f>IF(Tabela8[[#This Row],[Tipo]]="jcp",Tabela8[[#This Row],[Provento p/Ação]]*85%,Tabela8[[#This Row],[Provento p/Ação]])</f>
        <v>0</v>
      </c>
      <c r="K160" s="143" t="str">
        <f>IF([Lucro p/Ação]&lt;&gt;0,SUMPRODUCT(N([Papel]=Tabela8[[#This Row],[Papel]]),N([Exercício]=Tabela8[[#This Row],[Exercício]]),[Líquido p/Ação]),"")</f>
        <v/>
      </c>
      <c r="L160" s="42" t="str">
        <f>IF(Tabela8[[#This Row],[Lucro p/Ação]]="","",IF(Tabela8[[#This Row],[Lucro p/Ação]]&gt;0,Tabela8[[#This Row],[Total Exercício]]/Tabela8[[#This Row],[Lucro p/Ação]],0))</f>
        <v/>
      </c>
      <c r="M1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0" s="14" t="str">
        <f>IF(Tabela8[[#This Row],[Média Lucro p/Ação]]&lt;&gt;"",Tabela8[[#This Row],[Média Pago]]/Tabela8[[#This Row],[Média Lucro p/Ação]],"")</f>
        <v/>
      </c>
      <c r="P1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0" s="5">
        <f>SUMPRODUCT(N(Tabela1[Código]=Tabela8[[#This Row],[Papel]]),Tabela1[Fechamento])</f>
        <v>34.78</v>
      </c>
      <c r="R160" s="5">
        <f>SUMPRODUCT(N(Tabela17[Código]=Tabela8[[#This Row],[Papel]]),Tabela17[Fechamento])</f>
        <v>0</v>
      </c>
      <c r="S160" s="7">
        <f>SUMPRODUCT(N(Tabela176[Código]=Tabela8[[#This Row],[Papel]]),Tabela176[Fechamento])</f>
        <v>0</v>
      </c>
      <c r="T160" s="7">
        <f>SUMPRODUCT(N(Tabela1768[Código]=Tabela8[[#This Row],[Papel]]),Tabela1768[Fechamento])</f>
        <v>0</v>
      </c>
      <c r="U160" s="7">
        <f>SUMPRODUCT(N(Tabela17683[Código]=Tabela8[[#This Row],[Papel]]),Tabela17683[Fechamento])</f>
        <v>0</v>
      </c>
      <c r="V160" s="17">
        <f>IF(MAX(Tabela8[[#This Row],[Cotação 1]]:Tabela8[[#This Row],[Cotação 5]])=0,"",MAX(Tabela8[[#This Row],[Cotação 1]]:Tabela8[[#This Row],[Cotação 5]]))</f>
        <v>34.78</v>
      </c>
      <c r="W1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0" s="17" t="str">
        <f>IF(AND([Ref]=5,[Cotação]&gt;0,[Cotação]&lt;&gt;""),[Total Exercício]/[Cotação],IF([Ref]&lt;4,0,""))</f>
        <v/>
      </c>
      <c r="Y160" s="17">
        <f>IF([Tipo]="div",1,0)</f>
        <v>0</v>
      </c>
      <c r="Z160" s="17">
        <f>IF([Tipo]="jcp",1,0)</f>
        <v>0</v>
      </c>
    </row>
    <row r="161" spans="1:26" hidden="1">
      <c r="A161" s="4" t="s">
        <v>231</v>
      </c>
      <c r="B161" s="57" t="s">
        <v>584</v>
      </c>
      <c r="C161" s="15">
        <v>4</v>
      </c>
      <c r="D161" s="4"/>
      <c r="E161" s="4"/>
      <c r="F161" s="4"/>
      <c r="G161" s="4"/>
      <c r="H161" s="4"/>
      <c r="I161" s="4"/>
      <c r="J161" s="17">
        <f>IF(Tabela8[[#This Row],[Tipo]]="jcp",Tabela8[[#This Row],[Provento p/Ação]]*85%,Tabela8[[#This Row],[Provento p/Ação]])</f>
        <v>0</v>
      </c>
      <c r="K161" s="143" t="str">
        <f>IF([Lucro p/Ação]&lt;&gt;0,SUMPRODUCT(N([Papel]=Tabela8[[#This Row],[Papel]]),N([Exercício]=Tabela8[[#This Row],[Exercício]]),[Líquido p/Ação]),"")</f>
        <v/>
      </c>
      <c r="L161" s="42" t="str">
        <f>IF(Tabela8[[#This Row],[Lucro p/Ação]]="","",IF(Tabela8[[#This Row],[Lucro p/Ação]]&gt;0,Tabela8[[#This Row],[Total Exercício]]/Tabela8[[#This Row],[Lucro p/Ação]],0))</f>
        <v/>
      </c>
      <c r="M1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1" s="14" t="str">
        <f>IF(Tabela8[[#This Row],[Média Lucro p/Ação]]&lt;&gt;"",Tabela8[[#This Row],[Média Pago]]/Tabela8[[#This Row],[Média Lucro p/Ação]],"")</f>
        <v/>
      </c>
      <c r="P1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1" s="17">
        <f>SUMPRODUCT(N(Tabela1[Código]=Tabela8[[#This Row],[Papel]]),Tabela1[Fechamento])</f>
        <v>0</v>
      </c>
      <c r="R161" s="17">
        <f>SUMPRODUCT(N(Tabela17[Código]=Tabela8[[#This Row],[Papel]]),Tabela17[Fechamento])</f>
        <v>0</v>
      </c>
      <c r="S161" s="17">
        <f>SUMPRODUCT(N(Tabela176[Código]=Tabela8[[#This Row],[Papel]]),Tabela176[Fechamento])</f>
        <v>9.73</v>
      </c>
      <c r="T161" s="17">
        <f>SUMPRODUCT(N(Tabela1768[Código]=Tabela8[[#This Row],[Papel]]),Tabela1768[Fechamento])</f>
        <v>0</v>
      </c>
      <c r="U161" s="7">
        <f>SUMPRODUCT(N(Tabela17683[Código]=Tabela8[[#This Row],[Papel]]),Tabela17683[Fechamento])</f>
        <v>0</v>
      </c>
      <c r="V161" s="17">
        <f>IF(MAX(Tabela8[[#This Row],[Cotação 1]]:Tabela8[[#This Row],[Cotação 5]])=0,"",MAX(Tabela8[[#This Row],[Cotação 1]]:Tabela8[[#This Row],[Cotação 5]]))</f>
        <v>9.73</v>
      </c>
      <c r="W1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1" s="17" t="str">
        <f>IF(AND([Ref]=5,[Cotação]&gt;0,[Cotação]&lt;&gt;""),[Total Exercício]/[Cotação],IF([Ref]&lt;4,0,""))</f>
        <v/>
      </c>
      <c r="Y161" s="17">
        <f>IF([Tipo]="div",1,0)</f>
        <v>0</v>
      </c>
      <c r="Z161" s="17">
        <f>IF([Tipo]="jcp",1,0)</f>
        <v>0</v>
      </c>
    </row>
    <row r="162" spans="1:26" hidden="1">
      <c r="A162" s="4" t="s">
        <v>12</v>
      </c>
      <c r="B162" s="57" t="s">
        <v>95</v>
      </c>
      <c r="C162" s="15">
        <v>3</v>
      </c>
      <c r="D162" s="14"/>
      <c r="E162" s="4"/>
      <c r="F162" s="4"/>
      <c r="G162" s="4"/>
      <c r="H162" s="4"/>
      <c r="I162" s="4"/>
      <c r="J162" s="133">
        <f>IF(Tabela8[[#This Row],[Tipo]]="jcp",Tabela8[[#This Row],[Provento p/Ação]]*85%,Tabela8[[#This Row],[Provento p/Ação]])</f>
        <v>0</v>
      </c>
      <c r="K162" s="143" t="str">
        <f>IF([Lucro p/Ação]&lt;&gt;0,SUMPRODUCT(N([Papel]=Tabela8[[#This Row],[Papel]]),N([Exercício]=Tabela8[[#This Row],[Exercício]]),[Líquido p/Ação]),"")</f>
        <v/>
      </c>
      <c r="L162" s="42" t="str">
        <f>IF(Tabela8[[#This Row],[Lucro p/Ação]]="","",IF(Tabela8[[#This Row],[Lucro p/Ação]]&gt;0,Tabela8[[#This Row],[Total Exercício]]/Tabela8[[#This Row],[Lucro p/Ação]],0))</f>
        <v/>
      </c>
      <c r="M1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2" s="14" t="str">
        <f>IF(Tabela8[[#This Row],[Média Lucro p/Ação]]&lt;&gt;"",Tabela8[[#This Row],[Média Pago]]/Tabela8[[#This Row],[Média Lucro p/Ação]],"")</f>
        <v/>
      </c>
      <c r="P1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2" s="5">
        <f>SUMPRODUCT(N(Tabela1[Código]=Tabela8[[#This Row],[Papel]]),Tabela1[Fechamento])</f>
        <v>9.01</v>
      </c>
      <c r="R162" s="5">
        <f>SUMPRODUCT(N(Tabela17[Código]=Tabela8[[#This Row],[Papel]]),Tabela17[Fechamento])</f>
        <v>0</v>
      </c>
      <c r="S162" s="7">
        <f>SUMPRODUCT(N(Tabela176[Código]=Tabela8[[#This Row],[Papel]]),Tabela176[Fechamento])</f>
        <v>0</v>
      </c>
      <c r="T162" s="7">
        <f>SUMPRODUCT(N(Tabela1768[Código]=Tabela8[[#This Row],[Papel]]),Tabela1768[Fechamento])</f>
        <v>0</v>
      </c>
      <c r="U162" s="7">
        <f>SUMPRODUCT(N(Tabela17683[Código]=Tabela8[[#This Row],[Papel]]),Tabela17683[Fechamento])</f>
        <v>0</v>
      </c>
      <c r="V162" s="17">
        <f>IF(MAX(Tabela8[[#This Row],[Cotação 1]]:Tabela8[[#This Row],[Cotação 5]])=0,"",MAX(Tabela8[[#This Row],[Cotação 1]]:Tabela8[[#This Row],[Cotação 5]]))</f>
        <v>9.01</v>
      </c>
      <c r="W1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2" s="17">
        <f>IF(AND([Ref]=5,[Cotação]&gt;0,[Cotação]&lt;&gt;""),[Total Exercício]/[Cotação],IF([Ref]&lt;4,0,""))</f>
        <v>0</v>
      </c>
      <c r="Y162" s="17">
        <f>IF([Tipo]="div",1,0)</f>
        <v>0</v>
      </c>
      <c r="Z162" s="17">
        <f>IF([Tipo]="jcp",1,0)</f>
        <v>0</v>
      </c>
    </row>
    <row r="163" spans="1:26" hidden="1">
      <c r="A163" s="4" t="s">
        <v>12</v>
      </c>
      <c r="B163" s="57" t="s">
        <v>96</v>
      </c>
      <c r="C163" s="15">
        <v>3</v>
      </c>
      <c r="D163" s="14"/>
      <c r="E163" s="4"/>
      <c r="F163" s="4"/>
      <c r="G163" s="4"/>
      <c r="H163" s="4"/>
      <c r="I163" s="4"/>
      <c r="J163" s="133">
        <f>IF(Tabela8[[#This Row],[Tipo]]="jcp",Tabela8[[#This Row],[Provento p/Ação]]*85%,Tabela8[[#This Row],[Provento p/Ação]])</f>
        <v>0</v>
      </c>
      <c r="K163" s="143" t="str">
        <f>IF([Lucro p/Ação]&lt;&gt;0,SUMPRODUCT(N([Papel]=Tabela8[[#This Row],[Papel]]),N([Exercício]=Tabela8[[#This Row],[Exercício]]),[Líquido p/Ação]),"")</f>
        <v/>
      </c>
      <c r="L163" s="42" t="str">
        <f>IF(Tabela8[[#This Row],[Lucro p/Ação]]="","",IF(Tabela8[[#This Row],[Lucro p/Ação]]&gt;0,Tabela8[[#This Row],[Total Exercício]]/Tabela8[[#This Row],[Lucro p/Ação]],0))</f>
        <v/>
      </c>
      <c r="M1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3" s="14" t="str">
        <f>IF(Tabela8[[#This Row],[Média Lucro p/Ação]]&lt;&gt;"",Tabela8[[#This Row],[Média Pago]]/Tabela8[[#This Row],[Média Lucro p/Ação]],"")</f>
        <v/>
      </c>
      <c r="P1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3" s="5">
        <f>SUMPRODUCT(N(Tabela1[Código]=Tabela8[[#This Row],[Papel]]),Tabela1[Fechamento])</f>
        <v>10.119999999999999</v>
      </c>
      <c r="R163" s="5">
        <f>SUMPRODUCT(N(Tabela17[Código]=Tabela8[[#This Row],[Papel]]),Tabela17[Fechamento])</f>
        <v>0</v>
      </c>
      <c r="S163" s="7">
        <f>SUMPRODUCT(N(Tabela176[Código]=Tabela8[[#This Row],[Papel]]),Tabela176[Fechamento])</f>
        <v>0</v>
      </c>
      <c r="T163" s="7">
        <f>SUMPRODUCT(N(Tabela1768[Código]=Tabela8[[#This Row],[Papel]]),Tabela1768[Fechamento])</f>
        <v>0</v>
      </c>
      <c r="U163" s="7">
        <f>SUMPRODUCT(N(Tabela17683[Código]=Tabela8[[#This Row],[Papel]]),Tabela17683[Fechamento])</f>
        <v>0</v>
      </c>
      <c r="V163" s="17">
        <f>IF(MAX(Tabela8[[#This Row],[Cotação 1]]:Tabela8[[#This Row],[Cotação 5]])=0,"",MAX(Tabela8[[#This Row],[Cotação 1]]:Tabela8[[#This Row],[Cotação 5]]))</f>
        <v>10.119999999999999</v>
      </c>
      <c r="W1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3" s="17">
        <f>IF(AND([Ref]=5,[Cotação]&gt;0,[Cotação]&lt;&gt;""),[Total Exercício]/[Cotação],IF([Ref]&lt;4,0,""))</f>
        <v>0</v>
      </c>
      <c r="Y163" s="17">
        <f>IF([Tipo]="div",1,0)</f>
        <v>0</v>
      </c>
      <c r="Z163" s="17">
        <f>IF([Tipo]="jcp",1,0)</f>
        <v>0</v>
      </c>
    </row>
    <row r="164" spans="1:26" hidden="1">
      <c r="A164" s="4" t="s">
        <v>12</v>
      </c>
      <c r="B164" s="57" t="s">
        <v>68</v>
      </c>
      <c r="C164" s="15">
        <v>3</v>
      </c>
      <c r="D164" s="14"/>
      <c r="E164" s="4"/>
      <c r="F164" s="4"/>
      <c r="G164" s="4"/>
      <c r="H164" s="4"/>
      <c r="I164" s="4"/>
      <c r="J164" s="133">
        <f>IF(Tabela8[[#This Row],[Tipo]]="jcp",Tabela8[[#This Row],[Provento p/Ação]]*85%,Tabela8[[#This Row],[Provento p/Ação]])</f>
        <v>0</v>
      </c>
      <c r="K164" s="143" t="str">
        <f>IF([Lucro p/Ação]&lt;&gt;0,SUMPRODUCT(N([Papel]=Tabela8[[#This Row],[Papel]]),N([Exercício]=Tabela8[[#This Row],[Exercício]]),[Líquido p/Ação]),"")</f>
        <v/>
      </c>
      <c r="L164" s="42" t="str">
        <f>IF(Tabela8[[#This Row],[Lucro p/Ação]]="","",IF(Tabela8[[#This Row],[Lucro p/Ação]]&gt;0,Tabela8[[#This Row],[Total Exercício]]/Tabela8[[#This Row],[Lucro p/Ação]],0))</f>
        <v/>
      </c>
      <c r="M1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4" s="14" t="str">
        <f>IF(Tabela8[[#This Row],[Média Lucro p/Ação]]&lt;&gt;"",Tabela8[[#This Row],[Média Pago]]/Tabela8[[#This Row],[Média Lucro p/Ação]],"")</f>
        <v/>
      </c>
      <c r="P1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4" s="5">
        <f>SUMPRODUCT(N(Tabela1[Código]=Tabela8[[#This Row],[Papel]]),Tabela1[Fechamento])</f>
        <v>9.1300000000000008</v>
      </c>
      <c r="R164" s="5">
        <f>SUMPRODUCT(N(Tabela17[Código]=Tabela8[[#This Row],[Papel]]),Tabela17[Fechamento])</f>
        <v>0</v>
      </c>
      <c r="S164" s="7">
        <f>SUMPRODUCT(N(Tabela176[Código]=Tabela8[[#This Row],[Papel]]),Tabela176[Fechamento])</f>
        <v>0</v>
      </c>
      <c r="T164" s="7">
        <f>SUMPRODUCT(N(Tabela1768[Código]=Tabela8[[#This Row],[Papel]]),Tabela1768[Fechamento])</f>
        <v>0</v>
      </c>
      <c r="U164" s="7">
        <f>SUMPRODUCT(N(Tabela17683[Código]=Tabela8[[#This Row],[Papel]]),Tabela17683[Fechamento])</f>
        <v>0</v>
      </c>
      <c r="V164" s="17">
        <f>IF(MAX(Tabela8[[#This Row],[Cotação 1]]:Tabela8[[#This Row],[Cotação 5]])=0,"",MAX(Tabela8[[#This Row],[Cotação 1]]:Tabela8[[#This Row],[Cotação 5]]))</f>
        <v>9.1300000000000008</v>
      </c>
      <c r="W1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4" s="17">
        <f>IF(AND([Ref]=5,[Cotação]&gt;0,[Cotação]&lt;&gt;""),[Total Exercício]/[Cotação],IF([Ref]&lt;4,0,""))</f>
        <v>0</v>
      </c>
      <c r="Y164" s="17">
        <f>IF([Tipo]="div",1,0)</f>
        <v>0</v>
      </c>
      <c r="Z164" s="17">
        <f>IF([Tipo]="jcp",1,0)</f>
        <v>0</v>
      </c>
    </row>
    <row r="165" spans="1:26" hidden="1">
      <c r="A165" s="3" t="s">
        <v>1131</v>
      </c>
      <c r="B165" s="57" t="s">
        <v>1115</v>
      </c>
      <c r="C165" s="16">
        <v>4</v>
      </c>
      <c r="D165" s="4"/>
      <c r="E165" s="4"/>
      <c r="F165" s="4"/>
      <c r="G165" s="4"/>
      <c r="H165" s="4"/>
      <c r="I165" s="4"/>
      <c r="J165" s="17">
        <f>IF(Tabela8[[#This Row],[Tipo]]="jcp",Tabela8[[#This Row],[Provento p/Ação]]*85%,Tabela8[[#This Row],[Provento p/Ação]])</f>
        <v>0</v>
      </c>
      <c r="K165" s="143" t="str">
        <f>IF([Lucro p/Ação]&lt;&gt;0,SUMPRODUCT(N([Papel]=Tabela8[[#This Row],[Papel]]),N([Exercício]=Tabela8[[#This Row],[Exercício]]),[Líquido p/Ação]),"")</f>
        <v/>
      </c>
      <c r="L165" s="42" t="str">
        <f>IF(Tabela8[[#This Row],[Lucro p/Ação]]="","",IF(Tabela8[[#This Row],[Lucro p/Ação]]&gt;0,Tabela8[[#This Row],[Total Exercício]]/Tabela8[[#This Row],[Lucro p/Ação]],0))</f>
        <v/>
      </c>
      <c r="M1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5" s="14" t="str">
        <f>IF(Tabela8[[#This Row],[Média Lucro p/Ação]]&lt;&gt;"",Tabela8[[#This Row],[Média Pago]]/Tabela8[[#This Row],[Média Lucro p/Ação]],"")</f>
        <v/>
      </c>
      <c r="P1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5" s="7">
        <f>SUMPRODUCT(N(Tabela1[Código]=Tabela8[[#This Row],[Papel]]),Tabela1[Fechamento])</f>
        <v>0</v>
      </c>
      <c r="R165" s="7">
        <f>SUMPRODUCT(N(Tabela17[Código]=Tabela8[[#This Row],[Papel]]),Tabela17[Fechamento])</f>
        <v>0</v>
      </c>
      <c r="S165" s="7">
        <f>SUMPRODUCT(N(Tabela176[Código]=Tabela8[[#This Row],[Papel]]),Tabela176[Fechamento])</f>
        <v>0</v>
      </c>
      <c r="T165" s="7">
        <f>SUMPRODUCT(N(Tabela1768[Código]=Tabela8[[#This Row],[Papel]]),Tabela1768[Fechamento])</f>
        <v>0</v>
      </c>
      <c r="U165" s="7">
        <f>SUMPRODUCT(N(Tabela17683[Código]=Tabela8[[#This Row],[Papel]]),Tabela17683[Fechamento])</f>
        <v>18.61</v>
      </c>
      <c r="V165" s="17">
        <f>IF(MAX(Tabela8[[#This Row],[Cotação 1]]:Tabela8[[#This Row],[Cotação 5]])=0,"",MAX(Tabela8[[#This Row],[Cotação 1]]:Tabela8[[#This Row],[Cotação 5]]))</f>
        <v>18.61</v>
      </c>
      <c r="W1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5" s="17" t="str">
        <f>IF(AND([Ref]=5,[Cotação]&gt;0,[Cotação]&lt;&gt;""),[Total Exercício]/[Cotação],IF([Ref]&lt;4,0,""))</f>
        <v/>
      </c>
      <c r="Y165" s="17">
        <f>IF([Tipo]="div",1,0)</f>
        <v>0</v>
      </c>
      <c r="Z165" s="17">
        <f>IF([Tipo]="jcp",1,0)</f>
        <v>0</v>
      </c>
    </row>
    <row r="166" spans="1:26" hidden="1">
      <c r="A166" s="3" t="s">
        <v>1131</v>
      </c>
      <c r="B166" s="57" t="s">
        <v>1116</v>
      </c>
      <c r="C166" s="16">
        <v>4</v>
      </c>
      <c r="D166" s="4"/>
      <c r="E166" s="4"/>
      <c r="F166" s="4"/>
      <c r="G166" s="4"/>
      <c r="H166" s="4"/>
      <c r="I166" s="4"/>
      <c r="J166" s="17">
        <f>IF(Tabela8[[#This Row],[Tipo]]="jcp",Tabela8[[#This Row],[Provento p/Ação]]*85%,Tabela8[[#This Row],[Provento p/Ação]])</f>
        <v>0</v>
      </c>
      <c r="K166" s="143" t="str">
        <f>IF([Lucro p/Ação]&lt;&gt;0,SUMPRODUCT(N([Papel]=Tabela8[[#This Row],[Papel]]),N([Exercício]=Tabela8[[#This Row],[Exercício]]),[Líquido p/Ação]),"")</f>
        <v/>
      </c>
      <c r="L166" s="42" t="str">
        <f>IF(Tabela8[[#This Row],[Lucro p/Ação]]="","",IF(Tabela8[[#This Row],[Lucro p/Ação]]&gt;0,Tabela8[[#This Row],[Total Exercício]]/Tabela8[[#This Row],[Lucro p/Ação]],0))</f>
        <v/>
      </c>
      <c r="M1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6" s="14" t="str">
        <f>IF(Tabela8[[#This Row],[Média Lucro p/Ação]]&lt;&gt;"",Tabela8[[#This Row],[Média Pago]]/Tabela8[[#This Row],[Média Lucro p/Ação]],"")</f>
        <v/>
      </c>
      <c r="P1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6" s="7">
        <f>SUMPRODUCT(N(Tabela1[Código]=Tabela8[[#This Row],[Papel]]),Tabela1[Fechamento])</f>
        <v>0</v>
      </c>
      <c r="R166" s="7">
        <f>SUMPRODUCT(N(Tabela17[Código]=Tabela8[[#This Row],[Papel]]),Tabela17[Fechamento])</f>
        <v>0</v>
      </c>
      <c r="S166" s="7">
        <f>SUMPRODUCT(N(Tabela176[Código]=Tabela8[[#This Row],[Papel]]),Tabela176[Fechamento])</f>
        <v>0</v>
      </c>
      <c r="T166" s="7">
        <f>SUMPRODUCT(N(Tabela1768[Código]=Tabela8[[#This Row],[Papel]]),Tabela1768[Fechamento])</f>
        <v>0</v>
      </c>
      <c r="U166" s="7">
        <f>SUMPRODUCT(N(Tabela17683[Código]=Tabela8[[#This Row],[Papel]]),Tabela17683[Fechamento])</f>
        <v>5.7</v>
      </c>
      <c r="V166" s="17">
        <f>IF(MAX(Tabela8[[#This Row],[Cotação 1]]:Tabela8[[#This Row],[Cotação 5]])=0,"",MAX(Tabela8[[#This Row],[Cotação 1]]:Tabela8[[#This Row],[Cotação 5]]))</f>
        <v>5.7</v>
      </c>
      <c r="W1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6" s="17" t="str">
        <f>IF(AND([Ref]=5,[Cotação]&gt;0,[Cotação]&lt;&gt;""),[Total Exercício]/[Cotação],IF([Ref]&lt;4,0,""))</f>
        <v/>
      </c>
      <c r="Y166" s="17">
        <f>IF([Tipo]="div",1,0)</f>
        <v>0</v>
      </c>
      <c r="Z166" s="17">
        <f>IF([Tipo]="jcp",1,0)</f>
        <v>0</v>
      </c>
    </row>
    <row r="167" spans="1:26" hidden="1">
      <c r="A167" s="3" t="s">
        <v>1131</v>
      </c>
      <c r="B167" s="57" t="s">
        <v>1117</v>
      </c>
      <c r="C167" s="16">
        <v>4</v>
      </c>
      <c r="D167" s="4"/>
      <c r="E167" s="4"/>
      <c r="F167" s="4"/>
      <c r="G167" s="4"/>
      <c r="H167" s="4"/>
      <c r="I167" s="4"/>
      <c r="J167" s="17">
        <f>IF(Tabela8[[#This Row],[Tipo]]="jcp",Tabela8[[#This Row],[Provento p/Ação]]*85%,Tabela8[[#This Row],[Provento p/Ação]])</f>
        <v>0</v>
      </c>
      <c r="K167" s="143" t="str">
        <f>IF([Lucro p/Ação]&lt;&gt;0,SUMPRODUCT(N([Papel]=Tabela8[[#This Row],[Papel]]),N([Exercício]=Tabela8[[#This Row],[Exercício]]),[Líquido p/Ação]),"")</f>
        <v/>
      </c>
      <c r="L167" s="42" t="str">
        <f>IF(Tabela8[[#This Row],[Lucro p/Ação]]="","",IF(Tabela8[[#This Row],[Lucro p/Ação]]&gt;0,Tabela8[[#This Row],[Total Exercício]]/Tabela8[[#This Row],[Lucro p/Ação]],0))</f>
        <v/>
      </c>
      <c r="M1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7" s="14" t="str">
        <f>IF(Tabela8[[#This Row],[Média Lucro p/Ação]]&lt;&gt;"",Tabela8[[#This Row],[Média Pago]]/Tabela8[[#This Row],[Média Lucro p/Ação]],"")</f>
        <v/>
      </c>
      <c r="P1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7" s="7">
        <f>SUMPRODUCT(N(Tabela1[Código]=Tabela8[[#This Row],[Papel]]),Tabela1[Fechamento])</f>
        <v>0</v>
      </c>
      <c r="R167" s="7">
        <f>SUMPRODUCT(N(Tabela17[Código]=Tabela8[[#This Row],[Papel]]),Tabela17[Fechamento])</f>
        <v>0</v>
      </c>
      <c r="S167" s="7">
        <f>SUMPRODUCT(N(Tabela176[Código]=Tabela8[[#This Row],[Papel]]),Tabela176[Fechamento])</f>
        <v>0</v>
      </c>
      <c r="T167" s="7">
        <f>SUMPRODUCT(N(Tabela1768[Código]=Tabela8[[#This Row],[Papel]]),Tabela1768[Fechamento])</f>
        <v>0</v>
      </c>
      <c r="U167" s="7">
        <f>SUMPRODUCT(N(Tabela17683[Código]=Tabela8[[#This Row],[Papel]]),Tabela17683[Fechamento])</f>
        <v>3.34</v>
      </c>
      <c r="V167" s="17">
        <f>IF(MAX(Tabela8[[#This Row],[Cotação 1]]:Tabela8[[#This Row],[Cotação 5]])=0,"",MAX(Tabela8[[#This Row],[Cotação 1]]:Tabela8[[#This Row],[Cotação 5]]))</f>
        <v>3.34</v>
      </c>
      <c r="W1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7" s="17" t="str">
        <f>IF(AND([Ref]=5,[Cotação]&gt;0,[Cotação]&lt;&gt;""),[Total Exercício]/[Cotação],IF([Ref]&lt;4,0,""))</f>
        <v/>
      </c>
      <c r="Y167" s="17">
        <f>IF([Tipo]="div",1,0)</f>
        <v>0</v>
      </c>
      <c r="Z167" s="17">
        <f>IF([Tipo]="jcp",1,0)</f>
        <v>0</v>
      </c>
    </row>
    <row r="168" spans="1:26" hidden="1">
      <c r="A168" s="4" t="s">
        <v>365</v>
      </c>
      <c r="B168" s="57" t="s">
        <v>367</v>
      </c>
      <c r="C168" s="15">
        <v>3</v>
      </c>
      <c r="D168" s="4"/>
      <c r="E168" s="4"/>
      <c r="F168" s="4"/>
      <c r="G168" s="4"/>
      <c r="H168" s="4"/>
      <c r="I168" s="4"/>
      <c r="J168" s="17">
        <f>IF(Tabela8[[#This Row],[Tipo]]="jcp",Tabela8[[#This Row],[Provento p/Ação]]*85%,Tabela8[[#This Row],[Provento p/Ação]])</f>
        <v>0</v>
      </c>
      <c r="K168" s="143" t="str">
        <f>IF([Lucro p/Ação]&lt;&gt;0,SUMPRODUCT(N([Papel]=Tabela8[[#This Row],[Papel]]),N([Exercício]=Tabela8[[#This Row],[Exercício]]),[Líquido p/Ação]),"")</f>
        <v/>
      </c>
      <c r="L168" s="42" t="str">
        <f>IF(Tabela8[[#This Row],[Lucro p/Ação]]="","",IF(Tabela8[[#This Row],[Lucro p/Ação]]&gt;0,Tabela8[[#This Row],[Total Exercício]]/Tabela8[[#This Row],[Lucro p/Ação]],0))</f>
        <v/>
      </c>
      <c r="M1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8" s="14" t="str">
        <f>IF(Tabela8[[#This Row],[Média Lucro p/Ação]]&lt;&gt;"",Tabela8[[#This Row],[Média Pago]]/Tabela8[[#This Row],[Média Lucro p/Ação]],"")</f>
        <v/>
      </c>
      <c r="P1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8" s="13">
        <f>SUMPRODUCT(N(Tabela1[Código]=Tabela8[[#This Row],[Papel]]),Tabela1[Fechamento])</f>
        <v>0</v>
      </c>
      <c r="R168" s="55">
        <f>SUMPRODUCT(N(Tabela17[Código]=Tabela8[[#This Row],[Papel]]),Tabela17[Fechamento])</f>
        <v>25.23</v>
      </c>
      <c r="S168" s="7">
        <f>SUMPRODUCT(N(Tabela176[Código]=Tabela8[[#This Row],[Papel]]),Tabela176[Fechamento])</f>
        <v>0</v>
      </c>
      <c r="T168" s="7">
        <f>SUMPRODUCT(N(Tabela1768[Código]=Tabela8[[#This Row],[Papel]]),Tabela1768[Fechamento])</f>
        <v>0</v>
      </c>
      <c r="U168" s="7">
        <f>SUMPRODUCT(N(Tabela17683[Código]=Tabela8[[#This Row],[Papel]]),Tabela17683[Fechamento])</f>
        <v>0</v>
      </c>
      <c r="V168" s="17">
        <f>IF(MAX(Tabela8[[#This Row],[Cotação 1]]:Tabela8[[#This Row],[Cotação 5]])=0,"",MAX(Tabela8[[#This Row],[Cotação 1]]:Tabela8[[#This Row],[Cotação 5]]))</f>
        <v>25.23</v>
      </c>
      <c r="W1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8" s="17">
        <f>IF(AND([Ref]=5,[Cotação]&gt;0,[Cotação]&lt;&gt;""),[Total Exercício]/[Cotação],IF([Ref]&lt;4,0,""))</f>
        <v>0</v>
      </c>
      <c r="Y168" s="17">
        <f>IF([Tipo]="div",1,0)</f>
        <v>0</v>
      </c>
      <c r="Z168" s="17">
        <f>IF([Tipo]="jcp",1,0)</f>
        <v>0</v>
      </c>
    </row>
    <row r="169" spans="1:26" hidden="1">
      <c r="A169" s="3" t="s">
        <v>876</v>
      </c>
      <c r="B169" s="58" t="s">
        <v>930</v>
      </c>
      <c r="C169" s="16">
        <v>3</v>
      </c>
      <c r="D169" s="4"/>
      <c r="E169" s="4"/>
      <c r="F169" s="4"/>
      <c r="G169" s="4"/>
      <c r="H169" s="4"/>
      <c r="I169" s="4"/>
      <c r="J169" s="17">
        <f>IF(Tabela8[[#This Row],[Tipo]]="jcp",Tabela8[[#This Row],[Provento p/Ação]]*85%,Tabela8[[#This Row],[Provento p/Ação]])</f>
        <v>0</v>
      </c>
      <c r="K169" s="143" t="str">
        <f>IF([Lucro p/Ação]&lt;&gt;0,SUMPRODUCT(N([Papel]=Tabela8[[#This Row],[Papel]]),N([Exercício]=Tabela8[[#This Row],[Exercício]]),[Líquido p/Ação]),"")</f>
        <v/>
      </c>
      <c r="L169" s="42" t="str">
        <f>IF(Tabela8[[#This Row],[Lucro p/Ação]]="","",IF(Tabela8[[#This Row],[Lucro p/Ação]]&gt;0,Tabela8[[#This Row],[Total Exercício]]/Tabela8[[#This Row],[Lucro p/Ação]],0))</f>
        <v/>
      </c>
      <c r="M1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69" s="14" t="str">
        <f>IF(Tabela8[[#This Row],[Média Lucro p/Ação]]&lt;&gt;"",Tabela8[[#This Row],[Média Pago]]/Tabela8[[#This Row],[Média Lucro p/Ação]],"")</f>
        <v/>
      </c>
      <c r="P1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69" s="7">
        <f>SUMPRODUCT(N(Tabela1[Código]=Tabela8[[#This Row],[Papel]]),Tabela1[Fechamento])</f>
        <v>0</v>
      </c>
      <c r="R169" s="7">
        <f>SUMPRODUCT(N(Tabela17[Código]=Tabela8[[#This Row],[Papel]]),Tabela17[Fechamento])</f>
        <v>0</v>
      </c>
      <c r="S169" s="7">
        <f>SUMPRODUCT(N(Tabela176[Código]=Tabela8[[#This Row],[Papel]]),Tabela176[Fechamento])</f>
        <v>0</v>
      </c>
      <c r="T169" s="7">
        <f>SUMPRODUCT(N(Tabela1768[Código]=Tabela8[[#This Row],[Papel]]),Tabela1768[Fechamento])</f>
        <v>1.64</v>
      </c>
      <c r="U169" s="7">
        <f>SUMPRODUCT(N(Tabela17683[Código]=Tabela8[[#This Row],[Papel]]),Tabela17683[Fechamento])</f>
        <v>0</v>
      </c>
      <c r="V169" s="17">
        <f>IF(MAX(Tabela8[[#This Row],[Cotação 1]]:Tabela8[[#This Row],[Cotação 5]])=0,"",MAX(Tabela8[[#This Row],[Cotação 1]]:Tabela8[[#This Row],[Cotação 5]]))</f>
        <v>1.64</v>
      </c>
      <c r="W1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69" s="17">
        <f>IF(AND([Ref]=5,[Cotação]&gt;0,[Cotação]&lt;&gt;""),[Total Exercício]/[Cotação],IF([Ref]&lt;4,0,""))</f>
        <v>0</v>
      </c>
      <c r="Y169" s="17">
        <f>IF([Tipo]="div",1,0)</f>
        <v>0</v>
      </c>
      <c r="Z169" s="17">
        <f>IF([Tipo]="jcp",1,0)</f>
        <v>0</v>
      </c>
    </row>
    <row r="170" spans="1:26" hidden="1">
      <c r="A170" s="3" t="s">
        <v>876</v>
      </c>
      <c r="B170" s="58" t="s">
        <v>931</v>
      </c>
      <c r="C170" s="16">
        <v>3</v>
      </c>
      <c r="D170" s="4"/>
      <c r="E170" s="4"/>
      <c r="F170" s="4"/>
      <c r="G170" s="4"/>
      <c r="H170" s="4"/>
      <c r="I170" s="4"/>
      <c r="J170" s="17">
        <f>IF(Tabela8[[#This Row],[Tipo]]="jcp",Tabela8[[#This Row],[Provento p/Ação]]*85%,Tabela8[[#This Row],[Provento p/Ação]])</f>
        <v>0</v>
      </c>
      <c r="K170" s="143" t="str">
        <f>IF([Lucro p/Ação]&lt;&gt;0,SUMPRODUCT(N([Papel]=Tabela8[[#This Row],[Papel]]),N([Exercício]=Tabela8[[#This Row],[Exercício]]),[Líquido p/Ação]),"")</f>
        <v/>
      </c>
      <c r="L170" s="42" t="str">
        <f>IF(Tabela8[[#This Row],[Lucro p/Ação]]="","",IF(Tabela8[[#This Row],[Lucro p/Ação]]&gt;0,Tabela8[[#This Row],[Total Exercício]]/Tabela8[[#This Row],[Lucro p/Ação]],0))</f>
        <v/>
      </c>
      <c r="M1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0" s="14" t="str">
        <f>IF(Tabela8[[#This Row],[Média Lucro p/Ação]]&lt;&gt;"",Tabela8[[#This Row],[Média Pago]]/Tabela8[[#This Row],[Média Lucro p/Ação]],"")</f>
        <v/>
      </c>
      <c r="P1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0" s="7">
        <f>SUMPRODUCT(N(Tabela1[Código]=Tabela8[[#This Row],[Papel]]),Tabela1[Fechamento])</f>
        <v>0</v>
      </c>
      <c r="R170" s="7">
        <f>SUMPRODUCT(N(Tabela17[Código]=Tabela8[[#This Row],[Papel]]),Tabela17[Fechamento])</f>
        <v>0</v>
      </c>
      <c r="S170" s="7">
        <f>SUMPRODUCT(N(Tabela176[Código]=Tabela8[[#This Row],[Papel]]),Tabela176[Fechamento])</f>
        <v>0</v>
      </c>
      <c r="T170" s="7">
        <f>SUMPRODUCT(N(Tabela1768[Código]=Tabela8[[#This Row],[Papel]]),Tabela1768[Fechamento])</f>
        <v>0.63</v>
      </c>
      <c r="U170" s="7">
        <f>SUMPRODUCT(N(Tabela17683[Código]=Tabela8[[#This Row],[Papel]]),Tabela17683[Fechamento])</f>
        <v>0</v>
      </c>
      <c r="V170" s="17">
        <f>IF(MAX(Tabela8[[#This Row],[Cotação 1]]:Tabela8[[#This Row],[Cotação 5]])=0,"",MAX(Tabela8[[#This Row],[Cotação 1]]:Tabela8[[#This Row],[Cotação 5]]))</f>
        <v>0.63</v>
      </c>
      <c r="W1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0" s="17">
        <f>IF(AND([Ref]=5,[Cotação]&gt;0,[Cotação]&lt;&gt;""),[Total Exercício]/[Cotação],IF([Ref]&lt;4,0,""))</f>
        <v>0</v>
      </c>
      <c r="Y170" s="17">
        <f>IF([Tipo]="div",1,0)</f>
        <v>0</v>
      </c>
      <c r="Z170" s="17">
        <f>IF([Tipo]="jcp",1,0)</f>
        <v>0</v>
      </c>
    </row>
    <row r="171" spans="1:26" hidden="1">
      <c r="A171" s="3" t="s">
        <v>876</v>
      </c>
      <c r="B171" s="58" t="s">
        <v>911</v>
      </c>
      <c r="C171" s="16">
        <v>3</v>
      </c>
      <c r="D171" s="4"/>
      <c r="E171" s="4"/>
      <c r="F171" s="4"/>
      <c r="G171" s="4"/>
      <c r="H171" s="4"/>
      <c r="I171" s="4"/>
      <c r="J171" s="17">
        <f>IF(Tabela8[[#This Row],[Tipo]]="jcp",Tabela8[[#This Row],[Provento p/Ação]]*85%,Tabela8[[#This Row],[Provento p/Ação]])</f>
        <v>0</v>
      </c>
      <c r="K171" s="143" t="str">
        <f>IF([Lucro p/Ação]&lt;&gt;0,SUMPRODUCT(N([Papel]=Tabela8[[#This Row],[Papel]]),N([Exercício]=Tabela8[[#This Row],[Exercício]]),[Líquido p/Ação]),"")</f>
        <v/>
      </c>
      <c r="L171" s="42" t="str">
        <f>IF(Tabela8[[#This Row],[Lucro p/Ação]]="","",IF(Tabela8[[#This Row],[Lucro p/Ação]]&gt;0,Tabela8[[#This Row],[Total Exercício]]/Tabela8[[#This Row],[Lucro p/Ação]],0))</f>
        <v/>
      </c>
      <c r="M1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1" s="14" t="str">
        <f>IF(Tabela8[[#This Row],[Média Lucro p/Ação]]&lt;&gt;"",Tabela8[[#This Row],[Média Pago]]/Tabela8[[#This Row],[Média Lucro p/Ação]],"")</f>
        <v/>
      </c>
      <c r="P1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1" s="7">
        <f>SUMPRODUCT(N(Tabela1[Código]=Tabela8[[#This Row],[Papel]]),Tabela1[Fechamento])</f>
        <v>0</v>
      </c>
      <c r="R171" s="7">
        <f>SUMPRODUCT(N(Tabela17[Código]=Tabela8[[#This Row],[Papel]]),Tabela17[Fechamento])</f>
        <v>0</v>
      </c>
      <c r="S171" s="7">
        <f>SUMPRODUCT(N(Tabela176[Código]=Tabela8[[#This Row],[Papel]]),Tabela176[Fechamento])</f>
        <v>0</v>
      </c>
      <c r="T171" s="7">
        <f>SUMPRODUCT(N(Tabela1768[Código]=Tabela8[[#This Row],[Papel]]),Tabela1768[Fechamento])</f>
        <v>2.02</v>
      </c>
      <c r="U171" s="7">
        <f>SUMPRODUCT(N(Tabela17683[Código]=Tabela8[[#This Row],[Papel]]),Tabela17683[Fechamento])</f>
        <v>0</v>
      </c>
      <c r="V171" s="17">
        <f>IF(MAX(Tabela8[[#This Row],[Cotação 1]]:Tabela8[[#This Row],[Cotação 5]])=0,"",MAX(Tabela8[[#This Row],[Cotação 1]]:Tabela8[[#This Row],[Cotação 5]]))</f>
        <v>2.02</v>
      </c>
      <c r="W1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1" s="17">
        <f>IF(AND([Ref]=5,[Cotação]&gt;0,[Cotação]&lt;&gt;""),[Total Exercício]/[Cotação],IF([Ref]&lt;4,0,""))</f>
        <v>0</v>
      </c>
      <c r="Y171" s="17">
        <f>IF([Tipo]="div",1,0)</f>
        <v>0</v>
      </c>
      <c r="Z171" s="17">
        <f>IF([Tipo]="jcp",1,0)</f>
        <v>0</v>
      </c>
    </row>
    <row r="172" spans="1:26" hidden="1">
      <c r="A172" s="3" t="s">
        <v>876</v>
      </c>
      <c r="B172" s="58" t="s">
        <v>912</v>
      </c>
      <c r="C172" s="16">
        <v>3</v>
      </c>
      <c r="D172" s="4"/>
      <c r="E172" s="4"/>
      <c r="F172" s="4"/>
      <c r="G172" s="4"/>
      <c r="H172" s="4"/>
      <c r="I172" s="4"/>
      <c r="J172" s="17">
        <f>IF(Tabela8[[#This Row],[Tipo]]="jcp",Tabela8[[#This Row],[Provento p/Ação]]*85%,Tabela8[[#This Row],[Provento p/Ação]])</f>
        <v>0</v>
      </c>
      <c r="K172" s="143" t="str">
        <f>IF([Lucro p/Ação]&lt;&gt;0,SUMPRODUCT(N([Papel]=Tabela8[[#This Row],[Papel]]),N([Exercício]=Tabela8[[#This Row],[Exercício]]),[Líquido p/Ação]),"")</f>
        <v/>
      </c>
      <c r="L172" s="42" t="str">
        <f>IF(Tabela8[[#This Row],[Lucro p/Ação]]="","",IF(Tabela8[[#This Row],[Lucro p/Ação]]&gt;0,Tabela8[[#This Row],[Total Exercício]]/Tabela8[[#This Row],[Lucro p/Ação]],0))</f>
        <v/>
      </c>
      <c r="M1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2" s="14" t="str">
        <f>IF(Tabela8[[#This Row],[Média Lucro p/Ação]]&lt;&gt;"",Tabela8[[#This Row],[Média Pago]]/Tabela8[[#This Row],[Média Lucro p/Ação]],"")</f>
        <v/>
      </c>
      <c r="P1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2" s="7">
        <f>SUMPRODUCT(N(Tabela1[Código]=Tabela8[[#This Row],[Papel]]),Tabela1[Fechamento])</f>
        <v>0</v>
      </c>
      <c r="R172" s="7">
        <f>SUMPRODUCT(N(Tabela17[Código]=Tabela8[[#This Row],[Papel]]),Tabela17[Fechamento])</f>
        <v>0</v>
      </c>
      <c r="S172" s="7">
        <f>SUMPRODUCT(N(Tabela176[Código]=Tabela8[[#This Row],[Papel]]),Tabela176[Fechamento])</f>
        <v>0</v>
      </c>
      <c r="T172" s="7">
        <f>SUMPRODUCT(N(Tabela1768[Código]=Tabela8[[#This Row],[Papel]]),Tabela1768[Fechamento])</f>
        <v>2.2599999999999998</v>
      </c>
      <c r="U172" s="7">
        <f>SUMPRODUCT(N(Tabela17683[Código]=Tabela8[[#This Row],[Papel]]),Tabela17683[Fechamento])</f>
        <v>0</v>
      </c>
      <c r="V172" s="17">
        <f>IF(MAX(Tabela8[[#This Row],[Cotação 1]]:Tabela8[[#This Row],[Cotação 5]])=0,"",MAX(Tabela8[[#This Row],[Cotação 1]]:Tabela8[[#This Row],[Cotação 5]]))</f>
        <v>2.2599999999999998</v>
      </c>
      <c r="W1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2" s="17">
        <f>IF(AND([Ref]=5,[Cotação]&gt;0,[Cotação]&lt;&gt;""),[Total Exercício]/[Cotação],IF([Ref]&lt;4,0,""))</f>
        <v>0</v>
      </c>
      <c r="Y172" s="17">
        <f>IF([Tipo]="div",1,0)</f>
        <v>0</v>
      </c>
      <c r="Z172" s="17">
        <f>IF([Tipo]="jcp",1,0)</f>
        <v>0</v>
      </c>
    </row>
    <row r="173" spans="1:26" hidden="1">
      <c r="A173" s="3" t="s">
        <v>876</v>
      </c>
      <c r="B173" s="58" t="s">
        <v>915</v>
      </c>
      <c r="C173" s="16">
        <v>3</v>
      </c>
      <c r="D173" s="4"/>
      <c r="E173" s="4"/>
      <c r="F173" s="4"/>
      <c r="G173" s="4"/>
      <c r="H173" s="4"/>
      <c r="I173" s="4"/>
      <c r="J173" s="17">
        <f>IF(Tabela8[[#This Row],[Tipo]]="jcp",Tabela8[[#This Row],[Provento p/Ação]]*85%,Tabela8[[#This Row],[Provento p/Ação]])</f>
        <v>0</v>
      </c>
      <c r="K173" s="143" t="str">
        <f>IF([Lucro p/Ação]&lt;&gt;0,SUMPRODUCT(N([Papel]=Tabela8[[#This Row],[Papel]]),N([Exercício]=Tabela8[[#This Row],[Exercício]]),[Líquido p/Ação]),"")</f>
        <v/>
      </c>
      <c r="L173" s="42" t="str">
        <f>IF(Tabela8[[#This Row],[Lucro p/Ação]]="","",IF(Tabela8[[#This Row],[Lucro p/Ação]]&gt;0,Tabela8[[#This Row],[Total Exercício]]/Tabela8[[#This Row],[Lucro p/Ação]],0))</f>
        <v/>
      </c>
      <c r="M1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3" s="14" t="str">
        <f>IF(Tabela8[[#This Row],[Média Lucro p/Ação]]&lt;&gt;"",Tabela8[[#This Row],[Média Pago]]/Tabela8[[#This Row],[Média Lucro p/Ação]],"")</f>
        <v/>
      </c>
      <c r="P1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3" s="7">
        <f>SUMPRODUCT(N(Tabela1[Código]=Tabela8[[#This Row],[Papel]]),Tabela1[Fechamento])</f>
        <v>0</v>
      </c>
      <c r="R173" s="7">
        <f>SUMPRODUCT(N(Tabela17[Código]=Tabela8[[#This Row],[Papel]]),Tabela17[Fechamento])</f>
        <v>0</v>
      </c>
      <c r="S173" s="7">
        <f>SUMPRODUCT(N(Tabela176[Código]=Tabela8[[#This Row],[Papel]]),Tabela176[Fechamento])</f>
        <v>0</v>
      </c>
      <c r="T173" s="7">
        <f>SUMPRODUCT(N(Tabela1768[Código]=Tabela8[[#This Row],[Papel]]),Tabela1768[Fechamento])</f>
        <v>4.96</v>
      </c>
      <c r="U173" s="7">
        <f>SUMPRODUCT(N(Tabela17683[Código]=Tabela8[[#This Row],[Papel]]),Tabela17683[Fechamento])</f>
        <v>0</v>
      </c>
      <c r="V173" s="17">
        <f>IF(MAX(Tabela8[[#This Row],[Cotação 1]]:Tabela8[[#This Row],[Cotação 5]])=0,"",MAX(Tabela8[[#This Row],[Cotação 1]]:Tabela8[[#This Row],[Cotação 5]]))</f>
        <v>4.96</v>
      </c>
      <c r="W1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3" s="17">
        <f>IF(AND([Ref]=5,[Cotação]&gt;0,[Cotação]&lt;&gt;""),[Total Exercício]/[Cotação],IF([Ref]&lt;4,0,""))</f>
        <v>0</v>
      </c>
      <c r="Y173" s="17">
        <f>IF([Tipo]="div",1,0)</f>
        <v>0</v>
      </c>
      <c r="Z173" s="17">
        <f>IF([Tipo]="jcp",1,0)</f>
        <v>0</v>
      </c>
    </row>
    <row r="174" spans="1:26" hidden="1">
      <c r="A174" s="3" t="s">
        <v>876</v>
      </c>
      <c r="B174" s="58" t="s">
        <v>916</v>
      </c>
      <c r="C174" s="16">
        <v>3</v>
      </c>
      <c r="D174" s="4"/>
      <c r="E174" s="4"/>
      <c r="F174" s="4"/>
      <c r="G174" s="4"/>
      <c r="H174" s="4"/>
      <c r="I174" s="4"/>
      <c r="J174" s="17">
        <f>IF(Tabela8[[#This Row],[Tipo]]="jcp",Tabela8[[#This Row],[Provento p/Ação]]*85%,Tabela8[[#This Row],[Provento p/Ação]])</f>
        <v>0</v>
      </c>
      <c r="K174" s="143" t="str">
        <f>IF([Lucro p/Ação]&lt;&gt;0,SUMPRODUCT(N([Papel]=Tabela8[[#This Row],[Papel]]),N([Exercício]=Tabela8[[#This Row],[Exercício]]),[Líquido p/Ação]),"")</f>
        <v/>
      </c>
      <c r="L174" s="42" t="str">
        <f>IF(Tabela8[[#This Row],[Lucro p/Ação]]="","",IF(Tabela8[[#This Row],[Lucro p/Ação]]&gt;0,Tabela8[[#This Row],[Total Exercício]]/Tabela8[[#This Row],[Lucro p/Ação]],0))</f>
        <v/>
      </c>
      <c r="M1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4" s="14" t="str">
        <f>IF(Tabela8[[#This Row],[Média Lucro p/Ação]]&lt;&gt;"",Tabela8[[#This Row],[Média Pago]]/Tabela8[[#This Row],[Média Lucro p/Ação]],"")</f>
        <v/>
      </c>
      <c r="P1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4" s="7">
        <f>SUMPRODUCT(N(Tabela1[Código]=Tabela8[[#This Row],[Papel]]),Tabela1[Fechamento])</f>
        <v>0</v>
      </c>
      <c r="R174" s="7">
        <f>SUMPRODUCT(N(Tabela17[Código]=Tabela8[[#This Row],[Papel]]),Tabela17[Fechamento])</f>
        <v>0</v>
      </c>
      <c r="S174" s="7">
        <f>SUMPRODUCT(N(Tabela176[Código]=Tabela8[[#This Row],[Papel]]),Tabela176[Fechamento])</f>
        <v>0</v>
      </c>
      <c r="T174" s="7">
        <f>SUMPRODUCT(N(Tabela1768[Código]=Tabela8[[#This Row],[Papel]]),Tabela1768[Fechamento])</f>
        <v>5.87</v>
      </c>
      <c r="U174" s="7">
        <f>SUMPRODUCT(N(Tabela17683[Código]=Tabela8[[#This Row],[Papel]]),Tabela17683[Fechamento])</f>
        <v>0</v>
      </c>
      <c r="V174" s="17">
        <f>IF(MAX(Tabela8[[#This Row],[Cotação 1]]:Tabela8[[#This Row],[Cotação 5]])=0,"",MAX(Tabela8[[#This Row],[Cotação 1]]:Tabela8[[#This Row],[Cotação 5]]))</f>
        <v>5.87</v>
      </c>
      <c r="W1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4" s="17">
        <f>IF(AND([Ref]=5,[Cotação]&gt;0,[Cotação]&lt;&gt;""),[Total Exercício]/[Cotação],IF([Ref]&lt;4,0,""))</f>
        <v>0</v>
      </c>
      <c r="Y174" s="17">
        <f>IF([Tipo]="div",1,0)</f>
        <v>0</v>
      </c>
      <c r="Z174" s="17">
        <f>IF([Tipo]="jcp",1,0)</f>
        <v>0</v>
      </c>
    </row>
    <row r="175" spans="1:26" hidden="1">
      <c r="A175" s="3" t="s">
        <v>876</v>
      </c>
      <c r="B175" s="58" t="s">
        <v>919</v>
      </c>
      <c r="C175" s="16">
        <v>3</v>
      </c>
      <c r="D175" s="4"/>
      <c r="E175" s="4"/>
      <c r="F175" s="4"/>
      <c r="G175" s="4"/>
      <c r="H175" s="4"/>
      <c r="I175" s="4"/>
      <c r="J175" s="17">
        <f>IF(Tabela8[[#This Row],[Tipo]]="jcp",Tabela8[[#This Row],[Provento p/Ação]]*85%,Tabela8[[#This Row],[Provento p/Ação]])</f>
        <v>0</v>
      </c>
      <c r="K175" s="143" t="str">
        <f>IF([Lucro p/Ação]&lt;&gt;0,SUMPRODUCT(N([Papel]=Tabela8[[#This Row],[Papel]]),N([Exercício]=Tabela8[[#This Row],[Exercício]]),[Líquido p/Ação]),"")</f>
        <v/>
      </c>
      <c r="L175" s="42" t="str">
        <f>IF(Tabela8[[#This Row],[Lucro p/Ação]]="","",IF(Tabela8[[#This Row],[Lucro p/Ação]]&gt;0,Tabela8[[#This Row],[Total Exercício]]/Tabela8[[#This Row],[Lucro p/Ação]],0))</f>
        <v/>
      </c>
      <c r="M1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5" s="14" t="str">
        <f>IF(Tabela8[[#This Row],[Média Lucro p/Ação]]&lt;&gt;"",Tabela8[[#This Row],[Média Pago]]/Tabela8[[#This Row],[Média Lucro p/Ação]],"")</f>
        <v/>
      </c>
      <c r="P1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5" s="7">
        <f>SUMPRODUCT(N(Tabela1[Código]=Tabela8[[#This Row],[Papel]]),Tabela1[Fechamento])</f>
        <v>0</v>
      </c>
      <c r="R175" s="7">
        <f>SUMPRODUCT(N(Tabela17[Código]=Tabela8[[#This Row],[Papel]]),Tabela17[Fechamento])</f>
        <v>0</v>
      </c>
      <c r="S175" s="7">
        <f>SUMPRODUCT(N(Tabela176[Código]=Tabela8[[#This Row],[Papel]]),Tabela176[Fechamento])</f>
        <v>0</v>
      </c>
      <c r="T175" s="7">
        <f>SUMPRODUCT(N(Tabela1768[Código]=Tabela8[[#This Row],[Papel]]),Tabela1768[Fechamento])</f>
        <v>0</v>
      </c>
      <c r="U175" s="7">
        <f>SUMPRODUCT(N(Tabela17683[Código]=Tabela8[[#This Row],[Papel]]),Tabela17683[Fechamento])</f>
        <v>0</v>
      </c>
      <c r="V175" s="17" t="str">
        <f>IF(MAX(Tabela8[[#This Row],[Cotação 1]]:Tabela8[[#This Row],[Cotação 5]])=0,"",MAX(Tabela8[[#This Row],[Cotação 1]]:Tabela8[[#This Row],[Cotação 5]]))</f>
        <v/>
      </c>
      <c r="W1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5" s="17">
        <f>IF(AND([Ref]=5,[Cotação]&gt;0,[Cotação]&lt;&gt;""),[Total Exercício]/[Cotação],IF([Ref]&lt;4,0,""))</f>
        <v>0</v>
      </c>
      <c r="Y175" s="17">
        <f>IF([Tipo]="div",1,0)</f>
        <v>0</v>
      </c>
      <c r="Z175" s="17">
        <f>IF([Tipo]="jcp",1,0)</f>
        <v>0</v>
      </c>
    </row>
    <row r="176" spans="1:26" hidden="1">
      <c r="A176" s="3" t="s">
        <v>835</v>
      </c>
      <c r="B176" s="58" t="s">
        <v>836</v>
      </c>
      <c r="C176" s="16">
        <v>4</v>
      </c>
      <c r="D176" s="4"/>
      <c r="E176" s="4"/>
      <c r="F176" s="4"/>
      <c r="G176" s="4"/>
      <c r="H176" s="4"/>
      <c r="I176" s="4"/>
      <c r="J176" s="17">
        <f>IF(Tabela8[[#This Row],[Tipo]]="jcp",Tabela8[[#This Row],[Provento p/Ação]]*85%,Tabela8[[#This Row],[Provento p/Ação]])</f>
        <v>0</v>
      </c>
      <c r="K176" s="143" t="str">
        <f>IF([Lucro p/Ação]&lt;&gt;0,SUMPRODUCT(N([Papel]=Tabela8[[#This Row],[Papel]]),N([Exercício]=Tabela8[[#This Row],[Exercício]]),[Líquido p/Ação]),"")</f>
        <v/>
      </c>
      <c r="L176" s="42" t="str">
        <f>IF(Tabela8[[#This Row],[Lucro p/Ação]]="","",IF(Tabela8[[#This Row],[Lucro p/Ação]]&gt;0,Tabela8[[#This Row],[Total Exercício]]/Tabela8[[#This Row],[Lucro p/Ação]],0))</f>
        <v/>
      </c>
      <c r="M1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6" s="14" t="str">
        <f>IF(Tabela8[[#This Row],[Média Lucro p/Ação]]&lt;&gt;"",Tabela8[[#This Row],[Média Pago]]/Tabela8[[#This Row],[Média Lucro p/Ação]],"")</f>
        <v/>
      </c>
      <c r="P1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6" s="7">
        <f>SUMPRODUCT(N(Tabela1[Código]=Tabela8[[#This Row],[Papel]]),Tabela1[Fechamento])</f>
        <v>0</v>
      </c>
      <c r="R176" s="7">
        <f>SUMPRODUCT(N(Tabela17[Código]=Tabela8[[#This Row],[Papel]]),Tabela17[Fechamento])</f>
        <v>0</v>
      </c>
      <c r="S176" s="7">
        <f>SUMPRODUCT(N(Tabela176[Código]=Tabela8[[#This Row],[Papel]]),Tabela176[Fechamento])</f>
        <v>0</v>
      </c>
      <c r="T176" s="7">
        <f>SUMPRODUCT(N(Tabela1768[Código]=Tabela8[[#This Row],[Papel]]),Tabela1768[Fechamento])</f>
        <v>14.1</v>
      </c>
      <c r="U176" s="7">
        <f>SUMPRODUCT(N(Tabela17683[Código]=Tabela8[[#This Row],[Papel]]),Tabela17683[Fechamento])</f>
        <v>0</v>
      </c>
      <c r="V176" s="17">
        <f>IF(MAX(Tabela8[[#This Row],[Cotação 1]]:Tabela8[[#This Row],[Cotação 5]])=0,"",MAX(Tabela8[[#This Row],[Cotação 1]]:Tabela8[[#This Row],[Cotação 5]]))</f>
        <v>14.1</v>
      </c>
      <c r="W1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6" s="17" t="str">
        <f>IF(AND([Ref]=5,[Cotação]&gt;0,[Cotação]&lt;&gt;""),[Total Exercício]/[Cotação],IF([Ref]&lt;4,0,""))</f>
        <v/>
      </c>
      <c r="Y176" s="17">
        <f>IF([Tipo]="div",1,0)</f>
        <v>0</v>
      </c>
      <c r="Z176" s="17">
        <f>IF([Tipo]="jcp",1,0)</f>
        <v>0</v>
      </c>
    </row>
    <row r="177" spans="1:26" hidden="1">
      <c r="A177" s="3" t="s">
        <v>1019</v>
      </c>
      <c r="B177" s="57" t="s">
        <v>1029</v>
      </c>
      <c r="C177" s="16">
        <v>3</v>
      </c>
      <c r="D177" s="4"/>
      <c r="E177" s="4"/>
      <c r="F177" s="4"/>
      <c r="G177" s="4"/>
      <c r="H177" s="4"/>
      <c r="I177" s="4"/>
      <c r="J177" s="17">
        <f>IF(Tabela8[[#This Row],[Tipo]]="jcp",Tabela8[[#This Row],[Provento p/Ação]]*85%,Tabela8[[#This Row],[Provento p/Ação]])</f>
        <v>0</v>
      </c>
      <c r="K177" s="143" t="str">
        <f>IF([Lucro p/Ação]&lt;&gt;0,SUMPRODUCT(N([Papel]=Tabela8[[#This Row],[Papel]]),N([Exercício]=Tabela8[[#This Row],[Exercício]]),[Líquido p/Ação]),"")</f>
        <v/>
      </c>
      <c r="L177" s="42" t="str">
        <f>IF(Tabela8[[#This Row],[Lucro p/Ação]]="","",IF(Tabela8[[#This Row],[Lucro p/Ação]]&gt;0,Tabela8[[#This Row],[Total Exercício]]/Tabela8[[#This Row],[Lucro p/Ação]],0))</f>
        <v/>
      </c>
      <c r="M1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7" s="14" t="str">
        <f>IF(Tabela8[[#This Row],[Média Lucro p/Ação]]&lt;&gt;"",Tabela8[[#This Row],[Média Pago]]/Tabela8[[#This Row],[Média Lucro p/Ação]],"")</f>
        <v/>
      </c>
      <c r="P1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7" s="7">
        <f>SUMPRODUCT(N(Tabela1[Código]=Tabela8[[#This Row],[Papel]]),Tabela1[Fechamento])</f>
        <v>0</v>
      </c>
      <c r="R177" s="7">
        <f>SUMPRODUCT(N(Tabela17[Código]=Tabela8[[#This Row],[Papel]]),Tabela17[Fechamento])</f>
        <v>0</v>
      </c>
      <c r="S177" s="7">
        <f>SUMPRODUCT(N(Tabela176[Código]=Tabela8[[#This Row],[Papel]]),Tabela176[Fechamento])</f>
        <v>0</v>
      </c>
      <c r="T177" s="7">
        <f>SUMPRODUCT(N(Tabela1768[Código]=Tabela8[[#This Row],[Papel]]),Tabela1768[Fechamento])</f>
        <v>12.45</v>
      </c>
      <c r="U177" s="7">
        <f>SUMPRODUCT(N(Tabela17683[Código]=Tabela8[[#This Row],[Papel]]),Tabela17683[Fechamento])</f>
        <v>0</v>
      </c>
      <c r="V177" s="17">
        <f>IF(MAX(Tabela8[[#This Row],[Cotação 1]]:Tabela8[[#This Row],[Cotação 5]])=0,"",MAX(Tabela8[[#This Row],[Cotação 1]]:Tabela8[[#This Row],[Cotação 5]]))</f>
        <v>12.45</v>
      </c>
      <c r="W1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7" s="17">
        <f>IF(AND([Ref]=5,[Cotação]&gt;0,[Cotação]&lt;&gt;""),[Total Exercício]/[Cotação],IF([Ref]&lt;4,0,""))</f>
        <v>0</v>
      </c>
      <c r="Y177" s="17">
        <f>IF([Tipo]="div",1,0)</f>
        <v>0</v>
      </c>
      <c r="Z177" s="17">
        <f>IF([Tipo]="jcp",1,0)</f>
        <v>0</v>
      </c>
    </row>
    <row r="178" spans="1:26" hidden="1">
      <c r="A178" s="4" t="s">
        <v>719</v>
      </c>
      <c r="B178" s="57" t="s">
        <v>721</v>
      </c>
      <c r="C178" s="15">
        <v>3</v>
      </c>
      <c r="D178" s="4"/>
      <c r="E178" s="4"/>
      <c r="F178" s="4"/>
      <c r="G178" s="4"/>
      <c r="H178" s="4"/>
      <c r="I178" s="4"/>
      <c r="J178" s="17">
        <f>IF(Tabela8[[#This Row],[Tipo]]="jcp",Tabela8[[#This Row],[Provento p/Ação]]*85%,Tabela8[[#This Row],[Provento p/Ação]])</f>
        <v>0</v>
      </c>
      <c r="K178" s="143" t="str">
        <f>IF([Lucro p/Ação]&lt;&gt;0,SUMPRODUCT(N([Papel]=Tabela8[[#This Row],[Papel]]),N([Exercício]=Tabela8[[#This Row],[Exercício]]),[Líquido p/Ação]),"")</f>
        <v/>
      </c>
      <c r="L178" s="42" t="str">
        <f>IF(Tabela8[[#This Row],[Lucro p/Ação]]="","",IF(Tabela8[[#This Row],[Lucro p/Ação]]&gt;0,Tabela8[[#This Row],[Total Exercício]]/Tabela8[[#This Row],[Lucro p/Ação]],0))</f>
        <v/>
      </c>
      <c r="M1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8" s="14" t="str">
        <f>IF(Tabela8[[#This Row],[Média Lucro p/Ação]]&lt;&gt;"",Tabela8[[#This Row],[Média Pago]]/Tabela8[[#This Row],[Média Lucro p/Ação]],"")</f>
        <v/>
      </c>
      <c r="P1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8" s="17">
        <f>SUMPRODUCT(N(Tabela1[Código]=Tabela8[[#This Row],[Papel]]),Tabela1[Fechamento])</f>
        <v>0</v>
      </c>
      <c r="R178" s="17">
        <f>SUMPRODUCT(N(Tabela17[Código]=Tabela8[[#This Row],[Papel]]),Tabela17[Fechamento])</f>
        <v>0</v>
      </c>
      <c r="S178" s="17">
        <f>SUMPRODUCT(N(Tabela176[Código]=Tabela8[[#This Row],[Papel]]),Tabela176[Fechamento])</f>
        <v>13.64</v>
      </c>
      <c r="T178" s="17">
        <f>SUMPRODUCT(N(Tabela1768[Código]=Tabela8[[#This Row],[Papel]]),Tabela1768[Fechamento])</f>
        <v>0</v>
      </c>
      <c r="U178" s="7">
        <f>SUMPRODUCT(N(Tabela17683[Código]=Tabela8[[#This Row],[Papel]]),Tabela17683[Fechamento])</f>
        <v>0</v>
      </c>
      <c r="V178" s="17">
        <f>IF(MAX(Tabela8[[#This Row],[Cotação 1]]:Tabela8[[#This Row],[Cotação 5]])=0,"",MAX(Tabela8[[#This Row],[Cotação 1]]:Tabela8[[#This Row],[Cotação 5]]))</f>
        <v>13.64</v>
      </c>
      <c r="W1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8" s="17">
        <f>IF(AND([Ref]=5,[Cotação]&gt;0,[Cotação]&lt;&gt;""),[Total Exercício]/[Cotação],IF([Ref]&lt;4,0,""))</f>
        <v>0</v>
      </c>
      <c r="Y178" s="17">
        <f>IF([Tipo]="div",1,0)</f>
        <v>0</v>
      </c>
      <c r="Z178" s="17">
        <f>IF([Tipo]="jcp",1,0)</f>
        <v>0</v>
      </c>
    </row>
    <row r="179" spans="1:26" hidden="1">
      <c r="A179" s="4" t="s">
        <v>14</v>
      </c>
      <c r="B179" s="57" t="s">
        <v>530</v>
      </c>
      <c r="C179" s="15">
        <v>4</v>
      </c>
      <c r="D179" s="4"/>
      <c r="E179" s="4"/>
      <c r="F179" s="4"/>
      <c r="G179" s="4"/>
      <c r="H179" s="4"/>
      <c r="I179" s="4"/>
      <c r="J179" s="17">
        <f>IF(Tabela8[[#This Row],[Tipo]]="jcp",Tabela8[[#This Row],[Provento p/Ação]]*85%,Tabela8[[#This Row],[Provento p/Ação]])</f>
        <v>0</v>
      </c>
      <c r="K179" s="143" t="str">
        <f>IF([Lucro p/Ação]&lt;&gt;0,SUMPRODUCT(N([Papel]=Tabela8[[#This Row],[Papel]]),N([Exercício]=Tabela8[[#This Row],[Exercício]]),[Líquido p/Ação]),"")</f>
        <v/>
      </c>
      <c r="L179" s="42" t="str">
        <f>IF(Tabela8[[#This Row],[Lucro p/Ação]]="","",IF(Tabela8[[#This Row],[Lucro p/Ação]]&gt;0,Tabela8[[#This Row],[Total Exercício]]/Tabela8[[#This Row],[Lucro p/Ação]],0))</f>
        <v/>
      </c>
      <c r="M1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79" s="14" t="str">
        <f>IF(Tabela8[[#This Row],[Média Lucro p/Ação]]&lt;&gt;"",Tabela8[[#This Row],[Média Pago]]/Tabela8[[#This Row],[Média Lucro p/Ação]],"")</f>
        <v/>
      </c>
      <c r="P1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79" s="13">
        <f>SUMPRODUCT(N(Tabela1[Código]=Tabela8[[#This Row],[Papel]]),Tabela1[Fechamento])</f>
        <v>0</v>
      </c>
      <c r="R179" s="55">
        <f>SUMPRODUCT(N(Tabela17[Código]=Tabela8[[#This Row],[Papel]]),Tabela17[Fechamento])</f>
        <v>0</v>
      </c>
      <c r="S179" s="7">
        <f>SUMPRODUCT(N(Tabela176[Código]=Tabela8[[#This Row],[Papel]]),Tabela176[Fechamento])</f>
        <v>0</v>
      </c>
      <c r="T179" s="7">
        <f>SUMPRODUCT(N(Tabela1768[Código]=Tabela8[[#This Row],[Papel]]),Tabela1768[Fechamento])</f>
        <v>0</v>
      </c>
      <c r="U179" s="7">
        <f>SUMPRODUCT(N(Tabela17683[Código]=Tabela8[[#This Row],[Papel]]),Tabela17683[Fechamento])</f>
        <v>0</v>
      </c>
      <c r="V179" s="17" t="str">
        <f>IF(MAX(Tabela8[[#This Row],[Cotação 1]]:Tabela8[[#This Row],[Cotação 5]])=0,"",MAX(Tabela8[[#This Row],[Cotação 1]]:Tabela8[[#This Row],[Cotação 5]]))</f>
        <v/>
      </c>
      <c r="W1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79" s="17" t="str">
        <f>IF(AND([Ref]=5,[Cotação]&gt;0,[Cotação]&lt;&gt;""),[Total Exercício]/[Cotação],IF([Ref]&lt;4,0,""))</f>
        <v/>
      </c>
      <c r="Y179" s="17">
        <f>IF([Tipo]="div",1,0)</f>
        <v>0</v>
      </c>
      <c r="Z179" s="17">
        <f>IF([Tipo]="jcp",1,0)</f>
        <v>0</v>
      </c>
    </row>
    <row r="180" spans="1:26" hidden="1">
      <c r="A180" s="4" t="s">
        <v>14</v>
      </c>
      <c r="B180" s="57" t="s">
        <v>15</v>
      </c>
      <c r="C180" s="15">
        <v>4</v>
      </c>
      <c r="D180" s="4"/>
      <c r="E180" s="4"/>
      <c r="F180" s="4"/>
      <c r="G180" s="4"/>
      <c r="H180" s="4"/>
      <c r="I180" s="4"/>
      <c r="J180" s="17">
        <f>IF(Tabela8[[#This Row],[Tipo]]="jcp",Tabela8[[#This Row],[Provento p/Ação]]*85%,Tabela8[[#This Row],[Provento p/Ação]])</f>
        <v>0</v>
      </c>
      <c r="K180" s="143" t="str">
        <f>IF([Lucro p/Ação]&lt;&gt;0,SUMPRODUCT(N([Papel]=Tabela8[[#This Row],[Papel]]),N([Exercício]=Tabela8[[#This Row],[Exercício]]),[Líquido p/Ação]),"")</f>
        <v/>
      </c>
      <c r="L180" s="42" t="str">
        <f>IF(Tabela8[[#This Row],[Lucro p/Ação]]="","",IF(Tabela8[[#This Row],[Lucro p/Ação]]&gt;0,Tabela8[[#This Row],[Total Exercício]]/Tabela8[[#This Row],[Lucro p/Ação]],0))</f>
        <v/>
      </c>
      <c r="M1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0" s="14" t="str">
        <f>IF(Tabela8[[#This Row],[Média Lucro p/Ação]]&lt;&gt;"",Tabela8[[#This Row],[Média Pago]]/Tabela8[[#This Row],[Média Lucro p/Ação]],"")</f>
        <v/>
      </c>
      <c r="P1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0" s="5">
        <f>SUMPRODUCT(N(Tabela1[Código]=Tabela8[[#This Row],[Papel]]),Tabela1[Fechamento])</f>
        <v>8.5399999999999991</v>
      </c>
      <c r="R180" s="5">
        <f>SUMPRODUCT(N(Tabela17[Código]=Tabela8[[#This Row],[Papel]]),Tabela17[Fechamento])</f>
        <v>0</v>
      </c>
      <c r="S180" s="7">
        <f>SUMPRODUCT(N(Tabela176[Código]=Tabela8[[#This Row],[Papel]]),Tabela176[Fechamento])</f>
        <v>0</v>
      </c>
      <c r="T180" s="7">
        <f>SUMPRODUCT(N(Tabela1768[Código]=Tabela8[[#This Row],[Papel]]),Tabela1768[Fechamento])</f>
        <v>0</v>
      </c>
      <c r="U180" s="7">
        <f>SUMPRODUCT(N(Tabela17683[Código]=Tabela8[[#This Row],[Papel]]),Tabela17683[Fechamento])</f>
        <v>0</v>
      </c>
      <c r="V180" s="17">
        <f>IF(MAX(Tabela8[[#This Row],[Cotação 1]]:Tabela8[[#This Row],[Cotação 5]])=0,"",MAX(Tabela8[[#This Row],[Cotação 1]]:Tabela8[[#This Row],[Cotação 5]]))</f>
        <v>8.5399999999999991</v>
      </c>
      <c r="W1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0" s="17" t="str">
        <f>IF(AND([Ref]=5,[Cotação]&gt;0,[Cotação]&lt;&gt;""),[Total Exercício]/[Cotação],IF([Ref]&lt;4,0,""))</f>
        <v/>
      </c>
      <c r="Y180" s="17">
        <f>IF([Tipo]="div",1,0)</f>
        <v>0</v>
      </c>
      <c r="Z180" s="17">
        <f>IF([Tipo]="jcp",1,0)</f>
        <v>0</v>
      </c>
    </row>
    <row r="181" spans="1:26" hidden="1">
      <c r="A181" s="3" t="s">
        <v>1276</v>
      </c>
      <c r="B181" s="57" t="s">
        <v>1242</v>
      </c>
      <c r="C181" s="16">
        <v>3</v>
      </c>
      <c r="D181" s="4"/>
      <c r="E181" s="4"/>
      <c r="F181" s="4"/>
      <c r="G181" s="4"/>
      <c r="H181" s="4"/>
      <c r="I181" s="4"/>
      <c r="J181" s="17">
        <f>IF(Tabela8[[#This Row],[Tipo]]="jcp",Tabela8[[#This Row],[Provento p/Ação]]*85%,Tabela8[[#This Row],[Provento p/Ação]])</f>
        <v>0</v>
      </c>
      <c r="K181" s="143" t="str">
        <f>IF([Lucro p/Ação]&lt;&gt;0,SUMPRODUCT(N([Papel]=Tabela8[[#This Row],[Papel]]),N([Exercício]=Tabela8[[#This Row],[Exercício]]),[Líquido p/Ação]),"")</f>
        <v/>
      </c>
      <c r="L181" s="42" t="str">
        <f>IF(Tabela8[[#This Row],[Lucro p/Ação]]="","",IF(Tabela8[[#This Row],[Lucro p/Ação]]&gt;0,Tabela8[[#This Row],[Total Exercício]]/Tabela8[[#This Row],[Lucro p/Ação]],0))</f>
        <v/>
      </c>
      <c r="M1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1" s="14" t="str">
        <f>IF(Tabela8[[#This Row],[Média Lucro p/Ação]]&lt;&gt;"",Tabela8[[#This Row],[Média Pago]]/Tabela8[[#This Row],[Média Lucro p/Ação]],"")</f>
        <v/>
      </c>
      <c r="P1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1" s="7">
        <f>SUMPRODUCT(N(Tabela1[Código]=Tabela8[[#This Row],[Papel]]),Tabela1[Fechamento])</f>
        <v>0</v>
      </c>
      <c r="R181" s="7">
        <f>SUMPRODUCT(N(Tabela17[Código]=Tabela8[[#This Row],[Papel]]),Tabela17[Fechamento])</f>
        <v>0</v>
      </c>
      <c r="S181" s="7">
        <f>SUMPRODUCT(N(Tabela176[Código]=Tabela8[[#This Row],[Papel]]),Tabela176[Fechamento])</f>
        <v>0</v>
      </c>
      <c r="T181" s="7">
        <f>SUMPRODUCT(N(Tabela1768[Código]=Tabela8[[#This Row],[Papel]]),Tabela1768[Fechamento])</f>
        <v>0</v>
      </c>
      <c r="U181" s="7">
        <f>SUMPRODUCT(N(Tabela17683[Código]=Tabela8[[#This Row],[Papel]]),Tabela17683[Fechamento])</f>
        <v>50.36</v>
      </c>
      <c r="V181" s="17">
        <f>IF(MAX(Tabela8[[#This Row],[Cotação 1]]:Tabela8[[#This Row],[Cotação 5]])=0,"",MAX(Tabela8[[#This Row],[Cotação 1]]:Tabela8[[#This Row],[Cotação 5]]))</f>
        <v>50.36</v>
      </c>
      <c r="W1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1" s="17">
        <f>IF(AND([Ref]=5,[Cotação]&gt;0,[Cotação]&lt;&gt;""),[Total Exercício]/[Cotação],IF([Ref]&lt;4,0,""))</f>
        <v>0</v>
      </c>
      <c r="Y181" s="17">
        <f>IF([Tipo]="div",1,0)</f>
        <v>0</v>
      </c>
      <c r="Z181" s="17">
        <f>IF([Tipo]="jcp",1,0)</f>
        <v>0</v>
      </c>
    </row>
    <row r="182" spans="1:26" hidden="1">
      <c r="A182" s="3" t="s">
        <v>1276</v>
      </c>
      <c r="B182" s="57" t="s">
        <v>1243</v>
      </c>
      <c r="C182" s="16">
        <v>3</v>
      </c>
      <c r="D182" s="4"/>
      <c r="E182" s="4"/>
      <c r="F182" s="4"/>
      <c r="G182" s="4"/>
      <c r="H182" s="4"/>
      <c r="I182" s="4"/>
      <c r="J182" s="17">
        <f>IF(Tabela8[[#This Row],[Tipo]]="jcp",Tabela8[[#This Row],[Provento p/Ação]]*85%,Tabela8[[#This Row],[Provento p/Ação]])</f>
        <v>0</v>
      </c>
      <c r="K182" s="143" t="str">
        <f>IF([Lucro p/Ação]&lt;&gt;0,SUMPRODUCT(N([Papel]=Tabela8[[#This Row],[Papel]]),N([Exercício]=Tabela8[[#This Row],[Exercício]]),[Líquido p/Ação]),"")</f>
        <v/>
      </c>
      <c r="L182" s="42" t="str">
        <f>IF(Tabela8[[#This Row],[Lucro p/Ação]]="","",IF(Tabela8[[#This Row],[Lucro p/Ação]]&gt;0,Tabela8[[#This Row],[Total Exercício]]/Tabela8[[#This Row],[Lucro p/Ação]],0))</f>
        <v/>
      </c>
      <c r="M1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2" s="14" t="str">
        <f>IF(Tabela8[[#This Row],[Média Lucro p/Ação]]&lt;&gt;"",Tabela8[[#This Row],[Média Pago]]/Tabela8[[#This Row],[Média Lucro p/Ação]],"")</f>
        <v/>
      </c>
      <c r="P1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2" s="7">
        <f>SUMPRODUCT(N(Tabela1[Código]=Tabela8[[#This Row],[Papel]]),Tabela1[Fechamento])</f>
        <v>0</v>
      </c>
      <c r="R182" s="7">
        <f>SUMPRODUCT(N(Tabela17[Código]=Tabela8[[#This Row],[Papel]]),Tabela17[Fechamento])</f>
        <v>0</v>
      </c>
      <c r="S182" s="7">
        <f>SUMPRODUCT(N(Tabela176[Código]=Tabela8[[#This Row],[Papel]]),Tabela176[Fechamento])</f>
        <v>0</v>
      </c>
      <c r="T182" s="7">
        <f>SUMPRODUCT(N(Tabela1768[Código]=Tabela8[[#This Row],[Papel]]),Tabela1768[Fechamento])</f>
        <v>0</v>
      </c>
      <c r="U182" s="7">
        <f>SUMPRODUCT(N(Tabela17683[Código]=Tabela8[[#This Row],[Papel]]),Tabela17683[Fechamento])</f>
        <v>8.15</v>
      </c>
      <c r="V182" s="17">
        <f>IF(MAX(Tabela8[[#This Row],[Cotação 1]]:Tabela8[[#This Row],[Cotação 5]])=0,"",MAX(Tabela8[[#This Row],[Cotação 1]]:Tabela8[[#This Row],[Cotação 5]]))</f>
        <v>8.15</v>
      </c>
      <c r="W1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2" s="17">
        <f>IF(AND([Ref]=5,[Cotação]&gt;0,[Cotação]&lt;&gt;""),[Total Exercício]/[Cotação],IF([Ref]&lt;4,0,""))</f>
        <v>0</v>
      </c>
      <c r="Y182" s="17">
        <f>IF([Tipo]="div",1,0)</f>
        <v>0</v>
      </c>
      <c r="Z182" s="17">
        <f>IF([Tipo]="jcp",1,0)</f>
        <v>0</v>
      </c>
    </row>
    <row r="183" spans="1:26" hidden="1">
      <c r="A183" s="3" t="s">
        <v>1019</v>
      </c>
      <c r="B183" s="57" t="s">
        <v>1030</v>
      </c>
      <c r="C183" s="16">
        <v>3</v>
      </c>
      <c r="D183" s="4"/>
      <c r="E183" s="4"/>
      <c r="F183" s="4"/>
      <c r="G183" s="4"/>
      <c r="H183" s="4"/>
      <c r="I183" s="4"/>
      <c r="J183" s="17">
        <f>IF(Tabela8[[#This Row],[Tipo]]="jcp",Tabela8[[#This Row],[Provento p/Ação]]*85%,Tabela8[[#This Row],[Provento p/Ação]])</f>
        <v>0</v>
      </c>
      <c r="K183" s="143" t="str">
        <f>IF([Lucro p/Ação]&lt;&gt;0,SUMPRODUCT(N([Papel]=Tabela8[[#This Row],[Papel]]),N([Exercício]=Tabela8[[#This Row],[Exercício]]),[Líquido p/Ação]),"")</f>
        <v/>
      </c>
      <c r="L183" s="42" t="str">
        <f>IF(Tabela8[[#This Row],[Lucro p/Ação]]="","",IF(Tabela8[[#This Row],[Lucro p/Ação]]&gt;0,Tabela8[[#This Row],[Total Exercício]]/Tabela8[[#This Row],[Lucro p/Ação]],0))</f>
        <v/>
      </c>
      <c r="M1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3" s="14" t="str">
        <f>IF(Tabela8[[#This Row],[Média Lucro p/Ação]]&lt;&gt;"",Tabela8[[#This Row],[Média Pago]]/Tabela8[[#This Row],[Média Lucro p/Ação]],"")</f>
        <v/>
      </c>
      <c r="P1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3" s="7">
        <f>SUMPRODUCT(N(Tabela1[Código]=Tabela8[[#This Row],[Papel]]),Tabela1[Fechamento])</f>
        <v>0</v>
      </c>
      <c r="R183" s="7">
        <f>SUMPRODUCT(N(Tabela17[Código]=Tabela8[[#This Row],[Papel]]),Tabela17[Fechamento])</f>
        <v>0</v>
      </c>
      <c r="S183" s="7">
        <f>SUMPRODUCT(N(Tabela176[Código]=Tabela8[[#This Row],[Papel]]),Tabela176[Fechamento])</f>
        <v>0</v>
      </c>
      <c r="T183" s="7">
        <f>SUMPRODUCT(N(Tabela1768[Código]=Tabela8[[#This Row],[Papel]]),Tabela1768[Fechamento])</f>
        <v>9.5500000000000007</v>
      </c>
      <c r="U183" s="7">
        <f>SUMPRODUCT(N(Tabela17683[Código]=Tabela8[[#This Row],[Papel]]),Tabela17683[Fechamento])</f>
        <v>0</v>
      </c>
      <c r="V183" s="17">
        <f>IF(MAX(Tabela8[[#This Row],[Cotação 1]]:Tabela8[[#This Row],[Cotação 5]])=0,"",MAX(Tabela8[[#This Row],[Cotação 1]]:Tabela8[[#This Row],[Cotação 5]]))</f>
        <v>9.5500000000000007</v>
      </c>
      <c r="W1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3" s="17">
        <f>IF(AND([Ref]=5,[Cotação]&gt;0,[Cotação]&lt;&gt;""),[Total Exercício]/[Cotação],IF([Ref]&lt;4,0,""))</f>
        <v>0</v>
      </c>
      <c r="Y183" s="17">
        <f>IF([Tipo]="div",1,0)</f>
        <v>0</v>
      </c>
      <c r="Z183" s="17">
        <f>IF([Tipo]="jcp",1,0)</f>
        <v>0</v>
      </c>
    </row>
    <row r="184" spans="1:26" hidden="1">
      <c r="A184" s="4" t="s">
        <v>288</v>
      </c>
      <c r="B184" s="57" t="s">
        <v>694</v>
      </c>
      <c r="C184" s="15">
        <v>3</v>
      </c>
      <c r="D184" s="4"/>
      <c r="E184" s="4"/>
      <c r="F184" s="4"/>
      <c r="G184" s="4"/>
      <c r="H184" s="4"/>
      <c r="I184" s="4"/>
      <c r="J184" s="17">
        <f>IF(Tabela8[[#This Row],[Tipo]]="jcp",Tabela8[[#This Row],[Provento p/Ação]]*85%,Tabela8[[#This Row],[Provento p/Ação]])</f>
        <v>0</v>
      </c>
      <c r="K184" s="143" t="str">
        <f>IF([Lucro p/Ação]&lt;&gt;0,SUMPRODUCT(N([Papel]=Tabela8[[#This Row],[Papel]]),N([Exercício]=Tabela8[[#This Row],[Exercício]]),[Líquido p/Ação]),"")</f>
        <v/>
      </c>
      <c r="L184" s="42" t="str">
        <f>IF(Tabela8[[#This Row],[Lucro p/Ação]]="","",IF(Tabela8[[#This Row],[Lucro p/Ação]]&gt;0,Tabela8[[#This Row],[Total Exercício]]/Tabela8[[#This Row],[Lucro p/Ação]],0))</f>
        <v/>
      </c>
      <c r="M1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4" s="14" t="str">
        <f>IF(Tabela8[[#This Row],[Média Lucro p/Ação]]&lt;&gt;"",Tabela8[[#This Row],[Média Pago]]/Tabela8[[#This Row],[Média Lucro p/Ação]],"")</f>
        <v/>
      </c>
      <c r="P1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4" s="17">
        <f>SUMPRODUCT(N(Tabela1[Código]=Tabela8[[#This Row],[Papel]]),Tabela1[Fechamento])</f>
        <v>0</v>
      </c>
      <c r="R184" s="17">
        <f>SUMPRODUCT(N(Tabela17[Código]=Tabela8[[#This Row],[Papel]]),Tabela17[Fechamento])</f>
        <v>0</v>
      </c>
      <c r="S184" s="17">
        <f>SUMPRODUCT(N(Tabela176[Código]=Tabela8[[#This Row],[Papel]]),Tabela176[Fechamento])</f>
        <v>11</v>
      </c>
      <c r="T184" s="17">
        <f>SUMPRODUCT(N(Tabela1768[Código]=Tabela8[[#This Row],[Papel]]),Tabela1768[Fechamento])</f>
        <v>0</v>
      </c>
      <c r="U184" s="7">
        <f>SUMPRODUCT(N(Tabela17683[Código]=Tabela8[[#This Row],[Papel]]),Tabela17683[Fechamento])</f>
        <v>0</v>
      </c>
      <c r="V184" s="17">
        <f>IF(MAX(Tabela8[[#This Row],[Cotação 1]]:Tabela8[[#This Row],[Cotação 5]])=0,"",MAX(Tabela8[[#This Row],[Cotação 1]]:Tabela8[[#This Row],[Cotação 5]]))</f>
        <v>11</v>
      </c>
      <c r="W1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4" s="17">
        <f>IF(AND([Ref]=5,[Cotação]&gt;0,[Cotação]&lt;&gt;""),[Total Exercício]/[Cotação],IF([Ref]&lt;4,0,""))</f>
        <v>0</v>
      </c>
      <c r="Y184" s="17">
        <f>IF([Tipo]="div",1,0)</f>
        <v>0</v>
      </c>
      <c r="Z184" s="17">
        <f>IF([Tipo]="jcp",1,0)</f>
        <v>0</v>
      </c>
    </row>
    <row r="185" spans="1:26" hidden="1">
      <c r="A185" s="4" t="s">
        <v>288</v>
      </c>
      <c r="B185" s="57" t="s">
        <v>695</v>
      </c>
      <c r="C185" s="15">
        <v>3</v>
      </c>
      <c r="D185" s="4"/>
      <c r="E185" s="4"/>
      <c r="F185" s="4"/>
      <c r="G185" s="4"/>
      <c r="H185" s="4"/>
      <c r="I185" s="4"/>
      <c r="J185" s="17">
        <f>IF(Tabela8[[#This Row],[Tipo]]="jcp",Tabela8[[#This Row],[Provento p/Ação]]*85%,Tabela8[[#This Row],[Provento p/Ação]])</f>
        <v>0</v>
      </c>
      <c r="K185" s="143" t="str">
        <f>IF([Lucro p/Ação]&lt;&gt;0,SUMPRODUCT(N([Papel]=Tabela8[[#This Row],[Papel]]),N([Exercício]=Tabela8[[#This Row],[Exercício]]),[Líquido p/Ação]),"")</f>
        <v/>
      </c>
      <c r="L185" s="42" t="str">
        <f>IF(Tabela8[[#This Row],[Lucro p/Ação]]="","",IF(Tabela8[[#This Row],[Lucro p/Ação]]&gt;0,Tabela8[[#This Row],[Total Exercício]]/Tabela8[[#This Row],[Lucro p/Ação]],0))</f>
        <v/>
      </c>
      <c r="M1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5" s="14" t="str">
        <f>IF(Tabela8[[#This Row],[Média Lucro p/Ação]]&lt;&gt;"",Tabela8[[#This Row],[Média Pago]]/Tabela8[[#This Row],[Média Lucro p/Ação]],"")</f>
        <v/>
      </c>
      <c r="P1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5" s="17">
        <f>SUMPRODUCT(N(Tabela1[Código]=Tabela8[[#This Row],[Papel]]),Tabela1[Fechamento])</f>
        <v>0</v>
      </c>
      <c r="R185" s="17">
        <f>SUMPRODUCT(N(Tabela17[Código]=Tabela8[[#This Row],[Papel]]),Tabela17[Fechamento])</f>
        <v>0</v>
      </c>
      <c r="S185" s="17">
        <f>SUMPRODUCT(N(Tabela176[Código]=Tabela8[[#This Row],[Papel]]),Tabela176[Fechamento])</f>
        <v>5.01</v>
      </c>
      <c r="T185" s="17">
        <f>SUMPRODUCT(N(Tabela1768[Código]=Tabela8[[#This Row],[Papel]]),Tabela1768[Fechamento])</f>
        <v>0</v>
      </c>
      <c r="U185" s="7">
        <f>SUMPRODUCT(N(Tabela17683[Código]=Tabela8[[#This Row],[Papel]]),Tabela17683[Fechamento])</f>
        <v>0</v>
      </c>
      <c r="V185" s="17">
        <f>IF(MAX(Tabela8[[#This Row],[Cotação 1]]:Tabela8[[#This Row],[Cotação 5]])=0,"",MAX(Tabela8[[#This Row],[Cotação 1]]:Tabela8[[#This Row],[Cotação 5]]))</f>
        <v>5.01</v>
      </c>
      <c r="W1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5" s="17">
        <f>IF(AND([Ref]=5,[Cotação]&gt;0,[Cotação]&lt;&gt;""),[Total Exercício]/[Cotação],IF([Ref]&lt;4,0,""))</f>
        <v>0</v>
      </c>
      <c r="Y185" s="17">
        <f>IF([Tipo]="div",1,0)</f>
        <v>0</v>
      </c>
      <c r="Z185" s="17">
        <f>IF([Tipo]="jcp",1,0)</f>
        <v>0</v>
      </c>
    </row>
    <row r="186" spans="1:26" hidden="1">
      <c r="A186" s="3" t="s">
        <v>876</v>
      </c>
      <c r="B186" s="58" t="s">
        <v>921</v>
      </c>
      <c r="C186" s="16">
        <v>3</v>
      </c>
      <c r="D186" s="4"/>
      <c r="E186" s="4"/>
      <c r="F186" s="4"/>
      <c r="G186" s="4"/>
      <c r="H186" s="4"/>
      <c r="I186" s="4"/>
      <c r="J186" s="17">
        <f>IF(Tabela8[[#This Row],[Tipo]]="jcp",Tabela8[[#This Row],[Provento p/Ação]]*85%,Tabela8[[#This Row],[Provento p/Ação]])</f>
        <v>0</v>
      </c>
      <c r="K186" s="143" t="str">
        <f>IF([Lucro p/Ação]&lt;&gt;0,SUMPRODUCT(N([Papel]=Tabela8[[#This Row],[Papel]]),N([Exercício]=Tabela8[[#This Row],[Exercício]]),[Líquido p/Ação]),"")</f>
        <v/>
      </c>
      <c r="L186" s="42" t="str">
        <f>IF(Tabela8[[#This Row],[Lucro p/Ação]]="","",IF(Tabela8[[#This Row],[Lucro p/Ação]]&gt;0,Tabela8[[#This Row],[Total Exercício]]/Tabela8[[#This Row],[Lucro p/Ação]],0))</f>
        <v/>
      </c>
      <c r="M1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6" s="14" t="str">
        <f>IF(Tabela8[[#This Row],[Média Lucro p/Ação]]&lt;&gt;"",Tabela8[[#This Row],[Média Pago]]/Tabela8[[#This Row],[Média Lucro p/Ação]],"")</f>
        <v/>
      </c>
      <c r="P1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6" s="7">
        <f>SUMPRODUCT(N(Tabela1[Código]=Tabela8[[#This Row],[Papel]]),Tabela1[Fechamento])</f>
        <v>0</v>
      </c>
      <c r="R186" s="7">
        <f>SUMPRODUCT(N(Tabela17[Código]=Tabela8[[#This Row],[Papel]]),Tabela17[Fechamento])</f>
        <v>0</v>
      </c>
      <c r="S186" s="7">
        <f>SUMPRODUCT(N(Tabela176[Código]=Tabela8[[#This Row],[Papel]]),Tabela176[Fechamento])</f>
        <v>0</v>
      </c>
      <c r="T186" s="7">
        <f>SUMPRODUCT(N(Tabela1768[Código]=Tabela8[[#This Row],[Papel]]),Tabela1768[Fechamento])</f>
        <v>5.5</v>
      </c>
      <c r="U186" s="7">
        <f>SUMPRODUCT(N(Tabela17683[Código]=Tabela8[[#This Row],[Papel]]),Tabela17683[Fechamento])</f>
        <v>0</v>
      </c>
      <c r="V186" s="17">
        <f>IF(MAX(Tabela8[[#This Row],[Cotação 1]]:Tabela8[[#This Row],[Cotação 5]])=0,"",MAX(Tabela8[[#This Row],[Cotação 1]]:Tabela8[[#This Row],[Cotação 5]]))</f>
        <v>5.5</v>
      </c>
      <c r="W1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6" s="17">
        <f>IF(AND([Ref]=5,[Cotação]&gt;0,[Cotação]&lt;&gt;""),[Total Exercício]/[Cotação],IF([Ref]&lt;4,0,""))</f>
        <v>0</v>
      </c>
      <c r="Y186" s="17">
        <f>IF([Tipo]="div",1,0)</f>
        <v>0</v>
      </c>
      <c r="Z186" s="17">
        <f>IF([Tipo]="jcp",1,0)</f>
        <v>0</v>
      </c>
    </row>
    <row r="187" spans="1:26" hidden="1">
      <c r="A187" s="3" t="s">
        <v>876</v>
      </c>
      <c r="B187" s="58" t="s">
        <v>922</v>
      </c>
      <c r="C187" s="16">
        <v>3</v>
      </c>
      <c r="D187" s="4"/>
      <c r="E187" s="4"/>
      <c r="F187" s="4"/>
      <c r="G187" s="4"/>
      <c r="H187" s="4"/>
      <c r="I187" s="4"/>
      <c r="J187" s="17">
        <f>IF(Tabela8[[#This Row],[Tipo]]="jcp",Tabela8[[#This Row],[Provento p/Ação]]*85%,Tabela8[[#This Row],[Provento p/Ação]])</f>
        <v>0</v>
      </c>
      <c r="K187" s="143" t="str">
        <f>IF([Lucro p/Ação]&lt;&gt;0,SUMPRODUCT(N([Papel]=Tabela8[[#This Row],[Papel]]),N([Exercício]=Tabela8[[#This Row],[Exercício]]),[Líquido p/Ação]),"")</f>
        <v/>
      </c>
      <c r="L187" s="42" t="str">
        <f>IF(Tabela8[[#This Row],[Lucro p/Ação]]="","",IF(Tabela8[[#This Row],[Lucro p/Ação]]&gt;0,Tabela8[[#This Row],[Total Exercício]]/Tabela8[[#This Row],[Lucro p/Ação]],0))</f>
        <v/>
      </c>
      <c r="M1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7" s="14" t="str">
        <f>IF(Tabela8[[#This Row],[Média Lucro p/Ação]]&lt;&gt;"",Tabela8[[#This Row],[Média Pago]]/Tabela8[[#This Row],[Média Lucro p/Ação]],"")</f>
        <v/>
      </c>
      <c r="P1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7" s="7">
        <f>SUMPRODUCT(N(Tabela1[Código]=Tabela8[[#This Row],[Papel]]),Tabela1[Fechamento])</f>
        <v>0</v>
      </c>
      <c r="R187" s="7">
        <f>SUMPRODUCT(N(Tabela17[Código]=Tabela8[[#This Row],[Papel]]),Tabela17[Fechamento])</f>
        <v>0</v>
      </c>
      <c r="S187" s="7">
        <f>SUMPRODUCT(N(Tabela176[Código]=Tabela8[[#This Row],[Papel]]),Tabela176[Fechamento])</f>
        <v>0</v>
      </c>
      <c r="T187" s="7">
        <f>SUMPRODUCT(N(Tabela1768[Código]=Tabela8[[#This Row],[Papel]]),Tabela1768[Fechamento])</f>
        <v>5.25</v>
      </c>
      <c r="U187" s="7">
        <f>SUMPRODUCT(N(Tabela17683[Código]=Tabela8[[#This Row],[Papel]]),Tabela17683[Fechamento])</f>
        <v>0</v>
      </c>
      <c r="V187" s="17">
        <f>IF(MAX(Tabela8[[#This Row],[Cotação 1]]:Tabela8[[#This Row],[Cotação 5]])=0,"",MAX(Tabela8[[#This Row],[Cotação 1]]:Tabela8[[#This Row],[Cotação 5]]))</f>
        <v>5.25</v>
      </c>
      <c r="W1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7" s="17">
        <f>IF(AND([Ref]=5,[Cotação]&gt;0,[Cotação]&lt;&gt;""),[Total Exercício]/[Cotação],IF([Ref]&lt;4,0,""))</f>
        <v>0</v>
      </c>
      <c r="Y187" s="17">
        <f>IF([Tipo]="div",1,0)</f>
        <v>0</v>
      </c>
      <c r="Z187" s="17">
        <f>IF([Tipo]="jcp",1,0)</f>
        <v>0</v>
      </c>
    </row>
    <row r="188" spans="1:26" hidden="1">
      <c r="A188" s="3" t="s">
        <v>1131</v>
      </c>
      <c r="B188" s="57" t="s">
        <v>1119</v>
      </c>
      <c r="C188" s="16">
        <v>3</v>
      </c>
      <c r="D188" s="4"/>
      <c r="E188" s="4"/>
      <c r="F188" s="4"/>
      <c r="G188" s="4"/>
      <c r="H188" s="4"/>
      <c r="I188" s="4"/>
      <c r="J188" s="17">
        <f>IF(Tabela8[[#This Row],[Tipo]]="jcp",Tabela8[[#This Row],[Provento p/Ação]]*85%,Tabela8[[#This Row],[Provento p/Ação]])</f>
        <v>0</v>
      </c>
      <c r="K188" s="143" t="str">
        <f>IF([Lucro p/Ação]&lt;&gt;0,SUMPRODUCT(N([Papel]=Tabela8[[#This Row],[Papel]]),N([Exercício]=Tabela8[[#This Row],[Exercício]]),[Líquido p/Ação]),"")</f>
        <v/>
      </c>
      <c r="L188" s="42" t="str">
        <f>IF(Tabela8[[#This Row],[Lucro p/Ação]]="","",IF(Tabela8[[#This Row],[Lucro p/Ação]]&gt;0,Tabela8[[#This Row],[Total Exercício]]/Tabela8[[#This Row],[Lucro p/Ação]],0))</f>
        <v/>
      </c>
      <c r="M1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8" s="14" t="str">
        <f>IF(Tabela8[[#This Row],[Média Lucro p/Ação]]&lt;&gt;"",Tabela8[[#This Row],[Média Pago]]/Tabela8[[#This Row],[Média Lucro p/Ação]],"")</f>
        <v/>
      </c>
      <c r="P1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8" s="7">
        <f>SUMPRODUCT(N(Tabela1[Código]=Tabela8[[#This Row],[Papel]]),Tabela1[Fechamento])</f>
        <v>0</v>
      </c>
      <c r="R188" s="7">
        <f>SUMPRODUCT(N(Tabela17[Código]=Tabela8[[#This Row],[Papel]]),Tabela17[Fechamento])</f>
        <v>0</v>
      </c>
      <c r="S188" s="7">
        <f>SUMPRODUCT(N(Tabela176[Código]=Tabela8[[#This Row],[Papel]]),Tabela176[Fechamento])</f>
        <v>0</v>
      </c>
      <c r="T188" s="7">
        <f>SUMPRODUCT(N(Tabela1768[Código]=Tabela8[[#This Row],[Papel]]),Tabela1768[Fechamento])</f>
        <v>0</v>
      </c>
      <c r="U188" s="7">
        <f>SUMPRODUCT(N(Tabela17683[Código]=Tabela8[[#This Row],[Papel]]),Tabela17683[Fechamento])</f>
        <v>0.31</v>
      </c>
      <c r="V188" s="17">
        <f>IF(MAX(Tabela8[[#This Row],[Cotação 1]]:Tabela8[[#This Row],[Cotação 5]])=0,"",MAX(Tabela8[[#This Row],[Cotação 1]]:Tabela8[[#This Row],[Cotação 5]]))</f>
        <v>0.31</v>
      </c>
      <c r="W1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8" s="17">
        <f>IF(AND([Ref]=5,[Cotação]&gt;0,[Cotação]&lt;&gt;""),[Total Exercício]/[Cotação],IF([Ref]&lt;4,0,""))</f>
        <v>0</v>
      </c>
      <c r="Y188" s="17">
        <f>IF([Tipo]="div",1,0)</f>
        <v>0</v>
      </c>
      <c r="Z188" s="17">
        <f>IF([Tipo]="jcp",1,0)</f>
        <v>0</v>
      </c>
    </row>
    <row r="189" spans="1:26" hidden="1">
      <c r="A189" s="3" t="s">
        <v>1131</v>
      </c>
      <c r="B189" s="57" t="s">
        <v>1120</v>
      </c>
      <c r="C189" s="16">
        <v>3</v>
      </c>
      <c r="D189" s="4"/>
      <c r="E189" s="4"/>
      <c r="F189" s="4"/>
      <c r="G189" s="4"/>
      <c r="H189" s="4"/>
      <c r="I189" s="4"/>
      <c r="J189" s="17">
        <f>IF(Tabela8[[#This Row],[Tipo]]="jcp",Tabela8[[#This Row],[Provento p/Ação]]*85%,Tabela8[[#This Row],[Provento p/Ação]])</f>
        <v>0</v>
      </c>
      <c r="K189" s="143" t="str">
        <f>IF([Lucro p/Ação]&lt;&gt;0,SUMPRODUCT(N([Papel]=Tabela8[[#This Row],[Papel]]),N([Exercício]=Tabela8[[#This Row],[Exercício]]),[Líquido p/Ação]),"")</f>
        <v/>
      </c>
      <c r="L189" s="42" t="str">
        <f>IF(Tabela8[[#This Row],[Lucro p/Ação]]="","",IF(Tabela8[[#This Row],[Lucro p/Ação]]&gt;0,Tabela8[[#This Row],[Total Exercício]]/Tabela8[[#This Row],[Lucro p/Ação]],0))</f>
        <v/>
      </c>
      <c r="M1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89" s="14" t="str">
        <f>IF(Tabela8[[#This Row],[Média Lucro p/Ação]]&lt;&gt;"",Tabela8[[#This Row],[Média Pago]]/Tabela8[[#This Row],[Média Lucro p/Ação]],"")</f>
        <v/>
      </c>
      <c r="P1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89" s="7">
        <f>SUMPRODUCT(N(Tabela1[Código]=Tabela8[[#This Row],[Papel]]),Tabela1[Fechamento])</f>
        <v>0</v>
      </c>
      <c r="R189" s="7">
        <f>SUMPRODUCT(N(Tabela17[Código]=Tabela8[[#This Row],[Papel]]),Tabela17[Fechamento])</f>
        <v>0</v>
      </c>
      <c r="S189" s="7">
        <f>SUMPRODUCT(N(Tabela176[Código]=Tabela8[[#This Row],[Papel]]),Tabela176[Fechamento])</f>
        <v>0</v>
      </c>
      <c r="T189" s="7">
        <f>SUMPRODUCT(N(Tabela1768[Código]=Tabela8[[#This Row],[Papel]]),Tabela1768[Fechamento])</f>
        <v>0</v>
      </c>
      <c r="U189" s="7">
        <f>SUMPRODUCT(N(Tabela17683[Código]=Tabela8[[#This Row],[Papel]]),Tabela17683[Fechamento])</f>
        <v>0</v>
      </c>
      <c r="V189" s="17" t="str">
        <f>IF(MAX(Tabela8[[#This Row],[Cotação 1]]:Tabela8[[#This Row],[Cotação 5]])=0,"",MAX(Tabela8[[#This Row],[Cotação 1]]:Tabela8[[#This Row],[Cotação 5]]))</f>
        <v/>
      </c>
      <c r="W1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89" s="17">
        <f>IF(AND([Ref]=5,[Cotação]&gt;0,[Cotação]&lt;&gt;""),[Total Exercício]/[Cotação],IF([Ref]&lt;4,0,""))</f>
        <v>0</v>
      </c>
      <c r="Y189" s="17">
        <f>IF([Tipo]="div",1,0)</f>
        <v>0</v>
      </c>
      <c r="Z189" s="17">
        <f>IF([Tipo]="jcp",1,0)</f>
        <v>0</v>
      </c>
    </row>
    <row r="190" spans="1:26" hidden="1">
      <c r="A190" s="4" t="s">
        <v>310</v>
      </c>
      <c r="B190" s="57" t="s">
        <v>309</v>
      </c>
      <c r="C190" s="15">
        <v>4</v>
      </c>
      <c r="D190" s="4"/>
      <c r="E190" s="4"/>
      <c r="F190" s="4"/>
      <c r="G190" s="4"/>
      <c r="H190" s="4"/>
      <c r="I190" s="4"/>
      <c r="J190" s="17">
        <f>IF(Tabela8[[#This Row],[Tipo]]="jcp",Tabela8[[#This Row],[Provento p/Ação]]*85%,Tabela8[[#This Row],[Provento p/Ação]])</f>
        <v>0</v>
      </c>
      <c r="K190" s="143" t="str">
        <f>IF([Lucro p/Ação]&lt;&gt;0,SUMPRODUCT(N([Papel]=Tabela8[[#This Row],[Papel]]),N([Exercício]=Tabela8[[#This Row],[Exercício]]),[Líquido p/Ação]),"")</f>
        <v/>
      </c>
      <c r="L190" s="42" t="str">
        <f>IF(Tabela8[[#This Row],[Lucro p/Ação]]="","",IF(Tabela8[[#This Row],[Lucro p/Ação]]&gt;0,Tabela8[[#This Row],[Total Exercício]]/Tabela8[[#This Row],[Lucro p/Ação]],0))</f>
        <v/>
      </c>
      <c r="M1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0" s="14" t="str">
        <f>IF(Tabela8[[#This Row],[Média Lucro p/Ação]]&lt;&gt;"",Tabela8[[#This Row],[Média Pago]]/Tabela8[[#This Row],[Média Lucro p/Ação]],"")</f>
        <v/>
      </c>
      <c r="P1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0" s="13">
        <f>SUMPRODUCT(N(Tabela1[Código]=Tabela8[[#This Row],[Papel]]),Tabela1[Fechamento])</f>
        <v>0</v>
      </c>
      <c r="R190" s="55">
        <f>SUMPRODUCT(N(Tabela17[Código]=Tabela8[[#This Row],[Papel]]),Tabela17[Fechamento])</f>
        <v>10.75</v>
      </c>
      <c r="S190" s="7">
        <f>SUMPRODUCT(N(Tabela176[Código]=Tabela8[[#This Row],[Papel]]),Tabela176[Fechamento])</f>
        <v>0</v>
      </c>
      <c r="T190" s="7">
        <f>SUMPRODUCT(N(Tabela1768[Código]=Tabela8[[#This Row],[Papel]]),Tabela1768[Fechamento])</f>
        <v>0</v>
      </c>
      <c r="U190" s="7">
        <f>SUMPRODUCT(N(Tabela17683[Código]=Tabela8[[#This Row],[Papel]]),Tabela17683[Fechamento])</f>
        <v>0</v>
      </c>
      <c r="V190" s="17">
        <f>IF(MAX(Tabela8[[#This Row],[Cotação 1]]:Tabela8[[#This Row],[Cotação 5]])=0,"",MAX(Tabela8[[#This Row],[Cotação 1]]:Tabela8[[#This Row],[Cotação 5]]))</f>
        <v>10.75</v>
      </c>
      <c r="W1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0" s="17" t="str">
        <f>IF(AND([Ref]=5,[Cotação]&gt;0,[Cotação]&lt;&gt;""),[Total Exercício]/[Cotação],IF([Ref]&lt;4,0,""))</f>
        <v/>
      </c>
      <c r="Y190" s="17">
        <f>IF([Tipo]="div",1,0)</f>
        <v>0</v>
      </c>
      <c r="Z190" s="17">
        <f>IF([Tipo]="jcp",1,0)</f>
        <v>0</v>
      </c>
    </row>
    <row r="191" spans="1:26" hidden="1">
      <c r="A191" s="4" t="s">
        <v>325</v>
      </c>
      <c r="B191" s="115" t="s">
        <v>610</v>
      </c>
      <c r="C191" s="15">
        <v>3</v>
      </c>
      <c r="D191" s="4"/>
      <c r="E191" s="4"/>
      <c r="F191" s="4"/>
      <c r="G191" s="4"/>
      <c r="H191" s="4"/>
      <c r="I191" s="4"/>
      <c r="J191" s="17">
        <f>IF(Tabela8[[#This Row],[Tipo]]="jcp",Tabela8[[#This Row],[Provento p/Ação]]*85%,Tabela8[[#This Row],[Provento p/Ação]])</f>
        <v>0</v>
      </c>
      <c r="K191" s="143" t="str">
        <f>IF([Lucro p/Ação]&lt;&gt;0,SUMPRODUCT(N([Papel]=Tabela8[[#This Row],[Papel]]),N([Exercício]=Tabela8[[#This Row],[Exercício]]),[Líquido p/Ação]),"")</f>
        <v/>
      </c>
      <c r="L191" s="42" t="str">
        <f>IF(Tabela8[[#This Row],[Lucro p/Ação]]="","",IF(Tabela8[[#This Row],[Lucro p/Ação]]&gt;0,Tabela8[[#This Row],[Total Exercício]]/Tabela8[[#This Row],[Lucro p/Ação]],0))</f>
        <v/>
      </c>
      <c r="M1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1" s="14" t="str">
        <f>IF(Tabela8[[#This Row],[Média Lucro p/Ação]]&lt;&gt;"",Tabela8[[#This Row],[Média Pago]]/Tabela8[[#This Row],[Média Lucro p/Ação]],"")</f>
        <v/>
      </c>
      <c r="P1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1" s="17">
        <f>SUMPRODUCT(N(Tabela1[Código]=Tabela8[[#This Row],[Papel]]),Tabela1[Fechamento])</f>
        <v>0</v>
      </c>
      <c r="R191" s="17">
        <f>SUMPRODUCT(N(Tabela17[Código]=Tabela8[[#This Row],[Papel]]),Tabela17[Fechamento])</f>
        <v>0</v>
      </c>
      <c r="S191" s="17">
        <f>SUMPRODUCT(N(Tabela176[Código]=Tabela8[[#This Row],[Papel]]),Tabela176[Fechamento])</f>
        <v>28</v>
      </c>
      <c r="T191" s="17">
        <f>SUMPRODUCT(N(Tabela1768[Código]=Tabela8[[#This Row],[Papel]]),Tabela1768[Fechamento])</f>
        <v>0</v>
      </c>
      <c r="U191" s="7">
        <f>SUMPRODUCT(N(Tabela17683[Código]=Tabela8[[#This Row],[Papel]]),Tabela17683[Fechamento])</f>
        <v>0</v>
      </c>
      <c r="V191" s="17">
        <f>IF(MAX(Tabela8[[#This Row],[Cotação 1]]:Tabela8[[#This Row],[Cotação 5]])=0,"",MAX(Tabela8[[#This Row],[Cotação 1]]:Tabela8[[#This Row],[Cotação 5]]))</f>
        <v>28</v>
      </c>
      <c r="W1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1" s="17">
        <f>IF(AND([Ref]=5,[Cotação]&gt;0,[Cotação]&lt;&gt;""),[Total Exercício]/[Cotação],IF([Ref]&lt;4,0,""))</f>
        <v>0</v>
      </c>
      <c r="Y191" s="17">
        <f>IF([Tipo]="div",1,0)</f>
        <v>0</v>
      </c>
      <c r="Z191" s="17">
        <f>IF([Tipo]="jcp",1,0)</f>
        <v>0</v>
      </c>
    </row>
    <row r="192" spans="1:26" hidden="1">
      <c r="A192" s="4" t="s">
        <v>325</v>
      </c>
      <c r="B192" s="115" t="s">
        <v>611</v>
      </c>
      <c r="C192" s="15">
        <v>3</v>
      </c>
      <c r="D192" s="4"/>
      <c r="E192" s="4"/>
      <c r="F192" s="4"/>
      <c r="G192" s="4"/>
      <c r="H192" s="4"/>
      <c r="I192" s="4"/>
      <c r="J192" s="17">
        <f>IF(Tabela8[[#This Row],[Tipo]]="jcp",Tabela8[[#This Row],[Provento p/Ação]]*85%,Tabela8[[#This Row],[Provento p/Ação]])</f>
        <v>0</v>
      </c>
      <c r="K192" s="143" t="str">
        <f>IF([Lucro p/Ação]&lt;&gt;0,SUMPRODUCT(N([Papel]=Tabela8[[#This Row],[Papel]]),N([Exercício]=Tabela8[[#This Row],[Exercício]]),[Líquido p/Ação]),"")</f>
        <v/>
      </c>
      <c r="L192" s="42" t="str">
        <f>IF(Tabela8[[#This Row],[Lucro p/Ação]]="","",IF(Tabela8[[#This Row],[Lucro p/Ação]]&gt;0,Tabela8[[#This Row],[Total Exercício]]/Tabela8[[#This Row],[Lucro p/Ação]],0))</f>
        <v/>
      </c>
      <c r="M1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2" s="14" t="str">
        <f>IF(Tabela8[[#This Row],[Média Lucro p/Ação]]&lt;&gt;"",Tabela8[[#This Row],[Média Pago]]/Tabela8[[#This Row],[Média Lucro p/Ação]],"")</f>
        <v/>
      </c>
      <c r="P1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2" s="17">
        <f>SUMPRODUCT(N(Tabela1[Código]=Tabela8[[#This Row],[Papel]]),Tabela1[Fechamento])</f>
        <v>0</v>
      </c>
      <c r="R192" s="17">
        <f>SUMPRODUCT(N(Tabela17[Código]=Tabela8[[#This Row],[Papel]]),Tabela17[Fechamento])</f>
        <v>0</v>
      </c>
      <c r="S192" s="17">
        <f>SUMPRODUCT(N(Tabela176[Código]=Tabela8[[#This Row],[Papel]]),Tabela176[Fechamento])</f>
        <v>4</v>
      </c>
      <c r="T192" s="17">
        <f>SUMPRODUCT(N(Tabela1768[Código]=Tabela8[[#This Row],[Papel]]),Tabela1768[Fechamento])</f>
        <v>0</v>
      </c>
      <c r="U192" s="7">
        <f>SUMPRODUCT(N(Tabela17683[Código]=Tabela8[[#This Row],[Papel]]),Tabela17683[Fechamento])</f>
        <v>0</v>
      </c>
      <c r="V192" s="17">
        <f>IF(MAX(Tabela8[[#This Row],[Cotação 1]]:Tabela8[[#This Row],[Cotação 5]])=0,"",MAX(Tabela8[[#This Row],[Cotação 1]]:Tabela8[[#This Row],[Cotação 5]]))</f>
        <v>4</v>
      </c>
      <c r="W1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2" s="17">
        <f>IF(AND([Ref]=5,[Cotação]&gt;0,[Cotação]&lt;&gt;""),[Total Exercício]/[Cotação],IF([Ref]&lt;4,0,""))</f>
        <v>0</v>
      </c>
      <c r="Y192" s="17">
        <f>IF([Tipo]="div",1,0)</f>
        <v>0</v>
      </c>
      <c r="Z192" s="17">
        <f>IF([Tipo]="jcp",1,0)</f>
        <v>0</v>
      </c>
    </row>
    <row r="193" spans="1:26" hidden="1">
      <c r="A193" s="3" t="s">
        <v>1201</v>
      </c>
      <c r="B193" s="57" t="s">
        <v>1193</v>
      </c>
      <c r="C193" s="16">
        <v>3</v>
      </c>
      <c r="D193" s="4"/>
      <c r="E193" s="4"/>
      <c r="F193" s="4"/>
      <c r="G193" s="4"/>
      <c r="H193" s="4"/>
      <c r="I193" s="4"/>
      <c r="J193" s="17">
        <f>IF(Tabela8[[#This Row],[Tipo]]="jcp",Tabela8[[#This Row],[Provento p/Ação]]*85%,Tabela8[[#This Row],[Provento p/Ação]])</f>
        <v>0</v>
      </c>
      <c r="K193" s="143" t="str">
        <f>IF([Lucro p/Ação]&lt;&gt;0,SUMPRODUCT(N([Papel]=Tabela8[[#This Row],[Papel]]),N([Exercício]=Tabela8[[#This Row],[Exercício]]),[Líquido p/Ação]),"")</f>
        <v/>
      </c>
      <c r="L193" s="42" t="str">
        <f>IF(Tabela8[[#This Row],[Lucro p/Ação]]="","",IF(Tabela8[[#This Row],[Lucro p/Ação]]&gt;0,Tabela8[[#This Row],[Total Exercício]]/Tabela8[[#This Row],[Lucro p/Ação]],0))</f>
        <v/>
      </c>
      <c r="M1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3" s="14" t="str">
        <f>IF(Tabela8[[#This Row],[Média Lucro p/Ação]]&lt;&gt;"",Tabela8[[#This Row],[Média Pago]]/Tabela8[[#This Row],[Média Lucro p/Ação]],"")</f>
        <v/>
      </c>
      <c r="P1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3" s="7">
        <f>SUMPRODUCT(N(Tabela1[Código]=Tabela8[[#This Row],[Papel]]),Tabela1[Fechamento])</f>
        <v>0</v>
      </c>
      <c r="R193" s="7">
        <f>SUMPRODUCT(N(Tabela17[Código]=Tabela8[[#This Row],[Papel]]),Tabela17[Fechamento])</f>
        <v>0</v>
      </c>
      <c r="S193" s="7">
        <f>SUMPRODUCT(N(Tabela176[Código]=Tabela8[[#This Row],[Papel]]),Tabela176[Fechamento])</f>
        <v>0</v>
      </c>
      <c r="T193" s="7">
        <f>SUMPRODUCT(N(Tabela1768[Código]=Tabela8[[#This Row],[Papel]]),Tabela1768[Fechamento])</f>
        <v>0</v>
      </c>
      <c r="U193" s="7">
        <f>SUMPRODUCT(N(Tabela17683[Código]=Tabela8[[#This Row],[Papel]]),Tabela17683[Fechamento])</f>
        <v>28</v>
      </c>
      <c r="V193" s="17">
        <f>IF(MAX(Tabela8[[#This Row],[Cotação 1]]:Tabela8[[#This Row],[Cotação 5]])=0,"",MAX(Tabela8[[#This Row],[Cotação 1]]:Tabela8[[#This Row],[Cotação 5]]))</f>
        <v>28</v>
      </c>
      <c r="W1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3" s="17">
        <f>IF(AND([Ref]=5,[Cotação]&gt;0,[Cotação]&lt;&gt;""),[Total Exercício]/[Cotação],IF([Ref]&lt;4,0,""))</f>
        <v>0</v>
      </c>
      <c r="Y193" s="17">
        <f>IF([Tipo]="div",1,0)</f>
        <v>0</v>
      </c>
      <c r="Z193" s="17">
        <f>IF([Tipo]="jcp",1,0)</f>
        <v>0</v>
      </c>
    </row>
    <row r="194" spans="1:26" hidden="1">
      <c r="A194" s="3" t="s">
        <v>1201</v>
      </c>
      <c r="B194" s="57" t="s">
        <v>1194</v>
      </c>
      <c r="C194" s="16">
        <v>3</v>
      </c>
      <c r="D194" s="4"/>
      <c r="E194" s="4"/>
      <c r="F194" s="4"/>
      <c r="G194" s="4"/>
      <c r="H194" s="4"/>
      <c r="I194" s="4"/>
      <c r="J194" s="17">
        <f>IF(Tabela8[[#This Row],[Tipo]]="jcp",Tabela8[[#This Row],[Provento p/Ação]]*85%,Tabela8[[#This Row],[Provento p/Ação]])</f>
        <v>0</v>
      </c>
      <c r="K194" s="143" t="str">
        <f>IF([Lucro p/Ação]&lt;&gt;0,SUMPRODUCT(N([Papel]=Tabela8[[#This Row],[Papel]]),N([Exercício]=Tabela8[[#This Row],[Exercício]]),[Líquido p/Ação]),"")</f>
        <v/>
      </c>
      <c r="L194" s="42" t="str">
        <f>IF(Tabela8[[#This Row],[Lucro p/Ação]]="","",IF(Tabela8[[#This Row],[Lucro p/Ação]]&gt;0,Tabela8[[#This Row],[Total Exercício]]/Tabela8[[#This Row],[Lucro p/Ação]],0))</f>
        <v/>
      </c>
      <c r="M1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4" s="14" t="str">
        <f>IF(Tabela8[[#This Row],[Média Lucro p/Ação]]&lt;&gt;"",Tabela8[[#This Row],[Média Pago]]/Tabela8[[#This Row],[Média Lucro p/Ação]],"")</f>
        <v/>
      </c>
      <c r="P1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4" s="7">
        <f>SUMPRODUCT(N(Tabela1[Código]=Tabela8[[#This Row],[Papel]]),Tabela1[Fechamento])</f>
        <v>0</v>
      </c>
      <c r="R194" s="7">
        <f>SUMPRODUCT(N(Tabela17[Código]=Tabela8[[#This Row],[Papel]]),Tabela17[Fechamento])</f>
        <v>0</v>
      </c>
      <c r="S194" s="7">
        <f>SUMPRODUCT(N(Tabela176[Código]=Tabela8[[#This Row],[Papel]]),Tabela176[Fechamento])</f>
        <v>0</v>
      </c>
      <c r="T194" s="7">
        <f>SUMPRODUCT(N(Tabela1768[Código]=Tabela8[[#This Row],[Papel]]),Tabela1768[Fechamento])</f>
        <v>0</v>
      </c>
      <c r="U194" s="7">
        <f>SUMPRODUCT(N(Tabela17683[Código]=Tabela8[[#This Row],[Papel]]),Tabela17683[Fechamento])</f>
        <v>24.87</v>
      </c>
      <c r="V194" s="17">
        <f>IF(MAX(Tabela8[[#This Row],[Cotação 1]]:Tabela8[[#This Row],[Cotação 5]])=0,"",MAX(Tabela8[[#This Row],[Cotação 1]]:Tabela8[[#This Row],[Cotação 5]]))</f>
        <v>24.87</v>
      </c>
      <c r="W1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4" s="17">
        <f>IF(AND([Ref]=5,[Cotação]&gt;0,[Cotação]&lt;&gt;""),[Total Exercício]/[Cotação],IF([Ref]&lt;4,0,""))</f>
        <v>0</v>
      </c>
      <c r="Y194" s="17">
        <f>IF([Tipo]="div",1,0)</f>
        <v>0</v>
      </c>
      <c r="Z194" s="17">
        <f>IF([Tipo]="jcp",1,0)</f>
        <v>0</v>
      </c>
    </row>
    <row r="195" spans="1:26" hidden="1">
      <c r="A195" s="4" t="s">
        <v>283</v>
      </c>
      <c r="B195" s="57" t="s">
        <v>516</v>
      </c>
      <c r="C195" s="15">
        <v>3</v>
      </c>
      <c r="D195" s="4"/>
      <c r="E195" s="4"/>
      <c r="F195" s="4"/>
      <c r="G195" s="4"/>
      <c r="H195" s="4"/>
      <c r="I195" s="4"/>
      <c r="J195" s="17">
        <f>IF(Tabela8[[#This Row],[Tipo]]="jcp",Tabela8[[#This Row],[Provento p/Ação]]*85%,Tabela8[[#This Row],[Provento p/Ação]])</f>
        <v>0</v>
      </c>
      <c r="K195" s="143" t="str">
        <f>IF([Lucro p/Ação]&lt;&gt;0,SUMPRODUCT(N([Papel]=Tabela8[[#This Row],[Papel]]),N([Exercício]=Tabela8[[#This Row],[Exercício]]),[Líquido p/Ação]),"")</f>
        <v/>
      </c>
      <c r="L195" s="42" t="str">
        <f>IF(Tabela8[[#This Row],[Lucro p/Ação]]="","",IF(Tabela8[[#This Row],[Lucro p/Ação]]&gt;0,Tabela8[[#This Row],[Total Exercício]]/Tabela8[[#This Row],[Lucro p/Ação]],0))</f>
        <v/>
      </c>
      <c r="M1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5" s="14" t="str">
        <f>IF(Tabela8[[#This Row],[Média Lucro p/Ação]]&lt;&gt;"",Tabela8[[#This Row],[Média Pago]]/Tabela8[[#This Row],[Média Lucro p/Ação]],"")</f>
        <v/>
      </c>
      <c r="P1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5" s="13">
        <f>SUMPRODUCT(N(Tabela1[Código]=Tabela8[[#This Row],[Papel]]),Tabela1[Fechamento])</f>
        <v>0</v>
      </c>
      <c r="R195" s="55">
        <f>SUMPRODUCT(N(Tabela17[Código]=Tabela8[[#This Row],[Papel]]),Tabela17[Fechamento])</f>
        <v>7.2</v>
      </c>
      <c r="S195" s="55">
        <f>SUMPRODUCT(N(Tabela176[Código]=Tabela8[[#This Row],[Papel]]),Tabela176[Fechamento])</f>
        <v>0</v>
      </c>
      <c r="T195" s="55">
        <f>SUMPRODUCT(N(Tabela1768[Código]=Tabela8[[#This Row],[Papel]]),Tabela1768[Fechamento])</f>
        <v>0</v>
      </c>
      <c r="U195" s="7">
        <f>SUMPRODUCT(N(Tabela17683[Código]=Tabela8[[#This Row],[Papel]]),Tabela17683[Fechamento])</f>
        <v>0</v>
      </c>
      <c r="V195" s="17">
        <f>IF(MAX(Tabela8[[#This Row],[Cotação 1]]:Tabela8[[#This Row],[Cotação 5]])=0,"",MAX(Tabela8[[#This Row],[Cotação 1]]:Tabela8[[#This Row],[Cotação 5]]))</f>
        <v>7.2</v>
      </c>
      <c r="W1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5" s="17">
        <f>IF(AND([Ref]=5,[Cotação]&gt;0,[Cotação]&lt;&gt;""),[Total Exercício]/[Cotação],IF([Ref]&lt;4,0,""))</f>
        <v>0</v>
      </c>
      <c r="Y195" s="17">
        <f>IF([Tipo]="div",1,0)</f>
        <v>0</v>
      </c>
      <c r="Z195" s="17">
        <f>IF([Tipo]="jcp",1,0)</f>
        <v>0</v>
      </c>
    </row>
    <row r="196" spans="1:26" hidden="1">
      <c r="A196" s="4" t="s">
        <v>283</v>
      </c>
      <c r="B196" s="57" t="s">
        <v>371</v>
      </c>
      <c r="C196" s="15">
        <v>3</v>
      </c>
      <c r="D196" s="4"/>
      <c r="E196" s="4"/>
      <c r="F196" s="4"/>
      <c r="G196" s="4"/>
      <c r="H196" s="4"/>
      <c r="I196" s="4"/>
      <c r="J196" s="17">
        <f>IF(Tabela8[[#This Row],[Tipo]]="jcp",Tabela8[[#This Row],[Provento p/Ação]]*85%,Tabela8[[#This Row],[Provento p/Ação]])</f>
        <v>0</v>
      </c>
      <c r="K196" s="143" t="str">
        <f>IF([Lucro p/Ação]&lt;&gt;0,SUMPRODUCT(N([Papel]=Tabela8[[#This Row],[Papel]]),N([Exercício]=Tabela8[[#This Row],[Exercício]]),[Líquido p/Ação]),"")</f>
        <v/>
      </c>
      <c r="L196" s="42" t="str">
        <f>IF(Tabela8[[#This Row],[Lucro p/Ação]]="","",IF(Tabela8[[#This Row],[Lucro p/Ação]]&gt;0,Tabela8[[#This Row],[Total Exercício]]/Tabela8[[#This Row],[Lucro p/Ação]],0))</f>
        <v/>
      </c>
      <c r="M1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6" s="14" t="str">
        <f>IF(Tabela8[[#This Row],[Média Lucro p/Ação]]&lt;&gt;"",Tabela8[[#This Row],[Média Pago]]/Tabela8[[#This Row],[Média Lucro p/Ação]],"")</f>
        <v/>
      </c>
      <c r="P1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6" s="55">
        <f>SUMPRODUCT(N(Tabela1[Código]=Tabela8[[#This Row],[Papel]]),Tabela1[Fechamento])</f>
        <v>0</v>
      </c>
      <c r="R196" s="17">
        <f>SUMPRODUCT(N(Tabela17[Código]=Tabela8[[#This Row],[Papel]]),Tabela17[Fechamento])</f>
        <v>7.38</v>
      </c>
      <c r="S196" s="7">
        <f>SUMPRODUCT(N(Tabela176[Código]=Tabela8[[#This Row],[Papel]]),Tabela176[Fechamento])</f>
        <v>0</v>
      </c>
      <c r="T196" s="7">
        <f>SUMPRODUCT(N(Tabela1768[Código]=Tabela8[[#This Row],[Papel]]),Tabela1768[Fechamento])</f>
        <v>0</v>
      </c>
      <c r="U196" s="7">
        <f>SUMPRODUCT(N(Tabela17683[Código]=Tabela8[[#This Row],[Papel]]),Tabela17683[Fechamento])</f>
        <v>0</v>
      </c>
      <c r="V196" s="17">
        <f>IF(MAX(Tabela8[[#This Row],[Cotação 1]]:Tabela8[[#This Row],[Cotação 5]])=0,"",MAX(Tabela8[[#This Row],[Cotação 1]]:Tabela8[[#This Row],[Cotação 5]]))</f>
        <v>7.38</v>
      </c>
      <c r="W1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6" s="17">
        <f>IF(AND([Ref]=5,[Cotação]&gt;0,[Cotação]&lt;&gt;""),[Total Exercício]/[Cotação],IF([Ref]&lt;4,0,""))</f>
        <v>0</v>
      </c>
      <c r="Y196" s="17">
        <f>IF([Tipo]="div",1,0)</f>
        <v>0</v>
      </c>
      <c r="Z196" s="17">
        <f>IF([Tipo]="jcp",1,0)</f>
        <v>0</v>
      </c>
    </row>
    <row r="197" spans="1:26" hidden="1">
      <c r="A197" s="3" t="s">
        <v>1140</v>
      </c>
      <c r="B197" s="57" t="s">
        <v>1134</v>
      </c>
      <c r="C197" s="16">
        <v>3</v>
      </c>
      <c r="D197" s="4"/>
      <c r="E197" s="4"/>
      <c r="F197" s="4"/>
      <c r="G197" s="4"/>
      <c r="H197" s="4"/>
      <c r="I197" s="4"/>
      <c r="J197" s="17">
        <f>IF(Tabela8[[#This Row],[Tipo]]="jcp",Tabela8[[#This Row],[Provento p/Ação]]*85%,Tabela8[[#This Row],[Provento p/Ação]])</f>
        <v>0</v>
      </c>
      <c r="K197" s="143" t="str">
        <f>IF([Lucro p/Ação]&lt;&gt;0,SUMPRODUCT(N([Papel]=Tabela8[[#This Row],[Papel]]),N([Exercício]=Tabela8[[#This Row],[Exercício]]),[Líquido p/Ação]),"")</f>
        <v/>
      </c>
      <c r="L197" s="42" t="str">
        <f>IF(Tabela8[[#This Row],[Lucro p/Ação]]="","",IF(Tabela8[[#This Row],[Lucro p/Ação]]&gt;0,Tabela8[[#This Row],[Total Exercício]]/Tabela8[[#This Row],[Lucro p/Ação]],0))</f>
        <v/>
      </c>
      <c r="M1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7" s="14" t="str">
        <f>IF(Tabela8[[#This Row],[Média Lucro p/Ação]]&lt;&gt;"",Tabela8[[#This Row],[Média Pago]]/Tabela8[[#This Row],[Média Lucro p/Ação]],"")</f>
        <v/>
      </c>
      <c r="P1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7" s="7">
        <f>SUMPRODUCT(N(Tabela1[Código]=Tabela8[[#This Row],[Papel]]),Tabela1[Fechamento])</f>
        <v>0</v>
      </c>
      <c r="R197" s="7">
        <f>SUMPRODUCT(N(Tabela17[Código]=Tabela8[[#This Row],[Papel]]),Tabela17[Fechamento])</f>
        <v>0</v>
      </c>
      <c r="S197" s="7">
        <f>SUMPRODUCT(N(Tabela176[Código]=Tabela8[[#This Row],[Papel]]),Tabela176[Fechamento])</f>
        <v>0</v>
      </c>
      <c r="T197" s="7">
        <f>SUMPRODUCT(N(Tabela1768[Código]=Tabela8[[#This Row],[Papel]]),Tabela1768[Fechamento])</f>
        <v>0</v>
      </c>
      <c r="U197" s="7">
        <f>SUMPRODUCT(N(Tabela17683[Código]=Tabela8[[#This Row],[Papel]]),Tabela17683[Fechamento])</f>
        <v>12.7</v>
      </c>
      <c r="V197" s="17">
        <f>IF(MAX(Tabela8[[#This Row],[Cotação 1]]:Tabela8[[#This Row],[Cotação 5]])=0,"",MAX(Tabela8[[#This Row],[Cotação 1]]:Tabela8[[#This Row],[Cotação 5]]))</f>
        <v>12.7</v>
      </c>
      <c r="W1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7" s="17">
        <f>IF(AND([Ref]=5,[Cotação]&gt;0,[Cotação]&lt;&gt;""),[Total Exercício]/[Cotação],IF([Ref]&lt;4,0,""))</f>
        <v>0</v>
      </c>
      <c r="Y197" s="17">
        <f>IF([Tipo]="div",1,0)</f>
        <v>0</v>
      </c>
      <c r="Z197" s="17">
        <f>IF([Tipo]="jcp",1,0)</f>
        <v>0</v>
      </c>
    </row>
    <row r="198" spans="1:26" hidden="1">
      <c r="A198" s="3" t="s">
        <v>876</v>
      </c>
      <c r="B198" s="58" t="s">
        <v>925</v>
      </c>
      <c r="C198" s="16">
        <v>3</v>
      </c>
      <c r="D198" s="4"/>
      <c r="E198" s="4"/>
      <c r="F198" s="4"/>
      <c r="G198" s="4"/>
      <c r="H198" s="4"/>
      <c r="I198" s="4"/>
      <c r="J198" s="17">
        <f>IF(Tabela8[[#This Row],[Tipo]]="jcp",Tabela8[[#This Row],[Provento p/Ação]]*85%,Tabela8[[#This Row],[Provento p/Ação]])</f>
        <v>0</v>
      </c>
      <c r="K198" s="143" t="str">
        <f>IF([Lucro p/Ação]&lt;&gt;0,SUMPRODUCT(N([Papel]=Tabela8[[#This Row],[Papel]]),N([Exercício]=Tabela8[[#This Row],[Exercício]]),[Líquido p/Ação]),"")</f>
        <v/>
      </c>
      <c r="L198" s="42" t="str">
        <f>IF(Tabela8[[#This Row],[Lucro p/Ação]]="","",IF(Tabela8[[#This Row],[Lucro p/Ação]]&gt;0,Tabela8[[#This Row],[Total Exercício]]/Tabela8[[#This Row],[Lucro p/Ação]],0))</f>
        <v/>
      </c>
      <c r="M1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8" s="14" t="str">
        <f>IF(Tabela8[[#This Row],[Média Lucro p/Ação]]&lt;&gt;"",Tabela8[[#This Row],[Média Pago]]/Tabela8[[#This Row],[Média Lucro p/Ação]],"")</f>
        <v/>
      </c>
      <c r="P1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8" s="7">
        <f>SUMPRODUCT(N(Tabela1[Código]=Tabela8[[#This Row],[Papel]]),Tabela1[Fechamento])</f>
        <v>0</v>
      </c>
      <c r="R198" s="7">
        <f>SUMPRODUCT(N(Tabela17[Código]=Tabela8[[#This Row],[Papel]]),Tabela17[Fechamento])</f>
        <v>0</v>
      </c>
      <c r="S198" s="7">
        <f>SUMPRODUCT(N(Tabela176[Código]=Tabela8[[#This Row],[Papel]]),Tabela176[Fechamento])</f>
        <v>0</v>
      </c>
      <c r="T198" s="7">
        <f>SUMPRODUCT(N(Tabela1768[Código]=Tabela8[[#This Row],[Papel]]),Tabela1768[Fechamento])</f>
        <v>31.86</v>
      </c>
      <c r="U198" s="7">
        <f>SUMPRODUCT(N(Tabela17683[Código]=Tabela8[[#This Row],[Papel]]),Tabela17683[Fechamento])</f>
        <v>0</v>
      </c>
      <c r="V198" s="17">
        <f>IF(MAX(Tabela8[[#This Row],[Cotação 1]]:Tabela8[[#This Row],[Cotação 5]])=0,"",MAX(Tabela8[[#This Row],[Cotação 1]]:Tabela8[[#This Row],[Cotação 5]]))</f>
        <v>31.86</v>
      </c>
      <c r="W1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8" s="17">
        <f>IF(AND([Ref]=5,[Cotação]&gt;0,[Cotação]&lt;&gt;""),[Total Exercício]/[Cotação],IF([Ref]&lt;4,0,""))</f>
        <v>0</v>
      </c>
      <c r="Y198" s="17">
        <f>IF([Tipo]="div",1,0)</f>
        <v>0</v>
      </c>
      <c r="Z198" s="17">
        <f>IF([Tipo]="jcp",1,0)</f>
        <v>0</v>
      </c>
    </row>
    <row r="199" spans="1:26" hidden="1">
      <c r="A199" s="3" t="s">
        <v>876</v>
      </c>
      <c r="B199" s="58" t="s">
        <v>926</v>
      </c>
      <c r="C199" s="16">
        <v>3</v>
      </c>
      <c r="D199" s="4"/>
      <c r="E199" s="4"/>
      <c r="F199" s="4"/>
      <c r="G199" s="4"/>
      <c r="H199" s="4"/>
      <c r="I199" s="4"/>
      <c r="J199" s="17">
        <f>IF(Tabela8[[#This Row],[Tipo]]="jcp",Tabela8[[#This Row],[Provento p/Ação]]*85%,Tabela8[[#This Row],[Provento p/Ação]])</f>
        <v>0</v>
      </c>
      <c r="K199" s="143" t="str">
        <f>IF([Lucro p/Ação]&lt;&gt;0,SUMPRODUCT(N([Papel]=Tabela8[[#This Row],[Papel]]),N([Exercício]=Tabela8[[#This Row],[Exercício]]),[Líquido p/Ação]),"")</f>
        <v/>
      </c>
      <c r="L199" s="42" t="str">
        <f>IF(Tabela8[[#This Row],[Lucro p/Ação]]="","",IF(Tabela8[[#This Row],[Lucro p/Ação]]&gt;0,Tabela8[[#This Row],[Total Exercício]]/Tabela8[[#This Row],[Lucro p/Ação]],0))</f>
        <v/>
      </c>
      <c r="M1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99" s="14" t="str">
        <f>IF(Tabela8[[#This Row],[Média Lucro p/Ação]]&lt;&gt;"",Tabela8[[#This Row],[Média Pago]]/Tabela8[[#This Row],[Média Lucro p/Ação]],"")</f>
        <v/>
      </c>
      <c r="P1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99" s="7">
        <f>SUMPRODUCT(N(Tabela1[Código]=Tabela8[[#This Row],[Papel]]),Tabela1[Fechamento])</f>
        <v>0</v>
      </c>
      <c r="R199" s="7">
        <f>SUMPRODUCT(N(Tabela17[Código]=Tabela8[[#This Row],[Papel]]),Tabela17[Fechamento])</f>
        <v>0</v>
      </c>
      <c r="S199" s="7">
        <f>SUMPRODUCT(N(Tabela176[Código]=Tabela8[[#This Row],[Papel]]),Tabela176[Fechamento])</f>
        <v>0</v>
      </c>
      <c r="T199" s="7">
        <f>SUMPRODUCT(N(Tabela1768[Código]=Tabela8[[#This Row],[Papel]]),Tabela1768[Fechamento])</f>
        <v>49</v>
      </c>
      <c r="U199" s="7">
        <f>SUMPRODUCT(N(Tabela17683[Código]=Tabela8[[#This Row],[Papel]]),Tabela17683[Fechamento])</f>
        <v>0</v>
      </c>
      <c r="V199" s="17">
        <f>IF(MAX(Tabela8[[#This Row],[Cotação 1]]:Tabela8[[#This Row],[Cotação 5]])=0,"",MAX(Tabela8[[#This Row],[Cotação 1]]:Tabela8[[#This Row],[Cotação 5]]))</f>
        <v>49</v>
      </c>
      <c r="W1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99" s="17">
        <f>IF(AND([Ref]=5,[Cotação]&gt;0,[Cotação]&lt;&gt;""),[Total Exercício]/[Cotação],IF([Ref]&lt;4,0,""))</f>
        <v>0</v>
      </c>
      <c r="Y199" s="17">
        <f>IF([Tipo]="div",1,0)</f>
        <v>0</v>
      </c>
      <c r="Z199" s="17">
        <f>IF([Tipo]="jcp",1,0)</f>
        <v>0</v>
      </c>
    </row>
    <row r="200" spans="1:26" hidden="1">
      <c r="A200" s="4" t="s">
        <v>12</v>
      </c>
      <c r="B200" s="57" t="s">
        <v>97</v>
      </c>
      <c r="C200" s="15">
        <v>3</v>
      </c>
      <c r="D200" s="14"/>
      <c r="E200" s="4"/>
      <c r="F200" s="4"/>
      <c r="G200" s="4"/>
      <c r="H200" s="4"/>
      <c r="I200" s="4"/>
      <c r="J200" s="133">
        <f>IF(Tabela8[[#This Row],[Tipo]]="jcp",Tabela8[[#This Row],[Provento p/Ação]]*85%,Tabela8[[#This Row],[Provento p/Ação]])</f>
        <v>0</v>
      </c>
      <c r="K200" s="143" t="str">
        <f>IF([Lucro p/Ação]&lt;&gt;0,SUMPRODUCT(N([Papel]=Tabela8[[#This Row],[Papel]]),N([Exercício]=Tabela8[[#This Row],[Exercício]]),[Líquido p/Ação]),"")</f>
        <v/>
      </c>
      <c r="L200" s="42" t="str">
        <f>IF(Tabela8[[#This Row],[Lucro p/Ação]]="","",IF(Tabela8[[#This Row],[Lucro p/Ação]]&gt;0,Tabela8[[#This Row],[Total Exercício]]/Tabela8[[#This Row],[Lucro p/Ação]],0))</f>
        <v/>
      </c>
      <c r="M2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0" s="14" t="str">
        <f>IF(Tabela8[[#This Row],[Média Lucro p/Ação]]&lt;&gt;"",Tabela8[[#This Row],[Média Pago]]/Tabela8[[#This Row],[Média Lucro p/Ação]],"")</f>
        <v/>
      </c>
      <c r="P2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0" s="5">
        <f>SUMPRODUCT(N(Tabela1[Código]=Tabela8[[#This Row],[Papel]]),Tabela1[Fechamento])</f>
        <v>1.31</v>
      </c>
      <c r="R200" s="5">
        <f>SUMPRODUCT(N(Tabela17[Código]=Tabela8[[#This Row],[Papel]]),Tabela17[Fechamento])</f>
        <v>0</v>
      </c>
      <c r="S200" s="7">
        <f>SUMPRODUCT(N(Tabela176[Código]=Tabela8[[#This Row],[Papel]]),Tabela176[Fechamento])</f>
        <v>0</v>
      </c>
      <c r="T200" s="7">
        <f>SUMPRODUCT(N(Tabela1768[Código]=Tabela8[[#This Row],[Papel]]),Tabela1768[Fechamento])</f>
        <v>0</v>
      </c>
      <c r="U200" s="7">
        <f>SUMPRODUCT(N(Tabela17683[Código]=Tabela8[[#This Row],[Papel]]),Tabela17683[Fechamento])</f>
        <v>0</v>
      </c>
      <c r="V200" s="17">
        <f>IF(MAX(Tabela8[[#This Row],[Cotação 1]]:Tabela8[[#This Row],[Cotação 5]])=0,"",MAX(Tabela8[[#This Row],[Cotação 1]]:Tabela8[[#This Row],[Cotação 5]]))</f>
        <v>1.31</v>
      </c>
      <c r="W2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0" s="17">
        <f>IF(AND([Ref]=5,[Cotação]&gt;0,[Cotação]&lt;&gt;""),[Total Exercício]/[Cotação],IF([Ref]&lt;4,0,""))</f>
        <v>0</v>
      </c>
      <c r="Y200" s="17">
        <f>IF([Tipo]="div",1,0)</f>
        <v>0</v>
      </c>
      <c r="Z200" s="17">
        <f>IF([Tipo]="jcp",1,0)</f>
        <v>0</v>
      </c>
    </row>
    <row r="201" spans="1:26" hidden="1">
      <c r="A201" s="4" t="s">
        <v>12</v>
      </c>
      <c r="B201" s="57" t="s">
        <v>98</v>
      </c>
      <c r="C201" s="15">
        <v>3</v>
      </c>
      <c r="D201" s="14"/>
      <c r="E201" s="4"/>
      <c r="F201" s="4"/>
      <c r="G201" s="4"/>
      <c r="H201" s="4"/>
      <c r="I201" s="4"/>
      <c r="J201" s="133">
        <f>IF(Tabela8[[#This Row],[Tipo]]="jcp",Tabela8[[#This Row],[Provento p/Ação]]*85%,Tabela8[[#This Row],[Provento p/Ação]])</f>
        <v>0</v>
      </c>
      <c r="K201" s="143" t="str">
        <f>IF([Lucro p/Ação]&lt;&gt;0,SUMPRODUCT(N([Papel]=Tabela8[[#This Row],[Papel]]),N([Exercício]=Tabela8[[#This Row],[Exercício]]),[Líquido p/Ação]),"")</f>
        <v/>
      </c>
      <c r="L201" s="42" t="str">
        <f>IF(Tabela8[[#This Row],[Lucro p/Ação]]="","",IF(Tabela8[[#This Row],[Lucro p/Ação]]&gt;0,Tabela8[[#This Row],[Total Exercício]]/Tabela8[[#This Row],[Lucro p/Ação]],0))</f>
        <v/>
      </c>
      <c r="M2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1" s="14" t="str">
        <f>IF(Tabela8[[#This Row],[Média Lucro p/Ação]]&lt;&gt;"",Tabela8[[#This Row],[Média Pago]]/Tabela8[[#This Row],[Média Lucro p/Ação]],"")</f>
        <v/>
      </c>
      <c r="P2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1" s="5">
        <f>SUMPRODUCT(N(Tabela1[Código]=Tabela8[[#This Row],[Papel]]),Tabela1[Fechamento])</f>
        <v>1.57</v>
      </c>
      <c r="R201" s="5">
        <f>SUMPRODUCT(N(Tabela17[Código]=Tabela8[[#This Row],[Papel]]),Tabela17[Fechamento])</f>
        <v>0</v>
      </c>
      <c r="S201" s="7">
        <f>SUMPRODUCT(N(Tabela176[Código]=Tabela8[[#This Row],[Papel]]),Tabela176[Fechamento])</f>
        <v>0</v>
      </c>
      <c r="T201" s="7">
        <f>SUMPRODUCT(N(Tabela1768[Código]=Tabela8[[#This Row],[Papel]]),Tabela1768[Fechamento])</f>
        <v>0</v>
      </c>
      <c r="U201" s="7">
        <f>SUMPRODUCT(N(Tabela17683[Código]=Tabela8[[#This Row],[Papel]]),Tabela17683[Fechamento])</f>
        <v>0</v>
      </c>
      <c r="V201" s="17">
        <f>IF(MAX(Tabela8[[#This Row],[Cotação 1]]:Tabela8[[#This Row],[Cotação 5]])=0,"",MAX(Tabela8[[#This Row],[Cotação 1]]:Tabela8[[#This Row],[Cotação 5]]))</f>
        <v>1.57</v>
      </c>
      <c r="W2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1" s="17">
        <f>IF(AND([Ref]=5,[Cotação]&gt;0,[Cotação]&lt;&gt;""),[Total Exercício]/[Cotação],IF([Ref]&lt;4,0,""))</f>
        <v>0</v>
      </c>
      <c r="Y201" s="17">
        <f>IF([Tipo]="div",1,0)</f>
        <v>0</v>
      </c>
      <c r="Z201" s="17">
        <f>IF([Tipo]="jcp",1,0)</f>
        <v>0</v>
      </c>
    </row>
    <row r="202" spans="1:26" hidden="1">
      <c r="A202" s="4" t="s">
        <v>12</v>
      </c>
      <c r="B202" s="57" t="s">
        <v>482</v>
      </c>
      <c r="C202" s="15">
        <v>4</v>
      </c>
      <c r="D202" s="14"/>
      <c r="E202" s="4"/>
      <c r="F202" s="4"/>
      <c r="G202" s="4"/>
      <c r="H202" s="4"/>
      <c r="I202" s="4"/>
      <c r="J202" s="133">
        <f>IF(Tabela8[[#This Row],[Tipo]]="jcp",Tabela8[[#This Row],[Provento p/Ação]]*85%,Tabela8[[#This Row],[Provento p/Ação]])</f>
        <v>0</v>
      </c>
      <c r="K202" s="143" t="str">
        <f>IF([Lucro p/Ação]&lt;&gt;0,SUMPRODUCT(N([Papel]=Tabela8[[#This Row],[Papel]]),N([Exercício]=Tabela8[[#This Row],[Exercício]]),[Líquido p/Ação]),"")</f>
        <v/>
      </c>
      <c r="L202" s="42" t="str">
        <f>IF(Tabela8[[#This Row],[Lucro p/Ação]]="","",IF(Tabela8[[#This Row],[Lucro p/Ação]]&gt;0,Tabela8[[#This Row],[Total Exercício]]/Tabela8[[#This Row],[Lucro p/Ação]],0))</f>
        <v/>
      </c>
      <c r="M2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2" s="14" t="str">
        <f>IF(Tabela8[[#This Row],[Média Lucro p/Ação]]&lt;&gt;"",Tabela8[[#This Row],[Média Pago]]/Tabela8[[#This Row],[Média Lucro p/Ação]],"")</f>
        <v/>
      </c>
      <c r="P2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2" s="17">
        <f>SUMPRODUCT(N(Tabela1[Código]=Tabela8[[#This Row],[Papel]]),Tabela1[Fechamento])</f>
        <v>0</v>
      </c>
      <c r="R202" s="17">
        <f>SUMPRODUCT(N(Tabela17[Código]=Tabela8[[#This Row],[Papel]]),Tabela17[Fechamento])</f>
        <v>21</v>
      </c>
      <c r="S202" s="7">
        <f>SUMPRODUCT(N(Tabela176[Código]=Tabela8[[#This Row],[Papel]]),Tabela176[Fechamento])</f>
        <v>0</v>
      </c>
      <c r="T202" s="7">
        <f>SUMPRODUCT(N(Tabela1768[Código]=Tabela8[[#This Row],[Papel]]),Tabela1768[Fechamento])</f>
        <v>0</v>
      </c>
      <c r="U202" s="7">
        <f>SUMPRODUCT(N(Tabela17683[Código]=Tabela8[[#This Row],[Papel]]),Tabela17683[Fechamento])</f>
        <v>0</v>
      </c>
      <c r="V202" s="17">
        <f>IF(MAX(Tabela8[[#This Row],[Cotação 1]]:Tabela8[[#This Row],[Cotação 5]])=0,"",MAX(Tabela8[[#This Row],[Cotação 1]]:Tabela8[[#This Row],[Cotação 5]]))</f>
        <v>21</v>
      </c>
      <c r="W2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2" s="17" t="str">
        <f>IF(AND([Ref]=5,[Cotação]&gt;0,[Cotação]&lt;&gt;""),[Total Exercício]/[Cotação],IF([Ref]&lt;4,0,""))</f>
        <v/>
      </c>
      <c r="Y202" s="17">
        <f>IF([Tipo]="div",1,0)</f>
        <v>0</v>
      </c>
      <c r="Z202" s="17">
        <f>IF([Tipo]="jcp",1,0)</f>
        <v>0</v>
      </c>
    </row>
    <row r="203" spans="1:26" hidden="1">
      <c r="A203" s="4" t="s">
        <v>12</v>
      </c>
      <c r="B203" s="57" t="s">
        <v>483</v>
      </c>
      <c r="C203" s="15">
        <v>4</v>
      </c>
      <c r="D203" s="14"/>
      <c r="E203" s="4"/>
      <c r="F203" s="4"/>
      <c r="G203" s="4"/>
      <c r="H203" s="4"/>
      <c r="I203" s="4"/>
      <c r="J203" s="133">
        <f>IF(Tabela8[[#This Row],[Tipo]]="jcp",Tabela8[[#This Row],[Provento p/Ação]]*85%,Tabela8[[#This Row],[Provento p/Ação]])</f>
        <v>0</v>
      </c>
      <c r="K203" s="143" t="str">
        <f>IF([Lucro p/Ação]&lt;&gt;0,SUMPRODUCT(N([Papel]=Tabela8[[#This Row],[Papel]]),N([Exercício]=Tabela8[[#This Row],[Exercício]]),[Líquido p/Ação]),"")</f>
        <v/>
      </c>
      <c r="L203" s="42" t="str">
        <f>IF(Tabela8[[#This Row],[Lucro p/Ação]]="","",IF(Tabela8[[#This Row],[Lucro p/Ação]]&gt;0,Tabela8[[#This Row],[Total Exercício]]/Tabela8[[#This Row],[Lucro p/Ação]],0))</f>
        <v/>
      </c>
      <c r="M2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3" s="14" t="str">
        <f>IF(Tabela8[[#This Row],[Média Lucro p/Ação]]&lt;&gt;"",Tabela8[[#This Row],[Média Pago]]/Tabela8[[#This Row],[Média Lucro p/Ação]],"")</f>
        <v/>
      </c>
      <c r="P2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3" s="17">
        <f>SUMPRODUCT(N(Tabela1[Código]=Tabela8[[#This Row],[Papel]]),Tabela1[Fechamento])</f>
        <v>0</v>
      </c>
      <c r="R203" s="17">
        <f>SUMPRODUCT(N(Tabela17[Código]=Tabela8[[#This Row],[Papel]]),Tabela17[Fechamento])</f>
        <v>16.98</v>
      </c>
      <c r="S203" s="7">
        <f>SUMPRODUCT(N(Tabela176[Código]=Tabela8[[#This Row],[Papel]]),Tabela176[Fechamento])</f>
        <v>0</v>
      </c>
      <c r="T203" s="7">
        <f>SUMPRODUCT(N(Tabela1768[Código]=Tabela8[[#This Row],[Papel]]),Tabela1768[Fechamento])</f>
        <v>0</v>
      </c>
      <c r="U203" s="7">
        <f>SUMPRODUCT(N(Tabela17683[Código]=Tabela8[[#This Row],[Papel]]),Tabela17683[Fechamento])</f>
        <v>0</v>
      </c>
      <c r="V203" s="17">
        <f>IF(MAX(Tabela8[[#This Row],[Cotação 1]]:Tabela8[[#This Row],[Cotação 5]])=0,"",MAX(Tabela8[[#This Row],[Cotação 1]]:Tabela8[[#This Row],[Cotação 5]]))</f>
        <v>16.98</v>
      </c>
      <c r="W2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3" s="17" t="str">
        <f>IF(AND([Ref]=5,[Cotação]&gt;0,[Cotação]&lt;&gt;""),[Total Exercício]/[Cotação],IF([Ref]&lt;4,0,""))</f>
        <v/>
      </c>
      <c r="Y203" s="17">
        <f>IF([Tipo]="div",1,0)</f>
        <v>0</v>
      </c>
      <c r="Z203" s="17">
        <f>IF([Tipo]="jcp",1,0)</f>
        <v>0</v>
      </c>
    </row>
    <row r="204" spans="1:26" hidden="1">
      <c r="A204" s="3" t="s">
        <v>40</v>
      </c>
      <c r="B204" s="57" t="s">
        <v>251</v>
      </c>
      <c r="C204" s="16">
        <v>4</v>
      </c>
      <c r="D204" s="4"/>
      <c r="E204" s="4"/>
      <c r="F204" s="4"/>
      <c r="G204" s="4"/>
      <c r="H204" s="4"/>
      <c r="I204" s="4"/>
      <c r="J204" s="17">
        <f>IF(Tabela8[[#This Row],[Tipo]]="jcp",Tabela8[[#This Row],[Provento p/Ação]]*85%,Tabela8[[#This Row],[Provento p/Ação]])</f>
        <v>0</v>
      </c>
      <c r="K204" s="143" t="str">
        <f>IF([Lucro p/Ação]&lt;&gt;0,SUMPRODUCT(N([Papel]=Tabela8[[#This Row],[Papel]]),N([Exercício]=Tabela8[[#This Row],[Exercício]]),[Líquido p/Ação]),"")</f>
        <v/>
      </c>
      <c r="L204" s="42" t="str">
        <f>IF(Tabela8[[#This Row],[Lucro p/Ação]]="","",IF(Tabela8[[#This Row],[Lucro p/Ação]]&gt;0,Tabela8[[#This Row],[Total Exercício]]/Tabela8[[#This Row],[Lucro p/Ação]],0))</f>
        <v/>
      </c>
      <c r="M2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4" s="14" t="str">
        <f>IF(Tabela8[[#This Row],[Média Lucro p/Ação]]&lt;&gt;"",Tabela8[[#This Row],[Média Pago]]/Tabela8[[#This Row],[Média Lucro p/Ação]],"")</f>
        <v/>
      </c>
      <c r="P2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4" s="47">
        <f>SUMPRODUCT(N(Tabela1[Código]=Tabela8[[#This Row],[Papel]]),Tabela1[Fechamento])</f>
        <v>0</v>
      </c>
      <c r="R204" s="47">
        <f>SUMPRODUCT(N(Tabela17[Código]=Tabela8[[#This Row],[Papel]]),Tabela17[Fechamento])</f>
        <v>9.1</v>
      </c>
      <c r="S204" s="7">
        <f>SUMPRODUCT(N(Tabela176[Código]=Tabela8[[#This Row],[Papel]]),Tabela176[Fechamento])</f>
        <v>0</v>
      </c>
      <c r="T204" s="7">
        <f>SUMPRODUCT(N(Tabela1768[Código]=Tabela8[[#This Row],[Papel]]),Tabela1768[Fechamento])</f>
        <v>0</v>
      </c>
      <c r="U204" s="7">
        <f>SUMPRODUCT(N(Tabela17683[Código]=Tabela8[[#This Row],[Papel]]),Tabela17683[Fechamento])</f>
        <v>0</v>
      </c>
      <c r="V204" s="17">
        <f>IF(MAX(Tabela8[[#This Row],[Cotação 1]]:Tabela8[[#This Row],[Cotação 5]])=0,"",MAX(Tabela8[[#This Row],[Cotação 1]]:Tabela8[[#This Row],[Cotação 5]]))</f>
        <v>9.1</v>
      </c>
      <c r="W2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4" s="17" t="str">
        <f>IF(AND([Ref]=5,[Cotação]&gt;0,[Cotação]&lt;&gt;""),[Total Exercício]/[Cotação],IF([Ref]&lt;4,0,""))</f>
        <v/>
      </c>
      <c r="Y204" s="17">
        <f>IF([Tipo]="div",1,0)</f>
        <v>0</v>
      </c>
      <c r="Z204" s="17">
        <f>IF([Tipo]="jcp",1,0)</f>
        <v>0</v>
      </c>
    </row>
    <row r="205" spans="1:26" hidden="1">
      <c r="A205" s="4" t="s">
        <v>40</v>
      </c>
      <c r="B205" s="57" t="s">
        <v>252</v>
      </c>
      <c r="C205" s="15">
        <v>4</v>
      </c>
      <c r="D205" s="4"/>
      <c r="E205" s="4"/>
      <c r="F205" s="4"/>
      <c r="G205" s="4"/>
      <c r="H205" s="4"/>
      <c r="I205" s="4"/>
      <c r="J205" s="17">
        <f>IF(Tabela8[[#This Row],[Tipo]]="jcp",Tabela8[[#This Row],[Provento p/Ação]]*85%,Tabela8[[#This Row],[Provento p/Ação]])</f>
        <v>0</v>
      </c>
      <c r="K205" s="143" t="str">
        <f>IF([Lucro p/Ação]&lt;&gt;0,SUMPRODUCT(N([Papel]=Tabela8[[#This Row],[Papel]]),N([Exercício]=Tabela8[[#This Row],[Exercício]]),[Líquido p/Ação]),"")</f>
        <v/>
      </c>
      <c r="L205" s="42" t="str">
        <f>IF(Tabela8[[#This Row],[Lucro p/Ação]]="","",IF(Tabela8[[#This Row],[Lucro p/Ação]]&gt;0,Tabela8[[#This Row],[Total Exercício]]/Tabela8[[#This Row],[Lucro p/Ação]],0))</f>
        <v/>
      </c>
      <c r="M2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5" s="14" t="str">
        <f>IF(Tabela8[[#This Row],[Média Lucro p/Ação]]&lt;&gt;"",Tabela8[[#This Row],[Média Pago]]/Tabela8[[#This Row],[Média Lucro p/Ação]],"")</f>
        <v/>
      </c>
      <c r="P2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5" s="13">
        <f>SUMPRODUCT(N(Tabela1[Código]=Tabela8[[#This Row],[Papel]]),Tabela1[Fechamento])</f>
        <v>0</v>
      </c>
      <c r="R205" s="13">
        <f>SUMPRODUCT(N(Tabela17[Código]=Tabela8[[#This Row],[Papel]]),Tabela17[Fechamento])</f>
        <v>9.39</v>
      </c>
      <c r="S205" s="7">
        <f>SUMPRODUCT(N(Tabela176[Código]=Tabela8[[#This Row],[Papel]]),Tabela176[Fechamento])</f>
        <v>0</v>
      </c>
      <c r="T205" s="7">
        <f>SUMPRODUCT(N(Tabela1768[Código]=Tabela8[[#This Row],[Papel]]),Tabela1768[Fechamento])</f>
        <v>0</v>
      </c>
      <c r="U205" s="7">
        <f>SUMPRODUCT(N(Tabela17683[Código]=Tabela8[[#This Row],[Papel]]),Tabela17683[Fechamento])</f>
        <v>0</v>
      </c>
      <c r="V205" s="17">
        <f>IF(MAX(Tabela8[[#This Row],[Cotação 1]]:Tabela8[[#This Row],[Cotação 5]])=0,"",MAX(Tabela8[[#This Row],[Cotação 1]]:Tabela8[[#This Row],[Cotação 5]]))</f>
        <v>9.39</v>
      </c>
      <c r="W2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5" s="17" t="str">
        <f>IF(AND([Ref]=5,[Cotação]&gt;0,[Cotação]&lt;&gt;""),[Total Exercício]/[Cotação],IF([Ref]&lt;4,0,""))</f>
        <v/>
      </c>
      <c r="Y205" s="17">
        <f>IF([Tipo]="div",1,0)</f>
        <v>0</v>
      </c>
      <c r="Z205" s="17">
        <f>IF([Tipo]="jcp",1,0)</f>
        <v>0</v>
      </c>
    </row>
    <row r="206" spans="1:26" hidden="1">
      <c r="A206" s="4" t="s">
        <v>12</v>
      </c>
      <c r="B206" s="3" t="s">
        <v>162</v>
      </c>
      <c r="C206" s="15">
        <v>4</v>
      </c>
      <c r="D206" s="14">
        <v>2000</v>
      </c>
      <c r="E206" s="14" t="s">
        <v>1468</v>
      </c>
      <c r="G206" s="145">
        <v>36608</v>
      </c>
      <c r="H206" s="46">
        <v>36628</v>
      </c>
      <c r="I206" s="133">
        <f>0.0026*250</f>
        <v>0.65</v>
      </c>
      <c r="J206" s="134">
        <f>IF(Tabela8[[#This Row],[Tipo]]="jcp",Tabela8[[#This Row],[Provento p/Ação]]*85%,Tabela8[[#This Row],[Provento p/Ação]])</f>
        <v>0.65</v>
      </c>
      <c r="K206" s="133" t="str">
        <f>IF([Lucro p/Ação]&lt;&gt;0,SUMPRODUCT(N([Papel]=Tabela8[[#This Row],[Papel]]),N([Exercício]=Tabela8[[#This Row],[Exercício]]),[Líquido p/Ação]),"")</f>
        <v/>
      </c>
      <c r="L206" s="42" t="str">
        <f>IF(Tabela8[[#This Row],[Lucro p/Ação]]="","",IF(Tabela8[[#This Row],[Lucro p/Ação]]&gt;0,Tabela8[[#This Row],[Total Exercício]]/Tabela8[[#This Row],[Lucro p/Ação]],0))</f>
        <v/>
      </c>
      <c r="M2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6" s="19" t="str">
        <f>IF(Tabela8[[#This Row],[Média Lucro p/Ação]]&lt;&gt;"",Tabela8[[#This Row],[Média Pago]]/Tabela8[[#This Row],[Média Lucro p/Ação]],"")</f>
        <v/>
      </c>
      <c r="P2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6" s="134">
        <f>SUMPRODUCT(N(Tabela1[Código]=Tabela8[[#This Row],[Papel]]),Tabela1[Fechamento])</f>
        <v>15</v>
      </c>
      <c r="R206" s="7">
        <f>SUMPRODUCT(N(Tabela17[Código]=Tabela8[[#This Row],[Papel]]),Tabela17[Fechamento])</f>
        <v>0</v>
      </c>
      <c r="S206" s="7">
        <f>SUMPRODUCT(N(Tabela176[Código]=Tabela8[[#This Row],[Papel]]),Tabela176[Fechamento])</f>
        <v>0</v>
      </c>
      <c r="T206" s="7">
        <f>SUMPRODUCT(N(Tabela1768[Código]=Tabela8[[#This Row],[Papel]]),Tabela1768[Fechamento])</f>
        <v>0</v>
      </c>
      <c r="U206" s="7">
        <f>SUMPRODUCT(N(Tabela17683[Código]=Tabela8[[#This Row],[Papel]]),Tabela17683[Fechamento])</f>
        <v>0</v>
      </c>
      <c r="V206" s="7">
        <f>IF(MAX(Tabela8[[#This Row],[Cotação 1]]:Tabela8[[#This Row],[Cotação 5]])=0,"",MAX(Tabela8[[#This Row],[Cotação 1]]:Tabela8[[#This Row],[Cotação 5]]))</f>
        <v>15</v>
      </c>
      <c r="W2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6" s="19" t="str">
        <f>IF(AND([Ref]=5,[Cotação]&gt;0,[Cotação]&lt;&gt;""),[Total Exercício]/[Cotação],IF([Ref]&lt;4,0,""))</f>
        <v/>
      </c>
      <c r="Y206" s="14">
        <f>IF([Tipo]="div",1,0)</f>
        <v>1</v>
      </c>
      <c r="Z206" s="14">
        <f>IF([Tipo]="jcp",1,0)</f>
        <v>0</v>
      </c>
    </row>
    <row r="207" spans="1:26" hidden="1">
      <c r="A207" s="4" t="s">
        <v>12</v>
      </c>
      <c r="B207" s="3" t="s">
        <v>1</v>
      </c>
      <c r="C207" s="15">
        <v>4</v>
      </c>
      <c r="D207" s="14">
        <v>2000</v>
      </c>
      <c r="E207" s="14" t="s">
        <v>1468</v>
      </c>
      <c r="G207" s="145">
        <v>36608</v>
      </c>
      <c r="H207" s="46">
        <v>36628</v>
      </c>
      <c r="I207" s="133">
        <f>0.00286*250</f>
        <v>0.71500000000000008</v>
      </c>
      <c r="J207" s="134">
        <f>IF(Tabela8[[#This Row],[Tipo]]="jcp",Tabela8[[#This Row],[Provento p/Ação]]*85%,Tabela8[[#This Row],[Provento p/Ação]])</f>
        <v>0.71500000000000008</v>
      </c>
      <c r="K207" s="133" t="str">
        <f>IF([Lucro p/Ação]&lt;&gt;0,SUMPRODUCT(N([Papel]=Tabela8[[#This Row],[Papel]]),N([Exercício]=Tabela8[[#This Row],[Exercício]]),[Líquido p/Ação]),"")</f>
        <v/>
      </c>
      <c r="L207" s="42" t="str">
        <f>IF(Tabela8[[#This Row],[Lucro p/Ação]]="","",IF(Tabela8[[#This Row],[Lucro p/Ação]]&gt;0,Tabela8[[#This Row],[Total Exercício]]/Tabela8[[#This Row],[Lucro p/Ação]],0))</f>
        <v/>
      </c>
      <c r="M20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7" s="19" t="str">
        <f>IF(Tabela8[[#This Row],[Média Lucro p/Ação]]&lt;&gt;"",Tabela8[[#This Row],[Média Pago]]/Tabela8[[#This Row],[Média Lucro p/Ação]],"")</f>
        <v/>
      </c>
      <c r="P2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7" s="134">
        <f>SUMPRODUCT(N(Tabela1[Código]=Tabela8[[#This Row],[Papel]]),Tabela1[Fechamento])</f>
        <v>7.94</v>
      </c>
      <c r="R207" s="7">
        <f>SUMPRODUCT(N(Tabela17[Código]=Tabela8[[#This Row],[Papel]]),Tabela17[Fechamento])</f>
        <v>0</v>
      </c>
      <c r="S207" s="7">
        <f>SUMPRODUCT(N(Tabela176[Código]=Tabela8[[#This Row],[Papel]]),Tabela176[Fechamento])</f>
        <v>0</v>
      </c>
      <c r="T207" s="7">
        <f>SUMPRODUCT(N(Tabela1768[Código]=Tabela8[[#This Row],[Papel]]),Tabela1768[Fechamento])</f>
        <v>0</v>
      </c>
      <c r="U207" s="7">
        <f>SUMPRODUCT(N(Tabela17683[Código]=Tabela8[[#This Row],[Papel]]),Tabela17683[Fechamento])</f>
        <v>0</v>
      </c>
      <c r="V207" s="7">
        <f>IF(MAX(Tabela8[[#This Row],[Cotação 1]]:Tabela8[[#This Row],[Cotação 5]])=0,"",MAX(Tabela8[[#This Row],[Cotação 1]]:Tabela8[[#This Row],[Cotação 5]]))</f>
        <v>7.94</v>
      </c>
      <c r="W2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7" s="19" t="str">
        <f>IF(AND([Ref]=5,[Cotação]&gt;0,[Cotação]&lt;&gt;""),[Total Exercício]/[Cotação],IF([Ref]&lt;4,0,""))</f>
        <v/>
      </c>
      <c r="Y207" s="14">
        <f>IF([Tipo]="div",1,0)</f>
        <v>1</v>
      </c>
      <c r="Z207" s="14">
        <f>IF([Tipo]="jcp",1,0)</f>
        <v>0</v>
      </c>
    </row>
    <row r="208" spans="1:26" hidden="1">
      <c r="A208" s="4" t="s">
        <v>12</v>
      </c>
      <c r="B208" s="57" t="s">
        <v>486</v>
      </c>
      <c r="C208" s="16">
        <v>3</v>
      </c>
      <c r="D208" s="14"/>
      <c r="E208" s="4"/>
      <c r="F208" s="4"/>
      <c r="G208" s="4"/>
      <c r="H208" s="4"/>
      <c r="I208" s="4"/>
      <c r="J208" s="133">
        <f>IF(Tabela8[[#This Row],[Tipo]]="jcp",Tabela8[[#This Row],[Provento p/Ação]]*85%,Tabela8[[#This Row],[Provento p/Ação]])</f>
        <v>0</v>
      </c>
      <c r="K208" s="143" t="str">
        <f>IF([Lucro p/Ação]&lt;&gt;0,SUMPRODUCT(N([Papel]=Tabela8[[#This Row],[Papel]]),N([Exercício]=Tabela8[[#This Row],[Exercício]]),[Líquido p/Ação]),"")</f>
        <v/>
      </c>
      <c r="L208" s="42" t="str">
        <f>IF(Tabela8[[#This Row],[Lucro p/Ação]]="","",IF(Tabela8[[#This Row],[Lucro p/Ação]]&gt;0,Tabela8[[#This Row],[Total Exercício]]/Tabela8[[#This Row],[Lucro p/Ação]],0))</f>
        <v/>
      </c>
      <c r="M2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8" s="14" t="str">
        <f>IF(Tabela8[[#This Row],[Média Lucro p/Ação]]&lt;&gt;"",Tabela8[[#This Row],[Média Pago]]/Tabela8[[#This Row],[Média Lucro p/Ação]],"")</f>
        <v/>
      </c>
      <c r="P2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8" s="5">
        <f>SUMPRODUCT(N(Tabela1[Código]=Tabela8[[#This Row],[Papel]]),Tabela1[Fechamento])</f>
        <v>0</v>
      </c>
      <c r="R208" s="5">
        <f>SUMPRODUCT(N(Tabela17[Código]=Tabela8[[#This Row],[Papel]]),Tabela17[Fechamento])</f>
        <v>0</v>
      </c>
      <c r="S208" s="7">
        <f>SUMPRODUCT(N(Tabela176[Código]=Tabela8[[#This Row],[Papel]]),Tabela176[Fechamento])</f>
        <v>0</v>
      </c>
      <c r="T208" s="7">
        <f>SUMPRODUCT(N(Tabela1768[Código]=Tabela8[[#This Row],[Papel]]),Tabela1768[Fechamento])</f>
        <v>0</v>
      </c>
      <c r="U208" s="7">
        <f>SUMPRODUCT(N(Tabela17683[Código]=Tabela8[[#This Row],[Papel]]),Tabela17683[Fechamento])</f>
        <v>0</v>
      </c>
      <c r="V208" s="17" t="str">
        <f>IF(MAX(Tabela8[[#This Row],[Cotação 1]]:Tabela8[[#This Row],[Cotação 5]])=0,"",MAX(Tabela8[[#This Row],[Cotação 1]]:Tabela8[[#This Row],[Cotação 5]]))</f>
        <v/>
      </c>
      <c r="W2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8" s="17">
        <f>IF(AND([Ref]=5,[Cotação]&gt;0,[Cotação]&lt;&gt;""),[Total Exercício]/[Cotação],IF([Ref]&lt;4,0,""))</f>
        <v>0</v>
      </c>
      <c r="Y208" s="17">
        <f>IF([Tipo]="div",1,0)</f>
        <v>0</v>
      </c>
      <c r="Z208" s="17">
        <f>IF([Tipo]="jcp",1,0)</f>
        <v>0</v>
      </c>
    </row>
    <row r="209" spans="1:26" hidden="1">
      <c r="A209" s="4" t="s">
        <v>12</v>
      </c>
      <c r="B209" s="57" t="s">
        <v>164</v>
      </c>
      <c r="C209" s="15">
        <v>3</v>
      </c>
      <c r="D209" s="14"/>
      <c r="E209" s="4"/>
      <c r="F209" s="4"/>
      <c r="G209" s="4"/>
      <c r="H209" s="4"/>
      <c r="I209" s="4"/>
      <c r="J209" s="133">
        <f>IF(Tabela8[[#This Row],[Tipo]]="jcp",Tabela8[[#This Row],[Provento p/Ação]]*85%,Tabela8[[#This Row],[Provento p/Ação]])</f>
        <v>0</v>
      </c>
      <c r="K209" s="143" t="str">
        <f>IF([Lucro p/Ação]&lt;&gt;0,SUMPRODUCT(N([Papel]=Tabela8[[#This Row],[Papel]]),N([Exercício]=Tabela8[[#This Row],[Exercício]]),[Líquido p/Ação]),"")</f>
        <v/>
      </c>
      <c r="L209" s="42" t="str">
        <f>IF(Tabela8[[#This Row],[Lucro p/Ação]]="","",IF(Tabela8[[#This Row],[Lucro p/Ação]]&gt;0,Tabela8[[#This Row],[Total Exercício]]/Tabela8[[#This Row],[Lucro p/Ação]],0))</f>
        <v/>
      </c>
      <c r="M2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09" s="14" t="str">
        <f>IF(Tabela8[[#This Row],[Média Lucro p/Ação]]&lt;&gt;"",Tabela8[[#This Row],[Média Pago]]/Tabela8[[#This Row],[Média Lucro p/Ação]],"")</f>
        <v/>
      </c>
      <c r="P2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09" s="5">
        <f>SUMPRODUCT(N(Tabela1[Código]=Tabela8[[#This Row],[Papel]]),Tabela1[Fechamento])</f>
        <v>5.49</v>
      </c>
      <c r="R209" s="5">
        <f>SUMPRODUCT(N(Tabela17[Código]=Tabela8[[#This Row],[Papel]]),Tabela17[Fechamento])</f>
        <v>0</v>
      </c>
      <c r="S209" s="7">
        <f>SUMPRODUCT(N(Tabela176[Código]=Tabela8[[#This Row],[Papel]]),Tabela176[Fechamento])</f>
        <v>0</v>
      </c>
      <c r="T209" s="7">
        <f>SUMPRODUCT(N(Tabela1768[Código]=Tabela8[[#This Row],[Papel]]),Tabela1768[Fechamento])</f>
        <v>0</v>
      </c>
      <c r="U209" s="7">
        <f>SUMPRODUCT(N(Tabela17683[Código]=Tabela8[[#This Row],[Papel]]),Tabela17683[Fechamento])</f>
        <v>0</v>
      </c>
      <c r="V209" s="17">
        <f>IF(MAX(Tabela8[[#This Row],[Cotação 1]]:Tabela8[[#This Row],[Cotação 5]])=0,"",MAX(Tabela8[[#This Row],[Cotação 1]]:Tabela8[[#This Row],[Cotação 5]]))</f>
        <v>5.49</v>
      </c>
      <c r="W2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09" s="17">
        <f>IF(AND([Ref]=5,[Cotação]&gt;0,[Cotação]&lt;&gt;""),[Total Exercício]/[Cotação],IF([Ref]&lt;4,0,""))</f>
        <v>0</v>
      </c>
      <c r="Y209" s="17">
        <f>IF([Tipo]="div",1,0)</f>
        <v>0</v>
      </c>
      <c r="Z209" s="17">
        <f>IF([Tipo]="jcp",1,0)</f>
        <v>0</v>
      </c>
    </row>
    <row r="210" spans="1:26" hidden="1">
      <c r="A210" s="3" t="s">
        <v>1233</v>
      </c>
      <c r="B210" s="58" t="s">
        <v>1234</v>
      </c>
      <c r="C210" s="16">
        <v>4</v>
      </c>
      <c r="D210" s="4"/>
      <c r="E210" s="4"/>
      <c r="F210" s="4"/>
      <c r="G210" s="4"/>
      <c r="H210" s="4"/>
      <c r="I210" s="4"/>
      <c r="J210" s="17">
        <f>IF(Tabela8[[#This Row],[Tipo]]="jcp",Tabela8[[#This Row],[Provento p/Ação]]*85%,Tabela8[[#This Row],[Provento p/Ação]])</f>
        <v>0</v>
      </c>
      <c r="K210" s="143" t="str">
        <f>IF([Lucro p/Ação]&lt;&gt;0,SUMPRODUCT(N([Papel]=Tabela8[[#This Row],[Papel]]),N([Exercício]=Tabela8[[#This Row],[Exercício]]),[Líquido p/Ação]),"")</f>
        <v/>
      </c>
      <c r="L210" s="42" t="str">
        <f>IF(Tabela8[[#This Row],[Lucro p/Ação]]="","",IF(Tabela8[[#This Row],[Lucro p/Ação]]&gt;0,Tabela8[[#This Row],[Total Exercício]]/Tabela8[[#This Row],[Lucro p/Ação]],0))</f>
        <v/>
      </c>
      <c r="M2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0" s="14" t="str">
        <f>IF(Tabela8[[#This Row],[Média Lucro p/Ação]]&lt;&gt;"",Tabela8[[#This Row],[Média Pago]]/Tabela8[[#This Row],[Média Lucro p/Ação]],"")</f>
        <v/>
      </c>
      <c r="P2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0" s="7">
        <f>SUMPRODUCT(N(Tabela1[Código]=Tabela8[[#This Row],[Papel]]),Tabela1[Fechamento])</f>
        <v>0</v>
      </c>
      <c r="R210" s="7">
        <f>SUMPRODUCT(N(Tabela17[Código]=Tabela8[[#This Row],[Papel]]),Tabela17[Fechamento])</f>
        <v>0</v>
      </c>
      <c r="S210" s="7">
        <f>SUMPRODUCT(N(Tabela176[Código]=Tabela8[[#This Row],[Papel]]),Tabela176[Fechamento])</f>
        <v>0</v>
      </c>
      <c r="T210" s="7">
        <f>SUMPRODUCT(N(Tabela1768[Código]=Tabela8[[#This Row],[Papel]]),Tabela1768[Fechamento])</f>
        <v>0</v>
      </c>
      <c r="U210" s="7">
        <f>SUMPRODUCT(N(Tabela17683[Código]=Tabela8[[#This Row],[Papel]]),Tabela17683[Fechamento])</f>
        <v>19.86</v>
      </c>
      <c r="V210" s="17">
        <f>IF(MAX(Tabela8[[#This Row],[Cotação 1]]:Tabela8[[#This Row],[Cotação 5]])=0,"",MAX(Tabela8[[#This Row],[Cotação 1]]:Tabela8[[#This Row],[Cotação 5]]))</f>
        <v>19.86</v>
      </c>
      <c r="W2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0" s="17" t="str">
        <f>IF(AND([Ref]=5,[Cotação]&gt;0,[Cotação]&lt;&gt;""),[Total Exercício]/[Cotação],IF([Ref]&lt;4,0,""))</f>
        <v/>
      </c>
      <c r="Y210" s="17">
        <f>IF([Tipo]="div",1,0)</f>
        <v>0</v>
      </c>
      <c r="Z210" s="17">
        <f>IF([Tipo]="jcp",1,0)</f>
        <v>0</v>
      </c>
    </row>
    <row r="211" spans="1:26" hidden="1">
      <c r="A211" s="4" t="s">
        <v>12</v>
      </c>
      <c r="B211" s="57" t="s">
        <v>28</v>
      </c>
      <c r="C211" s="15">
        <v>4</v>
      </c>
      <c r="D211" s="14"/>
      <c r="E211" s="4"/>
      <c r="F211" s="4"/>
      <c r="G211" s="4"/>
      <c r="H211" s="4"/>
      <c r="I211" s="4"/>
      <c r="J211" s="133">
        <f>IF(Tabela8[[#This Row],[Tipo]]="jcp",Tabela8[[#This Row],[Provento p/Ação]]*85%,Tabela8[[#This Row],[Provento p/Ação]])</f>
        <v>0</v>
      </c>
      <c r="K211" s="143" t="str">
        <f>IF([Lucro p/Ação]&lt;&gt;0,SUMPRODUCT(N([Papel]=Tabela8[[#This Row],[Papel]]),N([Exercício]=Tabela8[[#This Row],[Exercício]]),[Líquido p/Ação]),"")</f>
        <v/>
      </c>
      <c r="L211" s="42" t="str">
        <f>IF(Tabela8[[#This Row],[Lucro p/Ação]]="","",IF(Tabela8[[#This Row],[Lucro p/Ação]]&gt;0,Tabela8[[#This Row],[Total Exercício]]/Tabela8[[#This Row],[Lucro p/Ação]],0))</f>
        <v/>
      </c>
      <c r="M2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1" s="14" t="str">
        <f>IF(Tabela8[[#This Row],[Média Lucro p/Ação]]&lt;&gt;"",Tabela8[[#This Row],[Média Pago]]/Tabela8[[#This Row],[Média Lucro p/Ação]],"")</f>
        <v/>
      </c>
      <c r="P2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1" s="5">
        <f>SUMPRODUCT(N(Tabela1[Código]=Tabela8[[#This Row],[Papel]]),Tabela1[Fechamento])</f>
        <v>9.1199999999999992</v>
      </c>
      <c r="R211" s="5">
        <f>SUMPRODUCT(N(Tabela17[Código]=Tabela8[[#This Row],[Papel]]),Tabela17[Fechamento])</f>
        <v>0</v>
      </c>
      <c r="S211" s="7">
        <f>SUMPRODUCT(N(Tabela176[Código]=Tabela8[[#This Row],[Papel]]),Tabela176[Fechamento])</f>
        <v>0</v>
      </c>
      <c r="T211" s="7">
        <f>SUMPRODUCT(N(Tabela1768[Código]=Tabela8[[#This Row],[Papel]]),Tabela1768[Fechamento])</f>
        <v>0</v>
      </c>
      <c r="U211" s="7">
        <f>SUMPRODUCT(N(Tabela17683[Código]=Tabela8[[#This Row],[Papel]]),Tabela17683[Fechamento])</f>
        <v>0</v>
      </c>
      <c r="V211" s="17">
        <f>IF(MAX(Tabela8[[#This Row],[Cotação 1]]:Tabela8[[#This Row],[Cotação 5]])=0,"",MAX(Tabela8[[#This Row],[Cotação 1]]:Tabela8[[#This Row],[Cotação 5]]))</f>
        <v>9.1199999999999992</v>
      </c>
      <c r="W2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1" s="17" t="str">
        <f>IF(AND([Ref]=5,[Cotação]&gt;0,[Cotação]&lt;&gt;""),[Total Exercício]/[Cotação],IF([Ref]&lt;4,0,""))</f>
        <v/>
      </c>
      <c r="Y211" s="17">
        <f>IF([Tipo]="div",1,0)</f>
        <v>0</v>
      </c>
      <c r="Z211" s="17">
        <f>IF([Tipo]="jcp",1,0)</f>
        <v>0</v>
      </c>
    </row>
    <row r="212" spans="1:26" hidden="1">
      <c r="A212" s="4" t="s">
        <v>12</v>
      </c>
      <c r="B212" s="57" t="s">
        <v>487</v>
      </c>
      <c r="C212" s="15">
        <v>3</v>
      </c>
      <c r="D212" s="14"/>
      <c r="E212" s="4"/>
      <c r="F212" s="4"/>
      <c r="G212" s="4"/>
      <c r="H212" s="4"/>
      <c r="I212" s="4"/>
      <c r="J212" s="133">
        <f>IF(Tabela8[[#This Row],[Tipo]]="jcp",Tabela8[[#This Row],[Provento p/Ação]]*85%,Tabela8[[#This Row],[Provento p/Ação]])</f>
        <v>0</v>
      </c>
      <c r="K212" s="143" t="str">
        <f>IF([Lucro p/Ação]&lt;&gt;0,SUMPRODUCT(N([Papel]=Tabela8[[#This Row],[Papel]]),N([Exercício]=Tabela8[[#This Row],[Exercício]]),[Líquido p/Ação]),"")</f>
        <v/>
      </c>
      <c r="L212" s="42" t="str">
        <f>IF(Tabela8[[#This Row],[Lucro p/Ação]]="","",IF(Tabela8[[#This Row],[Lucro p/Ação]]&gt;0,Tabela8[[#This Row],[Total Exercício]]/Tabela8[[#This Row],[Lucro p/Ação]],0))</f>
        <v/>
      </c>
      <c r="M2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2" s="14" t="str">
        <f>IF(Tabela8[[#This Row],[Média Lucro p/Ação]]&lt;&gt;"",Tabela8[[#This Row],[Média Pago]]/Tabela8[[#This Row],[Média Lucro p/Ação]],"")</f>
        <v/>
      </c>
      <c r="P2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2" s="17">
        <f>SUMPRODUCT(N(Tabela1[Código]=Tabela8[[#This Row],[Papel]]),Tabela1[Fechamento])</f>
        <v>0</v>
      </c>
      <c r="R212" s="17">
        <f>SUMPRODUCT(N(Tabela17[Código]=Tabela8[[#This Row],[Papel]]),Tabela17[Fechamento])</f>
        <v>1.67</v>
      </c>
      <c r="S212" s="7">
        <f>SUMPRODUCT(N(Tabela176[Código]=Tabela8[[#This Row],[Papel]]),Tabela176[Fechamento])</f>
        <v>0</v>
      </c>
      <c r="T212" s="7">
        <f>SUMPRODUCT(N(Tabela1768[Código]=Tabela8[[#This Row],[Papel]]),Tabela1768[Fechamento])</f>
        <v>0</v>
      </c>
      <c r="U212" s="7">
        <f>SUMPRODUCT(N(Tabela17683[Código]=Tabela8[[#This Row],[Papel]]),Tabela17683[Fechamento])</f>
        <v>0</v>
      </c>
      <c r="V212" s="17">
        <f>IF(MAX(Tabela8[[#This Row],[Cotação 1]]:Tabela8[[#This Row],[Cotação 5]])=0,"",MAX(Tabela8[[#This Row],[Cotação 1]]:Tabela8[[#This Row],[Cotação 5]]))</f>
        <v>1.67</v>
      </c>
      <c r="W2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2" s="17">
        <f>IF(AND([Ref]=5,[Cotação]&gt;0,[Cotação]&lt;&gt;""),[Total Exercício]/[Cotação],IF([Ref]&lt;4,0,""))</f>
        <v>0</v>
      </c>
      <c r="Y212" s="17">
        <f>IF([Tipo]="div",1,0)</f>
        <v>0</v>
      </c>
      <c r="Z212" s="17">
        <f>IF([Tipo]="jcp",1,0)</f>
        <v>0</v>
      </c>
    </row>
    <row r="213" spans="1:26" hidden="1">
      <c r="A213" s="4" t="s">
        <v>12</v>
      </c>
      <c r="B213" s="131" t="s">
        <v>85</v>
      </c>
      <c r="C213" s="15">
        <v>4</v>
      </c>
      <c r="D213" s="14">
        <v>2010</v>
      </c>
      <c r="E213" s="14" t="s">
        <v>1468</v>
      </c>
      <c r="F213" s="4"/>
      <c r="G213" s="46">
        <v>40246</v>
      </c>
      <c r="H213" s="46">
        <v>40259</v>
      </c>
      <c r="I213" s="133">
        <v>0.16500000000000001</v>
      </c>
      <c r="J213" s="133">
        <f>IF(Tabela8[[#This Row],[Tipo]]="jcp",Tabela8[[#This Row],[Provento p/Ação]]*85%,Tabela8[[#This Row],[Provento p/Ação]])</f>
        <v>0.16500000000000001</v>
      </c>
      <c r="K213" s="133" t="str">
        <f>IF([Lucro p/Ação]&lt;&gt;0,SUMPRODUCT(N([Papel]=Tabela8[[#This Row],[Papel]]),N([Exercício]=Tabela8[[#This Row],[Exercício]]),[Líquido p/Ação]),"")</f>
        <v/>
      </c>
      <c r="L213" s="42" t="str">
        <f>IF(Tabela8[[#This Row],[Lucro p/Ação]]="","",IF(Tabela8[[#This Row],[Lucro p/Ação]]&gt;0,Tabela8[[#This Row],[Total Exercício]]/Tabela8[[#This Row],[Lucro p/Ação]],0))</f>
        <v/>
      </c>
      <c r="M2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3" s="19" t="str">
        <f>IF(Tabela8[[#This Row],[Média Lucro p/Ação]]&lt;&gt;"",Tabela8[[#This Row],[Média Pago]]/Tabela8[[#This Row],[Média Lucro p/Ação]],"")</f>
        <v/>
      </c>
      <c r="P2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3" s="5">
        <f>SUMPRODUCT(N(Tabela1[Código]=Tabela8[[#This Row],[Papel]]),Tabela1[Fechamento])</f>
        <v>10.71</v>
      </c>
      <c r="R213" s="5">
        <f>SUMPRODUCT(N(Tabela17[Código]=Tabela8[[#This Row],[Papel]]),Tabela17[Fechamento])</f>
        <v>0</v>
      </c>
      <c r="S213" s="7">
        <f>SUMPRODUCT(N(Tabela176[Código]=Tabela8[[#This Row],[Papel]]),Tabela176[Fechamento])</f>
        <v>0</v>
      </c>
      <c r="T213" s="7">
        <f>SUMPRODUCT(N(Tabela1768[Código]=Tabela8[[#This Row],[Papel]]),Tabela1768[Fechamento])</f>
        <v>0</v>
      </c>
      <c r="U213" s="7">
        <f>SUMPRODUCT(N(Tabela17683[Código]=Tabela8[[#This Row],[Papel]]),Tabela17683[Fechamento])</f>
        <v>0</v>
      </c>
      <c r="V213" s="17">
        <f>IF(MAX(Tabela8[[#This Row],[Cotação 1]]:Tabela8[[#This Row],[Cotação 5]])=0,"",MAX(Tabela8[[#This Row],[Cotação 1]]:Tabela8[[#This Row],[Cotação 5]]))</f>
        <v>10.71</v>
      </c>
      <c r="W2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3" s="19" t="str">
        <f>IF(AND([Ref]=5,[Cotação]&gt;0,[Cotação]&lt;&gt;""),[Total Exercício]/[Cotação],IF([Ref]&lt;4,0,""))</f>
        <v/>
      </c>
      <c r="Y213" s="17">
        <f>IF([Tipo]="div",1,0)</f>
        <v>1</v>
      </c>
      <c r="Z213" s="17">
        <f>IF([Tipo]="jcp",1,0)</f>
        <v>0</v>
      </c>
    </row>
    <row r="214" spans="1:26" hidden="1">
      <c r="A214" s="4" t="s">
        <v>12</v>
      </c>
      <c r="B214" s="131" t="s">
        <v>166</v>
      </c>
      <c r="C214" s="15">
        <v>4</v>
      </c>
      <c r="D214" s="14">
        <v>2010</v>
      </c>
      <c r="E214" s="14" t="s">
        <v>1468</v>
      </c>
      <c r="F214" s="4"/>
      <c r="G214" s="46">
        <v>40246</v>
      </c>
      <c r="H214" s="46">
        <v>40259</v>
      </c>
      <c r="I214" s="133">
        <v>3.3000000000000002E-2</v>
      </c>
      <c r="J214" s="133">
        <f>IF(Tabela8[[#This Row],[Tipo]]="jcp",Tabela8[[#This Row],[Provento p/Ação]]*85%,Tabela8[[#This Row],[Provento p/Ação]])</f>
        <v>3.3000000000000002E-2</v>
      </c>
      <c r="K214" s="133" t="str">
        <f>IF([Lucro p/Ação]&lt;&gt;0,SUMPRODUCT(N([Papel]=Tabela8[[#This Row],[Papel]]),N([Exercício]=Tabela8[[#This Row],[Exercício]]),[Líquido p/Ação]),"")</f>
        <v/>
      </c>
      <c r="L214" s="42" t="str">
        <f>IF(Tabela8[[#This Row],[Lucro p/Ação]]="","",IF(Tabela8[[#This Row],[Lucro p/Ação]]&gt;0,Tabela8[[#This Row],[Total Exercício]]/Tabela8[[#This Row],[Lucro p/Ação]],0))</f>
        <v/>
      </c>
      <c r="M2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4" s="19" t="str">
        <f>IF(Tabela8[[#This Row],[Média Lucro p/Ação]]&lt;&gt;"",Tabela8[[#This Row],[Média Pago]]/Tabela8[[#This Row],[Média Lucro p/Ação]],"")</f>
        <v/>
      </c>
      <c r="P2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4" s="5">
        <f>SUMPRODUCT(N(Tabela1[Código]=Tabela8[[#This Row],[Papel]]),Tabela1[Fechamento])</f>
        <v>2.4700000000000002</v>
      </c>
      <c r="R214" s="5">
        <f>SUMPRODUCT(N(Tabela17[Código]=Tabela8[[#This Row],[Papel]]),Tabela17[Fechamento])</f>
        <v>0</v>
      </c>
      <c r="S214" s="7">
        <f>SUMPRODUCT(N(Tabela176[Código]=Tabela8[[#This Row],[Papel]]),Tabela176[Fechamento])</f>
        <v>0</v>
      </c>
      <c r="T214" s="7">
        <f>SUMPRODUCT(N(Tabela1768[Código]=Tabela8[[#This Row],[Papel]]),Tabela1768[Fechamento])</f>
        <v>0</v>
      </c>
      <c r="U214" s="7">
        <f>SUMPRODUCT(N(Tabela17683[Código]=Tabela8[[#This Row],[Papel]]),Tabela17683[Fechamento])</f>
        <v>0</v>
      </c>
      <c r="V214" s="17">
        <f>IF(MAX(Tabela8[[#This Row],[Cotação 1]]:Tabela8[[#This Row],[Cotação 5]])=0,"",MAX(Tabela8[[#This Row],[Cotação 1]]:Tabela8[[#This Row],[Cotação 5]]))</f>
        <v>2.4700000000000002</v>
      </c>
      <c r="W2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4" s="19" t="str">
        <f>IF(AND([Ref]=5,[Cotação]&gt;0,[Cotação]&lt;&gt;""),[Total Exercício]/[Cotação],IF([Ref]&lt;4,0,""))</f>
        <v/>
      </c>
      <c r="Y214" s="17">
        <f>IF([Tipo]="div",1,0)</f>
        <v>1</v>
      </c>
      <c r="Z214" s="17">
        <f>IF([Tipo]="jcp",1,0)</f>
        <v>0</v>
      </c>
    </row>
    <row r="215" spans="1:26" hidden="1">
      <c r="A215" s="4" t="s">
        <v>12</v>
      </c>
      <c r="B215" s="131" t="s">
        <v>64</v>
      </c>
      <c r="C215" s="15">
        <v>4</v>
      </c>
      <c r="D215" s="14">
        <v>2010</v>
      </c>
      <c r="E215" s="14" t="s">
        <v>1468</v>
      </c>
      <c r="F215" s="4"/>
      <c r="G215" s="46">
        <v>40246</v>
      </c>
      <c r="H215" s="46">
        <v>40259</v>
      </c>
      <c r="I215" s="133">
        <v>3.3000000000000002E-2</v>
      </c>
      <c r="J215" s="133">
        <f>IF(Tabela8[[#This Row],[Tipo]]="jcp",Tabela8[[#This Row],[Provento p/Ação]]*85%,Tabela8[[#This Row],[Provento p/Ação]])</f>
        <v>3.3000000000000002E-2</v>
      </c>
      <c r="K215" s="133" t="str">
        <f>IF([Lucro p/Ação]&lt;&gt;0,SUMPRODUCT(N([Papel]=Tabela8[[#This Row],[Papel]]),N([Exercício]=Tabela8[[#This Row],[Exercício]]),[Líquido p/Ação]),"")</f>
        <v/>
      </c>
      <c r="L215" s="42" t="str">
        <f>IF(Tabela8[[#This Row],[Lucro p/Ação]]="","",IF(Tabela8[[#This Row],[Lucro p/Ação]]&gt;0,Tabela8[[#This Row],[Total Exercício]]/Tabela8[[#This Row],[Lucro p/Ação]],0))</f>
        <v/>
      </c>
      <c r="M2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5" s="19" t="str">
        <f>IF(Tabela8[[#This Row],[Média Lucro p/Ação]]&lt;&gt;"",Tabela8[[#This Row],[Média Pago]]/Tabela8[[#This Row],[Média Lucro p/Ação]],"")</f>
        <v/>
      </c>
      <c r="P2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5" s="5">
        <f>SUMPRODUCT(N(Tabela1[Código]=Tabela8[[#This Row],[Papel]]),Tabela1[Fechamento])</f>
        <v>1.94</v>
      </c>
      <c r="R215" s="5">
        <f>SUMPRODUCT(N(Tabela17[Código]=Tabela8[[#This Row],[Papel]]),Tabela17[Fechamento])</f>
        <v>0</v>
      </c>
      <c r="S215" s="7">
        <f>SUMPRODUCT(N(Tabela176[Código]=Tabela8[[#This Row],[Papel]]),Tabela176[Fechamento])</f>
        <v>0</v>
      </c>
      <c r="T215" s="7">
        <f>SUMPRODUCT(N(Tabela1768[Código]=Tabela8[[#This Row],[Papel]]),Tabela1768[Fechamento])</f>
        <v>0</v>
      </c>
      <c r="U215" s="7">
        <f>SUMPRODUCT(N(Tabela17683[Código]=Tabela8[[#This Row],[Papel]]),Tabela17683[Fechamento])</f>
        <v>0</v>
      </c>
      <c r="V215" s="17">
        <f>IF(MAX(Tabela8[[#This Row],[Cotação 1]]:Tabela8[[#This Row],[Cotação 5]])=0,"",MAX(Tabela8[[#This Row],[Cotação 1]]:Tabela8[[#This Row],[Cotação 5]]))</f>
        <v>1.94</v>
      </c>
      <c r="W2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5" s="19" t="str">
        <f>IF(AND([Ref]=5,[Cotação]&gt;0,[Cotação]&lt;&gt;""),[Total Exercício]/[Cotação],IF([Ref]&lt;4,0,""))</f>
        <v/>
      </c>
      <c r="Y215" s="17">
        <f>IF([Tipo]="div",1,0)</f>
        <v>1</v>
      </c>
      <c r="Z215" s="17">
        <f>IF([Tipo]="jcp",1,0)</f>
        <v>0</v>
      </c>
    </row>
    <row r="216" spans="1:26" hidden="1">
      <c r="A216" s="4" t="s">
        <v>12</v>
      </c>
      <c r="B216" s="57" t="s">
        <v>94</v>
      </c>
      <c r="C216" s="15">
        <v>4</v>
      </c>
      <c r="D216" s="14"/>
      <c r="E216" s="4"/>
      <c r="F216" s="4"/>
      <c r="G216" s="4"/>
      <c r="H216" s="4"/>
      <c r="I216" s="4"/>
      <c r="J216" s="133">
        <f>IF(Tabela8[[#This Row],[Tipo]]="jcp",Tabela8[[#This Row],[Provento p/Ação]]*85%,Tabela8[[#This Row],[Provento p/Ação]])</f>
        <v>0</v>
      </c>
      <c r="K216" s="143" t="str">
        <f>IF([Lucro p/Ação]&lt;&gt;0,SUMPRODUCT(N([Papel]=Tabela8[[#This Row],[Papel]]),N([Exercício]=Tabela8[[#This Row],[Exercício]]),[Líquido p/Ação]),"")</f>
        <v/>
      </c>
      <c r="L216" s="42" t="str">
        <f>IF(Tabela8[[#This Row],[Lucro p/Ação]]="","",IF(Tabela8[[#This Row],[Lucro p/Ação]]&gt;0,Tabela8[[#This Row],[Total Exercício]]/Tabela8[[#This Row],[Lucro p/Ação]],0))</f>
        <v/>
      </c>
      <c r="M2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6" s="14" t="str">
        <f>IF(Tabela8[[#This Row],[Média Lucro p/Ação]]&lt;&gt;"",Tabela8[[#This Row],[Média Pago]]/Tabela8[[#This Row],[Média Lucro p/Ação]],"")</f>
        <v/>
      </c>
      <c r="P2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6" s="5">
        <f>SUMPRODUCT(N(Tabela1[Código]=Tabela8[[#This Row],[Papel]]),Tabela1[Fechamento])</f>
        <v>15.24</v>
      </c>
      <c r="R216" s="5">
        <f>SUMPRODUCT(N(Tabela17[Código]=Tabela8[[#This Row],[Papel]]),Tabela17[Fechamento])</f>
        <v>0</v>
      </c>
      <c r="S216" s="7">
        <f>SUMPRODUCT(N(Tabela176[Código]=Tabela8[[#This Row],[Papel]]),Tabela176[Fechamento])</f>
        <v>0</v>
      </c>
      <c r="T216" s="7">
        <f>SUMPRODUCT(N(Tabela1768[Código]=Tabela8[[#This Row],[Papel]]),Tabela1768[Fechamento])</f>
        <v>0</v>
      </c>
      <c r="U216" s="7">
        <f>SUMPRODUCT(N(Tabela17683[Código]=Tabela8[[#This Row],[Papel]]),Tabela17683[Fechamento])</f>
        <v>0</v>
      </c>
      <c r="V216" s="17">
        <f>IF(MAX(Tabela8[[#This Row],[Cotação 1]]:Tabela8[[#This Row],[Cotação 5]])=0,"",MAX(Tabela8[[#This Row],[Cotação 1]]:Tabela8[[#This Row],[Cotação 5]]))</f>
        <v>15.24</v>
      </c>
      <c r="W2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6" s="17" t="str">
        <f>IF(AND([Ref]=5,[Cotação]&gt;0,[Cotação]&lt;&gt;""),[Total Exercício]/[Cotação],IF([Ref]&lt;4,0,""))</f>
        <v/>
      </c>
      <c r="Y216" s="17">
        <f>IF([Tipo]="div",1,0)</f>
        <v>0</v>
      </c>
      <c r="Z216" s="17">
        <f>IF([Tipo]="jcp",1,0)</f>
        <v>0</v>
      </c>
    </row>
    <row r="217" spans="1:26" hidden="1">
      <c r="A217" s="4" t="s">
        <v>12</v>
      </c>
      <c r="B217" s="57" t="s">
        <v>473</v>
      </c>
      <c r="C217" s="15">
        <v>4</v>
      </c>
      <c r="D217" s="14"/>
      <c r="E217" s="4"/>
      <c r="F217" s="4"/>
      <c r="G217" s="4"/>
      <c r="H217" s="4"/>
      <c r="I217" s="4"/>
      <c r="J217" s="133">
        <f>IF(Tabela8[[#This Row],[Tipo]]="jcp",Tabela8[[#This Row],[Provento p/Ação]]*85%,Tabela8[[#This Row],[Provento p/Ação]])</f>
        <v>0</v>
      </c>
      <c r="K217" s="143" t="str">
        <f>IF([Lucro p/Ação]&lt;&gt;0,SUMPRODUCT(N([Papel]=Tabela8[[#This Row],[Papel]]),N([Exercício]=Tabela8[[#This Row],[Exercício]]),[Líquido p/Ação]),"")</f>
        <v/>
      </c>
      <c r="L217" s="42" t="str">
        <f>IF(Tabela8[[#This Row],[Lucro p/Ação]]="","",IF(Tabela8[[#This Row],[Lucro p/Ação]]&gt;0,Tabela8[[#This Row],[Total Exercício]]/Tabela8[[#This Row],[Lucro p/Ação]],0))</f>
        <v/>
      </c>
      <c r="M2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7" s="14" t="str">
        <f>IF(Tabela8[[#This Row],[Média Lucro p/Ação]]&lt;&gt;"",Tabela8[[#This Row],[Média Pago]]/Tabela8[[#This Row],[Média Lucro p/Ação]],"")</f>
        <v/>
      </c>
      <c r="P2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7" s="13">
        <f>SUMPRODUCT(N(Tabela1[Código]=Tabela8[[#This Row],[Papel]]),Tabela1[Fechamento])</f>
        <v>0</v>
      </c>
      <c r="R217" s="55">
        <f>SUMPRODUCT(N(Tabela17[Código]=Tabela8[[#This Row],[Papel]]),Tabela17[Fechamento])</f>
        <v>0</v>
      </c>
      <c r="S217" s="7">
        <f>SUMPRODUCT(N(Tabela176[Código]=Tabela8[[#This Row],[Papel]]),Tabela176[Fechamento])</f>
        <v>0</v>
      </c>
      <c r="T217" s="7">
        <f>SUMPRODUCT(N(Tabela1768[Código]=Tabela8[[#This Row],[Papel]]),Tabela1768[Fechamento])</f>
        <v>0</v>
      </c>
      <c r="U217" s="7">
        <f>SUMPRODUCT(N(Tabela17683[Código]=Tabela8[[#This Row],[Papel]]),Tabela17683[Fechamento])</f>
        <v>0</v>
      </c>
      <c r="V217" s="17" t="str">
        <f>IF(MAX(Tabela8[[#This Row],[Cotação 1]]:Tabela8[[#This Row],[Cotação 5]])=0,"",MAX(Tabela8[[#This Row],[Cotação 1]]:Tabela8[[#This Row],[Cotação 5]]))</f>
        <v/>
      </c>
      <c r="W2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7" s="17" t="str">
        <f>IF(AND([Ref]=5,[Cotação]&gt;0,[Cotação]&lt;&gt;""),[Total Exercício]/[Cotação],IF([Ref]&lt;4,0,""))</f>
        <v/>
      </c>
      <c r="Y217" s="17">
        <f>IF([Tipo]="div",1,0)</f>
        <v>0</v>
      </c>
      <c r="Z217" s="17">
        <f>IF([Tipo]="jcp",1,0)</f>
        <v>0</v>
      </c>
    </row>
    <row r="218" spans="1:26" hidden="1">
      <c r="A218" s="4" t="s">
        <v>12</v>
      </c>
      <c r="B218" s="57" t="s">
        <v>474</v>
      </c>
      <c r="C218" s="15">
        <v>4</v>
      </c>
      <c r="D218" s="14"/>
      <c r="E218" s="4"/>
      <c r="F218" s="4"/>
      <c r="G218" s="4"/>
      <c r="H218" s="4"/>
      <c r="I218" s="4"/>
      <c r="J218" s="133">
        <f>IF(Tabela8[[#This Row],[Tipo]]="jcp",Tabela8[[#This Row],[Provento p/Ação]]*85%,Tabela8[[#This Row],[Provento p/Ação]])</f>
        <v>0</v>
      </c>
      <c r="K218" s="143" t="str">
        <f>IF([Lucro p/Ação]&lt;&gt;0,SUMPRODUCT(N([Papel]=Tabela8[[#This Row],[Papel]]),N([Exercício]=Tabela8[[#This Row],[Exercício]]),[Líquido p/Ação]),"")</f>
        <v/>
      </c>
      <c r="L218" s="42" t="str">
        <f>IF(Tabela8[[#This Row],[Lucro p/Ação]]="","",IF(Tabela8[[#This Row],[Lucro p/Ação]]&gt;0,Tabela8[[#This Row],[Total Exercício]]/Tabela8[[#This Row],[Lucro p/Ação]],0))</f>
        <v/>
      </c>
      <c r="M2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8" s="14" t="str">
        <f>IF(Tabela8[[#This Row],[Média Lucro p/Ação]]&lt;&gt;"",Tabela8[[#This Row],[Média Pago]]/Tabela8[[#This Row],[Média Lucro p/Ação]],"")</f>
        <v/>
      </c>
      <c r="P2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8" s="13">
        <f>SUMPRODUCT(N(Tabela1[Código]=Tabela8[[#This Row],[Papel]]),Tabela1[Fechamento])</f>
        <v>0</v>
      </c>
      <c r="R218" s="55">
        <f>SUMPRODUCT(N(Tabela17[Código]=Tabela8[[#This Row],[Papel]]),Tabela17[Fechamento])</f>
        <v>0</v>
      </c>
      <c r="S218" s="7">
        <f>SUMPRODUCT(N(Tabela176[Código]=Tabela8[[#This Row],[Papel]]),Tabela176[Fechamento])</f>
        <v>0</v>
      </c>
      <c r="T218" s="7">
        <f>SUMPRODUCT(N(Tabela1768[Código]=Tabela8[[#This Row],[Papel]]),Tabela1768[Fechamento])</f>
        <v>0</v>
      </c>
      <c r="U218" s="7">
        <f>SUMPRODUCT(N(Tabela17683[Código]=Tabela8[[#This Row],[Papel]]),Tabela17683[Fechamento])</f>
        <v>0</v>
      </c>
      <c r="V218" s="17" t="str">
        <f>IF(MAX(Tabela8[[#This Row],[Cotação 1]]:Tabela8[[#This Row],[Cotação 5]])=0,"",MAX(Tabela8[[#This Row],[Cotação 1]]:Tabela8[[#This Row],[Cotação 5]]))</f>
        <v/>
      </c>
      <c r="W2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8" s="17" t="str">
        <f>IF(AND([Ref]=5,[Cotação]&gt;0,[Cotação]&lt;&gt;""),[Total Exercício]/[Cotação],IF([Ref]&lt;4,0,""))</f>
        <v/>
      </c>
      <c r="Y218" s="17">
        <f>IF([Tipo]="div",1,0)</f>
        <v>0</v>
      </c>
      <c r="Z218" s="17">
        <f>IF([Tipo]="jcp",1,0)</f>
        <v>0</v>
      </c>
    </row>
    <row r="219" spans="1:26" hidden="1">
      <c r="A219" s="24" t="s">
        <v>12</v>
      </c>
      <c r="B219" s="60" t="s">
        <v>35</v>
      </c>
      <c r="C219" s="16">
        <v>4</v>
      </c>
      <c r="D219" s="14"/>
      <c r="E219" s="4"/>
      <c r="F219" s="4"/>
      <c r="G219" s="4"/>
      <c r="H219" s="4"/>
      <c r="I219" s="4"/>
      <c r="J219" s="133">
        <f>IF(Tabela8[[#This Row],[Tipo]]="jcp",Tabela8[[#This Row],[Provento p/Ação]]*85%,Tabela8[[#This Row],[Provento p/Ação]])</f>
        <v>0</v>
      </c>
      <c r="K219" s="143" t="str">
        <f>IF([Lucro p/Ação]&lt;&gt;0,SUMPRODUCT(N([Papel]=Tabela8[[#This Row],[Papel]]),N([Exercício]=Tabela8[[#This Row],[Exercício]]),[Líquido p/Ação]),"")</f>
        <v/>
      </c>
      <c r="L219" s="42" t="str">
        <f>IF(Tabela8[[#This Row],[Lucro p/Ação]]="","",IF(Tabela8[[#This Row],[Lucro p/Ação]]&gt;0,Tabela8[[#This Row],[Total Exercício]]/Tabela8[[#This Row],[Lucro p/Ação]],0))</f>
        <v/>
      </c>
      <c r="M2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19" s="14" t="str">
        <f>IF(Tabela8[[#This Row],[Média Lucro p/Ação]]&lt;&gt;"",Tabela8[[#This Row],[Média Pago]]/Tabela8[[#This Row],[Média Lucro p/Ação]],"")</f>
        <v/>
      </c>
      <c r="P2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19" s="5">
        <f>SUMPRODUCT(N(Tabela1[Código]=Tabela8[[#This Row],[Papel]]),Tabela1[Fechamento])</f>
        <v>19.2</v>
      </c>
      <c r="R219" s="5">
        <f>SUMPRODUCT(N(Tabela17[Código]=Tabela8[[#This Row],[Papel]]),Tabela17[Fechamento])</f>
        <v>0</v>
      </c>
      <c r="S219" s="7">
        <f>SUMPRODUCT(N(Tabela176[Código]=Tabela8[[#This Row],[Papel]]),Tabela176[Fechamento])</f>
        <v>0</v>
      </c>
      <c r="T219" s="7">
        <f>SUMPRODUCT(N(Tabela1768[Código]=Tabela8[[#This Row],[Papel]]),Tabela1768[Fechamento])</f>
        <v>0</v>
      </c>
      <c r="U219" s="7">
        <f>SUMPRODUCT(N(Tabela17683[Código]=Tabela8[[#This Row],[Papel]]),Tabela17683[Fechamento])</f>
        <v>0</v>
      </c>
      <c r="V219" s="17">
        <f>IF(MAX(Tabela8[[#This Row],[Cotação 1]]:Tabela8[[#This Row],[Cotação 5]])=0,"",MAX(Tabela8[[#This Row],[Cotação 1]]:Tabela8[[#This Row],[Cotação 5]]))</f>
        <v>19.2</v>
      </c>
      <c r="W2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19" s="17" t="str">
        <f>IF(AND([Ref]=5,[Cotação]&gt;0,[Cotação]&lt;&gt;""),[Total Exercício]/[Cotação],IF([Ref]&lt;4,0,""))</f>
        <v/>
      </c>
      <c r="Y219" s="17">
        <f>IF([Tipo]="div",1,0)</f>
        <v>0</v>
      </c>
      <c r="Z219" s="17">
        <f>IF([Tipo]="jcp",1,0)</f>
        <v>0</v>
      </c>
    </row>
    <row r="220" spans="1:26" hidden="1">
      <c r="A220" s="3" t="s">
        <v>893</v>
      </c>
      <c r="B220" s="58" t="s">
        <v>899</v>
      </c>
      <c r="C220" s="16">
        <v>3</v>
      </c>
      <c r="D220" s="4"/>
      <c r="E220" s="4"/>
      <c r="F220" s="4"/>
      <c r="G220" s="4"/>
      <c r="H220" s="4"/>
      <c r="I220" s="4"/>
      <c r="J220" s="17">
        <f>IF(Tabela8[[#This Row],[Tipo]]="jcp",Tabela8[[#This Row],[Provento p/Ação]]*85%,Tabela8[[#This Row],[Provento p/Ação]])</f>
        <v>0</v>
      </c>
      <c r="K220" s="143" t="str">
        <f>IF([Lucro p/Ação]&lt;&gt;0,SUMPRODUCT(N([Papel]=Tabela8[[#This Row],[Papel]]),N([Exercício]=Tabela8[[#This Row],[Exercício]]),[Líquido p/Ação]),"")</f>
        <v/>
      </c>
      <c r="L220" s="42" t="str">
        <f>IF(Tabela8[[#This Row],[Lucro p/Ação]]="","",IF(Tabela8[[#This Row],[Lucro p/Ação]]&gt;0,Tabela8[[#This Row],[Total Exercício]]/Tabela8[[#This Row],[Lucro p/Ação]],0))</f>
        <v/>
      </c>
      <c r="M2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0" s="14" t="str">
        <f>IF(Tabela8[[#This Row],[Média Lucro p/Ação]]&lt;&gt;"",Tabela8[[#This Row],[Média Pago]]/Tabela8[[#This Row],[Média Lucro p/Ação]],"")</f>
        <v/>
      </c>
      <c r="P2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0" s="7">
        <f>SUMPRODUCT(N(Tabela1[Código]=Tabela8[[#This Row],[Papel]]),Tabela1[Fechamento])</f>
        <v>0</v>
      </c>
      <c r="R220" s="7">
        <f>SUMPRODUCT(N(Tabela17[Código]=Tabela8[[#This Row],[Papel]]),Tabela17[Fechamento])</f>
        <v>0</v>
      </c>
      <c r="S220" s="7">
        <f>SUMPRODUCT(N(Tabela176[Código]=Tabela8[[#This Row],[Papel]]),Tabela176[Fechamento])</f>
        <v>0</v>
      </c>
      <c r="T220" s="7">
        <f>SUMPRODUCT(N(Tabela1768[Código]=Tabela8[[#This Row],[Papel]]),Tabela1768[Fechamento])</f>
        <v>5</v>
      </c>
      <c r="U220" s="7">
        <f>SUMPRODUCT(N(Tabela17683[Código]=Tabela8[[#This Row],[Papel]]),Tabela17683[Fechamento])</f>
        <v>0</v>
      </c>
      <c r="V220" s="17">
        <f>IF(MAX(Tabela8[[#This Row],[Cotação 1]]:Tabela8[[#This Row],[Cotação 5]])=0,"",MAX(Tabela8[[#This Row],[Cotação 1]]:Tabela8[[#This Row],[Cotação 5]]))</f>
        <v>5</v>
      </c>
      <c r="W2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0" s="17">
        <f>IF(AND([Ref]=5,[Cotação]&gt;0,[Cotação]&lt;&gt;""),[Total Exercício]/[Cotação],IF([Ref]&lt;4,0,""))</f>
        <v>0</v>
      </c>
      <c r="Y220" s="17">
        <f>IF([Tipo]="div",1,0)</f>
        <v>0</v>
      </c>
      <c r="Z220" s="17">
        <f>IF([Tipo]="jcp",1,0)</f>
        <v>0</v>
      </c>
    </row>
    <row r="221" spans="1:26" hidden="1">
      <c r="A221" s="3" t="s">
        <v>893</v>
      </c>
      <c r="B221" s="58" t="s">
        <v>900</v>
      </c>
      <c r="C221" s="16">
        <v>3</v>
      </c>
      <c r="D221" s="4"/>
      <c r="E221" s="4"/>
      <c r="F221" s="4"/>
      <c r="G221" s="4"/>
      <c r="H221" s="4"/>
      <c r="I221" s="4"/>
      <c r="J221" s="17">
        <f>IF(Tabela8[[#This Row],[Tipo]]="jcp",Tabela8[[#This Row],[Provento p/Ação]]*85%,Tabela8[[#This Row],[Provento p/Ação]])</f>
        <v>0</v>
      </c>
      <c r="K221" s="143" t="str">
        <f>IF([Lucro p/Ação]&lt;&gt;0,SUMPRODUCT(N([Papel]=Tabela8[[#This Row],[Papel]]),N([Exercício]=Tabela8[[#This Row],[Exercício]]),[Líquido p/Ação]),"")</f>
        <v/>
      </c>
      <c r="L221" s="42" t="str">
        <f>IF(Tabela8[[#This Row],[Lucro p/Ação]]="","",IF(Tabela8[[#This Row],[Lucro p/Ação]]&gt;0,Tabela8[[#This Row],[Total Exercício]]/Tabela8[[#This Row],[Lucro p/Ação]],0))</f>
        <v/>
      </c>
      <c r="M2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1" s="14" t="str">
        <f>IF(Tabela8[[#This Row],[Média Lucro p/Ação]]&lt;&gt;"",Tabela8[[#This Row],[Média Pago]]/Tabela8[[#This Row],[Média Lucro p/Ação]],"")</f>
        <v/>
      </c>
      <c r="P2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1" s="7">
        <f>SUMPRODUCT(N(Tabela1[Código]=Tabela8[[#This Row],[Papel]]),Tabela1[Fechamento])</f>
        <v>0</v>
      </c>
      <c r="R221" s="7">
        <f>SUMPRODUCT(N(Tabela17[Código]=Tabela8[[#This Row],[Papel]]),Tabela17[Fechamento])</f>
        <v>0</v>
      </c>
      <c r="S221" s="7">
        <f>SUMPRODUCT(N(Tabela176[Código]=Tabela8[[#This Row],[Papel]]),Tabela176[Fechamento])</f>
        <v>0</v>
      </c>
      <c r="T221" s="7">
        <f>SUMPRODUCT(N(Tabela1768[Código]=Tabela8[[#This Row],[Papel]]),Tabela1768[Fechamento])</f>
        <v>0.21</v>
      </c>
      <c r="U221" s="7">
        <f>SUMPRODUCT(N(Tabela17683[Código]=Tabela8[[#This Row],[Papel]]),Tabela17683[Fechamento])</f>
        <v>0</v>
      </c>
      <c r="V221" s="17">
        <f>IF(MAX(Tabela8[[#This Row],[Cotação 1]]:Tabela8[[#This Row],[Cotação 5]])=0,"",MAX(Tabela8[[#This Row],[Cotação 1]]:Tabela8[[#This Row],[Cotação 5]]))</f>
        <v>0.21</v>
      </c>
      <c r="W2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1" s="17">
        <f>IF(AND([Ref]=5,[Cotação]&gt;0,[Cotação]&lt;&gt;""),[Total Exercício]/[Cotação],IF([Ref]&lt;4,0,""))</f>
        <v>0</v>
      </c>
      <c r="Y221" s="17">
        <f>IF([Tipo]="div",1,0)</f>
        <v>0</v>
      </c>
      <c r="Z221" s="17">
        <f>IF([Tipo]="jcp",1,0)</f>
        <v>0</v>
      </c>
    </row>
    <row r="222" spans="1:26" hidden="1">
      <c r="A222" s="4" t="s">
        <v>330</v>
      </c>
      <c r="B222" s="57" t="s">
        <v>329</v>
      </c>
      <c r="C222" s="15">
        <v>4</v>
      </c>
      <c r="D222" s="4"/>
      <c r="E222" s="4"/>
      <c r="F222" s="4"/>
      <c r="G222" s="4"/>
      <c r="H222" s="4"/>
      <c r="I222" s="4"/>
      <c r="J222" s="17">
        <f>IF(Tabela8[[#This Row],[Tipo]]="jcp",Tabela8[[#This Row],[Provento p/Ação]]*85%,Tabela8[[#This Row],[Provento p/Ação]])</f>
        <v>0</v>
      </c>
      <c r="K222" s="143" t="str">
        <f>IF([Lucro p/Ação]&lt;&gt;0,SUMPRODUCT(N([Papel]=Tabela8[[#This Row],[Papel]]),N([Exercício]=Tabela8[[#This Row],[Exercício]]),[Líquido p/Ação]),"")</f>
        <v/>
      </c>
      <c r="L222" s="42" t="str">
        <f>IF(Tabela8[[#This Row],[Lucro p/Ação]]="","",IF(Tabela8[[#This Row],[Lucro p/Ação]]&gt;0,Tabela8[[#This Row],[Total Exercício]]/Tabela8[[#This Row],[Lucro p/Ação]],0))</f>
        <v/>
      </c>
      <c r="M2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2" s="14" t="str">
        <f>IF(Tabela8[[#This Row],[Média Lucro p/Ação]]&lt;&gt;"",Tabela8[[#This Row],[Média Pago]]/Tabela8[[#This Row],[Média Lucro p/Ação]],"")</f>
        <v/>
      </c>
      <c r="P2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2" s="13">
        <f>SUMPRODUCT(N(Tabela1[Código]=Tabela8[[#This Row],[Papel]]),Tabela1[Fechamento])</f>
        <v>0</v>
      </c>
      <c r="R222" s="55">
        <f>SUMPRODUCT(N(Tabela17[Código]=Tabela8[[#This Row],[Papel]]),Tabela17[Fechamento])</f>
        <v>8.58</v>
      </c>
      <c r="S222" s="7">
        <f>SUMPRODUCT(N(Tabela176[Código]=Tabela8[[#This Row],[Papel]]),Tabela176[Fechamento])</f>
        <v>0</v>
      </c>
      <c r="T222" s="7">
        <f>SUMPRODUCT(N(Tabela1768[Código]=Tabela8[[#This Row],[Papel]]),Tabela1768[Fechamento])</f>
        <v>0</v>
      </c>
      <c r="U222" s="7">
        <f>SUMPRODUCT(N(Tabela17683[Código]=Tabela8[[#This Row],[Papel]]),Tabela17683[Fechamento])</f>
        <v>0</v>
      </c>
      <c r="V222" s="17">
        <f>IF(MAX(Tabela8[[#This Row],[Cotação 1]]:Tabela8[[#This Row],[Cotação 5]])=0,"",MAX(Tabela8[[#This Row],[Cotação 1]]:Tabela8[[#This Row],[Cotação 5]]))</f>
        <v>8.58</v>
      </c>
      <c r="W2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2" s="17" t="str">
        <f>IF(AND([Ref]=5,[Cotação]&gt;0,[Cotação]&lt;&gt;""),[Total Exercício]/[Cotação],IF([Ref]&lt;4,0,""))</f>
        <v/>
      </c>
      <c r="Y222" s="17">
        <f>IF([Tipo]="div",1,0)</f>
        <v>0</v>
      </c>
      <c r="Z222" s="17">
        <f>IF([Tipo]="jcp",1,0)</f>
        <v>0</v>
      </c>
    </row>
    <row r="223" spans="1:26" hidden="1">
      <c r="A223" s="4" t="s">
        <v>310</v>
      </c>
      <c r="B223" s="57" t="s">
        <v>669</v>
      </c>
      <c r="C223" s="15">
        <v>4</v>
      </c>
      <c r="D223" s="4"/>
      <c r="E223" s="4"/>
      <c r="F223" s="4"/>
      <c r="G223" s="4"/>
      <c r="H223" s="4"/>
      <c r="I223" s="4"/>
      <c r="J223" s="17">
        <f>IF(Tabela8[[#This Row],[Tipo]]="jcp",Tabela8[[#This Row],[Provento p/Ação]]*85%,Tabela8[[#This Row],[Provento p/Ação]])</f>
        <v>0</v>
      </c>
      <c r="K223" s="143" t="str">
        <f>IF([Lucro p/Ação]&lt;&gt;0,SUMPRODUCT(N([Papel]=Tabela8[[#This Row],[Papel]]),N([Exercício]=Tabela8[[#This Row],[Exercício]]),[Líquido p/Ação]),"")</f>
        <v/>
      </c>
      <c r="L223" s="42" t="str">
        <f>IF(Tabela8[[#This Row],[Lucro p/Ação]]="","",IF(Tabela8[[#This Row],[Lucro p/Ação]]&gt;0,Tabela8[[#This Row],[Total Exercício]]/Tabela8[[#This Row],[Lucro p/Ação]],0))</f>
        <v/>
      </c>
      <c r="M2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3" s="14" t="str">
        <f>IF(Tabela8[[#This Row],[Média Lucro p/Ação]]&lt;&gt;"",Tabela8[[#This Row],[Média Pago]]/Tabela8[[#This Row],[Média Lucro p/Ação]],"")</f>
        <v/>
      </c>
      <c r="P2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3" s="13">
        <f>SUMPRODUCT(N(Tabela1[Código]=Tabela8[[#This Row],[Papel]]),Tabela1[Fechamento])</f>
        <v>0</v>
      </c>
      <c r="R223" s="55">
        <f>SUMPRODUCT(N(Tabela17[Código]=Tabela8[[#This Row],[Papel]]),Tabela17[Fechamento])</f>
        <v>0</v>
      </c>
      <c r="S223" s="7">
        <f>SUMPRODUCT(N(Tabela176[Código]=Tabela8[[#This Row],[Papel]]),Tabela176[Fechamento])</f>
        <v>7.11</v>
      </c>
      <c r="T223" s="7">
        <f>SUMPRODUCT(N(Tabela1768[Código]=Tabela8[[#This Row],[Papel]]),Tabela1768[Fechamento])</f>
        <v>0</v>
      </c>
      <c r="U223" s="7">
        <f>SUMPRODUCT(N(Tabela17683[Código]=Tabela8[[#This Row],[Papel]]),Tabela17683[Fechamento])</f>
        <v>0</v>
      </c>
      <c r="V223" s="17">
        <f>IF(MAX(Tabela8[[#This Row],[Cotação 1]]:Tabela8[[#This Row],[Cotação 5]])=0,"",MAX(Tabela8[[#This Row],[Cotação 1]]:Tabela8[[#This Row],[Cotação 5]]))</f>
        <v>7.11</v>
      </c>
      <c r="W2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3" s="17" t="str">
        <f>IF(AND([Ref]=5,[Cotação]&gt;0,[Cotação]&lt;&gt;""),[Total Exercício]/[Cotação],IF([Ref]&lt;4,0,""))</f>
        <v/>
      </c>
      <c r="Y223" s="17">
        <f>IF([Tipo]="div",1,0)</f>
        <v>0</v>
      </c>
      <c r="Z223" s="17">
        <f>IF([Tipo]="jcp",1,0)</f>
        <v>0</v>
      </c>
    </row>
    <row r="224" spans="1:26" hidden="1">
      <c r="A224" s="4" t="s">
        <v>310</v>
      </c>
      <c r="B224" s="57" t="s">
        <v>312</v>
      </c>
      <c r="C224" s="15">
        <v>4</v>
      </c>
      <c r="D224" s="4"/>
      <c r="E224" s="4"/>
      <c r="F224" s="4"/>
      <c r="G224" s="4"/>
      <c r="H224" s="4"/>
      <c r="I224" s="4"/>
      <c r="J224" s="17">
        <f>IF(Tabela8[[#This Row],[Tipo]]="jcp",Tabela8[[#This Row],[Provento p/Ação]]*85%,Tabela8[[#This Row],[Provento p/Ação]])</f>
        <v>0</v>
      </c>
      <c r="K224" s="143" t="str">
        <f>IF([Lucro p/Ação]&lt;&gt;0,SUMPRODUCT(N([Papel]=Tabela8[[#This Row],[Papel]]),N([Exercício]=Tabela8[[#This Row],[Exercício]]),[Líquido p/Ação]),"")</f>
        <v/>
      </c>
      <c r="L224" s="42" t="str">
        <f>IF(Tabela8[[#This Row],[Lucro p/Ação]]="","",IF(Tabela8[[#This Row],[Lucro p/Ação]]&gt;0,Tabela8[[#This Row],[Total Exercício]]/Tabela8[[#This Row],[Lucro p/Ação]],0))</f>
        <v/>
      </c>
      <c r="M2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4" s="14" t="str">
        <f>IF(Tabela8[[#This Row],[Média Lucro p/Ação]]&lt;&gt;"",Tabela8[[#This Row],[Média Pago]]/Tabela8[[#This Row],[Média Lucro p/Ação]],"")</f>
        <v/>
      </c>
      <c r="P2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4" s="13">
        <f>SUMPRODUCT(N(Tabela1[Código]=Tabela8[[#This Row],[Papel]]),Tabela1[Fechamento])</f>
        <v>0</v>
      </c>
      <c r="R224" s="55">
        <f>SUMPRODUCT(N(Tabela17[Código]=Tabela8[[#This Row],[Papel]]),Tabela17[Fechamento])</f>
        <v>5.15</v>
      </c>
      <c r="S224" s="7">
        <f>SUMPRODUCT(N(Tabela176[Código]=Tabela8[[#This Row],[Papel]]),Tabela176[Fechamento])</f>
        <v>0</v>
      </c>
      <c r="T224" s="7">
        <f>SUMPRODUCT(N(Tabela1768[Código]=Tabela8[[#This Row],[Papel]]),Tabela1768[Fechamento])</f>
        <v>0</v>
      </c>
      <c r="U224" s="7">
        <f>SUMPRODUCT(N(Tabela17683[Código]=Tabela8[[#This Row],[Papel]]),Tabela17683[Fechamento])</f>
        <v>0</v>
      </c>
      <c r="V224" s="17">
        <f>IF(MAX(Tabela8[[#This Row],[Cotação 1]]:Tabela8[[#This Row],[Cotação 5]])=0,"",MAX(Tabela8[[#This Row],[Cotação 1]]:Tabela8[[#This Row],[Cotação 5]]))</f>
        <v>5.15</v>
      </c>
      <c r="W2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4" s="17" t="str">
        <f>IF(AND([Ref]=5,[Cotação]&gt;0,[Cotação]&lt;&gt;""),[Total Exercício]/[Cotação],IF([Ref]&lt;4,0,""))</f>
        <v/>
      </c>
      <c r="Y224" s="17">
        <f>IF([Tipo]="div",1,0)</f>
        <v>0</v>
      </c>
      <c r="Z224" s="17">
        <f>IF([Tipo]="jcp",1,0)</f>
        <v>0</v>
      </c>
    </row>
    <row r="225" spans="1:26" hidden="1">
      <c r="A225" s="3" t="s">
        <v>1019</v>
      </c>
      <c r="B225" s="57" t="s">
        <v>1031</v>
      </c>
      <c r="C225" s="16">
        <v>4</v>
      </c>
      <c r="D225" s="4"/>
      <c r="E225" s="4"/>
      <c r="F225" s="4"/>
      <c r="G225" s="4"/>
      <c r="H225" s="4"/>
      <c r="I225" s="4"/>
      <c r="J225" s="17">
        <f>IF(Tabela8[[#This Row],[Tipo]]="jcp",Tabela8[[#This Row],[Provento p/Ação]]*85%,Tabela8[[#This Row],[Provento p/Ação]])</f>
        <v>0</v>
      </c>
      <c r="K225" s="143" t="str">
        <f>IF([Lucro p/Ação]&lt;&gt;0,SUMPRODUCT(N([Papel]=Tabela8[[#This Row],[Papel]]),N([Exercício]=Tabela8[[#This Row],[Exercício]]),[Líquido p/Ação]),"")</f>
        <v/>
      </c>
      <c r="L225" s="42" t="str">
        <f>IF(Tabela8[[#This Row],[Lucro p/Ação]]="","",IF(Tabela8[[#This Row],[Lucro p/Ação]]&gt;0,Tabela8[[#This Row],[Total Exercício]]/Tabela8[[#This Row],[Lucro p/Ação]],0))</f>
        <v/>
      </c>
      <c r="M2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5" s="14" t="str">
        <f>IF(Tabela8[[#This Row],[Média Lucro p/Ação]]&lt;&gt;"",Tabela8[[#This Row],[Média Pago]]/Tabela8[[#This Row],[Média Lucro p/Ação]],"")</f>
        <v/>
      </c>
      <c r="P2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5" s="7">
        <f>SUMPRODUCT(N(Tabela1[Código]=Tabela8[[#This Row],[Papel]]),Tabela1[Fechamento])</f>
        <v>0</v>
      </c>
      <c r="R225" s="7">
        <f>SUMPRODUCT(N(Tabela17[Código]=Tabela8[[#This Row],[Papel]]),Tabela17[Fechamento])</f>
        <v>0</v>
      </c>
      <c r="S225" s="7">
        <f>SUMPRODUCT(N(Tabela176[Código]=Tabela8[[#This Row],[Papel]]),Tabela176[Fechamento])</f>
        <v>0</v>
      </c>
      <c r="T225" s="7">
        <f>SUMPRODUCT(N(Tabela1768[Código]=Tabela8[[#This Row],[Papel]]),Tabela1768[Fechamento])</f>
        <v>6.96</v>
      </c>
      <c r="U225" s="7">
        <f>SUMPRODUCT(N(Tabela17683[Código]=Tabela8[[#This Row],[Papel]]),Tabela17683[Fechamento])</f>
        <v>0</v>
      </c>
      <c r="V225" s="17">
        <f>IF(MAX(Tabela8[[#This Row],[Cotação 1]]:Tabela8[[#This Row],[Cotação 5]])=0,"",MAX(Tabela8[[#This Row],[Cotação 1]]:Tabela8[[#This Row],[Cotação 5]]))</f>
        <v>6.96</v>
      </c>
      <c r="W2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5" s="17" t="str">
        <f>IF(AND([Ref]=5,[Cotação]&gt;0,[Cotação]&lt;&gt;""),[Total Exercício]/[Cotação],IF([Ref]&lt;4,0,""))</f>
        <v/>
      </c>
      <c r="Y225" s="17">
        <f>IF([Tipo]="div",1,0)</f>
        <v>0</v>
      </c>
      <c r="Z225" s="17">
        <f>IF([Tipo]="jcp",1,0)</f>
        <v>0</v>
      </c>
    </row>
    <row r="226" spans="1:26" hidden="1">
      <c r="A226" s="3" t="s">
        <v>1019</v>
      </c>
      <c r="B226" s="58" t="s">
        <v>1032</v>
      </c>
      <c r="C226" s="16">
        <v>3</v>
      </c>
      <c r="D226" s="4"/>
      <c r="E226" s="4"/>
      <c r="F226" s="4"/>
      <c r="G226" s="4"/>
      <c r="H226" s="4"/>
      <c r="I226" s="4"/>
      <c r="J226" s="17">
        <f>IF(Tabela8[[#This Row],[Tipo]]="jcp",Tabela8[[#This Row],[Provento p/Ação]]*85%,Tabela8[[#This Row],[Provento p/Ação]])</f>
        <v>0</v>
      </c>
      <c r="K226" s="143" t="str">
        <f>IF([Lucro p/Ação]&lt;&gt;0,SUMPRODUCT(N([Papel]=Tabela8[[#This Row],[Papel]]),N([Exercício]=Tabela8[[#This Row],[Exercício]]),[Líquido p/Ação]),"")</f>
        <v/>
      </c>
      <c r="L226" s="42" t="str">
        <f>IF(Tabela8[[#This Row],[Lucro p/Ação]]="","",IF(Tabela8[[#This Row],[Lucro p/Ação]]&gt;0,Tabela8[[#This Row],[Total Exercício]]/Tabela8[[#This Row],[Lucro p/Ação]],0))</f>
        <v/>
      </c>
      <c r="M2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6" s="14" t="str">
        <f>IF(Tabela8[[#This Row],[Média Lucro p/Ação]]&lt;&gt;"",Tabela8[[#This Row],[Média Pago]]/Tabela8[[#This Row],[Média Lucro p/Ação]],"")</f>
        <v/>
      </c>
      <c r="P2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6" s="7">
        <f>SUMPRODUCT(N(Tabela1[Código]=Tabela8[[#This Row],[Papel]]),Tabela1[Fechamento])</f>
        <v>0</v>
      </c>
      <c r="R226" s="7">
        <f>SUMPRODUCT(N(Tabela17[Código]=Tabela8[[#This Row],[Papel]]),Tabela17[Fechamento])</f>
        <v>0</v>
      </c>
      <c r="S226" s="7">
        <f>SUMPRODUCT(N(Tabela176[Código]=Tabela8[[#This Row],[Papel]]),Tabela176[Fechamento])</f>
        <v>0</v>
      </c>
      <c r="T226" s="7">
        <f>SUMPRODUCT(N(Tabela1768[Código]=Tabela8[[#This Row],[Papel]]),Tabela1768[Fechamento])</f>
        <v>25.91</v>
      </c>
      <c r="U226" s="7">
        <f>SUMPRODUCT(N(Tabela17683[Código]=Tabela8[[#This Row],[Papel]]),Tabela17683[Fechamento])</f>
        <v>0</v>
      </c>
      <c r="V226" s="17">
        <f>IF(MAX(Tabela8[[#This Row],[Cotação 1]]:Tabela8[[#This Row],[Cotação 5]])=0,"",MAX(Tabela8[[#This Row],[Cotação 1]]:Tabela8[[#This Row],[Cotação 5]]))</f>
        <v>25.91</v>
      </c>
      <c r="W2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6" s="17">
        <f>IF(AND([Ref]=5,[Cotação]&gt;0,[Cotação]&lt;&gt;""),[Total Exercício]/[Cotação],IF([Ref]&lt;4,0,""))</f>
        <v>0</v>
      </c>
      <c r="Y226" s="17">
        <f>IF([Tipo]="div",1,0)</f>
        <v>0</v>
      </c>
      <c r="Z226" s="17">
        <f>IF([Tipo]="jcp",1,0)</f>
        <v>0</v>
      </c>
    </row>
    <row r="227" spans="1:26" hidden="1">
      <c r="A227" s="4" t="s">
        <v>325</v>
      </c>
      <c r="B227" s="57" t="s">
        <v>600</v>
      </c>
      <c r="C227" s="16">
        <v>4</v>
      </c>
      <c r="D227" s="4"/>
      <c r="E227" s="4"/>
      <c r="F227" s="4"/>
      <c r="G227" s="4"/>
      <c r="H227" s="4"/>
      <c r="I227" s="4"/>
      <c r="J227" s="17">
        <f>IF(Tabela8[[#This Row],[Tipo]]="jcp",Tabela8[[#This Row],[Provento p/Ação]]*85%,Tabela8[[#This Row],[Provento p/Ação]])</f>
        <v>0</v>
      </c>
      <c r="K227" s="143" t="str">
        <f>IF([Lucro p/Ação]&lt;&gt;0,SUMPRODUCT(N([Papel]=Tabela8[[#This Row],[Papel]]),N([Exercício]=Tabela8[[#This Row],[Exercício]]),[Líquido p/Ação]),"")</f>
        <v/>
      </c>
      <c r="L227" s="42" t="str">
        <f>IF(Tabela8[[#This Row],[Lucro p/Ação]]="","",IF(Tabela8[[#This Row],[Lucro p/Ação]]&gt;0,Tabela8[[#This Row],[Total Exercício]]/Tabela8[[#This Row],[Lucro p/Ação]],0))</f>
        <v/>
      </c>
      <c r="M2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7" s="14" t="str">
        <f>IF(Tabela8[[#This Row],[Média Lucro p/Ação]]&lt;&gt;"",Tabela8[[#This Row],[Média Pago]]/Tabela8[[#This Row],[Média Lucro p/Ação]],"")</f>
        <v/>
      </c>
      <c r="P2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7" s="7">
        <f>SUMPRODUCT(N(Tabela1[Código]=Tabela8[[#This Row],[Papel]]),Tabela1[Fechamento])</f>
        <v>0</v>
      </c>
      <c r="R227" s="7">
        <f>SUMPRODUCT(N(Tabela17[Código]=Tabela8[[#This Row],[Papel]]),Tabela17[Fechamento])</f>
        <v>0</v>
      </c>
      <c r="S227" s="7">
        <f>SUMPRODUCT(N(Tabela176[Código]=Tabela8[[#This Row],[Papel]]),Tabela176[Fechamento])</f>
        <v>80</v>
      </c>
      <c r="T227" s="7">
        <f>SUMPRODUCT(N(Tabela1768[Código]=Tabela8[[#This Row],[Papel]]),Tabela1768[Fechamento])</f>
        <v>0</v>
      </c>
      <c r="U227" s="7">
        <f>SUMPRODUCT(N(Tabela17683[Código]=Tabela8[[#This Row],[Papel]]),Tabela17683[Fechamento])</f>
        <v>0</v>
      </c>
      <c r="V227" s="17">
        <f>IF(MAX(Tabela8[[#This Row],[Cotação 1]]:Tabela8[[#This Row],[Cotação 5]])=0,"",MAX(Tabela8[[#This Row],[Cotação 1]]:Tabela8[[#This Row],[Cotação 5]]))</f>
        <v>80</v>
      </c>
      <c r="W2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7" s="17" t="str">
        <f>IF(AND([Ref]=5,[Cotação]&gt;0,[Cotação]&lt;&gt;""),[Total Exercício]/[Cotação],IF([Ref]&lt;4,0,""))</f>
        <v/>
      </c>
      <c r="Y227" s="17">
        <f>IF([Tipo]="div",1,0)</f>
        <v>0</v>
      </c>
      <c r="Z227" s="17">
        <f>IF([Tipo]="jcp",1,0)</f>
        <v>0</v>
      </c>
    </row>
    <row r="228" spans="1:26" hidden="1">
      <c r="A228" s="4" t="s">
        <v>325</v>
      </c>
      <c r="B228" s="57" t="s">
        <v>601</v>
      </c>
      <c r="C228" s="15">
        <v>4</v>
      </c>
      <c r="D228" s="4"/>
      <c r="E228" s="4"/>
      <c r="F228" s="4"/>
      <c r="G228" s="4"/>
      <c r="H228" s="4"/>
      <c r="I228" s="4"/>
      <c r="J228" s="17">
        <f>IF(Tabela8[[#This Row],[Tipo]]="jcp",Tabela8[[#This Row],[Provento p/Ação]]*85%,Tabela8[[#This Row],[Provento p/Ação]])</f>
        <v>0</v>
      </c>
      <c r="K228" s="143" t="str">
        <f>IF([Lucro p/Ação]&lt;&gt;0,SUMPRODUCT(N([Papel]=Tabela8[[#This Row],[Papel]]),N([Exercício]=Tabela8[[#This Row],[Exercício]]),[Líquido p/Ação]),"")</f>
        <v/>
      </c>
      <c r="L228" s="42" t="str">
        <f>IF(Tabela8[[#This Row],[Lucro p/Ação]]="","",IF(Tabela8[[#This Row],[Lucro p/Ação]]&gt;0,Tabela8[[#This Row],[Total Exercício]]/Tabela8[[#This Row],[Lucro p/Ação]],0))</f>
        <v/>
      </c>
      <c r="M2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8" s="14" t="str">
        <f>IF(Tabela8[[#This Row],[Média Lucro p/Ação]]&lt;&gt;"",Tabela8[[#This Row],[Média Pago]]/Tabela8[[#This Row],[Média Lucro p/Ação]],"")</f>
        <v/>
      </c>
      <c r="P2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8" s="17">
        <f>SUMPRODUCT(N(Tabela1[Código]=Tabela8[[#This Row],[Papel]]),Tabela1[Fechamento])</f>
        <v>0</v>
      </c>
      <c r="R228" s="17">
        <f>SUMPRODUCT(N(Tabela17[Código]=Tabela8[[#This Row],[Papel]]),Tabela17[Fechamento])</f>
        <v>0</v>
      </c>
      <c r="S228" s="17">
        <f>SUMPRODUCT(N(Tabela176[Código]=Tabela8[[#This Row],[Papel]]),Tabela176[Fechamento])</f>
        <v>25.49</v>
      </c>
      <c r="T228" s="17">
        <f>SUMPRODUCT(N(Tabela1768[Código]=Tabela8[[#This Row],[Papel]]),Tabela1768[Fechamento])</f>
        <v>0</v>
      </c>
      <c r="U228" s="7">
        <f>SUMPRODUCT(N(Tabela17683[Código]=Tabela8[[#This Row],[Papel]]),Tabela17683[Fechamento])</f>
        <v>0</v>
      </c>
      <c r="V228" s="17">
        <f>IF(MAX(Tabela8[[#This Row],[Cotação 1]]:Tabela8[[#This Row],[Cotação 5]])=0,"",MAX(Tabela8[[#This Row],[Cotação 1]]:Tabela8[[#This Row],[Cotação 5]]))</f>
        <v>25.49</v>
      </c>
      <c r="W2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8" s="17" t="str">
        <f>IF(AND([Ref]=5,[Cotação]&gt;0,[Cotação]&lt;&gt;""),[Total Exercício]/[Cotação],IF([Ref]&lt;4,0,""))</f>
        <v/>
      </c>
      <c r="Y228" s="17">
        <f>IF([Tipo]="div",1,0)</f>
        <v>0</v>
      </c>
      <c r="Z228" s="17">
        <f>IF([Tipo]="jcp",1,0)</f>
        <v>0</v>
      </c>
    </row>
    <row r="229" spans="1:26" hidden="1">
      <c r="A229" s="3" t="s">
        <v>231</v>
      </c>
      <c r="B229" s="57" t="s">
        <v>228</v>
      </c>
      <c r="C229" s="16">
        <v>3</v>
      </c>
      <c r="D229" s="4"/>
      <c r="E229" s="4"/>
      <c r="F229" s="4"/>
      <c r="G229" s="4"/>
      <c r="H229" s="4"/>
      <c r="I229" s="4"/>
      <c r="J229" s="17">
        <f>IF(Tabela8[[#This Row],[Tipo]]="jcp",Tabela8[[#This Row],[Provento p/Ação]]*85%,Tabela8[[#This Row],[Provento p/Ação]])</f>
        <v>0</v>
      </c>
      <c r="K229" s="143" t="str">
        <f>IF([Lucro p/Ação]&lt;&gt;0,SUMPRODUCT(N([Papel]=Tabela8[[#This Row],[Papel]]),N([Exercício]=Tabela8[[#This Row],[Exercício]]),[Líquido p/Ação]),"")</f>
        <v/>
      </c>
      <c r="L229" s="42" t="str">
        <f>IF(Tabela8[[#This Row],[Lucro p/Ação]]="","",IF(Tabela8[[#This Row],[Lucro p/Ação]]&gt;0,Tabela8[[#This Row],[Total Exercício]]/Tabela8[[#This Row],[Lucro p/Ação]],0))</f>
        <v/>
      </c>
      <c r="M2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29" s="14" t="str">
        <f>IF(Tabela8[[#This Row],[Média Lucro p/Ação]]&lt;&gt;"",Tabela8[[#This Row],[Média Pago]]/Tabela8[[#This Row],[Média Lucro p/Ação]],"")</f>
        <v/>
      </c>
      <c r="P2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29" s="5">
        <f>SUMPRODUCT(N(Tabela1[Código]=Tabela8[[#This Row],[Papel]]),Tabela1[Fechamento])</f>
        <v>19</v>
      </c>
      <c r="R229" s="5">
        <f>SUMPRODUCT(N(Tabela17[Código]=Tabela8[[#This Row],[Papel]]),Tabela17[Fechamento])</f>
        <v>0</v>
      </c>
      <c r="S229" s="7">
        <f>SUMPRODUCT(N(Tabela176[Código]=Tabela8[[#This Row],[Papel]]),Tabela176[Fechamento])</f>
        <v>0</v>
      </c>
      <c r="T229" s="7">
        <f>SUMPRODUCT(N(Tabela1768[Código]=Tabela8[[#This Row],[Papel]]),Tabela1768[Fechamento])</f>
        <v>0</v>
      </c>
      <c r="U229" s="7">
        <f>SUMPRODUCT(N(Tabela17683[Código]=Tabela8[[#This Row],[Papel]]),Tabela17683[Fechamento])</f>
        <v>0</v>
      </c>
      <c r="V229" s="17">
        <f>IF(MAX(Tabela8[[#This Row],[Cotação 1]]:Tabela8[[#This Row],[Cotação 5]])=0,"",MAX(Tabela8[[#This Row],[Cotação 1]]:Tabela8[[#This Row],[Cotação 5]]))</f>
        <v>19</v>
      </c>
      <c r="W2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29" s="17">
        <f>IF(AND([Ref]=5,[Cotação]&gt;0,[Cotação]&lt;&gt;""),[Total Exercício]/[Cotação],IF([Ref]&lt;4,0,""))</f>
        <v>0</v>
      </c>
      <c r="Y229" s="17">
        <f>IF([Tipo]="div",1,0)</f>
        <v>0</v>
      </c>
      <c r="Z229" s="17">
        <f>IF([Tipo]="jcp",1,0)</f>
        <v>0</v>
      </c>
    </row>
    <row r="230" spans="1:26" hidden="1">
      <c r="A230" s="3" t="s">
        <v>231</v>
      </c>
      <c r="B230" s="57" t="s">
        <v>79</v>
      </c>
      <c r="C230" s="16">
        <v>3</v>
      </c>
      <c r="D230" s="4"/>
      <c r="E230" s="4"/>
      <c r="F230" s="4"/>
      <c r="G230" s="4"/>
      <c r="H230" s="4"/>
      <c r="I230" s="4"/>
      <c r="J230" s="17">
        <f>IF(Tabela8[[#This Row],[Tipo]]="jcp",Tabela8[[#This Row],[Provento p/Ação]]*85%,Tabela8[[#This Row],[Provento p/Ação]])</f>
        <v>0</v>
      </c>
      <c r="K230" s="143" t="str">
        <f>IF([Lucro p/Ação]&lt;&gt;0,SUMPRODUCT(N([Papel]=Tabela8[[#This Row],[Papel]]),N([Exercício]=Tabela8[[#This Row],[Exercício]]),[Líquido p/Ação]),"")</f>
        <v/>
      </c>
      <c r="L230" s="42" t="str">
        <f>IF(Tabela8[[#This Row],[Lucro p/Ação]]="","",IF(Tabela8[[#This Row],[Lucro p/Ação]]&gt;0,Tabela8[[#This Row],[Total Exercício]]/Tabela8[[#This Row],[Lucro p/Ação]],0))</f>
        <v/>
      </c>
      <c r="M2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0" s="14" t="str">
        <f>IF(Tabela8[[#This Row],[Média Lucro p/Ação]]&lt;&gt;"",Tabela8[[#This Row],[Média Pago]]/Tabela8[[#This Row],[Média Lucro p/Ação]],"")</f>
        <v/>
      </c>
      <c r="P2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0" s="5">
        <f>SUMPRODUCT(N(Tabela1[Código]=Tabela8[[#This Row],[Papel]]),Tabela1[Fechamento])</f>
        <v>11.09</v>
      </c>
      <c r="R230" s="5">
        <f>SUMPRODUCT(N(Tabela17[Código]=Tabela8[[#This Row],[Papel]]),Tabela17[Fechamento])</f>
        <v>0</v>
      </c>
      <c r="S230" s="7">
        <f>SUMPRODUCT(N(Tabela176[Código]=Tabela8[[#This Row],[Papel]]),Tabela176[Fechamento])</f>
        <v>0</v>
      </c>
      <c r="T230" s="7">
        <f>SUMPRODUCT(N(Tabela1768[Código]=Tabela8[[#This Row],[Papel]]),Tabela1768[Fechamento])</f>
        <v>0</v>
      </c>
      <c r="U230" s="7">
        <f>SUMPRODUCT(N(Tabela17683[Código]=Tabela8[[#This Row],[Papel]]),Tabela17683[Fechamento])</f>
        <v>0</v>
      </c>
      <c r="V230" s="17">
        <f>IF(MAX(Tabela8[[#This Row],[Cotação 1]]:Tabela8[[#This Row],[Cotação 5]])=0,"",MAX(Tabela8[[#This Row],[Cotação 1]]:Tabela8[[#This Row],[Cotação 5]]))</f>
        <v>11.09</v>
      </c>
      <c r="W2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0" s="17">
        <f>IF(AND([Ref]=5,[Cotação]&gt;0,[Cotação]&lt;&gt;""),[Total Exercício]/[Cotação],IF([Ref]&lt;4,0,""))</f>
        <v>0</v>
      </c>
      <c r="Y230" s="17">
        <f>IF([Tipo]="div",1,0)</f>
        <v>0</v>
      </c>
      <c r="Z230" s="17">
        <f>IF([Tipo]="jcp",1,0)</f>
        <v>0</v>
      </c>
    </row>
    <row r="231" spans="1:26" hidden="1">
      <c r="A231" s="4" t="s">
        <v>641</v>
      </c>
      <c r="B231" s="57" t="s">
        <v>642</v>
      </c>
      <c r="C231" s="15">
        <v>3</v>
      </c>
      <c r="D231" s="4"/>
      <c r="E231" s="4"/>
      <c r="F231" s="4"/>
      <c r="G231" s="4"/>
      <c r="H231" s="4"/>
      <c r="I231" s="4"/>
      <c r="J231" s="17">
        <f>IF(Tabela8[[#This Row],[Tipo]]="jcp",Tabela8[[#This Row],[Provento p/Ação]]*85%,Tabela8[[#This Row],[Provento p/Ação]])</f>
        <v>0</v>
      </c>
      <c r="K231" s="143" t="str">
        <f>IF([Lucro p/Ação]&lt;&gt;0,SUMPRODUCT(N([Papel]=Tabela8[[#This Row],[Papel]]),N([Exercício]=Tabela8[[#This Row],[Exercício]]),[Líquido p/Ação]),"")</f>
        <v/>
      </c>
      <c r="L231" s="42" t="str">
        <f>IF(Tabela8[[#This Row],[Lucro p/Ação]]="","",IF(Tabela8[[#This Row],[Lucro p/Ação]]&gt;0,Tabela8[[#This Row],[Total Exercício]]/Tabela8[[#This Row],[Lucro p/Ação]],0))</f>
        <v/>
      </c>
      <c r="M2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1" s="14" t="str">
        <f>IF(Tabela8[[#This Row],[Média Lucro p/Ação]]&lt;&gt;"",Tabela8[[#This Row],[Média Pago]]/Tabela8[[#This Row],[Média Lucro p/Ação]],"")</f>
        <v/>
      </c>
      <c r="P2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1" s="17">
        <f>SUMPRODUCT(N(Tabela1[Código]=Tabela8[[#This Row],[Papel]]),Tabela1[Fechamento])</f>
        <v>0</v>
      </c>
      <c r="R231" s="17">
        <f>SUMPRODUCT(N(Tabela17[Código]=Tabela8[[#This Row],[Papel]]),Tabela17[Fechamento])</f>
        <v>0</v>
      </c>
      <c r="S231" s="17">
        <f>SUMPRODUCT(N(Tabela176[Código]=Tabela8[[#This Row],[Papel]]),Tabela176[Fechamento])</f>
        <v>0</v>
      </c>
      <c r="T231" s="17">
        <f>SUMPRODUCT(N(Tabela1768[Código]=Tabela8[[#This Row],[Papel]]),Tabela1768[Fechamento])</f>
        <v>0</v>
      </c>
      <c r="U231" s="7">
        <f>SUMPRODUCT(N(Tabela17683[Código]=Tabela8[[#This Row],[Papel]]),Tabela17683[Fechamento])</f>
        <v>0</v>
      </c>
      <c r="V231" s="17" t="str">
        <f>IF(MAX(Tabela8[[#This Row],[Cotação 1]]:Tabela8[[#This Row],[Cotação 5]])=0,"",MAX(Tabela8[[#This Row],[Cotação 1]]:Tabela8[[#This Row],[Cotação 5]]))</f>
        <v/>
      </c>
      <c r="W2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1" s="17">
        <f>IF(AND([Ref]=5,[Cotação]&gt;0,[Cotação]&lt;&gt;""),[Total Exercício]/[Cotação],IF([Ref]&lt;4,0,""))</f>
        <v>0</v>
      </c>
      <c r="Y231" s="17">
        <f>IF([Tipo]="div",1,0)</f>
        <v>0</v>
      </c>
      <c r="Z231" s="17">
        <f>IF([Tipo]="jcp",1,0)</f>
        <v>0</v>
      </c>
    </row>
    <row r="232" spans="1:26" hidden="1">
      <c r="A232" s="4" t="s">
        <v>19</v>
      </c>
      <c r="B232" s="57" t="s">
        <v>663</v>
      </c>
      <c r="C232" s="15">
        <v>4</v>
      </c>
      <c r="D232" s="4"/>
      <c r="E232" s="4"/>
      <c r="F232" s="4"/>
      <c r="G232" s="4"/>
      <c r="H232" s="4"/>
      <c r="I232" s="4"/>
      <c r="J232" s="17">
        <f>IF(Tabela8[[#This Row],[Tipo]]="jcp",Tabela8[[#This Row],[Provento p/Ação]]*85%,Tabela8[[#This Row],[Provento p/Ação]])</f>
        <v>0</v>
      </c>
      <c r="K232" s="143" t="str">
        <f>IF([Lucro p/Ação]&lt;&gt;0,SUMPRODUCT(N([Papel]=Tabela8[[#This Row],[Papel]]),N([Exercício]=Tabela8[[#This Row],[Exercício]]),[Líquido p/Ação]),"")</f>
        <v/>
      </c>
      <c r="L232" s="42" t="str">
        <f>IF(Tabela8[[#This Row],[Lucro p/Ação]]="","",IF(Tabela8[[#This Row],[Lucro p/Ação]]&gt;0,Tabela8[[#This Row],[Total Exercício]]/Tabela8[[#This Row],[Lucro p/Ação]],0))</f>
        <v/>
      </c>
      <c r="M2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2" s="14" t="str">
        <f>IF(Tabela8[[#This Row],[Média Lucro p/Ação]]&lt;&gt;"",Tabela8[[#This Row],[Média Pago]]/Tabela8[[#This Row],[Média Lucro p/Ação]],"")</f>
        <v/>
      </c>
      <c r="P2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2" s="17">
        <f>SUMPRODUCT(N(Tabela1[Código]=Tabela8[[#This Row],[Papel]]),Tabela1[Fechamento])</f>
        <v>0</v>
      </c>
      <c r="R232" s="17">
        <f>SUMPRODUCT(N(Tabela17[Código]=Tabela8[[#This Row],[Papel]]),Tabela17[Fechamento])</f>
        <v>0</v>
      </c>
      <c r="S232" s="17">
        <f>SUMPRODUCT(N(Tabela176[Código]=Tabela8[[#This Row],[Papel]]),Tabela176[Fechamento])</f>
        <v>24.85</v>
      </c>
      <c r="T232" s="17">
        <f>SUMPRODUCT(N(Tabela1768[Código]=Tabela8[[#This Row],[Papel]]),Tabela1768[Fechamento])</f>
        <v>0</v>
      </c>
      <c r="U232" s="7">
        <f>SUMPRODUCT(N(Tabela17683[Código]=Tabela8[[#This Row],[Papel]]),Tabela17683[Fechamento])</f>
        <v>0</v>
      </c>
      <c r="V232" s="17">
        <f>IF(MAX(Tabela8[[#This Row],[Cotação 1]]:Tabela8[[#This Row],[Cotação 5]])=0,"",MAX(Tabela8[[#This Row],[Cotação 1]]:Tabela8[[#This Row],[Cotação 5]]))</f>
        <v>24.85</v>
      </c>
      <c r="W2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2" s="17" t="str">
        <f>IF(AND([Ref]=5,[Cotação]&gt;0,[Cotação]&lt;&gt;""),[Total Exercício]/[Cotação],IF([Ref]&lt;4,0,""))</f>
        <v/>
      </c>
      <c r="Y232" s="17">
        <f>IF([Tipo]="div",1,0)</f>
        <v>0</v>
      </c>
      <c r="Z232" s="17">
        <f>IF([Tipo]="jcp",1,0)</f>
        <v>0</v>
      </c>
    </row>
    <row r="233" spans="1:26" hidden="1">
      <c r="A233" s="3" t="s">
        <v>1188</v>
      </c>
      <c r="B233" s="58" t="s">
        <v>1189</v>
      </c>
      <c r="C233" s="16">
        <v>3</v>
      </c>
      <c r="D233" s="4"/>
      <c r="E233" s="4"/>
      <c r="F233" s="4"/>
      <c r="G233" s="4"/>
      <c r="H233" s="4"/>
      <c r="I233" s="4"/>
      <c r="J233" s="17">
        <f>IF(Tabela8[[#This Row],[Tipo]]="jcp",Tabela8[[#This Row],[Provento p/Ação]]*85%,Tabela8[[#This Row],[Provento p/Ação]])</f>
        <v>0</v>
      </c>
      <c r="K233" s="143" t="str">
        <f>IF([Lucro p/Ação]&lt;&gt;0,SUMPRODUCT(N([Papel]=Tabela8[[#This Row],[Papel]]),N([Exercício]=Tabela8[[#This Row],[Exercício]]),[Líquido p/Ação]),"")</f>
        <v/>
      </c>
      <c r="L233" s="42" t="str">
        <f>IF(Tabela8[[#This Row],[Lucro p/Ação]]="","",IF(Tabela8[[#This Row],[Lucro p/Ação]]&gt;0,Tabela8[[#This Row],[Total Exercício]]/Tabela8[[#This Row],[Lucro p/Ação]],0))</f>
        <v/>
      </c>
      <c r="M2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3" s="14" t="str">
        <f>IF(Tabela8[[#This Row],[Média Lucro p/Ação]]&lt;&gt;"",Tabela8[[#This Row],[Média Pago]]/Tabela8[[#This Row],[Média Lucro p/Ação]],"")</f>
        <v/>
      </c>
      <c r="P2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3" s="7">
        <f>SUMPRODUCT(N(Tabela1[Código]=Tabela8[[#This Row],[Papel]]),Tabela1[Fechamento])</f>
        <v>0</v>
      </c>
      <c r="R233" s="7">
        <f>SUMPRODUCT(N(Tabela17[Código]=Tabela8[[#This Row],[Papel]]),Tabela17[Fechamento])</f>
        <v>0</v>
      </c>
      <c r="S233" s="7">
        <f>SUMPRODUCT(N(Tabela176[Código]=Tabela8[[#This Row],[Papel]]),Tabela176[Fechamento])</f>
        <v>0</v>
      </c>
      <c r="T233" s="7">
        <f>SUMPRODUCT(N(Tabela1768[Código]=Tabela8[[#This Row],[Papel]]),Tabela1768[Fechamento])</f>
        <v>0</v>
      </c>
      <c r="U233" s="7">
        <f>SUMPRODUCT(N(Tabela17683[Código]=Tabela8[[#This Row],[Papel]]),Tabela17683[Fechamento])</f>
        <v>1.93</v>
      </c>
      <c r="V233" s="17">
        <f>IF(MAX(Tabela8[[#This Row],[Cotação 1]]:Tabela8[[#This Row],[Cotação 5]])=0,"",MAX(Tabela8[[#This Row],[Cotação 1]]:Tabela8[[#This Row],[Cotação 5]]))</f>
        <v>1.93</v>
      </c>
      <c r="W2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3" s="17">
        <f>IF(AND([Ref]=5,[Cotação]&gt;0,[Cotação]&lt;&gt;""),[Total Exercício]/[Cotação],IF([Ref]&lt;4,0,""))</f>
        <v>0</v>
      </c>
      <c r="Y233" s="17">
        <f>IF([Tipo]="div",1,0)</f>
        <v>0</v>
      </c>
      <c r="Z233" s="17">
        <f>IF([Tipo]="jcp",1,0)</f>
        <v>0</v>
      </c>
    </row>
    <row r="234" spans="1:26" hidden="1">
      <c r="A234" s="3" t="s">
        <v>1188</v>
      </c>
      <c r="B234" s="58" t="s">
        <v>1190</v>
      </c>
      <c r="C234" s="16">
        <v>3</v>
      </c>
      <c r="D234" s="4"/>
      <c r="E234" s="4"/>
      <c r="F234" s="4"/>
      <c r="G234" s="4"/>
      <c r="H234" s="4"/>
      <c r="I234" s="4"/>
      <c r="J234" s="17">
        <f>IF(Tabela8[[#This Row],[Tipo]]="jcp",Tabela8[[#This Row],[Provento p/Ação]]*85%,Tabela8[[#This Row],[Provento p/Ação]])</f>
        <v>0</v>
      </c>
      <c r="K234" s="143" t="str">
        <f>IF([Lucro p/Ação]&lt;&gt;0,SUMPRODUCT(N([Papel]=Tabela8[[#This Row],[Papel]]),N([Exercício]=Tabela8[[#This Row],[Exercício]]),[Líquido p/Ação]),"")</f>
        <v/>
      </c>
      <c r="L234" s="42" t="str">
        <f>IF(Tabela8[[#This Row],[Lucro p/Ação]]="","",IF(Tabela8[[#This Row],[Lucro p/Ação]]&gt;0,Tabela8[[#This Row],[Total Exercício]]/Tabela8[[#This Row],[Lucro p/Ação]],0))</f>
        <v/>
      </c>
      <c r="M2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4" s="14" t="str">
        <f>IF(Tabela8[[#This Row],[Média Lucro p/Ação]]&lt;&gt;"",Tabela8[[#This Row],[Média Pago]]/Tabela8[[#This Row],[Média Lucro p/Ação]],"")</f>
        <v/>
      </c>
      <c r="P2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4" s="7">
        <f>SUMPRODUCT(N(Tabela1[Código]=Tabela8[[#This Row],[Papel]]),Tabela1[Fechamento])</f>
        <v>0</v>
      </c>
      <c r="R234" s="7">
        <f>SUMPRODUCT(N(Tabela17[Código]=Tabela8[[#This Row],[Papel]]),Tabela17[Fechamento])</f>
        <v>0</v>
      </c>
      <c r="S234" s="7">
        <f>SUMPRODUCT(N(Tabela176[Código]=Tabela8[[#This Row],[Papel]]),Tabela176[Fechamento])</f>
        <v>0</v>
      </c>
      <c r="T234" s="7">
        <f>SUMPRODUCT(N(Tabela1768[Código]=Tabela8[[#This Row],[Papel]]),Tabela1768[Fechamento])</f>
        <v>0</v>
      </c>
      <c r="U234" s="7">
        <f>SUMPRODUCT(N(Tabela17683[Código]=Tabela8[[#This Row],[Papel]]),Tabela17683[Fechamento])</f>
        <v>1.4</v>
      </c>
      <c r="V234" s="17">
        <f>IF(MAX(Tabela8[[#This Row],[Cotação 1]]:Tabela8[[#This Row],[Cotação 5]])=0,"",MAX(Tabela8[[#This Row],[Cotação 1]]:Tabela8[[#This Row],[Cotação 5]]))</f>
        <v>1.4</v>
      </c>
      <c r="W2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4" s="17">
        <f>IF(AND([Ref]=5,[Cotação]&gt;0,[Cotação]&lt;&gt;""),[Total Exercício]/[Cotação],IF([Ref]&lt;4,0,""))</f>
        <v>0</v>
      </c>
      <c r="Y234" s="17">
        <f>IF([Tipo]="div",1,0)</f>
        <v>0</v>
      </c>
      <c r="Z234" s="17">
        <f>IF([Tipo]="jcp",1,0)</f>
        <v>0</v>
      </c>
    </row>
    <row r="235" spans="1:26" hidden="1">
      <c r="A235" s="4" t="s">
        <v>719</v>
      </c>
      <c r="B235" s="57" t="s">
        <v>723</v>
      </c>
      <c r="C235" s="15">
        <v>3</v>
      </c>
      <c r="D235" s="4"/>
      <c r="E235" s="4"/>
      <c r="F235" s="4"/>
      <c r="G235" s="4"/>
      <c r="H235" s="4"/>
      <c r="I235" s="4"/>
      <c r="J235" s="17">
        <f>IF(Tabela8[[#This Row],[Tipo]]="jcp",Tabela8[[#This Row],[Provento p/Ação]]*85%,Tabela8[[#This Row],[Provento p/Ação]])</f>
        <v>0</v>
      </c>
      <c r="K235" s="143" t="str">
        <f>IF([Lucro p/Ação]&lt;&gt;0,SUMPRODUCT(N([Papel]=Tabela8[[#This Row],[Papel]]),N([Exercício]=Tabela8[[#This Row],[Exercício]]),[Líquido p/Ação]),"")</f>
        <v/>
      </c>
      <c r="L235" s="42" t="str">
        <f>IF(Tabela8[[#This Row],[Lucro p/Ação]]="","",IF(Tabela8[[#This Row],[Lucro p/Ação]]&gt;0,Tabela8[[#This Row],[Total Exercício]]/Tabela8[[#This Row],[Lucro p/Ação]],0))</f>
        <v/>
      </c>
      <c r="M2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5" s="14" t="str">
        <f>IF(Tabela8[[#This Row],[Média Lucro p/Ação]]&lt;&gt;"",Tabela8[[#This Row],[Média Pago]]/Tabela8[[#This Row],[Média Lucro p/Ação]],"")</f>
        <v/>
      </c>
      <c r="P2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5" s="17">
        <f>SUMPRODUCT(N(Tabela1[Código]=Tabela8[[#This Row],[Papel]]),Tabela1[Fechamento])</f>
        <v>0</v>
      </c>
      <c r="R235" s="17">
        <f>SUMPRODUCT(N(Tabela17[Código]=Tabela8[[#This Row],[Papel]]),Tabela17[Fechamento])</f>
        <v>0</v>
      </c>
      <c r="S235" s="17">
        <f>SUMPRODUCT(N(Tabela176[Código]=Tabela8[[#This Row],[Papel]]),Tabela176[Fechamento])</f>
        <v>19.12</v>
      </c>
      <c r="T235" s="17">
        <f>SUMPRODUCT(N(Tabela1768[Código]=Tabela8[[#This Row],[Papel]]),Tabela1768[Fechamento])</f>
        <v>0</v>
      </c>
      <c r="U235" s="7">
        <f>SUMPRODUCT(N(Tabela17683[Código]=Tabela8[[#This Row],[Papel]]),Tabela17683[Fechamento])</f>
        <v>0</v>
      </c>
      <c r="V235" s="17">
        <f>IF(MAX(Tabela8[[#This Row],[Cotação 1]]:Tabela8[[#This Row],[Cotação 5]])=0,"",MAX(Tabela8[[#This Row],[Cotação 1]]:Tabela8[[#This Row],[Cotação 5]]))</f>
        <v>19.12</v>
      </c>
      <c r="W2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5" s="17">
        <f>IF(AND([Ref]=5,[Cotação]&gt;0,[Cotação]&lt;&gt;""),[Total Exercício]/[Cotação],IF([Ref]&lt;4,0,""))</f>
        <v>0</v>
      </c>
      <c r="Y235" s="17">
        <f>IF([Tipo]="div",1,0)</f>
        <v>0</v>
      </c>
      <c r="Z235" s="17">
        <f>IF([Tipo]="jcp",1,0)</f>
        <v>0</v>
      </c>
    </row>
    <row r="236" spans="1:26" hidden="1">
      <c r="A236" s="3" t="s">
        <v>1276</v>
      </c>
      <c r="B236" s="58" t="s">
        <v>1244</v>
      </c>
      <c r="C236" s="16">
        <v>4</v>
      </c>
      <c r="D236" s="4"/>
      <c r="E236" s="4"/>
      <c r="F236" s="4"/>
      <c r="G236" s="4"/>
      <c r="H236" s="4"/>
      <c r="I236" s="4"/>
      <c r="J236" s="17">
        <f>IF(Tabela8[[#This Row],[Tipo]]="jcp",Tabela8[[#This Row],[Provento p/Ação]]*85%,Tabela8[[#This Row],[Provento p/Ação]])</f>
        <v>0</v>
      </c>
      <c r="K236" s="143" t="str">
        <f>IF([Lucro p/Ação]&lt;&gt;0,SUMPRODUCT(N([Papel]=Tabela8[[#This Row],[Papel]]),N([Exercício]=Tabela8[[#This Row],[Exercício]]),[Líquido p/Ação]),"")</f>
        <v/>
      </c>
      <c r="L236" s="42" t="str">
        <f>IF(Tabela8[[#This Row],[Lucro p/Ação]]="","",IF(Tabela8[[#This Row],[Lucro p/Ação]]&gt;0,Tabela8[[#This Row],[Total Exercício]]/Tabela8[[#This Row],[Lucro p/Ação]],0))</f>
        <v/>
      </c>
      <c r="M2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6" s="14" t="str">
        <f>IF(Tabela8[[#This Row],[Média Lucro p/Ação]]&lt;&gt;"",Tabela8[[#This Row],[Média Pago]]/Tabela8[[#This Row],[Média Lucro p/Ação]],"")</f>
        <v/>
      </c>
      <c r="P2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6" s="7">
        <f>SUMPRODUCT(N(Tabela1[Código]=Tabela8[[#This Row],[Papel]]),Tabela1[Fechamento])</f>
        <v>0</v>
      </c>
      <c r="R236" s="7">
        <f>SUMPRODUCT(N(Tabela17[Código]=Tabela8[[#This Row],[Papel]]),Tabela17[Fechamento])</f>
        <v>0</v>
      </c>
      <c r="S236" s="7">
        <f>SUMPRODUCT(N(Tabela176[Código]=Tabela8[[#This Row],[Papel]]),Tabela176[Fechamento])</f>
        <v>0</v>
      </c>
      <c r="T236" s="7">
        <f>SUMPRODUCT(N(Tabela1768[Código]=Tabela8[[#This Row],[Papel]]),Tabela1768[Fechamento])</f>
        <v>0</v>
      </c>
      <c r="U236" s="7">
        <f>SUMPRODUCT(N(Tabela17683[Código]=Tabela8[[#This Row],[Papel]]),Tabela17683[Fechamento])</f>
        <v>4.3</v>
      </c>
      <c r="V236" s="17">
        <f>IF(MAX(Tabela8[[#This Row],[Cotação 1]]:Tabela8[[#This Row],[Cotação 5]])=0,"",MAX(Tabela8[[#This Row],[Cotação 1]]:Tabela8[[#This Row],[Cotação 5]]))</f>
        <v>4.3</v>
      </c>
      <c r="W2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6" s="17" t="str">
        <f>IF(AND([Ref]=5,[Cotação]&gt;0,[Cotação]&lt;&gt;""),[Total Exercício]/[Cotação],IF([Ref]&lt;4,0,""))</f>
        <v/>
      </c>
      <c r="Y236" s="17">
        <f>IF([Tipo]="div",1,0)</f>
        <v>0</v>
      </c>
      <c r="Z236" s="17">
        <f>IF([Tipo]="jcp",1,0)</f>
        <v>0</v>
      </c>
    </row>
    <row r="237" spans="1:26" hidden="1">
      <c r="A237" s="3" t="s">
        <v>1185</v>
      </c>
      <c r="B237" s="58" t="s">
        <v>1186</v>
      </c>
      <c r="C237" s="16">
        <v>3</v>
      </c>
      <c r="D237" s="4"/>
      <c r="E237" s="4"/>
      <c r="F237" s="4"/>
      <c r="G237" s="4"/>
      <c r="H237" s="4"/>
      <c r="I237" s="4"/>
      <c r="J237" s="17">
        <f>IF(Tabela8[[#This Row],[Tipo]]="jcp",Tabela8[[#This Row],[Provento p/Ação]]*85%,Tabela8[[#This Row],[Provento p/Ação]])</f>
        <v>0</v>
      </c>
      <c r="K237" s="143" t="str">
        <f>IF([Lucro p/Ação]&lt;&gt;0,SUMPRODUCT(N([Papel]=Tabela8[[#This Row],[Papel]]),N([Exercício]=Tabela8[[#This Row],[Exercício]]),[Líquido p/Ação]),"")</f>
        <v/>
      </c>
      <c r="L237" s="42" t="str">
        <f>IF(Tabela8[[#This Row],[Lucro p/Ação]]="","",IF(Tabela8[[#This Row],[Lucro p/Ação]]&gt;0,Tabela8[[#This Row],[Total Exercício]]/Tabela8[[#This Row],[Lucro p/Ação]],0))</f>
        <v/>
      </c>
      <c r="M2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7" s="14" t="str">
        <f>IF(Tabela8[[#This Row],[Média Lucro p/Ação]]&lt;&gt;"",Tabela8[[#This Row],[Média Pago]]/Tabela8[[#This Row],[Média Lucro p/Ação]],"")</f>
        <v/>
      </c>
      <c r="P2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7" s="7">
        <f>SUMPRODUCT(N(Tabela1[Código]=Tabela8[[#This Row],[Papel]]),Tabela1[Fechamento])</f>
        <v>0</v>
      </c>
      <c r="R237" s="7">
        <f>SUMPRODUCT(N(Tabela17[Código]=Tabela8[[#This Row],[Papel]]),Tabela17[Fechamento])</f>
        <v>0</v>
      </c>
      <c r="S237" s="7">
        <f>SUMPRODUCT(N(Tabela176[Código]=Tabela8[[#This Row],[Papel]]),Tabela176[Fechamento])</f>
        <v>0</v>
      </c>
      <c r="T237" s="7">
        <f>SUMPRODUCT(N(Tabela1768[Código]=Tabela8[[#This Row],[Papel]]),Tabela1768[Fechamento])</f>
        <v>0</v>
      </c>
      <c r="U237" s="7">
        <f>SUMPRODUCT(N(Tabela17683[Código]=Tabela8[[#This Row],[Papel]]),Tabela17683[Fechamento])</f>
        <v>1.75</v>
      </c>
      <c r="V237" s="17">
        <f>IF(MAX(Tabela8[[#This Row],[Cotação 1]]:Tabela8[[#This Row],[Cotação 5]])=0,"",MAX(Tabela8[[#This Row],[Cotação 1]]:Tabela8[[#This Row],[Cotação 5]]))</f>
        <v>1.75</v>
      </c>
      <c r="W2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7" s="17">
        <f>IF(AND([Ref]=5,[Cotação]&gt;0,[Cotação]&lt;&gt;""),[Total Exercício]/[Cotação],IF([Ref]&lt;4,0,""))</f>
        <v>0</v>
      </c>
      <c r="Y237" s="17">
        <f>IF([Tipo]="div",1,0)</f>
        <v>0</v>
      </c>
      <c r="Z237" s="17">
        <f>IF([Tipo]="jcp",1,0)</f>
        <v>0</v>
      </c>
    </row>
    <row r="238" spans="1:26" hidden="1">
      <c r="A238" s="4" t="s">
        <v>12</v>
      </c>
      <c r="B238" s="138" t="s">
        <v>38</v>
      </c>
      <c r="C238" s="15">
        <v>4</v>
      </c>
      <c r="D238" s="14">
        <v>2010</v>
      </c>
      <c r="E238" s="4" t="s">
        <v>1468</v>
      </c>
      <c r="F238" s="4"/>
      <c r="G238" s="46">
        <v>40298</v>
      </c>
      <c r="H238" s="46">
        <v>40309</v>
      </c>
      <c r="I238" s="4">
        <v>0.87722</v>
      </c>
      <c r="J238" s="133">
        <f>IF(Tabela8[[#This Row],[Tipo]]="jcp",Tabela8[[#This Row],[Provento p/Ação]]*85%,Tabela8[[#This Row],[Provento p/Ação]])</f>
        <v>0.87722</v>
      </c>
      <c r="K238" s="143" t="str">
        <f>IF([Lucro p/Ação]&lt;&gt;0,SUMPRODUCT(N([Papel]=Tabela8[[#This Row],[Papel]]),N([Exercício]=Tabela8[[#This Row],[Exercício]]),[Líquido p/Ação]),"")</f>
        <v/>
      </c>
      <c r="L238" s="42" t="str">
        <f>IF(Tabela8[[#This Row],[Lucro p/Ação]]="","",IF(Tabela8[[#This Row],[Lucro p/Ação]]&gt;0,Tabela8[[#This Row],[Total Exercício]]/Tabela8[[#This Row],[Lucro p/Ação]],0))</f>
        <v/>
      </c>
      <c r="M2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8" s="19" t="str">
        <f>IF(Tabela8[[#This Row],[Média Lucro p/Ação]]&lt;&gt;"",Tabela8[[#This Row],[Média Pago]]/Tabela8[[#This Row],[Média Lucro p/Ação]],"")</f>
        <v/>
      </c>
      <c r="P2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8" s="5">
        <f>SUMPRODUCT(N(Tabela1[Código]=Tabela8[[#This Row],[Papel]]),Tabela1[Fechamento])</f>
        <v>53</v>
      </c>
      <c r="R238" s="5">
        <f>SUMPRODUCT(N(Tabela17[Código]=Tabela8[[#This Row],[Papel]]),Tabela17[Fechamento])</f>
        <v>0</v>
      </c>
      <c r="S238" s="7">
        <f>SUMPRODUCT(N(Tabela176[Código]=Tabela8[[#This Row],[Papel]]),Tabela176[Fechamento])</f>
        <v>0</v>
      </c>
      <c r="T238" s="7">
        <f>SUMPRODUCT(N(Tabela1768[Código]=Tabela8[[#This Row],[Papel]]),Tabela1768[Fechamento])</f>
        <v>0</v>
      </c>
      <c r="U238" s="7">
        <f>SUMPRODUCT(N(Tabela17683[Código]=Tabela8[[#This Row],[Papel]]),Tabela17683[Fechamento])</f>
        <v>0</v>
      </c>
      <c r="V238" s="17">
        <f>IF(MAX(Tabela8[[#This Row],[Cotação 1]]:Tabela8[[#This Row],[Cotação 5]])=0,"",MAX(Tabela8[[#This Row],[Cotação 1]]:Tabela8[[#This Row],[Cotação 5]]))</f>
        <v>53</v>
      </c>
      <c r="W2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8" s="17" t="str">
        <f>IF(AND([Ref]=5,[Cotação]&gt;0,[Cotação]&lt;&gt;""),[Total Exercício]/[Cotação],IF([Ref]&lt;4,0,""))</f>
        <v/>
      </c>
      <c r="Y238" s="17">
        <f>IF([Tipo]="div",1,0)</f>
        <v>1</v>
      </c>
      <c r="Z238" s="17">
        <f>IF([Tipo]="jcp",1,0)</f>
        <v>0</v>
      </c>
    </row>
    <row r="239" spans="1:26" hidden="1">
      <c r="A239" s="24" t="s">
        <v>12</v>
      </c>
      <c r="B239" s="138" t="s">
        <v>158</v>
      </c>
      <c r="C239" s="15">
        <v>4</v>
      </c>
      <c r="D239" s="14">
        <v>2010</v>
      </c>
      <c r="E239" s="4" t="s">
        <v>1468</v>
      </c>
      <c r="F239" s="4"/>
      <c r="G239" s="46">
        <v>40298</v>
      </c>
      <c r="H239" s="46">
        <v>40309</v>
      </c>
      <c r="I239" s="4">
        <v>1.4826299999999999</v>
      </c>
      <c r="J239" s="133">
        <f>IF(Tabela8[[#This Row],[Tipo]]="jcp",Tabela8[[#This Row],[Provento p/Ação]]*85%,Tabela8[[#This Row],[Provento p/Ação]])</f>
        <v>1.4826299999999999</v>
      </c>
      <c r="K239" s="143" t="str">
        <f>IF([Lucro p/Ação]&lt;&gt;0,SUMPRODUCT(N([Papel]=Tabela8[[#This Row],[Papel]]),N([Exercício]=Tabela8[[#This Row],[Exercício]]),[Líquido p/Ação]),"")</f>
        <v/>
      </c>
      <c r="L239" s="42" t="str">
        <f>IF(Tabela8[[#This Row],[Lucro p/Ação]]="","",IF(Tabela8[[#This Row],[Lucro p/Ação]]&gt;0,Tabela8[[#This Row],[Total Exercício]]/Tabela8[[#This Row],[Lucro p/Ação]],0))</f>
        <v/>
      </c>
      <c r="M2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39" s="19" t="str">
        <f>IF(Tabela8[[#This Row],[Média Lucro p/Ação]]&lt;&gt;"",Tabela8[[#This Row],[Média Pago]]/Tabela8[[#This Row],[Média Lucro p/Ação]],"")</f>
        <v/>
      </c>
      <c r="P2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39" s="5">
        <f>SUMPRODUCT(N(Tabela1[Código]=Tabela8[[#This Row],[Papel]]),Tabela1[Fechamento])</f>
        <v>62.04</v>
      </c>
      <c r="R239" s="5">
        <f>SUMPRODUCT(N(Tabela17[Código]=Tabela8[[#This Row],[Papel]]),Tabela17[Fechamento])</f>
        <v>0</v>
      </c>
      <c r="S239" s="7">
        <f>SUMPRODUCT(N(Tabela176[Código]=Tabela8[[#This Row],[Papel]]),Tabela176[Fechamento])</f>
        <v>0</v>
      </c>
      <c r="T239" s="7">
        <f>SUMPRODUCT(N(Tabela1768[Código]=Tabela8[[#This Row],[Papel]]),Tabela1768[Fechamento])</f>
        <v>0</v>
      </c>
      <c r="U239" s="7">
        <f>SUMPRODUCT(N(Tabela17683[Código]=Tabela8[[#This Row],[Papel]]),Tabela17683[Fechamento])</f>
        <v>0</v>
      </c>
      <c r="V239" s="17">
        <f>IF(MAX(Tabela8[[#This Row],[Cotação 1]]:Tabela8[[#This Row],[Cotação 5]])=0,"",MAX(Tabela8[[#This Row],[Cotação 1]]:Tabela8[[#This Row],[Cotação 5]]))</f>
        <v>62.04</v>
      </c>
      <c r="W2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39" s="17" t="str">
        <f>IF(AND([Ref]=5,[Cotação]&gt;0,[Cotação]&lt;&gt;""),[Total Exercício]/[Cotação],IF([Ref]&lt;4,0,""))</f>
        <v/>
      </c>
      <c r="Y239" s="17">
        <f>IF([Tipo]="div",1,0)</f>
        <v>1</v>
      </c>
      <c r="Z239" s="17">
        <f>IF([Tipo]="jcp",1,0)</f>
        <v>0</v>
      </c>
    </row>
    <row r="240" spans="1:26" hidden="1">
      <c r="A240" s="24" t="s">
        <v>12</v>
      </c>
      <c r="B240" s="57" t="s">
        <v>29</v>
      </c>
      <c r="C240" s="16">
        <v>4</v>
      </c>
      <c r="D240" s="14"/>
      <c r="E240" s="4"/>
      <c r="F240" s="4"/>
      <c r="G240" s="4"/>
      <c r="H240" s="4"/>
      <c r="I240" s="4"/>
      <c r="J240" s="133">
        <f>IF(Tabela8[[#This Row],[Tipo]]="jcp",Tabela8[[#This Row],[Provento p/Ação]]*85%,Tabela8[[#This Row],[Provento p/Ação]])</f>
        <v>0</v>
      </c>
      <c r="K240" s="143" t="str">
        <f>IF([Lucro p/Ação]&lt;&gt;0,SUMPRODUCT(N([Papel]=Tabela8[[#This Row],[Papel]]),N([Exercício]=Tabela8[[#This Row],[Exercício]]),[Líquido p/Ação]),"")</f>
        <v/>
      </c>
      <c r="L240" s="42" t="str">
        <f>IF(Tabela8[[#This Row],[Lucro p/Ação]]="","",IF(Tabela8[[#This Row],[Lucro p/Ação]]&gt;0,Tabela8[[#This Row],[Total Exercício]]/Tabela8[[#This Row],[Lucro p/Ação]],0))</f>
        <v/>
      </c>
      <c r="M2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0" s="14" t="str">
        <f>IF(Tabela8[[#This Row],[Média Lucro p/Ação]]&lt;&gt;"",Tabela8[[#This Row],[Média Pago]]/Tabela8[[#This Row],[Média Lucro p/Ação]],"")</f>
        <v/>
      </c>
      <c r="P2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0" s="5">
        <f>SUMPRODUCT(N(Tabela1[Código]=Tabela8[[#This Row],[Papel]]),Tabela1[Fechamento])</f>
        <v>14.7</v>
      </c>
      <c r="R240" s="5">
        <f>SUMPRODUCT(N(Tabela17[Código]=Tabela8[[#This Row],[Papel]]),Tabela17[Fechamento])</f>
        <v>0</v>
      </c>
      <c r="S240" s="7">
        <f>SUMPRODUCT(N(Tabela176[Código]=Tabela8[[#This Row],[Papel]]),Tabela176[Fechamento])</f>
        <v>0</v>
      </c>
      <c r="T240" s="7">
        <f>SUMPRODUCT(N(Tabela1768[Código]=Tabela8[[#This Row],[Papel]]),Tabela1768[Fechamento])</f>
        <v>0</v>
      </c>
      <c r="U240" s="7">
        <f>SUMPRODUCT(N(Tabela17683[Código]=Tabela8[[#This Row],[Papel]]),Tabela17683[Fechamento])</f>
        <v>0</v>
      </c>
      <c r="V240" s="17">
        <f>IF(MAX(Tabela8[[#This Row],[Cotação 1]]:Tabela8[[#This Row],[Cotação 5]])=0,"",MAX(Tabela8[[#This Row],[Cotação 1]]:Tabela8[[#This Row],[Cotação 5]]))</f>
        <v>14.7</v>
      </c>
      <c r="W2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0" s="17" t="str">
        <f>IF(AND([Ref]=5,[Cotação]&gt;0,[Cotação]&lt;&gt;""),[Total Exercício]/[Cotação],IF([Ref]&lt;4,0,""))</f>
        <v/>
      </c>
      <c r="Y240" s="17">
        <f>IF([Tipo]="div",1,0)</f>
        <v>0</v>
      </c>
      <c r="Z240" s="17">
        <f>IF([Tipo]="jcp",1,0)</f>
        <v>0</v>
      </c>
    </row>
    <row r="241" spans="1:26" hidden="1">
      <c r="A241" s="24" t="s">
        <v>12</v>
      </c>
      <c r="B241" s="57" t="s">
        <v>33</v>
      </c>
      <c r="C241" s="15">
        <v>4</v>
      </c>
      <c r="D241" s="14"/>
      <c r="E241" s="4"/>
      <c r="F241" s="4"/>
      <c r="G241" s="4"/>
      <c r="H241" s="4"/>
      <c r="I241" s="4"/>
      <c r="J241" s="133">
        <f>IF(Tabela8[[#This Row],[Tipo]]="jcp",Tabela8[[#This Row],[Provento p/Ação]]*85%,Tabela8[[#This Row],[Provento p/Ação]])</f>
        <v>0</v>
      </c>
      <c r="K241" s="143" t="str">
        <f>IF([Lucro p/Ação]&lt;&gt;0,SUMPRODUCT(N([Papel]=Tabela8[[#This Row],[Papel]]),N([Exercício]=Tabela8[[#This Row],[Exercício]]),[Líquido p/Ação]),"")</f>
        <v/>
      </c>
      <c r="L241" s="42" t="str">
        <f>IF(Tabela8[[#This Row],[Lucro p/Ação]]="","",IF(Tabela8[[#This Row],[Lucro p/Ação]]&gt;0,Tabela8[[#This Row],[Total Exercício]]/Tabela8[[#This Row],[Lucro p/Ação]],0))</f>
        <v/>
      </c>
      <c r="M2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1" s="14" t="str">
        <f>IF(Tabela8[[#This Row],[Média Lucro p/Ação]]&lt;&gt;"",Tabela8[[#This Row],[Média Pago]]/Tabela8[[#This Row],[Média Lucro p/Ação]],"")</f>
        <v/>
      </c>
      <c r="P2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1" s="5">
        <f>SUMPRODUCT(N(Tabela1[Código]=Tabela8[[#This Row],[Papel]]),Tabela1[Fechamento])</f>
        <v>16.989999999999998</v>
      </c>
      <c r="R241" s="5">
        <f>SUMPRODUCT(N(Tabela17[Código]=Tabela8[[#This Row],[Papel]]),Tabela17[Fechamento])</f>
        <v>0</v>
      </c>
      <c r="S241" s="7">
        <f>SUMPRODUCT(N(Tabela176[Código]=Tabela8[[#This Row],[Papel]]),Tabela176[Fechamento])</f>
        <v>0</v>
      </c>
      <c r="T241" s="7">
        <f>SUMPRODUCT(N(Tabela1768[Código]=Tabela8[[#This Row],[Papel]]),Tabela1768[Fechamento])</f>
        <v>0</v>
      </c>
      <c r="U241" s="7">
        <f>SUMPRODUCT(N(Tabela17683[Código]=Tabela8[[#This Row],[Papel]]),Tabela17683[Fechamento])</f>
        <v>0</v>
      </c>
      <c r="V241" s="17">
        <f>IF(MAX(Tabela8[[#This Row],[Cotação 1]]:Tabela8[[#This Row],[Cotação 5]])=0,"",MAX(Tabela8[[#This Row],[Cotação 1]]:Tabela8[[#This Row],[Cotação 5]]))</f>
        <v>16.989999999999998</v>
      </c>
      <c r="W2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1" s="17" t="str">
        <f>IF(AND([Ref]=5,[Cotação]&gt;0,[Cotação]&lt;&gt;""),[Total Exercício]/[Cotação],IF([Ref]&lt;4,0,""))</f>
        <v/>
      </c>
      <c r="Y241" s="17">
        <f>IF([Tipo]="div",1,0)</f>
        <v>0</v>
      </c>
      <c r="Z241" s="17">
        <f>IF([Tipo]="jcp",1,0)</f>
        <v>0</v>
      </c>
    </row>
    <row r="242" spans="1:26" hidden="1">
      <c r="A242" s="3" t="s">
        <v>1019</v>
      </c>
      <c r="B242" s="57" t="s">
        <v>1033</v>
      </c>
      <c r="C242" s="16">
        <v>4</v>
      </c>
      <c r="D242" s="4"/>
      <c r="E242" s="4"/>
      <c r="F242" s="4"/>
      <c r="G242" s="4"/>
      <c r="H242" s="4"/>
      <c r="I242" s="4"/>
      <c r="J242" s="17">
        <f>IF(Tabela8[[#This Row],[Tipo]]="jcp",Tabela8[[#This Row],[Provento p/Ação]]*85%,Tabela8[[#This Row],[Provento p/Ação]])</f>
        <v>0</v>
      </c>
      <c r="K242" s="143" t="str">
        <f>IF([Lucro p/Ação]&lt;&gt;0,SUMPRODUCT(N([Papel]=Tabela8[[#This Row],[Papel]]),N([Exercício]=Tabela8[[#This Row],[Exercício]]),[Líquido p/Ação]),"")</f>
        <v/>
      </c>
      <c r="L242" s="42" t="str">
        <f>IF(Tabela8[[#This Row],[Lucro p/Ação]]="","",IF(Tabela8[[#This Row],[Lucro p/Ação]]&gt;0,Tabela8[[#This Row],[Total Exercício]]/Tabela8[[#This Row],[Lucro p/Ação]],0))</f>
        <v/>
      </c>
      <c r="M2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2" s="14" t="str">
        <f>IF(Tabela8[[#This Row],[Média Lucro p/Ação]]&lt;&gt;"",Tabela8[[#This Row],[Média Pago]]/Tabela8[[#This Row],[Média Lucro p/Ação]],"")</f>
        <v/>
      </c>
      <c r="P2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2" s="7">
        <f>SUMPRODUCT(N(Tabela1[Código]=Tabela8[[#This Row],[Papel]]),Tabela1[Fechamento])</f>
        <v>0</v>
      </c>
      <c r="R242" s="7">
        <f>SUMPRODUCT(N(Tabela17[Código]=Tabela8[[#This Row],[Papel]]),Tabela17[Fechamento])</f>
        <v>0</v>
      </c>
      <c r="S242" s="7">
        <f>SUMPRODUCT(N(Tabela176[Código]=Tabela8[[#This Row],[Papel]]),Tabela176[Fechamento])</f>
        <v>0</v>
      </c>
      <c r="T242" s="7">
        <f>SUMPRODUCT(N(Tabela1768[Código]=Tabela8[[#This Row],[Papel]]),Tabela1768[Fechamento])</f>
        <v>3.1</v>
      </c>
      <c r="U242" s="7">
        <f>SUMPRODUCT(N(Tabela17683[Código]=Tabela8[[#This Row],[Papel]]),Tabela17683[Fechamento])</f>
        <v>0</v>
      </c>
      <c r="V242" s="17">
        <f>IF(MAX(Tabela8[[#This Row],[Cotação 1]]:Tabela8[[#This Row],[Cotação 5]])=0,"",MAX(Tabela8[[#This Row],[Cotação 1]]:Tabela8[[#This Row],[Cotação 5]]))</f>
        <v>3.1</v>
      </c>
      <c r="W2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2" s="17" t="str">
        <f>IF(AND([Ref]=5,[Cotação]&gt;0,[Cotação]&lt;&gt;""),[Total Exercício]/[Cotação],IF([Ref]&lt;4,0,""))</f>
        <v/>
      </c>
      <c r="Y242" s="17">
        <f>IF([Tipo]="div",1,0)</f>
        <v>0</v>
      </c>
      <c r="Z242" s="17">
        <f>IF([Tipo]="jcp",1,0)</f>
        <v>0</v>
      </c>
    </row>
    <row r="243" spans="1:26" hidden="1">
      <c r="A243" s="4" t="s">
        <v>231</v>
      </c>
      <c r="B243" s="57" t="s">
        <v>592</v>
      </c>
      <c r="C243" s="15">
        <v>4</v>
      </c>
      <c r="D243" s="4"/>
      <c r="E243" s="4"/>
      <c r="F243" s="4"/>
      <c r="G243" s="4"/>
      <c r="H243" s="4"/>
      <c r="I243" s="4"/>
      <c r="J243" s="17">
        <f>IF(Tabela8[[#This Row],[Tipo]]="jcp",Tabela8[[#This Row],[Provento p/Ação]]*85%,Tabela8[[#This Row],[Provento p/Ação]])</f>
        <v>0</v>
      </c>
      <c r="K243" s="143" t="str">
        <f>IF([Lucro p/Ação]&lt;&gt;0,SUMPRODUCT(N([Papel]=Tabela8[[#This Row],[Papel]]),N([Exercício]=Tabela8[[#This Row],[Exercício]]),[Líquido p/Ação]),"")</f>
        <v/>
      </c>
      <c r="L243" s="42" t="str">
        <f>IF(Tabela8[[#This Row],[Lucro p/Ação]]="","",IF(Tabela8[[#This Row],[Lucro p/Ação]]&gt;0,Tabela8[[#This Row],[Total Exercício]]/Tabela8[[#This Row],[Lucro p/Ação]],0))</f>
        <v/>
      </c>
      <c r="M2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3" s="14" t="str">
        <f>IF(Tabela8[[#This Row],[Média Lucro p/Ação]]&lt;&gt;"",Tabela8[[#This Row],[Média Pago]]/Tabela8[[#This Row],[Média Lucro p/Ação]],"")</f>
        <v/>
      </c>
      <c r="P2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3" s="17">
        <f>SUMPRODUCT(N(Tabela1[Código]=Tabela8[[#This Row],[Papel]]),Tabela1[Fechamento])</f>
        <v>0</v>
      </c>
      <c r="R243" s="17">
        <f>SUMPRODUCT(N(Tabela17[Código]=Tabela8[[#This Row],[Papel]]),Tabela17[Fechamento])</f>
        <v>0</v>
      </c>
      <c r="S243" s="17">
        <f>SUMPRODUCT(N(Tabela176[Código]=Tabela8[[#This Row],[Papel]]),Tabela176[Fechamento])</f>
        <v>11.38</v>
      </c>
      <c r="T243" s="17">
        <f>SUMPRODUCT(N(Tabela1768[Código]=Tabela8[[#This Row],[Papel]]),Tabela1768[Fechamento])</f>
        <v>0</v>
      </c>
      <c r="U243" s="7">
        <f>SUMPRODUCT(N(Tabela17683[Código]=Tabela8[[#This Row],[Papel]]),Tabela17683[Fechamento])</f>
        <v>0</v>
      </c>
      <c r="V243" s="17">
        <f>IF(MAX(Tabela8[[#This Row],[Cotação 1]]:Tabela8[[#This Row],[Cotação 5]])=0,"",MAX(Tabela8[[#This Row],[Cotação 1]]:Tabela8[[#This Row],[Cotação 5]]))</f>
        <v>11.38</v>
      </c>
      <c r="W2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3" s="17" t="str">
        <f>IF(AND([Ref]=5,[Cotação]&gt;0,[Cotação]&lt;&gt;""),[Total Exercício]/[Cotação],IF([Ref]&lt;4,0,""))</f>
        <v/>
      </c>
      <c r="Y243" s="17">
        <f>IF([Tipo]="div",1,0)</f>
        <v>0</v>
      </c>
      <c r="Z243" s="17">
        <f>IF([Tipo]="jcp",1,0)</f>
        <v>0</v>
      </c>
    </row>
    <row r="244" spans="1:26" hidden="1">
      <c r="A244" s="4" t="s">
        <v>231</v>
      </c>
      <c r="B244" s="57" t="s">
        <v>593</v>
      </c>
      <c r="C244" s="15">
        <v>4</v>
      </c>
      <c r="D244" s="4"/>
      <c r="E244" s="4"/>
      <c r="F244" s="4"/>
      <c r="G244" s="4"/>
      <c r="H244" s="4"/>
      <c r="I244" s="4"/>
      <c r="J244" s="17">
        <f>IF(Tabela8[[#This Row],[Tipo]]="jcp",Tabela8[[#This Row],[Provento p/Ação]]*85%,Tabela8[[#This Row],[Provento p/Ação]])</f>
        <v>0</v>
      </c>
      <c r="K244" s="143" t="str">
        <f>IF([Lucro p/Ação]&lt;&gt;0,SUMPRODUCT(N([Papel]=Tabela8[[#This Row],[Papel]]),N([Exercício]=Tabela8[[#This Row],[Exercício]]),[Líquido p/Ação]),"")</f>
        <v/>
      </c>
      <c r="L244" s="42" t="str">
        <f>IF(Tabela8[[#This Row],[Lucro p/Ação]]="","",IF(Tabela8[[#This Row],[Lucro p/Ação]]&gt;0,Tabela8[[#This Row],[Total Exercício]]/Tabela8[[#This Row],[Lucro p/Ação]],0))</f>
        <v/>
      </c>
      <c r="M2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4" s="14" t="str">
        <f>IF(Tabela8[[#This Row],[Média Lucro p/Ação]]&lt;&gt;"",Tabela8[[#This Row],[Média Pago]]/Tabela8[[#This Row],[Média Lucro p/Ação]],"")</f>
        <v/>
      </c>
      <c r="P2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4" s="17">
        <f>SUMPRODUCT(N(Tabela1[Código]=Tabela8[[#This Row],[Papel]]),Tabela1[Fechamento])</f>
        <v>0</v>
      </c>
      <c r="R244" s="17">
        <f>SUMPRODUCT(N(Tabela17[Código]=Tabela8[[#This Row],[Papel]]),Tabela17[Fechamento])</f>
        <v>0</v>
      </c>
      <c r="S244" s="17">
        <f>SUMPRODUCT(N(Tabela176[Código]=Tabela8[[#This Row],[Papel]]),Tabela176[Fechamento])</f>
        <v>14.33</v>
      </c>
      <c r="T244" s="17">
        <f>SUMPRODUCT(N(Tabela1768[Código]=Tabela8[[#This Row],[Papel]]),Tabela1768[Fechamento])</f>
        <v>0</v>
      </c>
      <c r="U244" s="7">
        <f>SUMPRODUCT(N(Tabela17683[Código]=Tabela8[[#This Row],[Papel]]),Tabela17683[Fechamento])</f>
        <v>0</v>
      </c>
      <c r="V244" s="17">
        <f>IF(MAX(Tabela8[[#This Row],[Cotação 1]]:Tabela8[[#This Row],[Cotação 5]])=0,"",MAX(Tabela8[[#This Row],[Cotação 1]]:Tabela8[[#This Row],[Cotação 5]]))</f>
        <v>14.33</v>
      </c>
      <c r="W2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4" s="17" t="str">
        <f>IF(AND([Ref]=5,[Cotação]&gt;0,[Cotação]&lt;&gt;""),[Total Exercício]/[Cotação],IF([Ref]&lt;4,0,""))</f>
        <v/>
      </c>
      <c r="Y244" s="17">
        <f>IF([Tipo]="div",1,0)</f>
        <v>0</v>
      </c>
      <c r="Z244" s="17">
        <f>IF([Tipo]="jcp",1,0)</f>
        <v>0</v>
      </c>
    </row>
    <row r="245" spans="1:26" hidden="1">
      <c r="A245" s="4" t="s">
        <v>231</v>
      </c>
      <c r="B245" s="57" t="s">
        <v>596</v>
      </c>
      <c r="C245" s="15">
        <v>4</v>
      </c>
      <c r="D245" s="4"/>
      <c r="E245" s="4"/>
      <c r="F245" s="4"/>
      <c r="G245" s="4"/>
      <c r="H245" s="4"/>
      <c r="I245" s="4"/>
      <c r="J245" s="17">
        <f>IF(Tabela8[[#This Row],[Tipo]]="jcp",Tabela8[[#This Row],[Provento p/Ação]]*85%,Tabela8[[#This Row],[Provento p/Ação]])</f>
        <v>0</v>
      </c>
      <c r="K245" s="143" t="str">
        <f>IF([Lucro p/Ação]&lt;&gt;0,SUMPRODUCT(N([Papel]=Tabela8[[#This Row],[Papel]]),N([Exercício]=Tabela8[[#This Row],[Exercício]]),[Líquido p/Ação]),"")</f>
        <v/>
      </c>
      <c r="L245" s="42" t="str">
        <f>IF(Tabela8[[#This Row],[Lucro p/Ação]]="","",IF(Tabela8[[#This Row],[Lucro p/Ação]]&gt;0,Tabela8[[#This Row],[Total Exercício]]/Tabela8[[#This Row],[Lucro p/Ação]],0))</f>
        <v/>
      </c>
      <c r="M2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5" s="14" t="str">
        <f>IF(Tabela8[[#This Row],[Média Lucro p/Ação]]&lt;&gt;"",Tabela8[[#This Row],[Média Pago]]/Tabela8[[#This Row],[Média Lucro p/Ação]],"")</f>
        <v/>
      </c>
      <c r="P2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5" s="17">
        <f>SUMPRODUCT(N(Tabela1[Código]=Tabela8[[#This Row],[Papel]]),Tabela1[Fechamento])</f>
        <v>0</v>
      </c>
      <c r="R245" s="17">
        <f>SUMPRODUCT(N(Tabela17[Código]=Tabela8[[#This Row],[Papel]]),Tabela17[Fechamento])</f>
        <v>0</v>
      </c>
      <c r="S245" s="17">
        <f>SUMPRODUCT(N(Tabela176[Código]=Tabela8[[#This Row],[Papel]]),Tabela176[Fechamento])</f>
        <v>13.82</v>
      </c>
      <c r="T245" s="17">
        <f>SUMPRODUCT(N(Tabela1768[Código]=Tabela8[[#This Row],[Papel]]),Tabela1768[Fechamento])</f>
        <v>0</v>
      </c>
      <c r="U245" s="7">
        <f>SUMPRODUCT(N(Tabela17683[Código]=Tabela8[[#This Row],[Papel]]),Tabela17683[Fechamento])</f>
        <v>0</v>
      </c>
      <c r="V245" s="17">
        <f>IF(MAX(Tabela8[[#This Row],[Cotação 1]]:Tabela8[[#This Row],[Cotação 5]])=0,"",MAX(Tabela8[[#This Row],[Cotação 1]]:Tabela8[[#This Row],[Cotação 5]]))</f>
        <v>13.82</v>
      </c>
      <c r="W2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5" s="17" t="str">
        <f>IF(AND([Ref]=5,[Cotação]&gt;0,[Cotação]&lt;&gt;""),[Total Exercício]/[Cotação],IF([Ref]&lt;4,0,""))</f>
        <v/>
      </c>
      <c r="Y245" s="17">
        <f>IF([Tipo]="div",1,0)</f>
        <v>0</v>
      </c>
      <c r="Z245" s="17">
        <f>IF([Tipo]="jcp",1,0)</f>
        <v>0</v>
      </c>
    </row>
    <row r="246" spans="1:26" hidden="1">
      <c r="A246" s="4" t="s">
        <v>231</v>
      </c>
      <c r="B246" s="57" t="s">
        <v>597</v>
      </c>
      <c r="C246" s="15">
        <v>4</v>
      </c>
      <c r="D246" s="4"/>
      <c r="E246" s="4"/>
      <c r="F246" s="4"/>
      <c r="G246" s="4"/>
      <c r="H246" s="4"/>
      <c r="I246" s="4"/>
      <c r="J246" s="17">
        <f>IF(Tabela8[[#This Row],[Tipo]]="jcp",Tabela8[[#This Row],[Provento p/Ação]]*85%,Tabela8[[#This Row],[Provento p/Ação]])</f>
        <v>0</v>
      </c>
      <c r="K246" s="143" t="str">
        <f>IF([Lucro p/Ação]&lt;&gt;0,SUMPRODUCT(N([Papel]=Tabela8[[#This Row],[Papel]]),N([Exercício]=Tabela8[[#This Row],[Exercício]]),[Líquido p/Ação]),"")</f>
        <v/>
      </c>
      <c r="L246" s="42" t="str">
        <f>IF(Tabela8[[#This Row],[Lucro p/Ação]]="","",IF(Tabela8[[#This Row],[Lucro p/Ação]]&gt;0,Tabela8[[#This Row],[Total Exercício]]/Tabela8[[#This Row],[Lucro p/Ação]],0))</f>
        <v/>
      </c>
      <c r="M2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6" s="14" t="str">
        <f>IF(Tabela8[[#This Row],[Média Lucro p/Ação]]&lt;&gt;"",Tabela8[[#This Row],[Média Pago]]/Tabela8[[#This Row],[Média Lucro p/Ação]],"")</f>
        <v/>
      </c>
      <c r="P2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6" s="17">
        <f>SUMPRODUCT(N(Tabela1[Código]=Tabela8[[#This Row],[Papel]]),Tabela1[Fechamento])</f>
        <v>0</v>
      </c>
      <c r="R246" s="17">
        <f>SUMPRODUCT(N(Tabela17[Código]=Tabela8[[#This Row],[Papel]]),Tabela17[Fechamento])</f>
        <v>0</v>
      </c>
      <c r="S246" s="17">
        <f>SUMPRODUCT(N(Tabela176[Código]=Tabela8[[#This Row],[Papel]]),Tabela176[Fechamento])</f>
        <v>17.3</v>
      </c>
      <c r="T246" s="17">
        <f>SUMPRODUCT(N(Tabela1768[Código]=Tabela8[[#This Row],[Papel]]),Tabela1768[Fechamento])</f>
        <v>0</v>
      </c>
      <c r="U246" s="7">
        <f>SUMPRODUCT(N(Tabela17683[Código]=Tabela8[[#This Row],[Papel]]),Tabela17683[Fechamento])</f>
        <v>0</v>
      </c>
      <c r="V246" s="17">
        <f>IF(MAX(Tabela8[[#This Row],[Cotação 1]]:Tabela8[[#This Row],[Cotação 5]])=0,"",MAX(Tabela8[[#This Row],[Cotação 1]]:Tabela8[[#This Row],[Cotação 5]]))</f>
        <v>17.3</v>
      </c>
      <c r="W2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6" s="17" t="str">
        <f>IF(AND([Ref]=5,[Cotação]&gt;0,[Cotação]&lt;&gt;""),[Total Exercício]/[Cotação],IF([Ref]&lt;4,0,""))</f>
        <v/>
      </c>
      <c r="Y246" s="17">
        <f>IF([Tipo]="div",1,0)</f>
        <v>0</v>
      </c>
      <c r="Z246" s="17">
        <f>IF([Tipo]="jcp",1,0)</f>
        <v>0</v>
      </c>
    </row>
    <row r="247" spans="1:26" hidden="1">
      <c r="A247" s="3" t="s">
        <v>1154</v>
      </c>
      <c r="B247" s="58" t="s">
        <v>1155</v>
      </c>
      <c r="C247" s="16">
        <v>3</v>
      </c>
      <c r="D247" s="4"/>
      <c r="E247" s="4"/>
      <c r="F247" s="4"/>
      <c r="G247" s="4"/>
      <c r="H247" s="4"/>
      <c r="I247" s="4"/>
      <c r="J247" s="17">
        <f>IF(Tabela8[[#This Row],[Tipo]]="jcp",Tabela8[[#This Row],[Provento p/Ação]]*85%,Tabela8[[#This Row],[Provento p/Ação]])</f>
        <v>0</v>
      </c>
      <c r="K247" s="143" t="str">
        <f>IF([Lucro p/Ação]&lt;&gt;0,SUMPRODUCT(N([Papel]=Tabela8[[#This Row],[Papel]]),N([Exercício]=Tabela8[[#This Row],[Exercício]]),[Líquido p/Ação]),"")</f>
        <v/>
      </c>
      <c r="L247" s="42" t="str">
        <f>IF(Tabela8[[#This Row],[Lucro p/Ação]]="","",IF(Tabela8[[#This Row],[Lucro p/Ação]]&gt;0,Tabela8[[#This Row],[Total Exercício]]/Tabela8[[#This Row],[Lucro p/Ação]],0))</f>
        <v/>
      </c>
      <c r="M2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7" s="14" t="str">
        <f>IF(Tabela8[[#This Row],[Média Lucro p/Ação]]&lt;&gt;"",Tabela8[[#This Row],[Média Pago]]/Tabela8[[#This Row],[Média Lucro p/Ação]],"")</f>
        <v/>
      </c>
      <c r="P2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7" s="7">
        <f>SUMPRODUCT(N(Tabela1[Código]=Tabela8[[#This Row],[Papel]]),Tabela1[Fechamento])</f>
        <v>0</v>
      </c>
      <c r="R247" s="7">
        <f>SUMPRODUCT(N(Tabela17[Código]=Tabela8[[#This Row],[Papel]]),Tabela17[Fechamento])</f>
        <v>0</v>
      </c>
      <c r="S247" s="7">
        <f>SUMPRODUCT(N(Tabela176[Código]=Tabela8[[#This Row],[Papel]]),Tabela176[Fechamento])</f>
        <v>0</v>
      </c>
      <c r="T247" s="7">
        <f>SUMPRODUCT(N(Tabela1768[Código]=Tabela8[[#This Row],[Papel]]),Tabela1768[Fechamento])</f>
        <v>0</v>
      </c>
      <c r="U247" s="7">
        <f>SUMPRODUCT(N(Tabela17683[Código]=Tabela8[[#This Row],[Papel]]),Tabela17683[Fechamento])</f>
        <v>0</v>
      </c>
      <c r="V247" s="17" t="str">
        <f>IF(MAX(Tabela8[[#This Row],[Cotação 1]]:Tabela8[[#This Row],[Cotação 5]])=0,"",MAX(Tabela8[[#This Row],[Cotação 1]]:Tabela8[[#This Row],[Cotação 5]]))</f>
        <v/>
      </c>
      <c r="W2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7" s="17">
        <f>IF(AND([Ref]=5,[Cotação]&gt;0,[Cotação]&lt;&gt;""),[Total Exercício]/[Cotação],IF([Ref]&lt;4,0,""))</f>
        <v>0</v>
      </c>
      <c r="Y247" s="17">
        <f>IF([Tipo]="div",1,0)</f>
        <v>0</v>
      </c>
      <c r="Z247" s="17">
        <f>IF([Tipo]="jcp",1,0)</f>
        <v>0</v>
      </c>
    </row>
    <row r="248" spans="1:26" hidden="1">
      <c r="A248" s="3" t="s">
        <v>1154</v>
      </c>
      <c r="B248" s="58" t="s">
        <v>1156</v>
      </c>
      <c r="C248" s="16">
        <v>3</v>
      </c>
      <c r="D248" s="4"/>
      <c r="E248" s="4"/>
      <c r="F248" s="4"/>
      <c r="G248" s="4"/>
      <c r="H248" s="4"/>
      <c r="I248" s="4"/>
      <c r="J248" s="17">
        <f>IF(Tabela8[[#This Row],[Tipo]]="jcp",Tabela8[[#This Row],[Provento p/Ação]]*85%,Tabela8[[#This Row],[Provento p/Ação]])</f>
        <v>0</v>
      </c>
      <c r="K248" s="143" t="str">
        <f>IF([Lucro p/Ação]&lt;&gt;0,SUMPRODUCT(N([Papel]=Tabela8[[#This Row],[Papel]]),N([Exercício]=Tabela8[[#This Row],[Exercício]]),[Líquido p/Ação]),"")</f>
        <v/>
      </c>
      <c r="L248" s="42" t="str">
        <f>IF(Tabela8[[#This Row],[Lucro p/Ação]]="","",IF(Tabela8[[#This Row],[Lucro p/Ação]]&gt;0,Tabela8[[#This Row],[Total Exercício]]/Tabela8[[#This Row],[Lucro p/Ação]],0))</f>
        <v/>
      </c>
      <c r="M2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8" s="14" t="str">
        <f>IF(Tabela8[[#This Row],[Média Lucro p/Ação]]&lt;&gt;"",Tabela8[[#This Row],[Média Pago]]/Tabela8[[#This Row],[Média Lucro p/Ação]],"")</f>
        <v/>
      </c>
      <c r="P2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8" s="7">
        <f>SUMPRODUCT(N(Tabela1[Código]=Tabela8[[#This Row],[Papel]]),Tabela1[Fechamento])</f>
        <v>0</v>
      </c>
      <c r="R248" s="7">
        <f>SUMPRODUCT(N(Tabela17[Código]=Tabela8[[#This Row],[Papel]]),Tabela17[Fechamento])</f>
        <v>0</v>
      </c>
      <c r="S248" s="7">
        <f>SUMPRODUCT(N(Tabela176[Código]=Tabela8[[#This Row],[Papel]]),Tabela176[Fechamento])</f>
        <v>0</v>
      </c>
      <c r="T248" s="7">
        <f>SUMPRODUCT(N(Tabela1768[Código]=Tabela8[[#This Row],[Papel]]),Tabela1768[Fechamento])</f>
        <v>0</v>
      </c>
      <c r="U248" s="7">
        <f>SUMPRODUCT(N(Tabela17683[Código]=Tabela8[[#This Row],[Papel]]),Tabela17683[Fechamento])</f>
        <v>10.4</v>
      </c>
      <c r="V248" s="17">
        <f>IF(MAX(Tabela8[[#This Row],[Cotação 1]]:Tabela8[[#This Row],[Cotação 5]])=0,"",MAX(Tabela8[[#This Row],[Cotação 1]]:Tabela8[[#This Row],[Cotação 5]]))</f>
        <v>10.4</v>
      </c>
      <c r="W2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8" s="17">
        <f>IF(AND([Ref]=5,[Cotação]&gt;0,[Cotação]&lt;&gt;""),[Total Exercício]/[Cotação],IF([Ref]&lt;4,0,""))</f>
        <v>0</v>
      </c>
      <c r="Y248" s="17">
        <f>IF([Tipo]="div",1,0)</f>
        <v>0</v>
      </c>
      <c r="Z248" s="17">
        <f>IF([Tipo]="jcp",1,0)</f>
        <v>0</v>
      </c>
    </row>
    <row r="249" spans="1:26" hidden="1">
      <c r="A249" s="4" t="s">
        <v>12</v>
      </c>
      <c r="B249" s="57" t="s">
        <v>464</v>
      </c>
      <c r="C249" s="15">
        <v>3</v>
      </c>
      <c r="D249" s="14"/>
      <c r="E249" s="4"/>
      <c r="F249" s="4"/>
      <c r="G249" s="4"/>
      <c r="H249" s="4"/>
      <c r="I249" s="4"/>
      <c r="J249" s="133">
        <f>IF(Tabela8[[#This Row],[Tipo]]="jcp",Tabela8[[#This Row],[Provento p/Ação]]*85%,Tabela8[[#This Row],[Provento p/Ação]])</f>
        <v>0</v>
      </c>
      <c r="K249" s="143" t="str">
        <f>IF([Lucro p/Ação]&lt;&gt;0,SUMPRODUCT(N([Papel]=Tabela8[[#This Row],[Papel]]),N([Exercício]=Tabela8[[#This Row],[Exercício]]),[Líquido p/Ação]),"")</f>
        <v/>
      </c>
      <c r="L249" s="42" t="str">
        <f>IF(Tabela8[[#This Row],[Lucro p/Ação]]="","",IF(Tabela8[[#This Row],[Lucro p/Ação]]&gt;0,Tabela8[[#This Row],[Total Exercício]]/Tabela8[[#This Row],[Lucro p/Ação]],0))</f>
        <v/>
      </c>
      <c r="M2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49" s="14" t="str">
        <f>IF(Tabela8[[#This Row],[Média Lucro p/Ação]]&lt;&gt;"",Tabela8[[#This Row],[Média Pago]]/Tabela8[[#This Row],[Média Lucro p/Ação]],"")</f>
        <v/>
      </c>
      <c r="P2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49" s="17">
        <f>SUMPRODUCT(N(Tabela1[Código]=Tabela8[[#This Row],[Papel]]),Tabela1[Fechamento])</f>
        <v>0</v>
      </c>
      <c r="R249" s="17">
        <f>SUMPRODUCT(N(Tabela17[Código]=Tabela8[[#This Row],[Papel]]),Tabela17[Fechamento])</f>
        <v>12</v>
      </c>
      <c r="S249" s="7">
        <f>SUMPRODUCT(N(Tabela176[Código]=Tabela8[[#This Row],[Papel]]),Tabela176[Fechamento])</f>
        <v>0</v>
      </c>
      <c r="T249" s="7">
        <f>SUMPRODUCT(N(Tabela1768[Código]=Tabela8[[#This Row],[Papel]]),Tabela1768[Fechamento])</f>
        <v>0</v>
      </c>
      <c r="U249" s="7">
        <f>SUMPRODUCT(N(Tabela17683[Código]=Tabela8[[#This Row],[Papel]]),Tabela17683[Fechamento])</f>
        <v>0</v>
      </c>
      <c r="V249" s="17">
        <f>IF(MAX(Tabela8[[#This Row],[Cotação 1]]:Tabela8[[#This Row],[Cotação 5]])=0,"",MAX(Tabela8[[#This Row],[Cotação 1]]:Tabela8[[#This Row],[Cotação 5]]))</f>
        <v>12</v>
      </c>
      <c r="W2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49" s="17">
        <f>IF(AND([Ref]=5,[Cotação]&gt;0,[Cotação]&lt;&gt;""),[Total Exercício]/[Cotação],IF([Ref]&lt;4,0,""))</f>
        <v>0</v>
      </c>
      <c r="Y249" s="17">
        <f>IF([Tipo]="div",1,0)</f>
        <v>0</v>
      </c>
      <c r="Z249" s="17">
        <f>IF([Tipo]="jcp",1,0)</f>
        <v>0</v>
      </c>
    </row>
    <row r="250" spans="1:26" hidden="1">
      <c r="A250" s="4" t="s">
        <v>40</v>
      </c>
      <c r="B250" s="115" t="s">
        <v>637</v>
      </c>
      <c r="C250" s="15">
        <v>3</v>
      </c>
      <c r="D250" s="4"/>
      <c r="E250" s="4"/>
      <c r="F250" s="4"/>
      <c r="G250" s="4"/>
      <c r="H250" s="4"/>
      <c r="I250" s="4"/>
      <c r="J250" s="17">
        <f>IF(Tabela8[[#This Row],[Tipo]]="jcp",Tabela8[[#This Row],[Provento p/Ação]]*85%,Tabela8[[#This Row],[Provento p/Ação]])</f>
        <v>0</v>
      </c>
      <c r="K250" s="143" t="str">
        <f>IF([Lucro p/Ação]&lt;&gt;0,SUMPRODUCT(N([Papel]=Tabela8[[#This Row],[Papel]]),N([Exercício]=Tabela8[[#This Row],[Exercício]]),[Líquido p/Ação]),"")</f>
        <v/>
      </c>
      <c r="L250" s="42" t="str">
        <f>IF(Tabela8[[#This Row],[Lucro p/Ação]]="","",IF(Tabela8[[#This Row],[Lucro p/Ação]]&gt;0,Tabela8[[#This Row],[Total Exercício]]/Tabela8[[#This Row],[Lucro p/Ação]],0))</f>
        <v/>
      </c>
      <c r="M2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0" s="14" t="str">
        <f>IF(Tabela8[[#This Row],[Média Lucro p/Ação]]&lt;&gt;"",Tabela8[[#This Row],[Média Pago]]/Tabela8[[#This Row],[Média Lucro p/Ação]],"")</f>
        <v/>
      </c>
      <c r="P2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0" s="17">
        <f>SUMPRODUCT(N(Tabela1[Código]=Tabela8[[#This Row],[Papel]]),Tabela1[Fechamento])</f>
        <v>0</v>
      </c>
      <c r="R250" s="17">
        <f>SUMPRODUCT(N(Tabela17[Código]=Tabela8[[#This Row],[Papel]]),Tabela17[Fechamento])</f>
        <v>0</v>
      </c>
      <c r="S250" s="17">
        <f>SUMPRODUCT(N(Tabela176[Código]=Tabela8[[#This Row],[Papel]]),Tabela176[Fechamento])</f>
        <v>0.53</v>
      </c>
      <c r="T250" s="17">
        <f>SUMPRODUCT(N(Tabela1768[Código]=Tabela8[[#This Row],[Papel]]),Tabela1768[Fechamento])</f>
        <v>0</v>
      </c>
      <c r="U250" s="7">
        <f>SUMPRODUCT(N(Tabela17683[Código]=Tabela8[[#This Row],[Papel]]),Tabela17683[Fechamento])</f>
        <v>0</v>
      </c>
      <c r="V250" s="17">
        <f>IF(MAX(Tabela8[[#This Row],[Cotação 1]]:Tabela8[[#This Row],[Cotação 5]])=0,"",MAX(Tabela8[[#This Row],[Cotação 1]]:Tabela8[[#This Row],[Cotação 5]]))</f>
        <v>0.53</v>
      </c>
      <c r="W2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0" s="17">
        <f>IF(AND([Ref]=5,[Cotação]&gt;0,[Cotação]&lt;&gt;""),[Total Exercício]/[Cotação],IF([Ref]&lt;4,0,""))</f>
        <v>0</v>
      </c>
      <c r="Y250" s="17">
        <f>IF([Tipo]="div",1,0)</f>
        <v>0</v>
      </c>
      <c r="Z250" s="17">
        <f>IF([Tipo]="jcp",1,0)</f>
        <v>0</v>
      </c>
    </row>
    <row r="251" spans="1:26" hidden="1">
      <c r="A251" s="3" t="s">
        <v>957</v>
      </c>
      <c r="B251" s="58" t="s">
        <v>962</v>
      </c>
      <c r="C251" s="16">
        <v>4</v>
      </c>
      <c r="D251" s="4"/>
      <c r="E251" s="4"/>
      <c r="F251" s="4"/>
      <c r="G251" s="4"/>
      <c r="H251" s="4"/>
      <c r="I251" s="4"/>
      <c r="J251" s="17">
        <f>IF(Tabela8[[#This Row],[Tipo]]="jcp",Tabela8[[#This Row],[Provento p/Ação]]*85%,Tabela8[[#This Row],[Provento p/Ação]])</f>
        <v>0</v>
      </c>
      <c r="K251" s="143" t="str">
        <f>IF([Lucro p/Ação]&lt;&gt;0,SUMPRODUCT(N([Papel]=Tabela8[[#This Row],[Papel]]),N([Exercício]=Tabela8[[#This Row],[Exercício]]),[Líquido p/Ação]),"")</f>
        <v/>
      </c>
      <c r="L251" s="42" t="str">
        <f>IF(Tabela8[[#This Row],[Lucro p/Ação]]="","",IF(Tabela8[[#This Row],[Lucro p/Ação]]&gt;0,Tabela8[[#This Row],[Total Exercício]]/Tabela8[[#This Row],[Lucro p/Ação]],0))</f>
        <v/>
      </c>
      <c r="M2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1" s="14" t="str">
        <f>IF(Tabela8[[#This Row],[Média Lucro p/Ação]]&lt;&gt;"",Tabela8[[#This Row],[Média Pago]]/Tabela8[[#This Row],[Média Lucro p/Ação]],"")</f>
        <v/>
      </c>
      <c r="P2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1" s="7">
        <f>SUMPRODUCT(N(Tabela1[Código]=Tabela8[[#This Row],[Papel]]),Tabela1[Fechamento])</f>
        <v>0</v>
      </c>
      <c r="R251" s="7">
        <f>SUMPRODUCT(N(Tabela17[Código]=Tabela8[[#This Row],[Papel]]),Tabela17[Fechamento])</f>
        <v>0</v>
      </c>
      <c r="S251" s="7">
        <f>SUMPRODUCT(N(Tabela176[Código]=Tabela8[[#This Row],[Papel]]),Tabela176[Fechamento])</f>
        <v>0</v>
      </c>
      <c r="T251" s="7">
        <f>SUMPRODUCT(N(Tabela1768[Código]=Tabela8[[#This Row],[Papel]]),Tabela1768[Fechamento])</f>
        <v>0</v>
      </c>
      <c r="U251" s="7">
        <f>SUMPRODUCT(N(Tabela17683[Código]=Tabela8[[#This Row],[Papel]]),Tabela17683[Fechamento])</f>
        <v>0</v>
      </c>
      <c r="V251" s="17" t="str">
        <f>IF(MAX(Tabela8[[#This Row],[Cotação 1]]:Tabela8[[#This Row],[Cotação 5]])=0,"",MAX(Tabela8[[#This Row],[Cotação 1]]:Tabela8[[#This Row],[Cotação 5]]))</f>
        <v/>
      </c>
      <c r="W2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1" s="17" t="str">
        <f>IF(AND([Ref]=5,[Cotação]&gt;0,[Cotação]&lt;&gt;""),[Total Exercício]/[Cotação],IF([Ref]&lt;4,0,""))</f>
        <v/>
      </c>
      <c r="Y251" s="17">
        <f>IF([Tipo]="div",1,0)</f>
        <v>0</v>
      </c>
      <c r="Z251" s="17">
        <f>IF([Tipo]="jcp",1,0)</f>
        <v>0</v>
      </c>
    </row>
    <row r="252" spans="1:26" hidden="1">
      <c r="A252" s="3" t="s">
        <v>335</v>
      </c>
      <c r="B252" s="57" t="s">
        <v>714</v>
      </c>
      <c r="C252" s="15">
        <v>3</v>
      </c>
      <c r="D252" s="4"/>
      <c r="E252" s="4"/>
      <c r="F252" s="4"/>
      <c r="G252" s="4"/>
      <c r="H252" s="4"/>
      <c r="I252" s="4"/>
      <c r="J252" s="17">
        <f>IF(Tabela8[[#This Row],[Tipo]]="jcp",Tabela8[[#This Row],[Provento p/Ação]]*85%,Tabela8[[#This Row],[Provento p/Ação]])</f>
        <v>0</v>
      </c>
      <c r="K252" s="143" t="str">
        <f>IF([Lucro p/Ação]&lt;&gt;0,SUMPRODUCT(N([Papel]=Tabela8[[#This Row],[Papel]]),N([Exercício]=Tabela8[[#This Row],[Exercício]]),[Líquido p/Ação]),"")</f>
        <v/>
      </c>
      <c r="L252" s="42" t="str">
        <f>IF(Tabela8[[#This Row],[Lucro p/Ação]]="","",IF(Tabela8[[#This Row],[Lucro p/Ação]]&gt;0,Tabela8[[#This Row],[Total Exercício]]/Tabela8[[#This Row],[Lucro p/Ação]],0))</f>
        <v/>
      </c>
      <c r="M2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2" s="14" t="str">
        <f>IF(Tabela8[[#This Row],[Média Lucro p/Ação]]&lt;&gt;"",Tabela8[[#This Row],[Média Pago]]/Tabela8[[#This Row],[Média Lucro p/Ação]],"")</f>
        <v/>
      </c>
      <c r="P2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2" s="17">
        <f>SUMPRODUCT(N(Tabela1[Código]=Tabela8[[#This Row],[Papel]]),Tabela1[Fechamento])</f>
        <v>0</v>
      </c>
      <c r="R252" s="17">
        <f>SUMPRODUCT(N(Tabela17[Código]=Tabela8[[#This Row],[Papel]]),Tabela17[Fechamento])</f>
        <v>0</v>
      </c>
      <c r="S252" s="17">
        <f>SUMPRODUCT(N(Tabela176[Código]=Tabela8[[#This Row],[Papel]]),Tabela176[Fechamento])</f>
        <v>7.72</v>
      </c>
      <c r="T252" s="17">
        <f>SUMPRODUCT(N(Tabela1768[Código]=Tabela8[[#This Row],[Papel]]),Tabela1768[Fechamento])</f>
        <v>0</v>
      </c>
      <c r="U252" s="7">
        <f>SUMPRODUCT(N(Tabela17683[Código]=Tabela8[[#This Row],[Papel]]),Tabela17683[Fechamento])</f>
        <v>0</v>
      </c>
      <c r="V252" s="17">
        <f>IF(MAX(Tabela8[[#This Row],[Cotação 1]]:Tabela8[[#This Row],[Cotação 5]])=0,"",MAX(Tabela8[[#This Row],[Cotação 1]]:Tabela8[[#This Row],[Cotação 5]]))</f>
        <v>7.72</v>
      </c>
      <c r="W2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2" s="17">
        <f>IF(AND([Ref]=5,[Cotação]&gt;0,[Cotação]&lt;&gt;""),[Total Exercício]/[Cotação],IF([Ref]&lt;4,0,""))</f>
        <v>0</v>
      </c>
      <c r="Y252" s="17">
        <f>IF([Tipo]="div",1,0)</f>
        <v>0</v>
      </c>
      <c r="Z252" s="17">
        <f>IF([Tipo]="jcp",1,0)</f>
        <v>0</v>
      </c>
    </row>
    <row r="253" spans="1:26" hidden="1">
      <c r="A253" s="4" t="s">
        <v>12</v>
      </c>
      <c r="B253" s="3" t="s">
        <v>167</v>
      </c>
      <c r="C253" s="15">
        <v>4</v>
      </c>
      <c r="D253" s="14">
        <v>2010</v>
      </c>
      <c r="E253" s="4" t="s">
        <v>1468</v>
      </c>
      <c r="F253" s="4"/>
      <c r="G253" s="46">
        <v>40298</v>
      </c>
      <c r="H253" s="46">
        <v>40358</v>
      </c>
      <c r="I253" s="133">
        <v>1.01E-2</v>
      </c>
      <c r="J253" s="132">
        <f>IF(Tabela8[[#This Row],[Tipo]]="jcp",Tabela8[[#This Row],[Provento p/Ação]]*85%,Tabela8[[#This Row],[Provento p/Ação]])</f>
        <v>1.01E-2</v>
      </c>
      <c r="K253" s="133" t="str">
        <f>IF([Lucro p/Ação]&lt;&gt;0,SUMPRODUCT(N([Papel]=Tabela8[[#This Row],[Papel]]),N([Exercício]=Tabela8[[#This Row],[Exercício]]),[Líquido p/Ação]),"")</f>
        <v/>
      </c>
      <c r="L253" s="42" t="str">
        <f>IF(Tabela8[[#This Row],[Lucro p/Ação]]="","",IF(Tabela8[[#This Row],[Lucro p/Ação]]&gt;0,Tabela8[[#This Row],[Total Exercício]]/Tabela8[[#This Row],[Lucro p/Ação]],0))</f>
        <v/>
      </c>
      <c r="M2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3" s="19" t="str">
        <f>IF(Tabela8[[#This Row],[Média Lucro p/Ação]]&lt;&gt;"",Tabela8[[#This Row],[Média Pago]]/Tabela8[[#This Row],[Média Lucro p/Ação]],"")</f>
        <v/>
      </c>
      <c r="P2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3" s="5">
        <f>SUMPRODUCT(N(Tabela1[Código]=Tabela8[[#This Row],[Papel]]),Tabela1[Fechamento])</f>
        <v>0.12</v>
      </c>
      <c r="R253" s="5">
        <f>SUMPRODUCT(N(Tabela17[Código]=Tabela8[[#This Row],[Papel]]),Tabela17[Fechamento])</f>
        <v>0</v>
      </c>
      <c r="S253" s="7">
        <f>SUMPRODUCT(N(Tabela176[Código]=Tabela8[[#This Row],[Papel]]),Tabela176[Fechamento])</f>
        <v>0</v>
      </c>
      <c r="T253" s="7">
        <f>SUMPRODUCT(N(Tabela1768[Código]=Tabela8[[#This Row],[Papel]]),Tabela1768[Fechamento])</f>
        <v>0</v>
      </c>
      <c r="U253" s="7">
        <f>SUMPRODUCT(N(Tabela17683[Código]=Tabela8[[#This Row],[Papel]]),Tabela17683[Fechamento])</f>
        <v>0</v>
      </c>
      <c r="V253" s="17">
        <f>IF(MAX(Tabela8[[#This Row],[Cotação 1]]:Tabela8[[#This Row],[Cotação 5]])=0,"",MAX(Tabela8[[#This Row],[Cotação 1]]:Tabela8[[#This Row],[Cotação 5]]))</f>
        <v>0.12</v>
      </c>
      <c r="W2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3" s="19" t="str">
        <f>IF(AND([Ref]=5,[Cotação]&gt;0,[Cotação]&lt;&gt;""),[Total Exercício]/[Cotação],IF([Ref]&lt;4,0,""))</f>
        <v/>
      </c>
      <c r="Y253" s="17">
        <f>IF([Tipo]="div",1,0)</f>
        <v>1</v>
      </c>
      <c r="Z253" s="17">
        <f>IF([Tipo]="jcp",1,0)</f>
        <v>0</v>
      </c>
    </row>
    <row r="254" spans="1:26" hidden="1">
      <c r="A254" s="4" t="s">
        <v>12</v>
      </c>
      <c r="B254" s="3" t="s">
        <v>167</v>
      </c>
      <c r="C254" s="15">
        <v>5</v>
      </c>
      <c r="D254" s="14">
        <v>2010</v>
      </c>
      <c r="E254" s="4" t="s">
        <v>1475</v>
      </c>
      <c r="F254" s="4">
        <v>1.3769999999999999E-2</v>
      </c>
      <c r="G254" s="46">
        <v>40541</v>
      </c>
      <c r="H254" s="4"/>
      <c r="I254" s="133">
        <v>2.63E-3</v>
      </c>
      <c r="J254" s="132">
        <f>IF(Tabela8[[#This Row],[Tipo]]="jcp",Tabela8[[#This Row],[Provento p/Ação]]*85%,Tabela8[[#This Row],[Provento p/Ação]])</f>
        <v>2.2355000000000001E-3</v>
      </c>
      <c r="K254" s="133">
        <f>IF([Lucro p/Ação]&lt;&gt;0,SUMPRODUCT(N([Papel]=Tabela8[[#This Row],[Papel]]),N([Exercício]=Tabela8[[#This Row],[Exercício]]),[Líquido p/Ação]),"")</f>
        <v>1.2335499999999999E-2</v>
      </c>
      <c r="L254" s="42">
        <f>IF(Tabela8[[#This Row],[Lucro p/Ação]]="","",IF(Tabela8[[#This Row],[Lucro p/Ação]]&gt;0,Tabela8[[#This Row],[Total Exercício]]/Tabela8[[#This Row],[Lucro p/Ação]],0))</f>
        <v>0.89582425562817714</v>
      </c>
      <c r="M254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1.3769999999999999E-2</v>
      </c>
      <c r="N25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1.2335499999999999E-2</v>
      </c>
      <c r="O254" s="19">
        <f>IF(Tabela8[[#This Row],[Média Lucro p/Ação]]&lt;&gt;"",Tabela8[[#This Row],[Média Pago]]/Tabela8[[#This Row],[Média Lucro p/Ação]],"")</f>
        <v>0.89582425562817714</v>
      </c>
      <c r="P2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4" s="5">
        <f>SUMPRODUCT(N(Tabela1[Código]=Tabela8[[#This Row],[Papel]]),Tabela1[Fechamento])</f>
        <v>0.12</v>
      </c>
      <c r="R254" s="5">
        <f>SUMPRODUCT(N(Tabela17[Código]=Tabela8[[#This Row],[Papel]]),Tabela17[Fechamento])</f>
        <v>0</v>
      </c>
      <c r="S254" s="7">
        <f>SUMPRODUCT(N(Tabela176[Código]=Tabela8[[#This Row],[Papel]]),Tabela176[Fechamento])</f>
        <v>0</v>
      </c>
      <c r="T254" s="7">
        <f>SUMPRODUCT(N(Tabela1768[Código]=Tabela8[[#This Row],[Papel]]),Tabela1768[Fechamento])</f>
        <v>0</v>
      </c>
      <c r="U254" s="7">
        <f>SUMPRODUCT(N(Tabela17683[Código]=Tabela8[[#This Row],[Papel]]),Tabela17683[Fechamento])</f>
        <v>0</v>
      </c>
      <c r="V254" s="17">
        <f>IF(MAX(Tabela8[[#This Row],[Cotação 1]]:Tabela8[[#This Row],[Cotação 5]])=0,"",MAX(Tabela8[[#This Row],[Cotação 1]]:Tabela8[[#This Row],[Cotação 5]]))</f>
        <v>0.12</v>
      </c>
      <c r="W2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4" s="19">
        <f>IF(AND([Ref]=5,[Cotação]&gt;0,[Cotação]&lt;&gt;""),[Total Exercício]/[Cotação],IF([Ref]&lt;4,0,""))</f>
        <v>0.10279583333333334</v>
      </c>
      <c r="Y254" s="17">
        <f>IF([Tipo]="div",1,0)</f>
        <v>0</v>
      </c>
      <c r="Z254" s="17">
        <f>IF([Tipo]="jcp",1,0)</f>
        <v>1</v>
      </c>
    </row>
    <row r="255" spans="1:26" hidden="1">
      <c r="A255" s="3" t="s">
        <v>996</v>
      </c>
      <c r="B255" s="58" t="s">
        <v>1003</v>
      </c>
      <c r="C255" s="16">
        <v>4</v>
      </c>
      <c r="D255" s="4"/>
      <c r="E255" s="4"/>
      <c r="F255" s="4"/>
      <c r="G255" s="4"/>
      <c r="H255" s="4"/>
      <c r="I255" s="4"/>
      <c r="J255" s="17">
        <f>IF(Tabela8[[#This Row],[Tipo]]="jcp",Tabela8[[#This Row],[Provento p/Ação]]*85%,Tabela8[[#This Row],[Provento p/Ação]])</f>
        <v>0</v>
      </c>
      <c r="K255" s="143" t="str">
        <f>IF([Lucro p/Ação]&lt;&gt;0,SUMPRODUCT(N([Papel]=Tabela8[[#This Row],[Papel]]),N([Exercício]=Tabela8[[#This Row],[Exercício]]),[Líquido p/Ação]),"")</f>
        <v/>
      </c>
      <c r="L255" s="42" t="str">
        <f>IF(Tabela8[[#This Row],[Lucro p/Ação]]="","",IF(Tabela8[[#This Row],[Lucro p/Ação]]&gt;0,Tabela8[[#This Row],[Total Exercício]]/Tabela8[[#This Row],[Lucro p/Ação]],0))</f>
        <v/>
      </c>
      <c r="M2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5" s="14" t="str">
        <f>IF(Tabela8[[#This Row],[Média Lucro p/Ação]]&lt;&gt;"",Tabela8[[#This Row],[Média Pago]]/Tabela8[[#This Row],[Média Lucro p/Ação]],"")</f>
        <v/>
      </c>
      <c r="P2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5" s="7">
        <f>SUMPRODUCT(N(Tabela1[Código]=Tabela8[[#This Row],[Papel]]),Tabela1[Fechamento])</f>
        <v>0</v>
      </c>
      <c r="R255" s="7">
        <f>SUMPRODUCT(N(Tabela17[Código]=Tabela8[[#This Row],[Papel]]),Tabela17[Fechamento])</f>
        <v>0</v>
      </c>
      <c r="S255" s="7">
        <f>SUMPRODUCT(N(Tabela176[Código]=Tabela8[[#This Row],[Papel]]),Tabela176[Fechamento])</f>
        <v>0</v>
      </c>
      <c r="T255" s="7">
        <f>SUMPRODUCT(N(Tabela1768[Código]=Tabela8[[#This Row],[Papel]]),Tabela1768[Fechamento])</f>
        <v>90.5</v>
      </c>
      <c r="U255" s="7">
        <f>SUMPRODUCT(N(Tabela17683[Código]=Tabela8[[#This Row],[Papel]]),Tabela17683[Fechamento])</f>
        <v>0</v>
      </c>
      <c r="V255" s="17">
        <f>IF(MAX(Tabela8[[#This Row],[Cotação 1]]:Tabela8[[#This Row],[Cotação 5]])=0,"",MAX(Tabela8[[#This Row],[Cotação 1]]:Tabela8[[#This Row],[Cotação 5]]))</f>
        <v>90.5</v>
      </c>
      <c r="W2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5" s="17" t="str">
        <f>IF(AND([Ref]=5,[Cotação]&gt;0,[Cotação]&lt;&gt;""),[Total Exercício]/[Cotação],IF([Ref]&lt;4,0,""))</f>
        <v/>
      </c>
      <c r="Y255" s="17">
        <f>IF([Tipo]="div",1,0)</f>
        <v>0</v>
      </c>
      <c r="Z255" s="17">
        <f>IF([Tipo]="jcp",1,0)</f>
        <v>0</v>
      </c>
    </row>
    <row r="256" spans="1:26" hidden="1">
      <c r="A256" s="3" t="s">
        <v>996</v>
      </c>
      <c r="B256" s="58" t="s">
        <v>1004</v>
      </c>
      <c r="C256" s="16">
        <v>4</v>
      </c>
      <c r="D256" s="4"/>
      <c r="E256" s="4"/>
      <c r="F256" s="4"/>
      <c r="G256" s="4"/>
      <c r="H256" s="4"/>
      <c r="I256" s="4"/>
      <c r="J256" s="17">
        <f>IF(Tabela8[[#This Row],[Tipo]]="jcp",Tabela8[[#This Row],[Provento p/Ação]]*85%,Tabela8[[#This Row],[Provento p/Ação]])</f>
        <v>0</v>
      </c>
      <c r="K256" s="143" t="str">
        <f>IF([Lucro p/Ação]&lt;&gt;0,SUMPRODUCT(N([Papel]=Tabela8[[#This Row],[Papel]]),N([Exercício]=Tabela8[[#This Row],[Exercício]]),[Líquido p/Ação]),"")</f>
        <v/>
      </c>
      <c r="L256" s="42" t="str">
        <f>IF(Tabela8[[#This Row],[Lucro p/Ação]]="","",IF(Tabela8[[#This Row],[Lucro p/Ação]]&gt;0,Tabela8[[#This Row],[Total Exercício]]/Tabela8[[#This Row],[Lucro p/Ação]],0))</f>
        <v/>
      </c>
      <c r="M2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6" s="14" t="str">
        <f>IF(Tabela8[[#This Row],[Média Lucro p/Ação]]&lt;&gt;"",Tabela8[[#This Row],[Média Pago]]/Tabela8[[#This Row],[Média Lucro p/Ação]],"")</f>
        <v/>
      </c>
      <c r="P2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6" s="7">
        <f>SUMPRODUCT(N(Tabela1[Código]=Tabela8[[#This Row],[Papel]]),Tabela1[Fechamento])</f>
        <v>0</v>
      </c>
      <c r="R256" s="7">
        <f>SUMPRODUCT(N(Tabela17[Código]=Tabela8[[#This Row],[Papel]]),Tabela17[Fechamento])</f>
        <v>0</v>
      </c>
      <c r="S256" s="7">
        <f>SUMPRODUCT(N(Tabela176[Código]=Tabela8[[#This Row],[Papel]]),Tabela176[Fechamento])</f>
        <v>0</v>
      </c>
      <c r="T256" s="7">
        <f>SUMPRODUCT(N(Tabela1768[Código]=Tabela8[[#This Row],[Papel]]),Tabela1768[Fechamento])</f>
        <v>81.900000000000006</v>
      </c>
      <c r="U256" s="7">
        <f>SUMPRODUCT(N(Tabela17683[Código]=Tabela8[[#This Row],[Papel]]),Tabela17683[Fechamento])</f>
        <v>0</v>
      </c>
      <c r="V256" s="17">
        <f>IF(MAX(Tabela8[[#This Row],[Cotação 1]]:Tabela8[[#This Row],[Cotação 5]])=0,"",MAX(Tabela8[[#This Row],[Cotação 1]]:Tabela8[[#This Row],[Cotação 5]]))</f>
        <v>81.900000000000006</v>
      </c>
      <c r="W2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6" s="17" t="str">
        <f>IF(AND([Ref]=5,[Cotação]&gt;0,[Cotação]&lt;&gt;""),[Total Exercício]/[Cotação],IF([Ref]&lt;4,0,""))</f>
        <v/>
      </c>
      <c r="Y256" s="17">
        <f>IF([Tipo]="div",1,0)</f>
        <v>0</v>
      </c>
      <c r="Z256" s="17">
        <f>IF([Tipo]="jcp",1,0)</f>
        <v>0</v>
      </c>
    </row>
    <row r="257" spans="1:26" hidden="1">
      <c r="A257" s="4" t="s">
        <v>330</v>
      </c>
      <c r="B257" s="58" t="s">
        <v>1107</v>
      </c>
      <c r="C257" s="16">
        <v>3</v>
      </c>
      <c r="D257" s="4"/>
      <c r="E257" s="4"/>
      <c r="F257" s="4"/>
      <c r="G257" s="4"/>
      <c r="H257" s="4"/>
      <c r="I257" s="4"/>
      <c r="J257" s="17">
        <f>IF(Tabela8[[#This Row],[Tipo]]="jcp",Tabela8[[#This Row],[Provento p/Ação]]*85%,Tabela8[[#This Row],[Provento p/Ação]])</f>
        <v>0</v>
      </c>
      <c r="K257" s="143" t="str">
        <f>IF([Lucro p/Ação]&lt;&gt;0,SUMPRODUCT(N([Papel]=Tabela8[[#This Row],[Papel]]),N([Exercício]=Tabela8[[#This Row],[Exercício]]),[Líquido p/Ação]),"")</f>
        <v/>
      </c>
      <c r="L257" s="42" t="str">
        <f>IF(Tabela8[[#This Row],[Lucro p/Ação]]="","",IF(Tabela8[[#This Row],[Lucro p/Ação]]&gt;0,Tabela8[[#This Row],[Total Exercício]]/Tabela8[[#This Row],[Lucro p/Ação]],0))</f>
        <v/>
      </c>
      <c r="M2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7" s="14" t="str">
        <f>IF(Tabela8[[#This Row],[Média Lucro p/Ação]]&lt;&gt;"",Tabela8[[#This Row],[Média Pago]]/Tabela8[[#This Row],[Média Lucro p/Ação]],"")</f>
        <v/>
      </c>
      <c r="P2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7" s="7">
        <f>SUMPRODUCT(N(Tabela1[Código]=Tabela8[[#This Row],[Papel]]),Tabela1[Fechamento])</f>
        <v>0</v>
      </c>
      <c r="R257" s="7">
        <f>SUMPRODUCT(N(Tabela17[Código]=Tabela8[[#This Row],[Papel]]),Tabela17[Fechamento])</f>
        <v>0</v>
      </c>
      <c r="S257" s="7">
        <f>SUMPRODUCT(N(Tabela176[Código]=Tabela8[[#This Row],[Papel]]),Tabela176[Fechamento])</f>
        <v>0</v>
      </c>
      <c r="T257" s="7">
        <f>SUMPRODUCT(N(Tabela1768[Código]=Tabela8[[#This Row],[Papel]]),Tabela1768[Fechamento])</f>
        <v>0</v>
      </c>
      <c r="U257" s="7">
        <f>SUMPRODUCT(N(Tabela17683[Código]=Tabela8[[#This Row],[Papel]]),Tabela17683[Fechamento])</f>
        <v>1.98</v>
      </c>
      <c r="V257" s="17">
        <f>IF(MAX(Tabela8[[#This Row],[Cotação 1]]:Tabela8[[#This Row],[Cotação 5]])=0,"",MAX(Tabela8[[#This Row],[Cotação 1]]:Tabela8[[#This Row],[Cotação 5]]))</f>
        <v>1.98</v>
      </c>
      <c r="W2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7" s="17">
        <f>IF(AND([Ref]=5,[Cotação]&gt;0,[Cotação]&lt;&gt;""),[Total Exercício]/[Cotação],IF([Ref]&lt;4,0,""))</f>
        <v>0</v>
      </c>
      <c r="Y257" s="17">
        <f>IF([Tipo]="div",1,0)</f>
        <v>0</v>
      </c>
      <c r="Z257" s="17">
        <f>IF([Tipo]="jcp",1,0)</f>
        <v>0</v>
      </c>
    </row>
    <row r="258" spans="1:26" hidden="1">
      <c r="A258" s="4" t="s">
        <v>330</v>
      </c>
      <c r="B258" s="58" t="s">
        <v>1108</v>
      </c>
      <c r="C258" s="16">
        <v>3</v>
      </c>
      <c r="D258" s="4"/>
      <c r="E258" s="4"/>
      <c r="F258" s="4"/>
      <c r="G258" s="4"/>
      <c r="H258" s="4"/>
      <c r="I258" s="4"/>
      <c r="J258" s="17">
        <f>IF(Tabela8[[#This Row],[Tipo]]="jcp",Tabela8[[#This Row],[Provento p/Ação]]*85%,Tabela8[[#This Row],[Provento p/Ação]])</f>
        <v>0</v>
      </c>
      <c r="K258" s="143" t="str">
        <f>IF([Lucro p/Ação]&lt;&gt;0,SUMPRODUCT(N([Papel]=Tabela8[[#This Row],[Papel]]),N([Exercício]=Tabela8[[#This Row],[Exercício]]),[Líquido p/Ação]),"")</f>
        <v/>
      </c>
      <c r="L258" s="42" t="str">
        <f>IF(Tabela8[[#This Row],[Lucro p/Ação]]="","",IF(Tabela8[[#This Row],[Lucro p/Ação]]&gt;0,Tabela8[[#This Row],[Total Exercício]]/Tabela8[[#This Row],[Lucro p/Ação]],0))</f>
        <v/>
      </c>
      <c r="M2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8" s="14" t="str">
        <f>IF(Tabela8[[#This Row],[Média Lucro p/Ação]]&lt;&gt;"",Tabela8[[#This Row],[Média Pago]]/Tabela8[[#This Row],[Média Lucro p/Ação]],"")</f>
        <v/>
      </c>
      <c r="P2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8" s="7">
        <f>SUMPRODUCT(N(Tabela1[Código]=Tabela8[[#This Row],[Papel]]),Tabela1[Fechamento])</f>
        <v>0</v>
      </c>
      <c r="R258" s="7">
        <f>SUMPRODUCT(N(Tabela17[Código]=Tabela8[[#This Row],[Papel]]),Tabela17[Fechamento])</f>
        <v>0</v>
      </c>
      <c r="S258" s="7">
        <f>SUMPRODUCT(N(Tabela176[Código]=Tabela8[[#This Row],[Papel]]),Tabela176[Fechamento])</f>
        <v>0</v>
      </c>
      <c r="T258" s="7">
        <f>SUMPRODUCT(N(Tabela1768[Código]=Tabela8[[#This Row],[Papel]]),Tabela1768[Fechamento])</f>
        <v>0</v>
      </c>
      <c r="U258" s="7">
        <f>SUMPRODUCT(N(Tabela17683[Código]=Tabela8[[#This Row],[Papel]]),Tabela17683[Fechamento])</f>
        <v>1.31</v>
      </c>
      <c r="V258" s="17">
        <f>IF(MAX(Tabela8[[#This Row],[Cotação 1]]:Tabela8[[#This Row],[Cotação 5]])=0,"",MAX(Tabela8[[#This Row],[Cotação 1]]:Tabela8[[#This Row],[Cotação 5]]))</f>
        <v>1.31</v>
      </c>
      <c r="W2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8" s="17">
        <f>IF(AND([Ref]=5,[Cotação]&gt;0,[Cotação]&lt;&gt;""),[Total Exercício]/[Cotação],IF([Ref]&lt;4,0,""))</f>
        <v>0</v>
      </c>
      <c r="Y258" s="17">
        <f>IF([Tipo]="div",1,0)</f>
        <v>0</v>
      </c>
      <c r="Z258" s="17">
        <f>IF([Tipo]="jcp",1,0)</f>
        <v>0</v>
      </c>
    </row>
    <row r="259" spans="1:26" hidden="1">
      <c r="A259" s="3" t="s">
        <v>1019</v>
      </c>
      <c r="B259" s="57" t="s">
        <v>1034</v>
      </c>
      <c r="C259" s="16">
        <v>3</v>
      </c>
      <c r="D259" s="4"/>
      <c r="E259" s="4"/>
      <c r="F259" s="4"/>
      <c r="G259" s="4"/>
      <c r="H259" s="4"/>
      <c r="I259" s="4"/>
      <c r="J259" s="17">
        <f>IF(Tabela8[[#This Row],[Tipo]]="jcp",Tabela8[[#This Row],[Provento p/Ação]]*85%,Tabela8[[#This Row],[Provento p/Ação]])</f>
        <v>0</v>
      </c>
      <c r="K259" s="143" t="str">
        <f>IF([Lucro p/Ação]&lt;&gt;0,SUMPRODUCT(N([Papel]=Tabela8[[#This Row],[Papel]]),N([Exercício]=Tabela8[[#This Row],[Exercício]]),[Líquido p/Ação]),"")</f>
        <v/>
      </c>
      <c r="L259" s="42" t="str">
        <f>IF(Tabela8[[#This Row],[Lucro p/Ação]]="","",IF(Tabela8[[#This Row],[Lucro p/Ação]]&gt;0,Tabela8[[#This Row],[Total Exercício]]/Tabela8[[#This Row],[Lucro p/Ação]],0))</f>
        <v/>
      </c>
      <c r="M2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59" s="14" t="str">
        <f>IF(Tabela8[[#This Row],[Média Lucro p/Ação]]&lt;&gt;"",Tabela8[[#This Row],[Média Pago]]/Tabela8[[#This Row],[Média Lucro p/Ação]],"")</f>
        <v/>
      </c>
      <c r="P2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59" s="7">
        <f>SUMPRODUCT(N(Tabela1[Código]=Tabela8[[#This Row],[Papel]]),Tabela1[Fechamento])</f>
        <v>0</v>
      </c>
      <c r="R259" s="7">
        <f>SUMPRODUCT(N(Tabela17[Código]=Tabela8[[#This Row],[Papel]]),Tabela17[Fechamento])</f>
        <v>0</v>
      </c>
      <c r="S259" s="7">
        <f>SUMPRODUCT(N(Tabela176[Código]=Tabela8[[#This Row],[Papel]]),Tabela176[Fechamento])</f>
        <v>0</v>
      </c>
      <c r="T259" s="7">
        <f>SUMPRODUCT(N(Tabela1768[Código]=Tabela8[[#This Row],[Papel]]),Tabela1768[Fechamento])</f>
        <v>6.81</v>
      </c>
      <c r="U259" s="7">
        <f>SUMPRODUCT(N(Tabela17683[Código]=Tabela8[[#This Row],[Papel]]),Tabela17683[Fechamento])</f>
        <v>0</v>
      </c>
      <c r="V259" s="17">
        <f>IF(MAX(Tabela8[[#This Row],[Cotação 1]]:Tabela8[[#This Row],[Cotação 5]])=0,"",MAX(Tabela8[[#This Row],[Cotação 1]]:Tabela8[[#This Row],[Cotação 5]]))</f>
        <v>6.81</v>
      </c>
      <c r="W2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59" s="17">
        <f>IF(AND([Ref]=5,[Cotação]&gt;0,[Cotação]&lt;&gt;""),[Total Exercício]/[Cotação],IF([Ref]&lt;4,0,""))</f>
        <v>0</v>
      </c>
      <c r="Y259" s="17">
        <f>IF([Tipo]="div",1,0)</f>
        <v>0</v>
      </c>
      <c r="Z259" s="17">
        <f>IF([Tipo]="jcp",1,0)</f>
        <v>0</v>
      </c>
    </row>
    <row r="260" spans="1:26" hidden="1">
      <c r="A260" s="3" t="s">
        <v>288</v>
      </c>
      <c r="B260" s="58" t="s">
        <v>690</v>
      </c>
      <c r="C260" s="16">
        <v>3</v>
      </c>
      <c r="D260" s="4"/>
      <c r="E260" s="4"/>
      <c r="F260" s="4"/>
      <c r="G260" s="4"/>
      <c r="H260" s="4"/>
      <c r="I260" s="4"/>
      <c r="J260" s="17">
        <f>IF(Tabela8[[#This Row],[Tipo]]="jcp",Tabela8[[#This Row],[Provento p/Ação]]*85%,Tabela8[[#This Row],[Provento p/Ação]])</f>
        <v>0</v>
      </c>
      <c r="K260" s="143" t="str">
        <f>IF([Lucro p/Ação]&lt;&gt;0,SUMPRODUCT(N([Papel]=Tabela8[[#This Row],[Papel]]),N([Exercício]=Tabela8[[#This Row],[Exercício]]),[Líquido p/Ação]),"")</f>
        <v/>
      </c>
      <c r="L260" s="42" t="str">
        <f>IF(Tabela8[[#This Row],[Lucro p/Ação]]="","",IF(Tabela8[[#This Row],[Lucro p/Ação]]&gt;0,Tabela8[[#This Row],[Total Exercício]]/Tabela8[[#This Row],[Lucro p/Ação]],0))</f>
        <v/>
      </c>
      <c r="M2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0" s="14" t="str">
        <f>IF(Tabela8[[#This Row],[Média Lucro p/Ação]]&lt;&gt;"",Tabela8[[#This Row],[Média Pago]]/Tabela8[[#This Row],[Média Lucro p/Ação]],"")</f>
        <v/>
      </c>
      <c r="P2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0" s="5">
        <f>SUMPRODUCT(N(Tabela1[Código]=Tabela8[[#This Row],[Papel]]),Tabela1[Fechamento])</f>
        <v>0</v>
      </c>
      <c r="R260" s="5">
        <f>SUMPRODUCT(N(Tabela17[Código]=Tabela8[[#This Row],[Papel]]),Tabela17[Fechamento])</f>
        <v>0</v>
      </c>
      <c r="S260" s="7">
        <f>SUMPRODUCT(N(Tabela176[Código]=Tabela8[[#This Row],[Papel]]),Tabela176[Fechamento])</f>
        <v>0</v>
      </c>
      <c r="T260" s="7">
        <f>SUMPRODUCT(N(Tabela1768[Código]=Tabela8[[#This Row],[Papel]]),Tabela1768[Fechamento])</f>
        <v>0</v>
      </c>
      <c r="U260" s="7">
        <f>SUMPRODUCT(N(Tabela17683[Código]=Tabela8[[#This Row],[Papel]]),Tabela17683[Fechamento])</f>
        <v>0</v>
      </c>
      <c r="V260" s="17" t="str">
        <f>IF(MAX(Tabela8[[#This Row],[Cotação 1]]:Tabela8[[#This Row],[Cotação 5]])=0,"",MAX(Tabela8[[#This Row],[Cotação 1]]:Tabela8[[#This Row],[Cotação 5]]))</f>
        <v/>
      </c>
      <c r="W2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0" s="17">
        <f>IF(AND([Ref]=5,[Cotação]&gt;0,[Cotação]&lt;&gt;""),[Total Exercício]/[Cotação],IF([Ref]&lt;4,0,""))</f>
        <v>0</v>
      </c>
      <c r="Y260" s="17">
        <f>IF([Tipo]="div",1,0)</f>
        <v>0</v>
      </c>
      <c r="Z260" s="17">
        <f>IF([Tipo]="jcp",1,0)</f>
        <v>0</v>
      </c>
    </row>
    <row r="261" spans="1:26" hidden="1">
      <c r="A261" s="3" t="s">
        <v>288</v>
      </c>
      <c r="B261" s="58" t="s">
        <v>292</v>
      </c>
      <c r="C261" s="16">
        <v>3</v>
      </c>
      <c r="D261" s="4"/>
      <c r="E261" s="4"/>
      <c r="F261" s="4"/>
      <c r="G261" s="4"/>
      <c r="H261" s="4"/>
      <c r="I261" s="4"/>
      <c r="J261" s="17">
        <f>IF(Tabela8[[#This Row],[Tipo]]="jcp",Tabela8[[#This Row],[Provento p/Ação]]*85%,Tabela8[[#This Row],[Provento p/Ação]])</f>
        <v>0</v>
      </c>
      <c r="K261" s="143" t="str">
        <f>IF([Lucro p/Ação]&lt;&gt;0,SUMPRODUCT(N([Papel]=Tabela8[[#This Row],[Papel]]),N([Exercício]=Tabela8[[#This Row],[Exercício]]),[Líquido p/Ação]),"")</f>
        <v/>
      </c>
      <c r="L261" s="42" t="str">
        <f>IF(Tabela8[[#This Row],[Lucro p/Ação]]="","",IF(Tabela8[[#This Row],[Lucro p/Ação]]&gt;0,Tabela8[[#This Row],[Total Exercício]]/Tabela8[[#This Row],[Lucro p/Ação]],0))</f>
        <v/>
      </c>
      <c r="M2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1" s="14" t="str">
        <f>IF(Tabela8[[#This Row],[Média Lucro p/Ação]]&lt;&gt;"",Tabela8[[#This Row],[Média Pago]]/Tabela8[[#This Row],[Média Lucro p/Ação]],"")</f>
        <v/>
      </c>
      <c r="P2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1" s="5">
        <f>SUMPRODUCT(N(Tabela1[Código]=Tabela8[[#This Row],[Papel]]),Tabela1[Fechamento])</f>
        <v>0</v>
      </c>
      <c r="R261" s="5">
        <f>SUMPRODUCT(N(Tabela17[Código]=Tabela8[[#This Row],[Papel]]),Tabela17[Fechamento])</f>
        <v>14</v>
      </c>
      <c r="S261" s="7">
        <f>SUMPRODUCT(N(Tabela176[Código]=Tabela8[[#This Row],[Papel]]),Tabela176[Fechamento])</f>
        <v>0</v>
      </c>
      <c r="T261" s="7">
        <f>SUMPRODUCT(N(Tabela1768[Código]=Tabela8[[#This Row],[Papel]]),Tabela1768[Fechamento])</f>
        <v>0</v>
      </c>
      <c r="U261" s="7">
        <f>SUMPRODUCT(N(Tabela17683[Código]=Tabela8[[#This Row],[Papel]]),Tabela17683[Fechamento])</f>
        <v>0</v>
      </c>
      <c r="V261" s="17">
        <f>IF(MAX(Tabela8[[#This Row],[Cotação 1]]:Tabela8[[#This Row],[Cotação 5]])=0,"",MAX(Tabela8[[#This Row],[Cotação 1]]:Tabela8[[#This Row],[Cotação 5]]))</f>
        <v>14</v>
      </c>
      <c r="W2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1" s="17">
        <f>IF(AND([Ref]=5,[Cotação]&gt;0,[Cotação]&lt;&gt;""),[Total Exercício]/[Cotação],IF([Ref]&lt;4,0,""))</f>
        <v>0</v>
      </c>
      <c r="Y261" s="17">
        <f>IF([Tipo]="div",1,0)</f>
        <v>0</v>
      </c>
      <c r="Z261" s="17">
        <f>IF([Tipo]="jcp",1,0)</f>
        <v>0</v>
      </c>
    </row>
    <row r="262" spans="1:26" hidden="1">
      <c r="A262" s="3" t="s">
        <v>288</v>
      </c>
      <c r="B262" s="58" t="s">
        <v>691</v>
      </c>
      <c r="C262" s="16">
        <v>3</v>
      </c>
      <c r="D262" s="4"/>
      <c r="E262" s="4"/>
      <c r="F262" s="4"/>
      <c r="G262" s="4"/>
      <c r="H262" s="4"/>
      <c r="I262" s="4"/>
      <c r="J262" s="17">
        <f>IF(Tabela8[[#This Row],[Tipo]]="jcp",Tabela8[[#This Row],[Provento p/Ação]]*85%,Tabela8[[#This Row],[Provento p/Ação]])</f>
        <v>0</v>
      </c>
      <c r="K262" s="143" t="str">
        <f>IF([Lucro p/Ação]&lt;&gt;0,SUMPRODUCT(N([Papel]=Tabela8[[#This Row],[Papel]]),N([Exercício]=Tabela8[[#This Row],[Exercício]]),[Líquido p/Ação]),"")</f>
        <v/>
      </c>
      <c r="L262" s="42" t="str">
        <f>IF(Tabela8[[#This Row],[Lucro p/Ação]]="","",IF(Tabela8[[#This Row],[Lucro p/Ação]]&gt;0,Tabela8[[#This Row],[Total Exercício]]/Tabela8[[#This Row],[Lucro p/Ação]],0))</f>
        <v/>
      </c>
      <c r="M2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2" s="14" t="str">
        <f>IF(Tabela8[[#This Row],[Média Lucro p/Ação]]&lt;&gt;"",Tabela8[[#This Row],[Média Pago]]/Tabela8[[#This Row],[Média Lucro p/Ação]],"")</f>
        <v/>
      </c>
      <c r="P2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2" s="47">
        <f>SUMPRODUCT(N(Tabela1[Código]=Tabela8[[#This Row],[Papel]]),Tabela1[Fechamento])</f>
        <v>0</v>
      </c>
      <c r="R262" s="54">
        <f>SUMPRODUCT(N(Tabela17[Código]=Tabela8[[#This Row],[Papel]]),Tabela17[Fechamento])</f>
        <v>0</v>
      </c>
      <c r="S262" s="7">
        <f>SUMPRODUCT(N(Tabela176[Código]=Tabela8[[#This Row],[Papel]]),Tabela176[Fechamento])</f>
        <v>0</v>
      </c>
      <c r="T262" s="7">
        <f>SUMPRODUCT(N(Tabela1768[Código]=Tabela8[[#This Row],[Papel]]),Tabela1768[Fechamento])</f>
        <v>0</v>
      </c>
      <c r="U262" s="7">
        <f>SUMPRODUCT(N(Tabela17683[Código]=Tabela8[[#This Row],[Papel]]),Tabela17683[Fechamento])</f>
        <v>0</v>
      </c>
      <c r="V262" s="17" t="str">
        <f>IF(MAX(Tabela8[[#This Row],[Cotação 1]]:Tabela8[[#This Row],[Cotação 5]])=0,"",MAX(Tabela8[[#This Row],[Cotação 1]]:Tabela8[[#This Row],[Cotação 5]]))</f>
        <v/>
      </c>
      <c r="W2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2" s="17">
        <f>IF(AND([Ref]=5,[Cotação]&gt;0,[Cotação]&lt;&gt;""),[Total Exercício]/[Cotação],IF([Ref]&lt;4,0,""))</f>
        <v>0</v>
      </c>
      <c r="Y262" s="17">
        <f>IF([Tipo]="div",1,0)</f>
        <v>0</v>
      </c>
      <c r="Z262" s="17">
        <f>IF([Tipo]="jcp",1,0)</f>
        <v>0</v>
      </c>
    </row>
    <row r="263" spans="1:26" hidden="1">
      <c r="A263" s="96" t="s">
        <v>905</v>
      </c>
      <c r="B263" s="58" t="s">
        <v>906</v>
      </c>
      <c r="C263" s="16">
        <v>3</v>
      </c>
      <c r="D263" s="4"/>
      <c r="E263" s="4"/>
      <c r="F263" s="4"/>
      <c r="G263" s="4"/>
      <c r="H263" s="4"/>
      <c r="I263" s="4"/>
      <c r="J263" s="17">
        <f>IF(Tabela8[[#This Row],[Tipo]]="jcp",Tabela8[[#This Row],[Provento p/Ação]]*85%,Tabela8[[#This Row],[Provento p/Ação]])</f>
        <v>0</v>
      </c>
      <c r="K263" s="143" t="str">
        <f>IF([Lucro p/Ação]&lt;&gt;0,SUMPRODUCT(N([Papel]=Tabela8[[#This Row],[Papel]]),N([Exercício]=Tabela8[[#This Row],[Exercício]]),[Líquido p/Ação]),"")</f>
        <v/>
      </c>
      <c r="L263" s="42" t="str">
        <f>IF(Tabela8[[#This Row],[Lucro p/Ação]]="","",IF(Tabela8[[#This Row],[Lucro p/Ação]]&gt;0,Tabela8[[#This Row],[Total Exercício]]/Tabela8[[#This Row],[Lucro p/Ação]],0))</f>
        <v/>
      </c>
      <c r="M2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3" s="14" t="str">
        <f>IF(Tabela8[[#This Row],[Média Lucro p/Ação]]&lt;&gt;"",Tabela8[[#This Row],[Média Pago]]/Tabela8[[#This Row],[Média Lucro p/Ação]],"")</f>
        <v/>
      </c>
      <c r="P2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3" s="106">
        <f>SUMPRODUCT(N(Tabela1[Código]=Tabela8[[#This Row],[Papel]]),Tabela1[Fechamento])</f>
        <v>0</v>
      </c>
      <c r="R263" s="106">
        <f>SUMPRODUCT(N(Tabela17[Código]=Tabela8[[#This Row],[Papel]]),Tabela17[Fechamento])</f>
        <v>0</v>
      </c>
      <c r="S263" s="106">
        <f>SUMPRODUCT(N(Tabela176[Código]=Tabela8[[#This Row],[Papel]]),Tabela176[Fechamento])</f>
        <v>0</v>
      </c>
      <c r="T263" s="106">
        <f>SUMPRODUCT(N(Tabela1768[Código]=Tabela8[[#This Row],[Papel]]),Tabela1768[Fechamento])</f>
        <v>0.61</v>
      </c>
      <c r="U263" s="7">
        <f>SUMPRODUCT(N(Tabela17683[Código]=Tabela8[[#This Row],[Papel]]),Tabela17683[Fechamento])</f>
        <v>0</v>
      </c>
      <c r="V263" s="17">
        <f>IF(MAX(Tabela8[[#This Row],[Cotação 1]]:Tabela8[[#This Row],[Cotação 5]])=0,"",MAX(Tabela8[[#This Row],[Cotação 1]]:Tabela8[[#This Row],[Cotação 5]]))</f>
        <v>0.61</v>
      </c>
      <c r="W2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3" s="17">
        <f>IF(AND([Ref]=5,[Cotação]&gt;0,[Cotação]&lt;&gt;""),[Total Exercício]/[Cotação],IF([Ref]&lt;4,0,""))</f>
        <v>0</v>
      </c>
      <c r="Y263" s="17">
        <f>IF([Tipo]="div",1,0)</f>
        <v>0</v>
      </c>
      <c r="Z263" s="17">
        <f>IF([Tipo]="jcp",1,0)</f>
        <v>0</v>
      </c>
    </row>
    <row r="264" spans="1:26" hidden="1">
      <c r="A264" s="3" t="s">
        <v>905</v>
      </c>
      <c r="B264" s="58" t="s">
        <v>907</v>
      </c>
      <c r="C264" s="16">
        <v>3</v>
      </c>
      <c r="D264" s="4"/>
      <c r="E264" s="4"/>
      <c r="F264" s="4"/>
      <c r="G264" s="4"/>
      <c r="H264" s="4"/>
      <c r="I264" s="4"/>
      <c r="J264" s="17">
        <f>IF(Tabela8[[#This Row],[Tipo]]="jcp",Tabela8[[#This Row],[Provento p/Ação]]*85%,Tabela8[[#This Row],[Provento p/Ação]])</f>
        <v>0</v>
      </c>
      <c r="K264" s="143" t="str">
        <f>IF([Lucro p/Ação]&lt;&gt;0,SUMPRODUCT(N([Papel]=Tabela8[[#This Row],[Papel]]),N([Exercício]=Tabela8[[#This Row],[Exercício]]),[Líquido p/Ação]),"")</f>
        <v/>
      </c>
      <c r="L264" s="42" t="str">
        <f>IF(Tabela8[[#This Row],[Lucro p/Ação]]="","",IF(Tabela8[[#This Row],[Lucro p/Ação]]&gt;0,Tabela8[[#This Row],[Total Exercício]]/Tabela8[[#This Row],[Lucro p/Ação]],0))</f>
        <v/>
      </c>
      <c r="M2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4" s="14" t="str">
        <f>IF(Tabela8[[#This Row],[Média Lucro p/Ação]]&lt;&gt;"",Tabela8[[#This Row],[Média Pago]]/Tabela8[[#This Row],[Média Lucro p/Ação]],"")</f>
        <v/>
      </c>
      <c r="P2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4" s="7">
        <f>SUMPRODUCT(N(Tabela1[Código]=Tabela8[[#This Row],[Papel]]),Tabela1[Fechamento])</f>
        <v>0</v>
      </c>
      <c r="R264" s="7">
        <f>SUMPRODUCT(N(Tabela17[Código]=Tabela8[[#This Row],[Papel]]),Tabela17[Fechamento])</f>
        <v>0</v>
      </c>
      <c r="S264" s="7">
        <f>SUMPRODUCT(N(Tabela176[Código]=Tabela8[[#This Row],[Papel]]),Tabela176[Fechamento])</f>
        <v>0</v>
      </c>
      <c r="T264" s="7">
        <f>SUMPRODUCT(N(Tabela1768[Código]=Tabela8[[#This Row],[Papel]]),Tabela1768[Fechamento])</f>
        <v>0.28999999999999998</v>
      </c>
      <c r="U264" s="7">
        <f>SUMPRODUCT(N(Tabela17683[Código]=Tabela8[[#This Row],[Papel]]),Tabela17683[Fechamento])</f>
        <v>0</v>
      </c>
      <c r="V264" s="17">
        <f>IF(MAX(Tabela8[[#This Row],[Cotação 1]]:Tabela8[[#This Row],[Cotação 5]])=0,"",MAX(Tabela8[[#This Row],[Cotação 1]]:Tabela8[[#This Row],[Cotação 5]]))</f>
        <v>0.28999999999999998</v>
      </c>
      <c r="W2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4" s="17">
        <f>IF(AND([Ref]=5,[Cotação]&gt;0,[Cotação]&lt;&gt;""),[Total Exercício]/[Cotação],IF([Ref]&lt;4,0,""))</f>
        <v>0</v>
      </c>
      <c r="Y264" s="17">
        <f>IF([Tipo]="div",1,0)</f>
        <v>0</v>
      </c>
      <c r="Z264" s="17">
        <f>IF([Tipo]="jcp",1,0)</f>
        <v>0</v>
      </c>
    </row>
    <row r="265" spans="1:26" hidden="1">
      <c r="A265" s="3" t="s">
        <v>910</v>
      </c>
      <c r="B265" s="58" t="s">
        <v>874</v>
      </c>
      <c r="C265" s="16">
        <v>4</v>
      </c>
      <c r="D265" s="4"/>
      <c r="E265" s="4"/>
      <c r="F265" s="4"/>
      <c r="G265" s="4"/>
      <c r="H265" s="4"/>
      <c r="I265" s="4"/>
      <c r="J265" s="17">
        <f>IF(Tabela8[[#This Row],[Tipo]]="jcp",Tabela8[[#This Row],[Provento p/Ação]]*85%,Tabela8[[#This Row],[Provento p/Ação]])</f>
        <v>0</v>
      </c>
      <c r="K265" s="143" t="str">
        <f>IF([Lucro p/Ação]&lt;&gt;0,SUMPRODUCT(N([Papel]=Tabela8[[#This Row],[Papel]]),N([Exercício]=Tabela8[[#This Row],[Exercício]]),[Líquido p/Ação]),"")</f>
        <v/>
      </c>
      <c r="L265" s="42" t="str">
        <f>IF(Tabela8[[#This Row],[Lucro p/Ação]]="","",IF(Tabela8[[#This Row],[Lucro p/Ação]]&gt;0,Tabela8[[#This Row],[Total Exercício]]/Tabela8[[#This Row],[Lucro p/Ação]],0))</f>
        <v/>
      </c>
      <c r="M2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5" s="14" t="str">
        <f>IF(Tabela8[[#This Row],[Média Lucro p/Ação]]&lt;&gt;"",Tabela8[[#This Row],[Média Pago]]/Tabela8[[#This Row],[Média Lucro p/Ação]],"")</f>
        <v/>
      </c>
      <c r="P2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5" s="7">
        <f>SUMPRODUCT(N(Tabela1[Código]=Tabela8[[#This Row],[Papel]]),Tabela1[Fechamento])</f>
        <v>0</v>
      </c>
      <c r="R265" s="7">
        <f>SUMPRODUCT(N(Tabela17[Código]=Tabela8[[#This Row],[Papel]]),Tabela17[Fechamento])</f>
        <v>0</v>
      </c>
      <c r="S265" s="7">
        <f>SUMPRODUCT(N(Tabela176[Código]=Tabela8[[#This Row],[Papel]]),Tabela176[Fechamento])</f>
        <v>0</v>
      </c>
      <c r="T265" s="7">
        <f>SUMPRODUCT(N(Tabela1768[Código]=Tabela8[[#This Row],[Papel]]),Tabela1768[Fechamento])</f>
        <v>27</v>
      </c>
      <c r="U265" s="7">
        <f>SUMPRODUCT(N(Tabela17683[Código]=Tabela8[[#This Row],[Papel]]),Tabela17683[Fechamento])</f>
        <v>0</v>
      </c>
      <c r="V265" s="17">
        <f>IF(MAX(Tabela8[[#This Row],[Cotação 1]]:Tabela8[[#This Row],[Cotação 5]])=0,"",MAX(Tabela8[[#This Row],[Cotação 1]]:Tabela8[[#This Row],[Cotação 5]]))</f>
        <v>27</v>
      </c>
      <c r="W2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5" s="17" t="str">
        <f>IF(AND([Ref]=5,[Cotação]&gt;0,[Cotação]&lt;&gt;""),[Total Exercício]/[Cotação],IF([Ref]&lt;4,0,""))</f>
        <v/>
      </c>
      <c r="Y265" s="17">
        <f>IF([Tipo]="div",1,0)</f>
        <v>0</v>
      </c>
      <c r="Z265" s="17">
        <f>IF([Tipo]="jcp",1,0)</f>
        <v>0</v>
      </c>
    </row>
    <row r="266" spans="1:26" hidden="1">
      <c r="A266" s="3" t="s">
        <v>769</v>
      </c>
      <c r="B266" s="58" t="s">
        <v>776</v>
      </c>
      <c r="C266" s="16">
        <v>4</v>
      </c>
      <c r="D266" s="4"/>
      <c r="E266" s="4"/>
      <c r="F266" s="4"/>
      <c r="G266" s="4"/>
      <c r="H266" s="4"/>
      <c r="I266" s="4"/>
      <c r="J266" s="17">
        <f>IF(Tabela8[[#This Row],[Tipo]]="jcp",Tabela8[[#This Row],[Provento p/Ação]]*85%,Tabela8[[#This Row],[Provento p/Ação]])</f>
        <v>0</v>
      </c>
      <c r="K266" s="143" t="str">
        <f>IF([Lucro p/Ação]&lt;&gt;0,SUMPRODUCT(N([Papel]=Tabela8[[#This Row],[Papel]]),N([Exercício]=Tabela8[[#This Row],[Exercício]]),[Líquido p/Ação]),"")</f>
        <v/>
      </c>
      <c r="L266" s="42" t="str">
        <f>IF(Tabela8[[#This Row],[Lucro p/Ação]]="","",IF(Tabela8[[#This Row],[Lucro p/Ação]]&gt;0,Tabela8[[#This Row],[Total Exercício]]/Tabela8[[#This Row],[Lucro p/Ação]],0))</f>
        <v/>
      </c>
      <c r="M2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6" s="14" t="str">
        <f>IF(Tabela8[[#This Row],[Média Lucro p/Ação]]&lt;&gt;"",Tabela8[[#This Row],[Média Pago]]/Tabela8[[#This Row],[Média Lucro p/Ação]],"")</f>
        <v/>
      </c>
      <c r="P2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6" s="7">
        <f>SUMPRODUCT(N(Tabela1[Código]=Tabela8[[#This Row],[Papel]]),Tabela1[Fechamento])</f>
        <v>0</v>
      </c>
      <c r="R266" s="7">
        <f>SUMPRODUCT(N(Tabela17[Código]=Tabela8[[#This Row],[Papel]]),Tabela17[Fechamento])</f>
        <v>0</v>
      </c>
      <c r="S266" s="7">
        <f>SUMPRODUCT(N(Tabela176[Código]=Tabela8[[#This Row],[Papel]]),Tabela176[Fechamento])</f>
        <v>16</v>
      </c>
      <c r="T266" s="7">
        <f>SUMPRODUCT(N(Tabela1768[Código]=Tabela8[[#This Row],[Papel]]),Tabela1768[Fechamento])</f>
        <v>0</v>
      </c>
      <c r="U266" s="7">
        <f>SUMPRODUCT(N(Tabela17683[Código]=Tabela8[[#This Row],[Papel]]),Tabela17683[Fechamento])</f>
        <v>0</v>
      </c>
      <c r="V266" s="17">
        <f>IF(MAX(Tabela8[[#This Row],[Cotação 1]]:Tabela8[[#This Row],[Cotação 5]])=0,"",MAX(Tabela8[[#This Row],[Cotação 1]]:Tabela8[[#This Row],[Cotação 5]]))</f>
        <v>16</v>
      </c>
      <c r="W2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6" s="17" t="str">
        <f>IF(AND([Ref]=5,[Cotação]&gt;0,[Cotação]&lt;&gt;""),[Total Exercício]/[Cotação],IF([Ref]&lt;4,0,""))</f>
        <v/>
      </c>
      <c r="Y266" s="17">
        <f>IF([Tipo]="div",1,0)</f>
        <v>0</v>
      </c>
      <c r="Z266" s="17">
        <f>IF([Tipo]="jcp",1,0)</f>
        <v>0</v>
      </c>
    </row>
    <row r="267" spans="1:26" hidden="1">
      <c r="A267" s="4" t="s">
        <v>559</v>
      </c>
      <c r="B267" s="57" t="s">
        <v>557</v>
      </c>
      <c r="C267" s="15">
        <v>3</v>
      </c>
      <c r="D267" s="4"/>
      <c r="E267" s="4"/>
      <c r="F267" s="4"/>
      <c r="G267" s="4"/>
      <c r="H267" s="4"/>
      <c r="I267" s="4"/>
      <c r="J267" s="17">
        <f>IF(Tabela8[[#This Row],[Tipo]]="jcp",Tabela8[[#This Row],[Provento p/Ação]]*85%,Tabela8[[#This Row],[Provento p/Ação]])</f>
        <v>0</v>
      </c>
      <c r="K267" s="143" t="str">
        <f>IF([Lucro p/Ação]&lt;&gt;0,SUMPRODUCT(N([Papel]=Tabela8[[#This Row],[Papel]]),N([Exercício]=Tabela8[[#This Row],[Exercício]]),[Líquido p/Ação]),"")</f>
        <v/>
      </c>
      <c r="L267" s="42" t="str">
        <f>IF(Tabela8[[#This Row],[Lucro p/Ação]]="","",IF(Tabela8[[#This Row],[Lucro p/Ação]]&gt;0,Tabela8[[#This Row],[Total Exercício]]/Tabela8[[#This Row],[Lucro p/Ação]],0))</f>
        <v/>
      </c>
      <c r="M2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7" s="14" t="str">
        <f>IF(Tabela8[[#This Row],[Média Lucro p/Ação]]&lt;&gt;"",Tabela8[[#This Row],[Média Pago]]/Tabela8[[#This Row],[Média Lucro p/Ação]],"")</f>
        <v/>
      </c>
      <c r="P2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7" s="17">
        <f>SUMPRODUCT(N(Tabela1[Código]=Tabela8[[#This Row],[Papel]]),Tabela1[Fechamento])</f>
        <v>0</v>
      </c>
      <c r="R267" s="17">
        <f>SUMPRODUCT(N(Tabela17[Código]=Tabela8[[#This Row],[Papel]]),Tabela17[Fechamento])</f>
        <v>0</v>
      </c>
      <c r="S267" s="17">
        <f>SUMPRODUCT(N(Tabela176[Código]=Tabela8[[#This Row],[Papel]]),Tabela176[Fechamento])</f>
        <v>1.55</v>
      </c>
      <c r="T267" s="17">
        <f>SUMPRODUCT(N(Tabela1768[Código]=Tabela8[[#This Row],[Papel]]),Tabela1768[Fechamento])</f>
        <v>0</v>
      </c>
      <c r="U267" s="7">
        <f>SUMPRODUCT(N(Tabela17683[Código]=Tabela8[[#This Row],[Papel]]),Tabela17683[Fechamento])</f>
        <v>0</v>
      </c>
      <c r="V267" s="17">
        <f>IF(MAX(Tabela8[[#This Row],[Cotação 1]]:Tabela8[[#This Row],[Cotação 5]])=0,"",MAX(Tabela8[[#This Row],[Cotação 1]]:Tabela8[[#This Row],[Cotação 5]]))</f>
        <v>1.55</v>
      </c>
      <c r="W2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7" s="17">
        <f>IF(AND([Ref]=5,[Cotação]&gt;0,[Cotação]&lt;&gt;""),[Total Exercício]/[Cotação],IF([Ref]&lt;4,0,""))</f>
        <v>0</v>
      </c>
      <c r="Y267" s="17">
        <f>IF([Tipo]="div",1,0)</f>
        <v>0</v>
      </c>
      <c r="Z267" s="17">
        <f>IF([Tipo]="jcp",1,0)</f>
        <v>0</v>
      </c>
    </row>
    <row r="268" spans="1:26" hidden="1">
      <c r="A268" s="4" t="s">
        <v>14</v>
      </c>
      <c r="B268" s="57" t="s">
        <v>531</v>
      </c>
      <c r="C268" s="15">
        <v>4</v>
      </c>
      <c r="D268" s="4"/>
      <c r="E268" s="4"/>
      <c r="F268" s="4"/>
      <c r="G268" s="4"/>
      <c r="H268" s="4"/>
      <c r="I268" s="4"/>
      <c r="J268" s="17">
        <f>IF(Tabela8[[#This Row],[Tipo]]="jcp",Tabela8[[#This Row],[Provento p/Ação]]*85%,Tabela8[[#This Row],[Provento p/Ação]])</f>
        <v>0</v>
      </c>
      <c r="K268" s="143" t="str">
        <f>IF([Lucro p/Ação]&lt;&gt;0,SUMPRODUCT(N([Papel]=Tabela8[[#This Row],[Papel]]),N([Exercício]=Tabela8[[#This Row],[Exercício]]),[Líquido p/Ação]),"")</f>
        <v/>
      </c>
      <c r="L268" s="42" t="str">
        <f>IF(Tabela8[[#This Row],[Lucro p/Ação]]="","",IF(Tabela8[[#This Row],[Lucro p/Ação]]&gt;0,Tabela8[[#This Row],[Total Exercício]]/Tabela8[[#This Row],[Lucro p/Ação]],0))</f>
        <v/>
      </c>
      <c r="M2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8" s="14" t="str">
        <f>IF(Tabela8[[#This Row],[Média Lucro p/Ação]]&lt;&gt;"",Tabela8[[#This Row],[Média Pago]]/Tabela8[[#This Row],[Média Lucro p/Ação]],"")</f>
        <v/>
      </c>
      <c r="P2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8" s="17">
        <f>SUMPRODUCT(N(Tabela1[Código]=Tabela8[[#This Row],[Papel]]),Tabela1[Fechamento])</f>
        <v>0</v>
      </c>
      <c r="R268" s="17">
        <f>SUMPRODUCT(N(Tabela17[Código]=Tabela8[[#This Row],[Papel]]),Tabela17[Fechamento])</f>
        <v>0</v>
      </c>
      <c r="S268" s="17">
        <f>SUMPRODUCT(N(Tabela176[Código]=Tabela8[[#This Row],[Papel]]),Tabela176[Fechamento])</f>
        <v>6.25</v>
      </c>
      <c r="T268" s="17">
        <f>SUMPRODUCT(N(Tabela1768[Código]=Tabela8[[#This Row],[Papel]]),Tabela1768[Fechamento])</f>
        <v>0</v>
      </c>
      <c r="U268" s="7">
        <f>SUMPRODUCT(N(Tabela17683[Código]=Tabela8[[#This Row],[Papel]]),Tabela17683[Fechamento])</f>
        <v>0</v>
      </c>
      <c r="V268" s="17">
        <f>IF(MAX(Tabela8[[#This Row],[Cotação 1]]:Tabela8[[#This Row],[Cotação 5]])=0,"",MAX(Tabela8[[#This Row],[Cotação 1]]:Tabela8[[#This Row],[Cotação 5]]))</f>
        <v>6.25</v>
      </c>
      <c r="W2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8" s="17" t="str">
        <f>IF(AND([Ref]=5,[Cotação]&gt;0,[Cotação]&lt;&gt;""),[Total Exercício]/[Cotação],IF([Ref]&lt;4,0,""))</f>
        <v/>
      </c>
      <c r="Y268" s="17">
        <f>IF([Tipo]="div",1,0)</f>
        <v>0</v>
      </c>
      <c r="Z268" s="17">
        <f>IF([Tipo]="jcp",1,0)</f>
        <v>0</v>
      </c>
    </row>
    <row r="269" spans="1:26" hidden="1">
      <c r="A269" s="4" t="s">
        <v>14</v>
      </c>
      <c r="B269" s="57" t="s">
        <v>532</v>
      </c>
      <c r="C269" s="15">
        <v>4</v>
      </c>
      <c r="D269" s="4"/>
      <c r="E269" s="4"/>
      <c r="F269" s="4"/>
      <c r="G269" s="4"/>
      <c r="H269" s="4"/>
      <c r="I269" s="4"/>
      <c r="J269" s="17">
        <f>IF(Tabela8[[#This Row],[Tipo]]="jcp",Tabela8[[#This Row],[Provento p/Ação]]*85%,Tabela8[[#This Row],[Provento p/Ação]])</f>
        <v>0</v>
      </c>
      <c r="K269" s="143" t="str">
        <f>IF([Lucro p/Ação]&lt;&gt;0,SUMPRODUCT(N([Papel]=Tabela8[[#This Row],[Papel]]),N([Exercício]=Tabela8[[#This Row],[Exercício]]),[Líquido p/Ação]),"")</f>
        <v/>
      </c>
      <c r="L269" s="42" t="str">
        <f>IF(Tabela8[[#This Row],[Lucro p/Ação]]="","",IF(Tabela8[[#This Row],[Lucro p/Ação]]&gt;0,Tabela8[[#This Row],[Total Exercício]]/Tabela8[[#This Row],[Lucro p/Ação]],0))</f>
        <v/>
      </c>
      <c r="M2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69" s="14" t="str">
        <f>IF(Tabela8[[#This Row],[Média Lucro p/Ação]]&lt;&gt;"",Tabela8[[#This Row],[Média Pago]]/Tabela8[[#This Row],[Média Lucro p/Ação]],"")</f>
        <v/>
      </c>
      <c r="P2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69" s="17">
        <f>SUMPRODUCT(N(Tabela1[Código]=Tabela8[[#This Row],[Papel]]),Tabela1[Fechamento])</f>
        <v>0</v>
      </c>
      <c r="R269" s="17">
        <f>SUMPRODUCT(N(Tabela17[Código]=Tabela8[[#This Row],[Papel]]),Tabela17[Fechamento])</f>
        <v>0</v>
      </c>
      <c r="S269" s="17">
        <f>SUMPRODUCT(N(Tabela176[Código]=Tabela8[[#This Row],[Papel]]),Tabela176[Fechamento])</f>
        <v>4.3499999999999996</v>
      </c>
      <c r="T269" s="17">
        <f>SUMPRODUCT(N(Tabela1768[Código]=Tabela8[[#This Row],[Papel]]),Tabela1768[Fechamento])</f>
        <v>0</v>
      </c>
      <c r="U269" s="7">
        <f>SUMPRODUCT(N(Tabela17683[Código]=Tabela8[[#This Row],[Papel]]),Tabela17683[Fechamento])</f>
        <v>0</v>
      </c>
      <c r="V269" s="17">
        <f>IF(MAX(Tabela8[[#This Row],[Cotação 1]]:Tabela8[[#This Row],[Cotação 5]])=0,"",MAX(Tabela8[[#This Row],[Cotação 1]]:Tabela8[[#This Row],[Cotação 5]]))</f>
        <v>4.3499999999999996</v>
      </c>
      <c r="W2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69" s="17" t="str">
        <f>IF(AND([Ref]=5,[Cotação]&gt;0,[Cotação]&lt;&gt;""),[Total Exercício]/[Cotação],IF([Ref]&lt;4,0,""))</f>
        <v/>
      </c>
      <c r="Y269" s="17">
        <f>IF([Tipo]="div",1,0)</f>
        <v>0</v>
      </c>
      <c r="Z269" s="17">
        <f>IF([Tipo]="jcp",1,0)</f>
        <v>0</v>
      </c>
    </row>
    <row r="270" spans="1:26" hidden="1">
      <c r="A270" s="3" t="s">
        <v>855</v>
      </c>
      <c r="B270" s="58" t="s">
        <v>872</v>
      </c>
      <c r="C270" s="16">
        <v>3</v>
      </c>
      <c r="D270" s="4"/>
      <c r="E270" s="4"/>
      <c r="F270" s="4"/>
      <c r="G270" s="4"/>
      <c r="H270" s="4"/>
      <c r="I270" s="4"/>
      <c r="J270" s="17">
        <f>IF(Tabela8[[#This Row],[Tipo]]="jcp",Tabela8[[#This Row],[Provento p/Ação]]*85%,Tabela8[[#This Row],[Provento p/Ação]])</f>
        <v>0</v>
      </c>
      <c r="K270" s="143" t="str">
        <f>IF([Lucro p/Ação]&lt;&gt;0,SUMPRODUCT(N([Papel]=Tabela8[[#This Row],[Papel]]),N([Exercício]=Tabela8[[#This Row],[Exercício]]),[Líquido p/Ação]),"")</f>
        <v/>
      </c>
      <c r="L270" s="42" t="str">
        <f>IF(Tabela8[[#This Row],[Lucro p/Ação]]="","",IF(Tabela8[[#This Row],[Lucro p/Ação]]&gt;0,Tabela8[[#This Row],[Total Exercício]]/Tabela8[[#This Row],[Lucro p/Ação]],0))</f>
        <v/>
      </c>
      <c r="M2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0" s="14" t="str">
        <f>IF(Tabela8[[#This Row],[Média Lucro p/Ação]]&lt;&gt;"",Tabela8[[#This Row],[Média Pago]]/Tabela8[[#This Row],[Média Lucro p/Ação]],"")</f>
        <v/>
      </c>
      <c r="P2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0" s="7">
        <f>SUMPRODUCT(N(Tabela1[Código]=Tabela8[[#This Row],[Papel]]),Tabela1[Fechamento])</f>
        <v>0</v>
      </c>
      <c r="R270" s="7">
        <f>SUMPRODUCT(N(Tabela17[Código]=Tabela8[[#This Row],[Papel]]),Tabela17[Fechamento])</f>
        <v>0</v>
      </c>
      <c r="S270" s="7">
        <f>SUMPRODUCT(N(Tabela176[Código]=Tabela8[[#This Row],[Papel]]),Tabela176[Fechamento])</f>
        <v>0</v>
      </c>
      <c r="T270" s="7">
        <f>SUMPRODUCT(N(Tabela1768[Código]=Tabela8[[#This Row],[Papel]]),Tabela1768[Fechamento])</f>
        <v>5.0999999999999996</v>
      </c>
      <c r="U270" s="7">
        <f>SUMPRODUCT(N(Tabela17683[Código]=Tabela8[[#This Row],[Papel]]),Tabela17683[Fechamento])</f>
        <v>0</v>
      </c>
      <c r="V270" s="17">
        <f>IF(MAX(Tabela8[[#This Row],[Cotação 1]]:Tabela8[[#This Row],[Cotação 5]])=0,"",MAX(Tabela8[[#This Row],[Cotação 1]]:Tabela8[[#This Row],[Cotação 5]]))</f>
        <v>5.0999999999999996</v>
      </c>
      <c r="W2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0" s="17">
        <f>IF(AND([Ref]=5,[Cotação]&gt;0,[Cotação]&lt;&gt;""),[Total Exercício]/[Cotação],IF([Ref]&lt;4,0,""))</f>
        <v>0</v>
      </c>
      <c r="Y270" s="17">
        <f>IF([Tipo]="div",1,0)</f>
        <v>0</v>
      </c>
      <c r="Z270" s="17">
        <f>IF([Tipo]="jcp",1,0)</f>
        <v>0</v>
      </c>
    </row>
    <row r="271" spans="1:26" hidden="1">
      <c r="A271" s="3" t="s">
        <v>335</v>
      </c>
      <c r="B271" s="58" t="s">
        <v>344</v>
      </c>
      <c r="C271" s="16">
        <v>4</v>
      </c>
      <c r="D271" s="4"/>
      <c r="E271" s="4"/>
      <c r="F271" s="4"/>
      <c r="G271" s="4"/>
      <c r="H271" s="4"/>
      <c r="I271" s="4"/>
      <c r="J271" s="17">
        <f>IF(Tabela8[[#This Row],[Tipo]]="jcp",Tabela8[[#This Row],[Provento p/Ação]]*85%,Tabela8[[#This Row],[Provento p/Ação]])</f>
        <v>0</v>
      </c>
      <c r="K271" s="143" t="str">
        <f>IF([Lucro p/Ação]&lt;&gt;0,SUMPRODUCT(N([Papel]=Tabela8[[#This Row],[Papel]]),N([Exercício]=Tabela8[[#This Row],[Exercício]]),[Líquido p/Ação]),"")</f>
        <v/>
      </c>
      <c r="L271" s="42" t="str">
        <f>IF(Tabela8[[#This Row],[Lucro p/Ação]]="","",IF(Tabela8[[#This Row],[Lucro p/Ação]]&gt;0,Tabela8[[#This Row],[Total Exercício]]/Tabela8[[#This Row],[Lucro p/Ação]],0))</f>
        <v/>
      </c>
      <c r="M2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1" s="14" t="str">
        <f>IF(Tabela8[[#This Row],[Média Lucro p/Ação]]&lt;&gt;"",Tabela8[[#This Row],[Média Pago]]/Tabela8[[#This Row],[Média Lucro p/Ação]],"")</f>
        <v/>
      </c>
      <c r="P2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1" s="47">
        <f>SUMPRODUCT(N(Tabela1[Código]=Tabela8[[#This Row],[Papel]]),Tabela1[Fechamento])</f>
        <v>0</v>
      </c>
      <c r="R271" s="54">
        <f>SUMPRODUCT(N(Tabela17[Código]=Tabela8[[#This Row],[Papel]]),Tabela17[Fechamento])</f>
        <v>20.61</v>
      </c>
      <c r="S271" s="7">
        <f>SUMPRODUCT(N(Tabela176[Código]=Tabela8[[#This Row],[Papel]]),Tabela176[Fechamento])</f>
        <v>0</v>
      </c>
      <c r="T271" s="7">
        <f>SUMPRODUCT(N(Tabela1768[Código]=Tabela8[[#This Row],[Papel]]),Tabela1768[Fechamento])</f>
        <v>0</v>
      </c>
      <c r="U271" s="7">
        <f>SUMPRODUCT(N(Tabela17683[Código]=Tabela8[[#This Row],[Papel]]),Tabela17683[Fechamento])</f>
        <v>0</v>
      </c>
      <c r="V271" s="17">
        <f>IF(MAX(Tabela8[[#This Row],[Cotação 1]]:Tabela8[[#This Row],[Cotação 5]])=0,"",MAX(Tabela8[[#This Row],[Cotação 1]]:Tabela8[[#This Row],[Cotação 5]]))</f>
        <v>20.61</v>
      </c>
      <c r="W2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1" s="17" t="str">
        <f>IF(AND([Ref]=5,[Cotação]&gt;0,[Cotação]&lt;&gt;""),[Total Exercício]/[Cotação],IF([Ref]&lt;4,0,""))</f>
        <v/>
      </c>
      <c r="Y271" s="17">
        <f>IF([Tipo]="div",1,0)</f>
        <v>0</v>
      </c>
      <c r="Z271" s="17">
        <f>IF([Tipo]="jcp",1,0)</f>
        <v>0</v>
      </c>
    </row>
    <row r="272" spans="1:26" hidden="1">
      <c r="A272" s="3" t="s">
        <v>267</v>
      </c>
      <c r="B272" s="58" t="s">
        <v>818</v>
      </c>
      <c r="C272" s="16">
        <v>4</v>
      </c>
      <c r="D272" s="4"/>
      <c r="E272" s="4"/>
      <c r="F272" s="4"/>
      <c r="G272" s="4"/>
      <c r="H272" s="4"/>
      <c r="I272" s="4"/>
      <c r="J272" s="17">
        <f>IF(Tabela8[[#This Row],[Tipo]]="jcp",Tabela8[[#This Row],[Provento p/Ação]]*85%,Tabela8[[#This Row],[Provento p/Ação]])</f>
        <v>0</v>
      </c>
      <c r="K272" s="143" t="str">
        <f>IF([Lucro p/Ação]&lt;&gt;0,SUMPRODUCT(N([Papel]=Tabela8[[#This Row],[Papel]]),N([Exercício]=Tabela8[[#This Row],[Exercício]]),[Líquido p/Ação]),"")</f>
        <v/>
      </c>
      <c r="L272" s="42" t="str">
        <f>IF(Tabela8[[#This Row],[Lucro p/Ação]]="","",IF(Tabela8[[#This Row],[Lucro p/Ação]]&gt;0,Tabela8[[#This Row],[Total Exercício]]/Tabela8[[#This Row],[Lucro p/Ação]],0))</f>
        <v/>
      </c>
      <c r="M2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2" s="14" t="str">
        <f>IF(Tabela8[[#This Row],[Média Lucro p/Ação]]&lt;&gt;"",Tabela8[[#This Row],[Média Pago]]/Tabela8[[#This Row],[Média Lucro p/Ação]],"")</f>
        <v/>
      </c>
      <c r="P2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2" s="7">
        <f>SUMPRODUCT(N(Tabela1[Código]=Tabela8[[#This Row],[Papel]]),Tabela1[Fechamento])</f>
        <v>0</v>
      </c>
      <c r="R272" s="7">
        <f>SUMPRODUCT(N(Tabela17[Código]=Tabela8[[#This Row],[Papel]]),Tabela17[Fechamento])</f>
        <v>0</v>
      </c>
      <c r="S272" s="7">
        <f>SUMPRODUCT(N(Tabela176[Código]=Tabela8[[#This Row],[Papel]]),Tabela176[Fechamento])</f>
        <v>0</v>
      </c>
      <c r="T272" s="7">
        <f>SUMPRODUCT(N(Tabela1768[Código]=Tabela8[[#This Row],[Papel]]),Tabela1768[Fechamento])</f>
        <v>4</v>
      </c>
      <c r="U272" s="7">
        <f>SUMPRODUCT(N(Tabela17683[Código]=Tabela8[[#This Row],[Papel]]),Tabela17683[Fechamento])</f>
        <v>0</v>
      </c>
      <c r="V272" s="17">
        <f>IF(MAX(Tabela8[[#This Row],[Cotação 1]]:Tabela8[[#This Row],[Cotação 5]])=0,"",MAX(Tabela8[[#This Row],[Cotação 1]]:Tabela8[[#This Row],[Cotação 5]]))</f>
        <v>4</v>
      </c>
      <c r="W2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2" s="17" t="str">
        <f>IF(AND([Ref]=5,[Cotação]&gt;0,[Cotação]&lt;&gt;""),[Total Exercício]/[Cotação],IF([Ref]&lt;4,0,""))</f>
        <v/>
      </c>
      <c r="Y272" s="17">
        <f>IF([Tipo]="div",1,0)</f>
        <v>0</v>
      </c>
      <c r="Z272" s="17">
        <f>IF([Tipo]="jcp",1,0)</f>
        <v>0</v>
      </c>
    </row>
    <row r="273" spans="1:26" hidden="1">
      <c r="A273" s="3" t="s">
        <v>267</v>
      </c>
      <c r="B273" s="58" t="s">
        <v>819</v>
      </c>
      <c r="C273" s="16">
        <v>4</v>
      </c>
      <c r="D273" s="4"/>
      <c r="E273" s="4"/>
      <c r="F273" s="4"/>
      <c r="G273" s="4"/>
      <c r="H273" s="4"/>
      <c r="I273" s="4"/>
      <c r="J273" s="17">
        <f>IF(Tabela8[[#This Row],[Tipo]]="jcp",Tabela8[[#This Row],[Provento p/Ação]]*85%,Tabela8[[#This Row],[Provento p/Ação]])</f>
        <v>0</v>
      </c>
      <c r="K273" s="143" t="str">
        <f>IF([Lucro p/Ação]&lt;&gt;0,SUMPRODUCT(N([Papel]=Tabela8[[#This Row],[Papel]]),N([Exercício]=Tabela8[[#This Row],[Exercício]]),[Líquido p/Ação]),"")</f>
        <v/>
      </c>
      <c r="L273" s="42" t="str">
        <f>IF(Tabela8[[#This Row],[Lucro p/Ação]]="","",IF(Tabela8[[#This Row],[Lucro p/Ação]]&gt;0,Tabela8[[#This Row],[Total Exercício]]/Tabela8[[#This Row],[Lucro p/Ação]],0))</f>
        <v/>
      </c>
      <c r="M2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3" s="14" t="str">
        <f>IF(Tabela8[[#This Row],[Média Lucro p/Ação]]&lt;&gt;"",Tabela8[[#This Row],[Média Pago]]/Tabela8[[#This Row],[Média Lucro p/Ação]],"")</f>
        <v/>
      </c>
      <c r="P2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3" s="7">
        <f>SUMPRODUCT(N(Tabela1[Código]=Tabela8[[#This Row],[Papel]]),Tabela1[Fechamento])</f>
        <v>0</v>
      </c>
      <c r="R273" s="7">
        <f>SUMPRODUCT(N(Tabela17[Código]=Tabela8[[#This Row],[Papel]]),Tabela17[Fechamento])</f>
        <v>0</v>
      </c>
      <c r="S273" s="7">
        <f>SUMPRODUCT(N(Tabela176[Código]=Tabela8[[#This Row],[Papel]]),Tabela176[Fechamento])</f>
        <v>0</v>
      </c>
      <c r="T273" s="7">
        <f>SUMPRODUCT(N(Tabela1768[Código]=Tabela8[[#This Row],[Papel]]),Tabela1768[Fechamento])</f>
        <v>2.54</v>
      </c>
      <c r="U273" s="7">
        <f>SUMPRODUCT(N(Tabela17683[Código]=Tabela8[[#This Row],[Papel]]),Tabela17683[Fechamento])</f>
        <v>0</v>
      </c>
      <c r="V273" s="17">
        <f>IF(MAX(Tabela8[[#This Row],[Cotação 1]]:Tabela8[[#This Row],[Cotação 5]])=0,"",MAX(Tabela8[[#This Row],[Cotação 1]]:Tabela8[[#This Row],[Cotação 5]]))</f>
        <v>2.54</v>
      </c>
      <c r="W2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3" s="17" t="str">
        <f>IF(AND([Ref]=5,[Cotação]&gt;0,[Cotação]&lt;&gt;""),[Total Exercício]/[Cotação],IF([Ref]&lt;4,0,""))</f>
        <v/>
      </c>
      <c r="Y273" s="17">
        <f>IF([Tipo]="div",1,0)</f>
        <v>0</v>
      </c>
      <c r="Z273" s="17">
        <f>IF([Tipo]="jcp",1,0)</f>
        <v>0</v>
      </c>
    </row>
    <row r="274" spans="1:26" hidden="1">
      <c r="A274" s="3" t="s">
        <v>267</v>
      </c>
      <c r="B274" s="58" t="s">
        <v>820</v>
      </c>
      <c r="C274" s="16">
        <v>4</v>
      </c>
      <c r="D274" s="4"/>
      <c r="E274" s="4"/>
      <c r="F274" s="4"/>
      <c r="G274" s="4"/>
      <c r="H274" s="4"/>
      <c r="I274" s="4"/>
      <c r="J274" s="17">
        <f>IF(Tabela8[[#This Row],[Tipo]]="jcp",Tabela8[[#This Row],[Provento p/Ação]]*85%,Tabela8[[#This Row],[Provento p/Ação]])</f>
        <v>0</v>
      </c>
      <c r="K274" s="143" t="str">
        <f>IF([Lucro p/Ação]&lt;&gt;0,SUMPRODUCT(N([Papel]=Tabela8[[#This Row],[Papel]]),N([Exercício]=Tabela8[[#This Row],[Exercício]]),[Líquido p/Ação]),"")</f>
        <v/>
      </c>
      <c r="L274" s="42" t="str">
        <f>IF(Tabela8[[#This Row],[Lucro p/Ação]]="","",IF(Tabela8[[#This Row],[Lucro p/Ação]]&gt;0,Tabela8[[#This Row],[Total Exercício]]/Tabela8[[#This Row],[Lucro p/Ação]],0))</f>
        <v/>
      </c>
      <c r="M2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4" s="14" t="str">
        <f>IF(Tabela8[[#This Row],[Média Lucro p/Ação]]&lt;&gt;"",Tabela8[[#This Row],[Média Pago]]/Tabela8[[#This Row],[Média Lucro p/Ação]],"")</f>
        <v/>
      </c>
      <c r="P2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4" s="7">
        <f>SUMPRODUCT(N(Tabela1[Código]=Tabela8[[#This Row],[Papel]]),Tabela1[Fechamento])</f>
        <v>0</v>
      </c>
      <c r="R274" s="7">
        <f>SUMPRODUCT(N(Tabela17[Código]=Tabela8[[#This Row],[Papel]]),Tabela17[Fechamento])</f>
        <v>0</v>
      </c>
      <c r="S274" s="7">
        <f>SUMPRODUCT(N(Tabela176[Código]=Tabela8[[#This Row],[Papel]]),Tabela176[Fechamento])</f>
        <v>0</v>
      </c>
      <c r="T274" s="7">
        <f>SUMPRODUCT(N(Tabela1768[Código]=Tabela8[[#This Row],[Papel]]),Tabela1768[Fechamento])</f>
        <v>3.3</v>
      </c>
      <c r="U274" s="7">
        <f>SUMPRODUCT(N(Tabela17683[Código]=Tabela8[[#This Row],[Papel]]),Tabela17683[Fechamento])</f>
        <v>0</v>
      </c>
      <c r="V274" s="17">
        <f>IF(MAX(Tabela8[[#This Row],[Cotação 1]]:Tabela8[[#This Row],[Cotação 5]])=0,"",MAX(Tabela8[[#This Row],[Cotação 1]]:Tabela8[[#This Row],[Cotação 5]]))</f>
        <v>3.3</v>
      </c>
      <c r="W2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4" s="17" t="str">
        <f>IF(AND([Ref]=5,[Cotação]&gt;0,[Cotação]&lt;&gt;""),[Total Exercício]/[Cotação],IF([Ref]&lt;4,0,""))</f>
        <v/>
      </c>
      <c r="Y274" s="17">
        <f>IF([Tipo]="div",1,0)</f>
        <v>0</v>
      </c>
      <c r="Z274" s="17">
        <f>IF([Tipo]="jcp",1,0)</f>
        <v>0</v>
      </c>
    </row>
    <row r="275" spans="1:26" hidden="1">
      <c r="A275" s="3" t="s">
        <v>1141</v>
      </c>
      <c r="B275" s="57" t="s">
        <v>1142</v>
      </c>
      <c r="C275" s="16">
        <v>3</v>
      </c>
      <c r="D275" s="4"/>
      <c r="E275" s="4"/>
      <c r="F275" s="4"/>
      <c r="G275" s="4"/>
      <c r="H275" s="4"/>
      <c r="I275" s="4"/>
      <c r="J275" s="17">
        <f>IF(Tabela8[[#This Row],[Tipo]]="jcp",Tabela8[[#This Row],[Provento p/Ação]]*85%,Tabela8[[#This Row],[Provento p/Ação]])</f>
        <v>0</v>
      </c>
      <c r="K275" s="143" t="str">
        <f>IF([Lucro p/Ação]&lt;&gt;0,SUMPRODUCT(N([Papel]=Tabela8[[#This Row],[Papel]]),N([Exercício]=Tabela8[[#This Row],[Exercício]]),[Líquido p/Ação]),"")</f>
        <v/>
      </c>
      <c r="L275" s="42" t="str">
        <f>IF(Tabela8[[#This Row],[Lucro p/Ação]]="","",IF(Tabela8[[#This Row],[Lucro p/Ação]]&gt;0,Tabela8[[#This Row],[Total Exercício]]/Tabela8[[#This Row],[Lucro p/Ação]],0))</f>
        <v/>
      </c>
      <c r="M2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5" s="14" t="str">
        <f>IF(Tabela8[[#This Row],[Média Lucro p/Ação]]&lt;&gt;"",Tabela8[[#This Row],[Média Pago]]/Tabela8[[#This Row],[Média Lucro p/Ação]],"")</f>
        <v/>
      </c>
      <c r="P2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5" s="7">
        <f>SUMPRODUCT(N(Tabela1[Código]=Tabela8[[#This Row],[Papel]]),Tabela1[Fechamento])</f>
        <v>0</v>
      </c>
      <c r="R275" s="7">
        <f>SUMPRODUCT(N(Tabela17[Código]=Tabela8[[#This Row],[Papel]]),Tabela17[Fechamento])</f>
        <v>0</v>
      </c>
      <c r="S275" s="7">
        <f>SUMPRODUCT(N(Tabela176[Código]=Tabela8[[#This Row],[Papel]]),Tabela176[Fechamento])</f>
        <v>0</v>
      </c>
      <c r="T275" s="7">
        <f>SUMPRODUCT(N(Tabela1768[Código]=Tabela8[[#This Row],[Papel]]),Tabela1768[Fechamento])</f>
        <v>0</v>
      </c>
      <c r="U275" s="7">
        <f>SUMPRODUCT(N(Tabela17683[Código]=Tabela8[[#This Row],[Papel]]),Tabela17683[Fechamento])</f>
        <v>1.07</v>
      </c>
      <c r="V275" s="17">
        <f>IF(MAX(Tabela8[[#This Row],[Cotação 1]]:Tabela8[[#This Row],[Cotação 5]])=0,"",MAX(Tabela8[[#This Row],[Cotação 1]]:Tabela8[[#This Row],[Cotação 5]]))</f>
        <v>1.07</v>
      </c>
      <c r="W2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5" s="17">
        <f>IF(AND([Ref]=5,[Cotação]&gt;0,[Cotação]&lt;&gt;""),[Total Exercício]/[Cotação],IF([Ref]&lt;4,0,""))</f>
        <v>0</v>
      </c>
      <c r="Y275" s="17">
        <f>IF([Tipo]="div",1,0)</f>
        <v>0</v>
      </c>
      <c r="Z275" s="17">
        <f>IF([Tipo]="jcp",1,0)</f>
        <v>0</v>
      </c>
    </row>
    <row r="276" spans="1:26" hidden="1">
      <c r="A276" s="3" t="s">
        <v>1141</v>
      </c>
      <c r="B276" s="57" t="s">
        <v>1143</v>
      </c>
      <c r="C276" s="16">
        <v>3</v>
      </c>
      <c r="D276" s="4"/>
      <c r="E276" s="4"/>
      <c r="F276" s="4"/>
      <c r="G276" s="4"/>
      <c r="H276" s="4"/>
      <c r="I276" s="4"/>
      <c r="J276" s="17">
        <f>IF(Tabela8[[#This Row],[Tipo]]="jcp",Tabela8[[#This Row],[Provento p/Ação]]*85%,Tabela8[[#This Row],[Provento p/Ação]])</f>
        <v>0</v>
      </c>
      <c r="K276" s="143" t="str">
        <f>IF([Lucro p/Ação]&lt;&gt;0,SUMPRODUCT(N([Papel]=Tabela8[[#This Row],[Papel]]),N([Exercício]=Tabela8[[#This Row],[Exercício]]),[Líquido p/Ação]),"")</f>
        <v/>
      </c>
      <c r="L276" s="42" t="str">
        <f>IF(Tabela8[[#This Row],[Lucro p/Ação]]="","",IF(Tabela8[[#This Row],[Lucro p/Ação]]&gt;0,Tabela8[[#This Row],[Total Exercício]]/Tabela8[[#This Row],[Lucro p/Ação]],0))</f>
        <v/>
      </c>
      <c r="M2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6" s="14" t="str">
        <f>IF(Tabela8[[#This Row],[Média Lucro p/Ação]]&lt;&gt;"",Tabela8[[#This Row],[Média Pago]]/Tabela8[[#This Row],[Média Lucro p/Ação]],"")</f>
        <v/>
      </c>
      <c r="P2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6" s="7">
        <f>SUMPRODUCT(N(Tabela1[Código]=Tabela8[[#This Row],[Papel]]),Tabela1[Fechamento])</f>
        <v>0</v>
      </c>
      <c r="R276" s="7">
        <f>SUMPRODUCT(N(Tabela17[Código]=Tabela8[[#This Row],[Papel]]),Tabela17[Fechamento])</f>
        <v>0</v>
      </c>
      <c r="S276" s="7">
        <f>SUMPRODUCT(N(Tabela176[Código]=Tabela8[[#This Row],[Papel]]),Tabela176[Fechamento])</f>
        <v>0</v>
      </c>
      <c r="T276" s="7">
        <f>SUMPRODUCT(N(Tabela1768[Código]=Tabela8[[#This Row],[Papel]]),Tabela1768[Fechamento])</f>
        <v>0</v>
      </c>
      <c r="U276" s="7">
        <f>SUMPRODUCT(N(Tabela17683[Código]=Tabela8[[#This Row],[Papel]]),Tabela17683[Fechamento])</f>
        <v>0.68</v>
      </c>
      <c r="V276" s="17">
        <f>IF(MAX(Tabela8[[#This Row],[Cotação 1]]:Tabela8[[#This Row],[Cotação 5]])=0,"",MAX(Tabela8[[#This Row],[Cotação 1]]:Tabela8[[#This Row],[Cotação 5]]))</f>
        <v>0.68</v>
      </c>
      <c r="W2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6" s="17">
        <f>IF(AND([Ref]=5,[Cotação]&gt;0,[Cotação]&lt;&gt;""),[Total Exercício]/[Cotação],IF([Ref]&lt;4,0,""))</f>
        <v>0</v>
      </c>
      <c r="Y276" s="17">
        <f>IF([Tipo]="div",1,0)</f>
        <v>0</v>
      </c>
      <c r="Z276" s="17">
        <f>IF([Tipo]="jcp",1,0)</f>
        <v>0</v>
      </c>
    </row>
    <row r="277" spans="1:26" hidden="1">
      <c r="A277" s="3" t="s">
        <v>989</v>
      </c>
      <c r="B277" s="58" t="s">
        <v>990</v>
      </c>
      <c r="C277" s="16">
        <v>4</v>
      </c>
      <c r="D277" s="4"/>
      <c r="E277" s="4"/>
      <c r="F277" s="4"/>
      <c r="G277" s="4"/>
      <c r="H277" s="4"/>
      <c r="I277" s="4"/>
      <c r="J277" s="17">
        <f>IF(Tabela8[[#This Row],[Tipo]]="jcp",Tabela8[[#This Row],[Provento p/Ação]]*85%,Tabela8[[#This Row],[Provento p/Ação]])</f>
        <v>0</v>
      </c>
      <c r="K277" s="143" t="str">
        <f>IF([Lucro p/Ação]&lt;&gt;0,SUMPRODUCT(N([Papel]=Tabela8[[#This Row],[Papel]]),N([Exercício]=Tabela8[[#This Row],[Exercício]]),[Líquido p/Ação]),"")</f>
        <v/>
      </c>
      <c r="L277" s="42" t="str">
        <f>IF(Tabela8[[#This Row],[Lucro p/Ação]]="","",IF(Tabela8[[#This Row],[Lucro p/Ação]]&gt;0,Tabela8[[#This Row],[Total Exercício]]/Tabela8[[#This Row],[Lucro p/Ação]],0))</f>
        <v/>
      </c>
      <c r="M2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7" s="14" t="str">
        <f>IF(Tabela8[[#This Row],[Média Lucro p/Ação]]&lt;&gt;"",Tabela8[[#This Row],[Média Pago]]/Tabela8[[#This Row],[Média Lucro p/Ação]],"")</f>
        <v/>
      </c>
      <c r="P2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7" s="7">
        <f>SUMPRODUCT(N(Tabela1[Código]=Tabela8[[#This Row],[Papel]]),Tabela1[Fechamento])</f>
        <v>0</v>
      </c>
      <c r="R277" s="7">
        <f>SUMPRODUCT(N(Tabela17[Código]=Tabela8[[#This Row],[Papel]]),Tabela17[Fechamento])</f>
        <v>0</v>
      </c>
      <c r="S277" s="7">
        <f>SUMPRODUCT(N(Tabela176[Código]=Tabela8[[#This Row],[Papel]]),Tabela176[Fechamento])</f>
        <v>0</v>
      </c>
      <c r="T277" s="7">
        <f>SUMPRODUCT(N(Tabela1768[Código]=Tabela8[[#This Row],[Papel]]),Tabela1768[Fechamento])</f>
        <v>16.350000000000001</v>
      </c>
      <c r="U277" s="7">
        <f>SUMPRODUCT(N(Tabela17683[Código]=Tabela8[[#This Row],[Papel]]),Tabela17683[Fechamento])</f>
        <v>0</v>
      </c>
      <c r="V277" s="17">
        <f>IF(MAX(Tabela8[[#This Row],[Cotação 1]]:Tabela8[[#This Row],[Cotação 5]])=0,"",MAX(Tabela8[[#This Row],[Cotação 1]]:Tabela8[[#This Row],[Cotação 5]]))</f>
        <v>16.350000000000001</v>
      </c>
      <c r="W2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7" s="17" t="str">
        <f>IF(AND([Ref]=5,[Cotação]&gt;0,[Cotação]&lt;&gt;""),[Total Exercício]/[Cotação],IF([Ref]&lt;4,0,""))</f>
        <v/>
      </c>
      <c r="Y277" s="17">
        <f>IF([Tipo]="div",1,0)</f>
        <v>0</v>
      </c>
      <c r="Z277" s="17">
        <f>IF([Tipo]="jcp",1,0)</f>
        <v>0</v>
      </c>
    </row>
    <row r="278" spans="1:26" hidden="1">
      <c r="A278" s="3" t="s">
        <v>1225</v>
      </c>
      <c r="B278" s="57" t="s">
        <v>1213</v>
      </c>
      <c r="C278" s="16">
        <v>3</v>
      </c>
      <c r="D278" s="4"/>
      <c r="E278" s="4"/>
      <c r="F278" s="4"/>
      <c r="G278" s="4"/>
      <c r="H278" s="4"/>
      <c r="I278" s="4"/>
      <c r="J278" s="17">
        <f>IF(Tabela8[[#This Row],[Tipo]]="jcp",Tabela8[[#This Row],[Provento p/Ação]]*85%,Tabela8[[#This Row],[Provento p/Ação]])</f>
        <v>0</v>
      </c>
      <c r="K278" s="143" t="str">
        <f>IF([Lucro p/Ação]&lt;&gt;0,SUMPRODUCT(N([Papel]=Tabela8[[#This Row],[Papel]]),N([Exercício]=Tabela8[[#This Row],[Exercício]]),[Líquido p/Ação]),"")</f>
        <v/>
      </c>
      <c r="L278" s="42" t="str">
        <f>IF(Tabela8[[#This Row],[Lucro p/Ação]]="","",IF(Tabela8[[#This Row],[Lucro p/Ação]]&gt;0,Tabela8[[#This Row],[Total Exercício]]/Tabela8[[#This Row],[Lucro p/Ação]],0))</f>
        <v/>
      </c>
      <c r="M2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8" s="14" t="str">
        <f>IF(Tabela8[[#This Row],[Média Lucro p/Ação]]&lt;&gt;"",Tabela8[[#This Row],[Média Pago]]/Tabela8[[#This Row],[Média Lucro p/Ação]],"")</f>
        <v/>
      </c>
      <c r="P2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8" s="7">
        <f>SUMPRODUCT(N(Tabela1[Código]=Tabela8[[#This Row],[Papel]]),Tabela1[Fechamento])</f>
        <v>0</v>
      </c>
      <c r="R278" s="7">
        <f>SUMPRODUCT(N(Tabela17[Código]=Tabela8[[#This Row],[Papel]]),Tabela17[Fechamento])</f>
        <v>0</v>
      </c>
      <c r="S278" s="7">
        <f>SUMPRODUCT(N(Tabela176[Código]=Tabela8[[#This Row],[Papel]]),Tabela176[Fechamento])</f>
        <v>0</v>
      </c>
      <c r="T278" s="7">
        <f>SUMPRODUCT(N(Tabela1768[Código]=Tabela8[[#This Row],[Papel]]),Tabela1768[Fechamento])</f>
        <v>0</v>
      </c>
      <c r="U278" s="7">
        <f>SUMPRODUCT(N(Tabela17683[Código]=Tabela8[[#This Row],[Papel]]),Tabela17683[Fechamento])</f>
        <v>0.8</v>
      </c>
      <c r="V278" s="17">
        <f>IF(MAX(Tabela8[[#This Row],[Cotação 1]]:Tabela8[[#This Row],[Cotação 5]])=0,"",MAX(Tabela8[[#This Row],[Cotação 1]]:Tabela8[[#This Row],[Cotação 5]]))</f>
        <v>0.8</v>
      </c>
      <c r="W2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8" s="17">
        <f>IF(AND([Ref]=5,[Cotação]&gt;0,[Cotação]&lt;&gt;""),[Total Exercício]/[Cotação],IF([Ref]&lt;4,0,""))</f>
        <v>0</v>
      </c>
      <c r="Y278" s="17">
        <f>IF([Tipo]="div",1,0)</f>
        <v>0</v>
      </c>
      <c r="Z278" s="17">
        <f>IF([Tipo]="jcp",1,0)</f>
        <v>0</v>
      </c>
    </row>
    <row r="279" spans="1:26" hidden="1">
      <c r="A279" s="3" t="s">
        <v>1225</v>
      </c>
      <c r="B279" s="57" t="s">
        <v>1214</v>
      </c>
      <c r="C279" s="16">
        <v>3</v>
      </c>
      <c r="D279" s="4"/>
      <c r="E279" s="4"/>
      <c r="F279" s="4"/>
      <c r="G279" s="4"/>
      <c r="H279" s="4"/>
      <c r="I279" s="4"/>
      <c r="J279" s="17">
        <f>IF(Tabela8[[#This Row],[Tipo]]="jcp",Tabela8[[#This Row],[Provento p/Ação]]*85%,Tabela8[[#This Row],[Provento p/Ação]])</f>
        <v>0</v>
      </c>
      <c r="K279" s="143" t="str">
        <f>IF([Lucro p/Ação]&lt;&gt;0,SUMPRODUCT(N([Papel]=Tabela8[[#This Row],[Papel]]),N([Exercício]=Tabela8[[#This Row],[Exercício]]),[Líquido p/Ação]),"")</f>
        <v/>
      </c>
      <c r="L279" s="42" t="str">
        <f>IF(Tabela8[[#This Row],[Lucro p/Ação]]="","",IF(Tabela8[[#This Row],[Lucro p/Ação]]&gt;0,Tabela8[[#This Row],[Total Exercício]]/Tabela8[[#This Row],[Lucro p/Ação]],0))</f>
        <v/>
      </c>
      <c r="M2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79" s="14" t="str">
        <f>IF(Tabela8[[#This Row],[Média Lucro p/Ação]]&lt;&gt;"",Tabela8[[#This Row],[Média Pago]]/Tabela8[[#This Row],[Média Lucro p/Ação]],"")</f>
        <v/>
      </c>
      <c r="P2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79" s="7">
        <f>SUMPRODUCT(N(Tabela1[Código]=Tabela8[[#This Row],[Papel]]),Tabela1[Fechamento])</f>
        <v>0</v>
      </c>
      <c r="R279" s="7">
        <f>SUMPRODUCT(N(Tabela17[Código]=Tabela8[[#This Row],[Papel]]),Tabela17[Fechamento])</f>
        <v>0</v>
      </c>
      <c r="S279" s="7">
        <f>SUMPRODUCT(N(Tabela176[Código]=Tabela8[[#This Row],[Papel]]),Tabela176[Fechamento])</f>
        <v>0</v>
      </c>
      <c r="T279" s="7">
        <f>SUMPRODUCT(N(Tabela1768[Código]=Tabela8[[#This Row],[Papel]]),Tabela1768[Fechamento])</f>
        <v>0</v>
      </c>
      <c r="U279" s="7">
        <f>SUMPRODUCT(N(Tabela17683[Código]=Tabela8[[#This Row],[Papel]]),Tabela17683[Fechamento])</f>
        <v>0.68</v>
      </c>
      <c r="V279" s="17">
        <f>IF(MAX(Tabela8[[#This Row],[Cotação 1]]:Tabela8[[#This Row],[Cotação 5]])=0,"",MAX(Tabela8[[#This Row],[Cotação 1]]:Tabela8[[#This Row],[Cotação 5]]))</f>
        <v>0.68</v>
      </c>
      <c r="W2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79" s="17">
        <f>IF(AND([Ref]=5,[Cotação]&gt;0,[Cotação]&lt;&gt;""),[Total Exercício]/[Cotação],IF([Ref]&lt;4,0,""))</f>
        <v>0</v>
      </c>
      <c r="Y279" s="17">
        <f>IF([Tipo]="div",1,0)</f>
        <v>0</v>
      </c>
      <c r="Z279" s="17">
        <f>IF([Tipo]="jcp",1,0)</f>
        <v>0</v>
      </c>
    </row>
    <row r="280" spans="1:26" hidden="1">
      <c r="A280" s="4" t="s">
        <v>277</v>
      </c>
      <c r="B280" s="57" t="s">
        <v>513</v>
      </c>
      <c r="C280" s="15">
        <v>3</v>
      </c>
      <c r="D280" s="4"/>
      <c r="E280" s="4"/>
      <c r="F280" s="4"/>
      <c r="G280" s="4"/>
      <c r="H280" s="4"/>
      <c r="I280" s="4"/>
      <c r="J280" s="17">
        <f>IF(Tabela8[[#This Row],[Tipo]]="jcp",Tabela8[[#This Row],[Provento p/Ação]]*85%,Tabela8[[#This Row],[Provento p/Ação]])</f>
        <v>0</v>
      </c>
      <c r="K280" s="143" t="str">
        <f>IF([Lucro p/Ação]&lt;&gt;0,SUMPRODUCT(N([Papel]=Tabela8[[#This Row],[Papel]]),N([Exercício]=Tabela8[[#This Row],[Exercício]]),[Líquido p/Ação]),"")</f>
        <v/>
      </c>
      <c r="L280" s="42" t="str">
        <f>IF(Tabela8[[#This Row],[Lucro p/Ação]]="","",IF(Tabela8[[#This Row],[Lucro p/Ação]]&gt;0,Tabela8[[#This Row],[Total Exercício]]/Tabela8[[#This Row],[Lucro p/Ação]],0))</f>
        <v/>
      </c>
      <c r="M2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0" s="14" t="str">
        <f>IF(Tabela8[[#This Row],[Média Lucro p/Ação]]&lt;&gt;"",Tabela8[[#This Row],[Média Pago]]/Tabela8[[#This Row],[Média Lucro p/Ação]],"")</f>
        <v/>
      </c>
      <c r="P2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0" s="17">
        <f>SUMPRODUCT(N(Tabela1[Código]=Tabela8[[#This Row],[Papel]]),Tabela1[Fechamento])</f>
        <v>0</v>
      </c>
      <c r="R280" s="17">
        <f>SUMPRODUCT(N(Tabela17[Código]=Tabela8[[#This Row],[Papel]]),Tabela17[Fechamento])</f>
        <v>0.14000000000000001</v>
      </c>
      <c r="S280" s="7">
        <f>SUMPRODUCT(N(Tabela176[Código]=Tabela8[[#This Row],[Papel]]),Tabela176[Fechamento])</f>
        <v>0</v>
      </c>
      <c r="T280" s="7">
        <f>SUMPRODUCT(N(Tabela1768[Código]=Tabela8[[#This Row],[Papel]]),Tabela1768[Fechamento])</f>
        <v>0</v>
      </c>
      <c r="U280" s="7">
        <f>SUMPRODUCT(N(Tabela17683[Código]=Tabela8[[#This Row],[Papel]]),Tabela17683[Fechamento])</f>
        <v>0</v>
      </c>
      <c r="V280" s="17">
        <f>IF(MAX(Tabela8[[#This Row],[Cotação 1]]:Tabela8[[#This Row],[Cotação 5]])=0,"",MAX(Tabela8[[#This Row],[Cotação 1]]:Tabela8[[#This Row],[Cotação 5]]))</f>
        <v>0.14000000000000001</v>
      </c>
      <c r="W2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0" s="17">
        <f>IF(AND([Ref]=5,[Cotação]&gt;0,[Cotação]&lt;&gt;""),[Total Exercício]/[Cotação],IF([Ref]&lt;4,0,""))</f>
        <v>0</v>
      </c>
      <c r="Y280" s="17">
        <f>IF([Tipo]="div",1,0)</f>
        <v>0</v>
      </c>
      <c r="Z280" s="17">
        <f>IF([Tipo]="jcp",1,0)</f>
        <v>0</v>
      </c>
    </row>
    <row r="281" spans="1:26" hidden="1">
      <c r="A281" s="4" t="s">
        <v>570</v>
      </c>
      <c r="B281" s="57" t="s">
        <v>572</v>
      </c>
      <c r="C281" s="15">
        <v>4</v>
      </c>
      <c r="D281" s="4"/>
      <c r="E281" s="4"/>
      <c r="F281" s="4"/>
      <c r="G281" s="4"/>
      <c r="H281" s="4"/>
      <c r="I281" s="4"/>
      <c r="J281" s="17">
        <f>IF(Tabela8[[#This Row],[Tipo]]="jcp",Tabela8[[#This Row],[Provento p/Ação]]*85%,Tabela8[[#This Row],[Provento p/Ação]])</f>
        <v>0</v>
      </c>
      <c r="K281" s="143" t="str">
        <f>IF([Lucro p/Ação]&lt;&gt;0,SUMPRODUCT(N([Papel]=Tabela8[[#This Row],[Papel]]),N([Exercício]=Tabela8[[#This Row],[Exercício]]),[Líquido p/Ação]),"")</f>
        <v/>
      </c>
      <c r="L281" s="42" t="str">
        <f>IF(Tabela8[[#This Row],[Lucro p/Ação]]="","",IF(Tabela8[[#This Row],[Lucro p/Ação]]&gt;0,Tabela8[[#This Row],[Total Exercício]]/Tabela8[[#This Row],[Lucro p/Ação]],0))</f>
        <v/>
      </c>
      <c r="M2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1" s="14" t="str">
        <f>IF(Tabela8[[#This Row],[Média Lucro p/Ação]]&lt;&gt;"",Tabela8[[#This Row],[Média Pago]]/Tabela8[[#This Row],[Média Lucro p/Ação]],"")</f>
        <v/>
      </c>
      <c r="P2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1" s="17">
        <f>SUMPRODUCT(N(Tabela1[Código]=Tabela8[[#This Row],[Papel]]),Tabela1[Fechamento])</f>
        <v>0</v>
      </c>
      <c r="R281" s="17">
        <f>SUMPRODUCT(N(Tabela17[Código]=Tabela8[[#This Row],[Papel]]),Tabela17[Fechamento])</f>
        <v>0</v>
      </c>
      <c r="S281" s="17">
        <f>SUMPRODUCT(N(Tabela176[Código]=Tabela8[[#This Row],[Papel]]),Tabela176[Fechamento])</f>
        <v>19</v>
      </c>
      <c r="T281" s="17">
        <f>SUMPRODUCT(N(Tabela1768[Código]=Tabela8[[#This Row],[Papel]]),Tabela1768[Fechamento])</f>
        <v>0</v>
      </c>
      <c r="U281" s="7">
        <f>SUMPRODUCT(N(Tabela17683[Código]=Tabela8[[#This Row],[Papel]]),Tabela17683[Fechamento])</f>
        <v>0</v>
      </c>
      <c r="V281" s="17">
        <f>IF(MAX(Tabela8[[#This Row],[Cotação 1]]:Tabela8[[#This Row],[Cotação 5]])=0,"",MAX(Tabela8[[#This Row],[Cotação 1]]:Tabela8[[#This Row],[Cotação 5]]))</f>
        <v>19</v>
      </c>
      <c r="W2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1" s="17" t="str">
        <f>IF(AND([Ref]=5,[Cotação]&gt;0,[Cotação]&lt;&gt;""),[Total Exercício]/[Cotação],IF([Ref]&lt;4,0,""))</f>
        <v/>
      </c>
      <c r="Y281" s="17">
        <f>IF([Tipo]="div",1,0)</f>
        <v>0</v>
      </c>
      <c r="Z281" s="17">
        <f>IF([Tipo]="jcp",1,0)</f>
        <v>0</v>
      </c>
    </row>
    <row r="282" spans="1:26" hidden="1">
      <c r="A282" s="4" t="s">
        <v>14</v>
      </c>
      <c r="B282" s="57" t="s">
        <v>223</v>
      </c>
      <c r="C282" s="16">
        <v>4</v>
      </c>
      <c r="D282" s="4"/>
      <c r="E282" s="4"/>
      <c r="F282" s="4"/>
      <c r="G282" s="4"/>
      <c r="H282" s="4"/>
      <c r="I282" s="4"/>
      <c r="J282" s="17">
        <f>IF(Tabela8[[#This Row],[Tipo]]="jcp",Tabela8[[#This Row],[Provento p/Ação]]*85%,Tabela8[[#This Row],[Provento p/Ação]])</f>
        <v>0</v>
      </c>
      <c r="K282" s="143" t="str">
        <f>IF([Lucro p/Ação]&lt;&gt;0,SUMPRODUCT(N([Papel]=Tabela8[[#This Row],[Papel]]),N([Exercício]=Tabela8[[#This Row],[Exercício]]),[Líquido p/Ação]),"")</f>
        <v/>
      </c>
      <c r="L282" s="42" t="str">
        <f>IF(Tabela8[[#This Row],[Lucro p/Ação]]="","",IF(Tabela8[[#This Row],[Lucro p/Ação]]&gt;0,Tabela8[[#This Row],[Total Exercício]]/Tabela8[[#This Row],[Lucro p/Ação]],0))</f>
        <v/>
      </c>
      <c r="M2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2" s="14" t="str">
        <f>IF(Tabela8[[#This Row],[Média Lucro p/Ação]]&lt;&gt;"",Tabela8[[#This Row],[Média Pago]]/Tabela8[[#This Row],[Média Lucro p/Ação]],"")</f>
        <v/>
      </c>
      <c r="P2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2" s="5">
        <f>SUMPRODUCT(N(Tabela1[Código]=Tabela8[[#This Row],[Papel]]),Tabela1[Fechamento])</f>
        <v>8.83</v>
      </c>
      <c r="R282" s="5">
        <f>SUMPRODUCT(N(Tabela17[Código]=Tabela8[[#This Row],[Papel]]),Tabela17[Fechamento])</f>
        <v>0</v>
      </c>
      <c r="S282" s="7">
        <f>SUMPRODUCT(N(Tabela176[Código]=Tabela8[[#This Row],[Papel]]),Tabela176[Fechamento])</f>
        <v>0</v>
      </c>
      <c r="T282" s="7">
        <f>SUMPRODUCT(N(Tabela1768[Código]=Tabela8[[#This Row],[Papel]]),Tabela1768[Fechamento])</f>
        <v>0</v>
      </c>
      <c r="U282" s="7">
        <f>SUMPRODUCT(N(Tabela17683[Código]=Tabela8[[#This Row],[Papel]]),Tabela17683[Fechamento])</f>
        <v>0</v>
      </c>
      <c r="V282" s="17">
        <f>IF(MAX(Tabela8[[#This Row],[Cotação 1]]:Tabela8[[#This Row],[Cotação 5]])=0,"",MAX(Tabela8[[#This Row],[Cotação 1]]:Tabela8[[#This Row],[Cotação 5]]))</f>
        <v>8.83</v>
      </c>
      <c r="W2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2" s="17" t="str">
        <f>IF(AND([Ref]=5,[Cotação]&gt;0,[Cotação]&lt;&gt;""),[Total Exercício]/[Cotação],IF([Ref]&lt;4,0,""))</f>
        <v/>
      </c>
      <c r="Y282" s="17">
        <f>IF([Tipo]="div",1,0)</f>
        <v>0</v>
      </c>
      <c r="Z282" s="17">
        <f>IF([Tipo]="jcp",1,0)</f>
        <v>0</v>
      </c>
    </row>
    <row r="283" spans="1:26" hidden="1">
      <c r="A283" s="4" t="s">
        <v>14</v>
      </c>
      <c r="B283" s="57" t="s">
        <v>16</v>
      </c>
      <c r="C283" s="15">
        <v>4</v>
      </c>
      <c r="D283" s="4"/>
      <c r="E283" s="4"/>
      <c r="F283" s="4"/>
      <c r="G283" s="4"/>
      <c r="H283" s="4"/>
      <c r="I283" s="4"/>
      <c r="J283" s="17">
        <f>IF(Tabela8[[#This Row],[Tipo]]="jcp",Tabela8[[#This Row],[Provento p/Ação]]*85%,Tabela8[[#This Row],[Provento p/Ação]])</f>
        <v>0</v>
      </c>
      <c r="K283" s="143" t="str">
        <f>IF([Lucro p/Ação]&lt;&gt;0,SUMPRODUCT(N([Papel]=Tabela8[[#This Row],[Papel]]),N([Exercício]=Tabela8[[#This Row],[Exercício]]),[Líquido p/Ação]),"")</f>
        <v/>
      </c>
      <c r="L283" s="42" t="str">
        <f>IF(Tabela8[[#This Row],[Lucro p/Ação]]="","",IF(Tabela8[[#This Row],[Lucro p/Ação]]&gt;0,Tabela8[[#This Row],[Total Exercício]]/Tabela8[[#This Row],[Lucro p/Ação]],0))</f>
        <v/>
      </c>
      <c r="M2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3" s="14" t="str">
        <f>IF(Tabela8[[#This Row],[Média Lucro p/Ação]]&lt;&gt;"",Tabela8[[#This Row],[Média Pago]]/Tabela8[[#This Row],[Média Lucro p/Ação]],"")</f>
        <v/>
      </c>
      <c r="P2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3" s="5">
        <f>SUMPRODUCT(N(Tabela1[Código]=Tabela8[[#This Row],[Papel]]),Tabela1[Fechamento])</f>
        <v>8.3000000000000007</v>
      </c>
      <c r="R283" s="5">
        <f>SUMPRODUCT(N(Tabela17[Código]=Tabela8[[#This Row],[Papel]]),Tabela17[Fechamento])</f>
        <v>0</v>
      </c>
      <c r="S283" s="7">
        <f>SUMPRODUCT(N(Tabela176[Código]=Tabela8[[#This Row],[Papel]]),Tabela176[Fechamento])</f>
        <v>0</v>
      </c>
      <c r="T283" s="7">
        <f>SUMPRODUCT(N(Tabela1768[Código]=Tabela8[[#This Row],[Papel]]),Tabela1768[Fechamento])</f>
        <v>0</v>
      </c>
      <c r="U283" s="7">
        <f>SUMPRODUCT(N(Tabela17683[Código]=Tabela8[[#This Row],[Papel]]),Tabela17683[Fechamento])</f>
        <v>0</v>
      </c>
      <c r="V283" s="17">
        <f>IF(MAX(Tabela8[[#This Row],[Cotação 1]]:Tabela8[[#This Row],[Cotação 5]])=0,"",MAX(Tabela8[[#This Row],[Cotação 1]]:Tabela8[[#This Row],[Cotação 5]]))</f>
        <v>8.3000000000000007</v>
      </c>
      <c r="W2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3" s="17" t="str">
        <f>IF(AND([Ref]=5,[Cotação]&gt;0,[Cotação]&lt;&gt;""),[Total Exercício]/[Cotação],IF([Ref]&lt;4,0,""))</f>
        <v/>
      </c>
      <c r="Y283" s="17">
        <f>IF([Tipo]="div",1,0)</f>
        <v>0</v>
      </c>
      <c r="Z283" s="17">
        <f>IF([Tipo]="jcp",1,0)</f>
        <v>0</v>
      </c>
    </row>
    <row r="284" spans="1:26" hidden="1">
      <c r="A284" s="4" t="s">
        <v>14</v>
      </c>
      <c r="B284" s="60" t="s">
        <v>221</v>
      </c>
      <c r="C284" s="15">
        <v>4</v>
      </c>
      <c r="D284" s="4"/>
      <c r="E284" s="4"/>
      <c r="F284" s="4"/>
      <c r="G284" s="4"/>
      <c r="H284" s="4"/>
      <c r="I284" s="4"/>
      <c r="J284" s="17">
        <f>IF(Tabela8[[#This Row],[Tipo]]="jcp",Tabela8[[#This Row],[Provento p/Ação]]*85%,Tabela8[[#This Row],[Provento p/Ação]])</f>
        <v>0</v>
      </c>
      <c r="K284" s="143" t="str">
        <f>IF([Lucro p/Ação]&lt;&gt;0,SUMPRODUCT(N([Papel]=Tabela8[[#This Row],[Papel]]),N([Exercício]=Tabela8[[#This Row],[Exercício]]),[Líquido p/Ação]),"")</f>
        <v/>
      </c>
      <c r="L284" s="42" t="str">
        <f>IF(Tabela8[[#This Row],[Lucro p/Ação]]="","",IF(Tabela8[[#This Row],[Lucro p/Ação]]&gt;0,Tabela8[[#This Row],[Total Exercício]]/Tabela8[[#This Row],[Lucro p/Ação]],0))</f>
        <v/>
      </c>
      <c r="M2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4" s="14" t="str">
        <f>IF(Tabela8[[#This Row],[Média Lucro p/Ação]]&lt;&gt;"",Tabela8[[#This Row],[Média Pago]]/Tabela8[[#This Row],[Média Lucro p/Ação]],"")</f>
        <v/>
      </c>
      <c r="P2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4" s="5">
        <f>SUMPRODUCT(N(Tabela1[Código]=Tabela8[[#This Row],[Papel]]),Tabela1[Fechamento])</f>
        <v>29.14</v>
      </c>
      <c r="R284" s="5">
        <f>SUMPRODUCT(N(Tabela17[Código]=Tabela8[[#This Row],[Papel]]),Tabela17[Fechamento])</f>
        <v>0</v>
      </c>
      <c r="S284" s="7">
        <f>SUMPRODUCT(N(Tabela176[Código]=Tabela8[[#This Row],[Papel]]),Tabela176[Fechamento])</f>
        <v>0</v>
      </c>
      <c r="T284" s="7">
        <f>SUMPRODUCT(N(Tabela1768[Código]=Tabela8[[#This Row],[Papel]]),Tabela1768[Fechamento])</f>
        <v>0</v>
      </c>
      <c r="U284" s="7">
        <f>SUMPRODUCT(N(Tabela17683[Código]=Tabela8[[#This Row],[Papel]]),Tabela17683[Fechamento])</f>
        <v>0</v>
      </c>
      <c r="V284" s="17">
        <f>IF(MAX(Tabela8[[#This Row],[Cotação 1]]:Tabela8[[#This Row],[Cotação 5]])=0,"",MAX(Tabela8[[#This Row],[Cotação 1]]:Tabela8[[#This Row],[Cotação 5]]))</f>
        <v>29.14</v>
      </c>
      <c r="W2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4" s="17" t="str">
        <f>IF(AND([Ref]=5,[Cotação]&gt;0,[Cotação]&lt;&gt;""),[Total Exercício]/[Cotação],IF([Ref]&lt;4,0,""))</f>
        <v/>
      </c>
      <c r="Y284" s="17">
        <f>IF([Tipo]="div",1,0)</f>
        <v>0</v>
      </c>
      <c r="Z284" s="17">
        <f>IF([Tipo]="jcp",1,0)</f>
        <v>0</v>
      </c>
    </row>
    <row r="285" spans="1:26" hidden="1">
      <c r="A285" s="4" t="s">
        <v>14</v>
      </c>
      <c r="B285" s="60" t="s">
        <v>80</v>
      </c>
      <c r="C285" s="15">
        <v>4</v>
      </c>
      <c r="D285" s="4"/>
      <c r="E285" s="4"/>
      <c r="F285" s="4"/>
      <c r="G285" s="4"/>
      <c r="H285" s="4"/>
      <c r="I285" s="4"/>
      <c r="J285" s="17">
        <f>IF(Tabela8[[#This Row],[Tipo]]="jcp",Tabela8[[#This Row],[Provento p/Ação]]*85%,Tabela8[[#This Row],[Provento p/Ação]])</f>
        <v>0</v>
      </c>
      <c r="K285" s="143" t="str">
        <f>IF([Lucro p/Ação]&lt;&gt;0,SUMPRODUCT(N([Papel]=Tabela8[[#This Row],[Papel]]),N([Exercício]=Tabela8[[#This Row],[Exercício]]),[Líquido p/Ação]),"")</f>
        <v/>
      </c>
      <c r="L285" s="42" t="str">
        <f>IF(Tabela8[[#This Row],[Lucro p/Ação]]="","",IF(Tabela8[[#This Row],[Lucro p/Ação]]&gt;0,Tabela8[[#This Row],[Total Exercício]]/Tabela8[[#This Row],[Lucro p/Ação]],0))</f>
        <v/>
      </c>
      <c r="M2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5" s="14" t="str">
        <f>IF(Tabela8[[#This Row],[Média Lucro p/Ação]]&lt;&gt;"",Tabela8[[#This Row],[Média Pago]]/Tabela8[[#This Row],[Média Lucro p/Ação]],"")</f>
        <v/>
      </c>
      <c r="P2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5" s="5">
        <f>SUMPRODUCT(N(Tabela1[Código]=Tabela8[[#This Row],[Papel]]),Tabela1[Fechamento])</f>
        <v>30.67</v>
      </c>
      <c r="R285" s="5">
        <f>SUMPRODUCT(N(Tabela17[Código]=Tabela8[[#This Row],[Papel]]),Tabela17[Fechamento])</f>
        <v>0</v>
      </c>
      <c r="S285" s="7">
        <f>SUMPRODUCT(N(Tabela176[Código]=Tabela8[[#This Row],[Papel]]),Tabela176[Fechamento])</f>
        <v>0</v>
      </c>
      <c r="T285" s="7">
        <f>SUMPRODUCT(N(Tabela1768[Código]=Tabela8[[#This Row],[Papel]]),Tabela1768[Fechamento])</f>
        <v>0</v>
      </c>
      <c r="U285" s="7">
        <f>SUMPRODUCT(N(Tabela17683[Código]=Tabela8[[#This Row],[Papel]]),Tabela17683[Fechamento])</f>
        <v>0</v>
      </c>
      <c r="V285" s="17">
        <f>IF(MAX(Tabela8[[#This Row],[Cotação 1]]:Tabela8[[#This Row],[Cotação 5]])=0,"",MAX(Tabela8[[#This Row],[Cotação 1]]:Tabela8[[#This Row],[Cotação 5]]))</f>
        <v>30.67</v>
      </c>
      <c r="W2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5" s="17" t="str">
        <f>IF(AND([Ref]=5,[Cotação]&gt;0,[Cotação]&lt;&gt;""),[Total Exercício]/[Cotação],IF([Ref]&lt;4,0,""))</f>
        <v/>
      </c>
      <c r="Y285" s="17">
        <f>IF([Tipo]="div",1,0)</f>
        <v>0</v>
      </c>
      <c r="Z285" s="17">
        <f>IF([Tipo]="jcp",1,0)</f>
        <v>0</v>
      </c>
    </row>
    <row r="286" spans="1:26" hidden="1">
      <c r="A286" s="4" t="s">
        <v>288</v>
      </c>
      <c r="B286" s="57" t="s">
        <v>699</v>
      </c>
      <c r="C286" s="15">
        <v>4</v>
      </c>
      <c r="D286" s="4"/>
      <c r="E286" s="4"/>
      <c r="F286" s="4"/>
      <c r="G286" s="4"/>
      <c r="H286" s="4"/>
      <c r="I286" s="4"/>
      <c r="J286" s="17">
        <f>IF(Tabela8[[#This Row],[Tipo]]="jcp",Tabela8[[#This Row],[Provento p/Ação]]*85%,Tabela8[[#This Row],[Provento p/Ação]])</f>
        <v>0</v>
      </c>
      <c r="K286" s="143" t="str">
        <f>IF([Lucro p/Ação]&lt;&gt;0,SUMPRODUCT(N([Papel]=Tabela8[[#This Row],[Papel]]),N([Exercício]=Tabela8[[#This Row],[Exercício]]),[Líquido p/Ação]),"")</f>
        <v/>
      </c>
      <c r="L286" s="42" t="str">
        <f>IF(Tabela8[[#This Row],[Lucro p/Ação]]="","",IF(Tabela8[[#This Row],[Lucro p/Ação]]&gt;0,Tabela8[[#This Row],[Total Exercício]]/Tabela8[[#This Row],[Lucro p/Ação]],0))</f>
        <v/>
      </c>
      <c r="M2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6" s="14" t="str">
        <f>IF(Tabela8[[#This Row],[Média Lucro p/Ação]]&lt;&gt;"",Tabela8[[#This Row],[Média Pago]]/Tabela8[[#This Row],[Média Lucro p/Ação]],"")</f>
        <v/>
      </c>
      <c r="P2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6" s="17">
        <f>SUMPRODUCT(N(Tabela1[Código]=Tabela8[[#This Row],[Papel]]),Tabela1[Fechamento])</f>
        <v>0</v>
      </c>
      <c r="R286" s="17">
        <f>SUMPRODUCT(N(Tabela17[Código]=Tabela8[[#This Row],[Papel]]),Tabela17[Fechamento])</f>
        <v>0</v>
      </c>
      <c r="S286" s="17">
        <f>SUMPRODUCT(N(Tabela176[Código]=Tabela8[[#This Row],[Papel]]),Tabela176[Fechamento])</f>
        <v>0.26</v>
      </c>
      <c r="T286" s="17">
        <f>SUMPRODUCT(N(Tabela1768[Código]=Tabela8[[#This Row],[Papel]]),Tabela1768[Fechamento])</f>
        <v>0</v>
      </c>
      <c r="U286" s="7">
        <f>SUMPRODUCT(N(Tabela17683[Código]=Tabela8[[#This Row],[Papel]]),Tabela17683[Fechamento])</f>
        <v>0</v>
      </c>
      <c r="V286" s="17">
        <f>IF(MAX(Tabela8[[#This Row],[Cotação 1]]:Tabela8[[#This Row],[Cotação 5]])=0,"",MAX(Tabela8[[#This Row],[Cotação 1]]:Tabela8[[#This Row],[Cotação 5]]))</f>
        <v>0.26</v>
      </c>
      <c r="W2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6" s="17" t="str">
        <f>IF(AND([Ref]=5,[Cotação]&gt;0,[Cotação]&lt;&gt;""),[Total Exercício]/[Cotação],IF([Ref]&lt;4,0,""))</f>
        <v/>
      </c>
      <c r="Y286" s="17">
        <f>IF([Tipo]="div",1,0)</f>
        <v>0</v>
      </c>
      <c r="Z286" s="17">
        <f>IF([Tipo]="jcp",1,0)</f>
        <v>0</v>
      </c>
    </row>
    <row r="287" spans="1:26" hidden="1">
      <c r="A287" s="4" t="s">
        <v>288</v>
      </c>
      <c r="B287" s="57" t="s">
        <v>700</v>
      </c>
      <c r="C287" s="15">
        <v>4</v>
      </c>
      <c r="D287" s="4"/>
      <c r="E287" s="4"/>
      <c r="F287" s="4"/>
      <c r="G287" s="4"/>
      <c r="H287" s="4"/>
      <c r="I287" s="4"/>
      <c r="J287" s="17">
        <f>IF(Tabela8[[#This Row],[Tipo]]="jcp",Tabela8[[#This Row],[Provento p/Ação]]*85%,Tabela8[[#This Row],[Provento p/Ação]])</f>
        <v>0</v>
      </c>
      <c r="K287" s="143" t="str">
        <f>IF([Lucro p/Ação]&lt;&gt;0,SUMPRODUCT(N([Papel]=Tabela8[[#This Row],[Papel]]),N([Exercício]=Tabela8[[#This Row],[Exercício]]),[Líquido p/Ação]),"")</f>
        <v/>
      </c>
      <c r="L287" s="42" t="str">
        <f>IF(Tabela8[[#This Row],[Lucro p/Ação]]="","",IF(Tabela8[[#This Row],[Lucro p/Ação]]&gt;0,Tabela8[[#This Row],[Total Exercício]]/Tabela8[[#This Row],[Lucro p/Ação]],0))</f>
        <v/>
      </c>
      <c r="M2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7" s="14" t="str">
        <f>IF(Tabela8[[#This Row],[Média Lucro p/Ação]]&lt;&gt;"",Tabela8[[#This Row],[Média Pago]]/Tabela8[[#This Row],[Média Lucro p/Ação]],"")</f>
        <v/>
      </c>
      <c r="P2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7" s="17">
        <f>SUMPRODUCT(N(Tabela1[Código]=Tabela8[[#This Row],[Papel]]),Tabela1[Fechamento])</f>
        <v>0</v>
      </c>
      <c r="R287" s="17">
        <f>SUMPRODUCT(N(Tabela17[Código]=Tabela8[[#This Row],[Papel]]),Tabela17[Fechamento])</f>
        <v>0</v>
      </c>
      <c r="S287" s="17">
        <f>SUMPRODUCT(N(Tabela176[Código]=Tabela8[[#This Row],[Papel]]),Tabela176[Fechamento])</f>
        <v>0.13</v>
      </c>
      <c r="T287" s="17">
        <f>SUMPRODUCT(N(Tabela1768[Código]=Tabela8[[#This Row],[Papel]]),Tabela1768[Fechamento])</f>
        <v>0</v>
      </c>
      <c r="U287" s="7">
        <f>SUMPRODUCT(N(Tabela17683[Código]=Tabela8[[#This Row],[Papel]]),Tabela17683[Fechamento])</f>
        <v>0</v>
      </c>
      <c r="V287" s="17">
        <f>IF(MAX(Tabela8[[#This Row],[Cotação 1]]:Tabela8[[#This Row],[Cotação 5]])=0,"",MAX(Tabela8[[#This Row],[Cotação 1]]:Tabela8[[#This Row],[Cotação 5]]))</f>
        <v>0.13</v>
      </c>
      <c r="W2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7" s="17" t="str">
        <f>IF(AND([Ref]=5,[Cotação]&gt;0,[Cotação]&lt;&gt;""),[Total Exercício]/[Cotação],IF([Ref]&lt;4,0,""))</f>
        <v/>
      </c>
      <c r="Y287" s="17">
        <f>IF([Tipo]="div",1,0)</f>
        <v>0</v>
      </c>
      <c r="Z287" s="17">
        <f>IF([Tipo]="jcp",1,0)</f>
        <v>0</v>
      </c>
    </row>
    <row r="288" spans="1:26" hidden="1">
      <c r="A288" s="3" t="s">
        <v>269</v>
      </c>
      <c r="B288" s="58" t="s">
        <v>271</v>
      </c>
      <c r="C288" s="16">
        <v>3</v>
      </c>
      <c r="D288" s="4"/>
      <c r="E288" s="4"/>
      <c r="F288" s="4"/>
      <c r="G288" s="4"/>
      <c r="H288" s="4"/>
      <c r="I288" s="4"/>
      <c r="J288" s="17">
        <f>IF(Tabela8[[#This Row],[Tipo]]="jcp",Tabela8[[#This Row],[Provento p/Ação]]*85%,Tabela8[[#This Row],[Provento p/Ação]])</f>
        <v>0</v>
      </c>
      <c r="K288" s="143" t="str">
        <f>IF([Lucro p/Ação]&lt;&gt;0,SUMPRODUCT(N([Papel]=Tabela8[[#This Row],[Papel]]),N([Exercício]=Tabela8[[#This Row],[Exercício]]),[Líquido p/Ação]),"")</f>
        <v/>
      </c>
      <c r="L288" s="42" t="str">
        <f>IF(Tabela8[[#This Row],[Lucro p/Ação]]="","",IF(Tabela8[[#This Row],[Lucro p/Ação]]&gt;0,Tabela8[[#This Row],[Total Exercício]]/Tabela8[[#This Row],[Lucro p/Ação]],0))</f>
        <v/>
      </c>
      <c r="M2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8" s="14" t="str">
        <f>IF(Tabela8[[#This Row],[Média Lucro p/Ação]]&lt;&gt;"",Tabela8[[#This Row],[Média Pago]]/Tabela8[[#This Row],[Média Lucro p/Ação]],"")</f>
        <v/>
      </c>
      <c r="P2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8" s="47">
        <f>SUMPRODUCT(N(Tabela1[Código]=Tabela8[[#This Row],[Papel]]),Tabela1[Fechamento])</f>
        <v>0</v>
      </c>
      <c r="R288" s="54">
        <f>SUMPRODUCT(N(Tabela17[Código]=Tabela8[[#This Row],[Papel]]),Tabela17[Fechamento])</f>
        <v>7.39</v>
      </c>
      <c r="S288" s="7">
        <f>SUMPRODUCT(N(Tabela176[Código]=Tabela8[[#This Row],[Papel]]),Tabela176[Fechamento])</f>
        <v>0</v>
      </c>
      <c r="T288" s="7">
        <f>SUMPRODUCT(N(Tabela1768[Código]=Tabela8[[#This Row],[Papel]]),Tabela1768[Fechamento])</f>
        <v>0</v>
      </c>
      <c r="U288" s="7">
        <f>SUMPRODUCT(N(Tabela17683[Código]=Tabela8[[#This Row],[Papel]]),Tabela17683[Fechamento])</f>
        <v>0</v>
      </c>
      <c r="V288" s="17">
        <f>IF(MAX(Tabela8[[#This Row],[Cotação 1]]:Tabela8[[#This Row],[Cotação 5]])=0,"",MAX(Tabela8[[#This Row],[Cotação 1]]:Tabela8[[#This Row],[Cotação 5]]))</f>
        <v>7.39</v>
      </c>
      <c r="W2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8" s="17">
        <f>IF(AND([Ref]=5,[Cotação]&gt;0,[Cotação]&lt;&gt;""),[Total Exercício]/[Cotação],IF([Ref]&lt;4,0,""))</f>
        <v>0</v>
      </c>
      <c r="Y288" s="17">
        <f>IF([Tipo]="div",1,0)</f>
        <v>0</v>
      </c>
      <c r="Z288" s="17">
        <f>IF([Tipo]="jcp",1,0)</f>
        <v>0</v>
      </c>
    </row>
    <row r="289" spans="1:26" hidden="1">
      <c r="A289" s="3" t="s">
        <v>1019</v>
      </c>
      <c r="B289" s="58" t="s">
        <v>1044</v>
      </c>
      <c r="C289" s="16">
        <v>3</v>
      </c>
      <c r="D289" s="4"/>
      <c r="E289" s="4"/>
      <c r="F289" s="4"/>
      <c r="G289" s="4"/>
      <c r="H289" s="4"/>
      <c r="I289" s="4"/>
      <c r="J289" s="17">
        <f>IF(Tabela8[[#This Row],[Tipo]]="jcp",Tabela8[[#This Row],[Provento p/Ação]]*85%,Tabela8[[#This Row],[Provento p/Ação]])</f>
        <v>0</v>
      </c>
      <c r="K289" s="143" t="str">
        <f>IF([Lucro p/Ação]&lt;&gt;0,SUMPRODUCT(N([Papel]=Tabela8[[#This Row],[Papel]]),N([Exercício]=Tabela8[[#This Row],[Exercício]]),[Líquido p/Ação]),"")</f>
        <v/>
      </c>
      <c r="L289" s="42" t="str">
        <f>IF(Tabela8[[#This Row],[Lucro p/Ação]]="","",IF(Tabela8[[#This Row],[Lucro p/Ação]]&gt;0,Tabela8[[#This Row],[Total Exercício]]/Tabela8[[#This Row],[Lucro p/Ação]],0))</f>
        <v/>
      </c>
      <c r="M2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89" s="14" t="str">
        <f>IF(Tabela8[[#This Row],[Média Lucro p/Ação]]&lt;&gt;"",Tabela8[[#This Row],[Média Pago]]/Tabela8[[#This Row],[Média Lucro p/Ação]],"")</f>
        <v/>
      </c>
      <c r="P2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89" s="7">
        <f>SUMPRODUCT(N(Tabela1[Código]=Tabela8[[#This Row],[Papel]]),Tabela1[Fechamento])</f>
        <v>0</v>
      </c>
      <c r="R289" s="7">
        <f>SUMPRODUCT(N(Tabela17[Código]=Tabela8[[#This Row],[Papel]]),Tabela17[Fechamento])</f>
        <v>0</v>
      </c>
      <c r="S289" s="7">
        <f>SUMPRODUCT(N(Tabela176[Código]=Tabela8[[#This Row],[Papel]]),Tabela176[Fechamento])</f>
        <v>0</v>
      </c>
      <c r="T289" s="7">
        <f>SUMPRODUCT(N(Tabela1768[Código]=Tabela8[[#This Row],[Papel]]),Tabela1768[Fechamento])</f>
        <v>5.29</v>
      </c>
      <c r="U289" s="7">
        <f>SUMPRODUCT(N(Tabela17683[Código]=Tabela8[[#This Row],[Papel]]),Tabela17683[Fechamento])</f>
        <v>0</v>
      </c>
      <c r="V289" s="17">
        <f>IF(MAX(Tabela8[[#This Row],[Cotação 1]]:Tabela8[[#This Row],[Cotação 5]])=0,"",MAX(Tabela8[[#This Row],[Cotação 1]]:Tabela8[[#This Row],[Cotação 5]]))</f>
        <v>5.29</v>
      </c>
      <c r="W2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89" s="17">
        <f>IF(AND([Ref]=5,[Cotação]&gt;0,[Cotação]&lt;&gt;""),[Total Exercício]/[Cotação],IF([Ref]&lt;4,0,""))</f>
        <v>0</v>
      </c>
      <c r="Y289" s="17">
        <f>IF([Tipo]="div",1,0)</f>
        <v>0</v>
      </c>
      <c r="Z289" s="17">
        <f>IF([Tipo]="jcp",1,0)</f>
        <v>0</v>
      </c>
    </row>
    <row r="290" spans="1:26" hidden="1">
      <c r="A290" s="3" t="s">
        <v>1019</v>
      </c>
      <c r="B290" s="58" t="s">
        <v>1035</v>
      </c>
      <c r="C290" s="16">
        <v>3</v>
      </c>
      <c r="D290" s="4"/>
      <c r="E290" s="4"/>
      <c r="F290" s="4"/>
      <c r="G290" s="4"/>
      <c r="H290" s="4"/>
      <c r="I290" s="4"/>
      <c r="J290" s="17">
        <f>IF(Tabela8[[#This Row],[Tipo]]="jcp",Tabela8[[#This Row],[Provento p/Ação]]*85%,Tabela8[[#This Row],[Provento p/Ação]])</f>
        <v>0</v>
      </c>
      <c r="K290" s="143" t="str">
        <f>IF([Lucro p/Ação]&lt;&gt;0,SUMPRODUCT(N([Papel]=Tabela8[[#This Row],[Papel]]),N([Exercício]=Tabela8[[#This Row],[Exercício]]),[Líquido p/Ação]),"")</f>
        <v/>
      </c>
      <c r="L290" s="42" t="str">
        <f>IF(Tabela8[[#This Row],[Lucro p/Ação]]="","",IF(Tabela8[[#This Row],[Lucro p/Ação]]&gt;0,Tabela8[[#This Row],[Total Exercício]]/Tabela8[[#This Row],[Lucro p/Ação]],0))</f>
        <v/>
      </c>
      <c r="M2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0" s="14" t="str">
        <f>IF(Tabela8[[#This Row],[Média Lucro p/Ação]]&lt;&gt;"",Tabela8[[#This Row],[Média Pago]]/Tabela8[[#This Row],[Média Lucro p/Ação]],"")</f>
        <v/>
      </c>
      <c r="P2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0" s="7">
        <f>SUMPRODUCT(N(Tabela1[Código]=Tabela8[[#This Row],[Papel]]),Tabela1[Fechamento])</f>
        <v>0</v>
      </c>
      <c r="R290" s="7">
        <f>SUMPRODUCT(N(Tabela17[Código]=Tabela8[[#This Row],[Papel]]),Tabela17[Fechamento])</f>
        <v>0</v>
      </c>
      <c r="S290" s="7">
        <f>SUMPRODUCT(N(Tabela176[Código]=Tabela8[[#This Row],[Papel]]),Tabela176[Fechamento])</f>
        <v>0</v>
      </c>
      <c r="T290" s="7">
        <f>SUMPRODUCT(N(Tabela1768[Código]=Tabela8[[#This Row],[Papel]]),Tabela1768[Fechamento])</f>
        <v>4.01</v>
      </c>
      <c r="U290" s="7">
        <f>SUMPRODUCT(N(Tabela17683[Código]=Tabela8[[#This Row],[Papel]]),Tabela17683[Fechamento])</f>
        <v>0</v>
      </c>
      <c r="V290" s="17">
        <f>IF(MAX(Tabela8[[#This Row],[Cotação 1]]:Tabela8[[#This Row],[Cotação 5]])=0,"",MAX(Tabela8[[#This Row],[Cotação 1]]:Tabela8[[#This Row],[Cotação 5]]))</f>
        <v>4.01</v>
      </c>
      <c r="W2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0" s="17">
        <f>IF(AND([Ref]=5,[Cotação]&gt;0,[Cotação]&lt;&gt;""),[Total Exercício]/[Cotação],IF([Ref]&lt;4,0,""))</f>
        <v>0</v>
      </c>
      <c r="Y290" s="17">
        <f>IF([Tipo]="div",1,0)</f>
        <v>0</v>
      </c>
      <c r="Z290" s="17">
        <f>IF([Tipo]="jcp",1,0)</f>
        <v>0</v>
      </c>
    </row>
    <row r="291" spans="1:26" hidden="1">
      <c r="A291" s="4" t="s">
        <v>250</v>
      </c>
      <c r="B291" s="60" t="s">
        <v>245</v>
      </c>
      <c r="C291" s="16">
        <v>3</v>
      </c>
      <c r="D291" s="4"/>
      <c r="E291" s="4"/>
      <c r="F291" s="4"/>
      <c r="G291" s="4"/>
      <c r="H291" s="4"/>
      <c r="I291" s="4"/>
      <c r="J291" s="17">
        <f>IF(Tabela8[[#This Row],[Tipo]]="jcp",Tabela8[[#This Row],[Provento p/Ação]]*85%,Tabela8[[#This Row],[Provento p/Ação]])</f>
        <v>0</v>
      </c>
      <c r="K291" s="143" t="str">
        <f>IF([Lucro p/Ação]&lt;&gt;0,SUMPRODUCT(N([Papel]=Tabela8[[#This Row],[Papel]]),N([Exercício]=Tabela8[[#This Row],[Exercício]]),[Líquido p/Ação]),"")</f>
        <v/>
      </c>
      <c r="L291" s="42" t="str">
        <f>IF(Tabela8[[#This Row],[Lucro p/Ação]]="","",IF(Tabela8[[#This Row],[Lucro p/Ação]]&gt;0,Tabela8[[#This Row],[Total Exercício]]/Tabela8[[#This Row],[Lucro p/Ação]],0))</f>
        <v/>
      </c>
      <c r="M2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1" s="14" t="str">
        <f>IF(Tabela8[[#This Row],[Média Lucro p/Ação]]&lt;&gt;"",Tabela8[[#This Row],[Média Pago]]/Tabela8[[#This Row],[Média Lucro p/Ação]],"")</f>
        <v/>
      </c>
      <c r="P2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1" s="7">
        <f>SUMPRODUCT(N(Tabela1[Código]=Tabela8[[#This Row],[Papel]]),Tabela1[Fechamento])</f>
        <v>0</v>
      </c>
      <c r="R291" s="7">
        <f>SUMPRODUCT(N(Tabela17[Código]=Tabela8[[#This Row],[Papel]]),Tabela17[Fechamento])</f>
        <v>17.05</v>
      </c>
      <c r="S291" s="7">
        <f>SUMPRODUCT(N(Tabela176[Código]=Tabela8[[#This Row],[Papel]]),Tabela176[Fechamento])</f>
        <v>0</v>
      </c>
      <c r="T291" s="7">
        <f>SUMPRODUCT(N(Tabela1768[Código]=Tabela8[[#This Row],[Papel]]),Tabela1768[Fechamento])</f>
        <v>17.05</v>
      </c>
      <c r="U291" s="7">
        <f>SUMPRODUCT(N(Tabela17683[Código]=Tabela8[[#This Row],[Papel]]),Tabela17683[Fechamento])</f>
        <v>0</v>
      </c>
      <c r="V291" s="17">
        <f>IF(MAX(Tabela8[[#This Row],[Cotação 1]]:Tabela8[[#This Row],[Cotação 5]])=0,"",MAX(Tabela8[[#This Row],[Cotação 1]]:Tabela8[[#This Row],[Cotação 5]]))</f>
        <v>17.05</v>
      </c>
      <c r="W2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1" s="17">
        <f>IF(AND([Ref]=5,[Cotação]&gt;0,[Cotação]&lt;&gt;""),[Total Exercício]/[Cotação],IF([Ref]&lt;4,0,""))</f>
        <v>0</v>
      </c>
      <c r="Y291" s="17">
        <f>IF([Tipo]="div",1,0)</f>
        <v>0</v>
      </c>
      <c r="Z291" s="17">
        <f>IF([Tipo]="jcp",1,0)</f>
        <v>0</v>
      </c>
    </row>
    <row r="292" spans="1:26" hidden="1">
      <c r="A292" s="4" t="s">
        <v>250</v>
      </c>
      <c r="B292" s="60" t="s">
        <v>246</v>
      </c>
      <c r="C292" s="16">
        <v>3</v>
      </c>
      <c r="D292" s="4"/>
      <c r="E292" s="4"/>
      <c r="F292" s="4"/>
      <c r="G292" s="4"/>
      <c r="H292" s="4"/>
      <c r="I292" s="4"/>
      <c r="J292" s="17">
        <f>IF(Tabela8[[#This Row],[Tipo]]="jcp",Tabela8[[#This Row],[Provento p/Ação]]*85%,Tabela8[[#This Row],[Provento p/Ação]])</f>
        <v>0</v>
      </c>
      <c r="K292" s="143" t="str">
        <f>IF([Lucro p/Ação]&lt;&gt;0,SUMPRODUCT(N([Papel]=Tabela8[[#This Row],[Papel]]),N([Exercício]=Tabela8[[#This Row],[Exercício]]),[Líquido p/Ação]),"")</f>
        <v/>
      </c>
      <c r="L292" s="42" t="str">
        <f>IF(Tabela8[[#This Row],[Lucro p/Ação]]="","",IF(Tabela8[[#This Row],[Lucro p/Ação]]&gt;0,Tabela8[[#This Row],[Total Exercício]]/Tabela8[[#This Row],[Lucro p/Ação]],0))</f>
        <v/>
      </c>
      <c r="M2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2" s="14" t="str">
        <f>IF(Tabela8[[#This Row],[Média Lucro p/Ação]]&lt;&gt;"",Tabela8[[#This Row],[Média Pago]]/Tabela8[[#This Row],[Média Lucro p/Ação]],"")</f>
        <v/>
      </c>
      <c r="P2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2" s="7">
        <f>SUMPRODUCT(N(Tabela1[Código]=Tabela8[[#This Row],[Papel]]),Tabela1[Fechamento])</f>
        <v>0</v>
      </c>
      <c r="R292" s="7">
        <f>SUMPRODUCT(N(Tabela17[Código]=Tabela8[[#This Row],[Papel]]),Tabela17[Fechamento])</f>
        <v>18.05</v>
      </c>
      <c r="S292" s="7">
        <f>SUMPRODUCT(N(Tabela176[Código]=Tabela8[[#This Row],[Papel]]),Tabela176[Fechamento])</f>
        <v>0</v>
      </c>
      <c r="T292" s="7">
        <f>SUMPRODUCT(N(Tabela1768[Código]=Tabela8[[#This Row],[Papel]]),Tabela1768[Fechamento])</f>
        <v>18.05</v>
      </c>
      <c r="U292" s="7">
        <f>SUMPRODUCT(N(Tabela17683[Código]=Tabela8[[#This Row],[Papel]]),Tabela17683[Fechamento])</f>
        <v>0</v>
      </c>
      <c r="V292" s="17">
        <f>IF(MAX(Tabela8[[#This Row],[Cotação 1]]:Tabela8[[#This Row],[Cotação 5]])=0,"",MAX(Tabela8[[#This Row],[Cotação 1]]:Tabela8[[#This Row],[Cotação 5]]))</f>
        <v>18.05</v>
      </c>
      <c r="W2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2" s="17">
        <f>IF(AND([Ref]=5,[Cotação]&gt;0,[Cotação]&lt;&gt;""),[Total Exercício]/[Cotação],IF([Ref]&lt;4,0,""))</f>
        <v>0</v>
      </c>
      <c r="Y292" s="17">
        <f>IF([Tipo]="div",1,0)</f>
        <v>0</v>
      </c>
      <c r="Z292" s="17">
        <f>IF([Tipo]="jcp",1,0)</f>
        <v>0</v>
      </c>
    </row>
    <row r="293" spans="1:26" hidden="1">
      <c r="A293" s="3" t="s">
        <v>1174</v>
      </c>
      <c r="B293" s="58" t="s">
        <v>1175</v>
      </c>
      <c r="C293" s="16">
        <v>4</v>
      </c>
      <c r="D293" s="4"/>
      <c r="E293" s="4"/>
      <c r="F293" s="4"/>
      <c r="G293" s="4"/>
      <c r="H293" s="4"/>
      <c r="I293" s="4"/>
      <c r="J293" s="17">
        <f>IF(Tabela8[[#This Row],[Tipo]]="jcp",Tabela8[[#This Row],[Provento p/Ação]]*85%,Tabela8[[#This Row],[Provento p/Ação]])</f>
        <v>0</v>
      </c>
      <c r="K293" s="143" t="str">
        <f>IF([Lucro p/Ação]&lt;&gt;0,SUMPRODUCT(N([Papel]=Tabela8[[#This Row],[Papel]]),N([Exercício]=Tabela8[[#This Row],[Exercício]]),[Líquido p/Ação]),"")</f>
        <v/>
      </c>
      <c r="L293" s="42" t="str">
        <f>IF(Tabela8[[#This Row],[Lucro p/Ação]]="","",IF(Tabela8[[#This Row],[Lucro p/Ação]]&gt;0,Tabela8[[#This Row],[Total Exercício]]/Tabela8[[#This Row],[Lucro p/Ação]],0))</f>
        <v/>
      </c>
      <c r="M2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3" s="14" t="str">
        <f>IF(Tabela8[[#This Row],[Média Lucro p/Ação]]&lt;&gt;"",Tabela8[[#This Row],[Média Pago]]/Tabela8[[#This Row],[Média Lucro p/Ação]],"")</f>
        <v/>
      </c>
      <c r="P2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3" s="7">
        <f>SUMPRODUCT(N(Tabela1[Código]=Tabela8[[#This Row],[Papel]]),Tabela1[Fechamento])</f>
        <v>0</v>
      </c>
      <c r="R293" s="7">
        <f>SUMPRODUCT(N(Tabela17[Código]=Tabela8[[#This Row],[Papel]]),Tabela17[Fechamento])</f>
        <v>0</v>
      </c>
      <c r="S293" s="7">
        <f>SUMPRODUCT(N(Tabela176[Código]=Tabela8[[#This Row],[Papel]]),Tabela176[Fechamento])</f>
        <v>0</v>
      </c>
      <c r="T293" s="7">
        <f>SUMPRODUCT(N(Tabela1768[Código]=Tabela8[[#This Row],[Papel]]),Tabela1768[Fechamento])</f>
        <v>0</v>
      </c>
      <c r="U293" s="7">
        <f>SUMPRODUCT(N(Tabela17683[Código]=Tabela8[[#This Row],[Papel]]),Tabela17683[Fechamento])</f>
        <v>13.96</v>
      </c>
      <c r="V293" s="17">
        <f>IF(MAX(Tabela8[[#This Row],[Cotação 1]]:Tabela8[[#This Row],[Cotação 5]])=0,"",MAX(Tabela8[[#This Row],[Cotação 1]]:Tabela8[[#This Row],[Cotação 5]]))</f>
        <v>13.96</v>
      </c>
      <c r="W2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3" s="17" t="str">
        <f>IF(AND([Ref]=5,[Cotação]&gt;0,[Cotação]&lt;&gt;""),[Total Exercício]/[Cotação],IF([Ref]&lt;4,0,""))</f>
        <v/>
      </c>
      <c r="Y293" s="17">
        <f>IF([Tipo]="div",1,0)</f>
        <v>0</v>
      </c>
      <c r="Z293" s="17">
        <f>IF([Tipo]="jcp",1,0)</f>
        <v>0</v>
      </c>
    </row>
    <row r="294" spans="1:26" hidden="1">
      <c r="A294" s="3" t="s">
        <v>1225</v>
      </c>
      <c r="B294" s="57" t="s">
        <v>1215</v>
      </c>
      <c r="C294" s="16">
        <v>3</v>
      </c>
      <c r="D294" s="4"/>
      <c r="E294" s="4"/>
      <c r="F294" s="4"/>
      <c r="G294" s="4"/>
      <c r="H294" s="4"/>
      <c r="I294" s="4"/>
      <c r="J294" s="17">
        <f>IF(Tabela8[[#This Row],[Tipo]]="jcp",Tabela8[[#This Row],[Provento p/Ação]]*85%,Tabela8[[#This Row],[Provento p/Ação]])</f>
        <v>0</v>
      </c>
      <c r="K294" s="143" t="str">
        <f>IF([Lucro p/Ação]&lt;&gt;0,SUMPRODUCT(N([Papel]=Tabela8[[#This Row],[Papel]]),N([Exercício]=Tabela8[[#This Row],[Exercício]]),[Líquido p/Ação]),"")</f>
        <v/>
      </c>
      <c r="L294" s="42" t="str">
        <f>IF(Tabela8[[#This Row],[Lucro p/Ação]]="","",IF(Tabela8[[#This Row],[Lucro p/Ação]]&gt;0,Tabela8[[#This Row],[Total Exercício]]/Tabela8[[#This Row],[Lucro p/Ação]],0))</f>
        <v/>
      </c>
      <c r="M2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4" s="14" t="str">
        <f>IF(Tabela8[[#This Row],[Média Lucro p/Ação]]&lt;&gt;"",Tabela8[[#This Row],[Média Pago]]/Tabela8[[#This Row],[Média Lucro p/Ação]],"")</f>
        <v/>
      </c>
      <c r="P2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4" s="7">
        <f>SUMPRODUCT(N(Tabela1[Código]=Tabela8[[#This Row],[Papel]]),Tabela1[Fechamento])</f>
        <v>0</v>
      </c>
      <c r="R294" s="7">
        <f>SUMPRODUCT(N(Tabela17[Código]=Tabela8[[#This Row],[Papel]]),Tabela17[Fechamento])</f>
        <v>0</v>
      </c>
      <c r="S294" s="7">
        <f>SUMPRODUCT(N(Tabela176[Código]=Tabela8[[#This Row],[Papel]]),Tabela176[Fechamento])</f>
        <v>0</v>
      </c>
      <c r="T294" s="7">
        <f>SUMPRODUCT(N(Tabela1768[Código]=Tabela8[[#This Row],[Papel]]),Tabela1768[Fechamento])</f>
        <v>0</v>
      </c>
      <c r="U294" s="7">
        <f>SUMPRODUCT(N(Tabela17683[Código]=Tabela8[[#This Row],[Papel]]),Tabela17683[Fechamento])</f>
        <v>35.94</v>
      </c>
      <c r="V294" s="17">
        <f>IF(MAX(Tabela8[[#This Row],[Cotação 1]]:Tabela8[[#This Row],[Cotação 5]])=0,"",MAX(Tabela8[[#This Row],[Cotação 1]]:Tabela8[[#This Row],[Cotação 5]]))</f>
        <v>35.94</v>
      </c>
      <c r="W2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4" s="17">
        <f>IF(AND([Ref]=5,[Cotação]&gt;0,[Cotação]&lt;&gt;""),[Total Exercício]/[Cotação],IF([Ref]&lt;4,0,""))</f>
        <v>0</v>
      </c>
      <c r="Y294" s="17">
        <f>IF([Tipo]="div",1,0)</f>
        <v>0</v>
      </c>
      <c r="Z294" s="17">
        <f>IF([Tipo]="jcp",1,0)</f>
        <v>0</v>
      </c>
    </row>
    <row r="295" spans="1:26" hidden="1">
      <c r="A295" s="4" t="s">
        <v>19</v>
      </c>
      <c r="B295" s="58" t="s">
        <v>665</v>
      </c>
      <c r="C295" s="16">
        <v>4</v>
      </c>
      <c r="D295" s="4"/>
      <c r="E295" s="4"/>
      <c r="F295" s="4"/>
      <c r="G295" s="4"/>
      <c r="H295" s="4"/>
      <c r="I295" s="4"/>
      <c r="J295" s="17">
        <f>IF(Tabela8[[#This Row],[Tipo]]="jcp",Tabela8[[#This Row],[Provento p/Ação]]*85%,Tabela8[[#This Row],[Provento p/Ação]])</f>
        <v>0</v>
      </c>
      <c r="K295" s="143" t="str">
        <f>IF([Lucro p/Ação]&lt;&gt;0,SUMPRODUCT(N([Papel]=Tabela8[[#This Row],[Papel]]),N([Exercício]=Tabela8[[#This Row],[Exercício]]),[Líquido p/Ação]),"")</f>
        <v/>
      </c>
      <c r="L295" s="42" t="str">
        <f>IF(Tabela8[[#This Row],[Lucro p/Ação]]="","",IF(Tabela8[[#This Row],[Lucro p/Ação]]&gt;0,Tabela8[[#This Row],[Total Exercício]]/Tabela8[[#This Row],[Lucro p/Ação]],0))</f>
        <v/>
      </c>
      <c r="M2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5" s="14" t="str">
        <f>IF(Tabela8[[#This Row],[Média Lucro p/Ação]]&lt;&gt;"",Tabela8[[#This Row],[Média Pago]]/Tabela8[[#This Row],[Média Lucro p/Ação]],"")</f>
        <v/>
      </c>
      <c r="P2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5" s="47">
        <f>SUMPRODUCT(N(Tabela1[Código]=Tabela8[[#This Row],[Papel]]),Tabela1[Fechamento])</f>
        <v>0</v>
      </c>
      <c r="R295" s="54">
        <f>SUMPRODUCT(N(Tabela17[Código]=Tabela8[[#This Row],[Papel]]),Tabela17[Fechamento])</f>
        <v>0</v>
      </c>
      <c r="S295" s="7">
        <f>SUMPRODUCT(N(Tabela176[Código]=Tabela8[[#This Row],[Papel]]),Tabela176[Fechamento])</f>
        <v>56.11</v>
      </c>
      <c r="T295" s="7">
        <f>SUMPRODUCT(N(Tabela1768[Código]=Tabela8[[#This Row],[Papel]]),Tabela1768[Fechamento])</f>
        <v>0</v>
      </c>
      <c r="U295" s="7">
        <f>SUMPRODUCT(N(Tabela17683[Código]=Tabela8[[#This Row],[Papel]]),Tabela17683[Fechamento])</f>
        <v>0</v>
      </c>
      <c r="V295" s="17">
        <f>IF(MAX(Tabela8[[#This Row],[Cotação 1]]:Tabela8[[#This Row],[Cotação 5]])=0,"",MAX(Tabela8[[#This Row],[Cotação 1]]:Tabela8[[#This Row],[Cotação 5]]))</f>
        <v>56.11</v>
      </c>
      <c r="W2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5" s="17" t="str">
        <f>IF(AND([Ref]=5,[Cotação]&gt;0,[Cotação]&lt;&gt;""),[Total Exercício]/[Cotação],IF([Ref]&lt;4,0,""))</f>
        <v/>
      </c>
      <c r="Y295" s="17">
        <f>IF([Tipo]="div",1,0)</f>
        <v>0</v>
      </c>
      <c r="Z295" s="17">
        <f>IF([Tipo]="jcp",1,0)</f>
        <v>0</v>
      </c>
    </row>
    <row r="296" spans="1:26" hidden="1">
      <c r="A296" s="4" t="s">
        <v>19</v>
      </c>
      <c r="B296" s="58" t="s">
        <v>181</v>
      </c>
      <c r="C296" s="15">
        <v>4</v>
      </c>
      <c r="D296" s="4"/>
      <c r="E296" s="4"/>
      <c r="F296" s="4"/>
      <c r="G296" s="4"/>
      <c r="H296" s="4"/>
      <c r="I296" s="4"/>
      <c r="J296" s="17">
        <f>IF(Tabela8[[#This Row],[Tipo]]="jcp",Tabela8[[#This Row],[Provento p/Ação]]*85%,Tabela8[[#This Row],[Provento p/Ação]])</f>
        <v>0</v>
      </c>
      <c r="K296" s="143" t="str">
        <f>IF([Lucro p/Ação]&lt;&gt;0,SUMPRODUCT(N([Papel]=Tabela8[[#This Row],[Papel]]),N([Exercício]=Tabela8[[#This Row],[Exercício]]),[Líquido p/Ação]),"")</f>
        <v/>
      </c>
      <c r="L296" s="42" t="str">
        <f>IF(Tabela8[[#This Row],[Lucro p/Ação]]="","",IF(Tabela8[[#This Row],[Lucro p/Ação]]&gt;0,Tabela8[[#This Row],[Total Exercício]]/Tabela8[[#This Row],[Lucro p/Ação]],0))</f>
        <v/>
      </c>
      <c r="M2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6" s="14" t="str">
        <f>IF(Tabela8[[#This Row],[Média Lucro p/Ação]]&lt;&gt;"",Tabela8[[#This Row],[Média Pago]]/Tabela8[[#This Row],[Média Lucro p/Ação]],"")</f>
        <v/>
      </c>
      <c r="P2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6" s="5">
        <f>SUMPRODUCT(N(Tabela1[Código]=Tabela8[[#This Row],[Papel]]),Tabela1[Fechamento])</f>
        <v>11.31</v>
      </c>
      <c r="R296" s="5">
        <f>SUMPRODUCT(N(Tabela17[Código]=Tabela8[[#This Row],[Papel]]),Tabela17[Fechamento])</f>
        <v>0</v>
      </c>
      <c r="S296" s="7">
        <f>SUMPRODUCT(N(Tabela176[Código]=Tabela8[[#This Row],[Papel]]),Tabela176[Fechamento])</f>
        <v>0</v>
      </c>
      <c r="T296" s="7">
        <f>SUMPRODUCT(N(Tabela1768[Código]=Tabela8[[#This Row],[Papel]]),Tabela1768[Fechamento])</f>
        <v>0</v>
      </c>
      <c r="U296" s="7">
        <f>SUMPRODUCT(N(Tabela17683[Código]=Tabela8[[#This Row],[Papel]]),Tabela17683[Fechamento])</f>
        <v>0</v>
      </c>
      <c r="V296" s="17">
        <f>IF(MAX(Tabela8[[#This Row],[Cotação 1]]:Tabela8[[#This Row],[Cotação 5]])=0,"",MAX(Tabela8[[#This Row],[Cotação 1]]:Tabela8[[#This Row],[Cotação 5]]))</f>
        <v>11.31</v>
      </c>
      <c r="W2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6" s="17" t="str">
        <f>IF(AND([Ref]=5,[Cotação]&gt;0,[Cotação]&lt;&gt;""),[Total Exercício]/[Cotação],IF([Ref]&lt;4,0,""))</f>
        <v/>
      </c>
      <c r="Y296" s="17">
        <f>IF([Tipo]="div",1,0)</f>
        <v>0</v>
      </c>
      <c r="Z296" s="17">
        <f>IF([Tipo]="jcp",1,0)</f>
        <v>0</v>
      </c>
    </row>
    <row r="297" spans="1:26" hidden="1">
      <c r="A297" s="4" t="s">
        <v>19</v>
      </c>
      <c r="B297" s="58" t="s">
        <v>54</v>
      </c>
      <c r="C297" s="15">
        <v>4</v>
      </c>
      <c r="D297" s="4"/>
      <c r="E297" s="4"/>
      <c r="F297" s="4"/>
      <c r="G297" s="4"/>
      <c r="H297" s="4"/>
      <c r="I297" s="4"/>
      <c r="J297" s="17">
        <f>IF(Tabela8[[#This Row],[Tipo]]="jcp",Tabela8[[#This Row],[Provento p/Ação]]*85%,Tabela8[[#This Row],[Provento p/Ação]])</f>
        <v>0</v>
      </c>
      <c r="K297" s="143" t="str">
        <f>IF([Lucro p/Ação]&lt;&gt;0,SUMPRODUCT(N([Papel]=Tabela8[[#This Row],[Papel]]),N([Exercício]=Tabela8[[#This Row],[Exercício]]),[Líquido p/Ação]),"")</f>
        <v/>
      </c>
      <c r="L297" s="42" t="str">
        <f>IF(Tabela8[[#This Row],[Lucro p/Ação]]="","",IF(Tabela8[[#This Row],[Lucro p/Ação]]&gt;0,Tabela8[[#This Row],[Total Exercício]]/Tabela8[[#This Row],[Lucro p/Ação]],0))</f>
        <v/>
      </c>
      <c r="M2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7" s="14" t="str">
        <f>IF(Tabela8[[#This Row],[Média Lucro p/Ação]]&lt;&gt;"",Tabela8[[#This Row],[Média Pago]]/Tabela8[[#This Row],[Média Lucro p/Ação]],"")</f>
        <v/>
      </c>
      <c r="P2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7" s="5">
        <f>SUMPRODUCT(N(Tabela1[Código]=Tabela8[[#This Row],[Papel]]),Tabela1[Fechamento])</f>
        <v>11.24</v>
      </c>
      <c r="R297" s="5">
        <f>SUMPRODUCT(N(Tabela17[Código]=Tabela8[[#This Row],[Papel]]),Tabela17[Fechamento])</f>
        <v>0</v>
      </c>
      <c r="S297" s="7">
        <f>SUMPRODUCT(N(Tabela176[Código]=Tabela8[[#This Row],[Papel]]),Tabela176[Fechamento])</f>
        <v>0</v>
      </c>
      <c r="T297" s="7">
        <f>SUMPRODUCT(N(Tabela1768[Código]=Tabela8[[#This Row],[Papel]]),Tabela1768[Fechamento])</f>
        <v>0</v>
      </c>
      <c r="U297" s="7">
        <f>SUMPRODUCT(N(Tabela17683[Código]=Tabela8[[#This Row],[Papel]]),Tabela17683[Fechamento])</f>
        <v>0</v>
      </c>
      <c r="V297" s="17">
        <f>IF(MAX(Tabela8[[#This Row],[Cotação 1]]:Tabela8[[#This Row],[Cotação 5]])=0,"",MAX(Tabela8[[#This Row],[Cotação 1]]:Tabela8[[#This Row],[Cotação 5]]))</f>
        <v>11.24</v>
      </c>
      <c r="W2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7" s="17" t="str">
        <f>IF(AND([Ref]=5,[Cotação]&gt;0,[Cotação]&lt;&gt;""),[Total Exercício]/[Cotação],IF([Ref]&lt;4,0,""))</f>
        <v/>
      </c>
      <c r="Y297" s="17">
        <f>IF([Tipo]="div",1,0)</f>
        <v>0</v>
      </c>
      <c r="Z297" s="17">
        <f>IF([Tipo]="jcp",1,0)</f>
        <v>0</v>
      </c>
    </row>
    <row r="298" spans="1:26" hidden="1">
      <c r="A298" s="3" t="s">
        <v>769</v>
      </c>
      <c r="B298" s="58" t="s">
        <v>770</v>
      </c>
      <c r="C298" s="16">
        <v>4</v>
      </c>
      <c r="D298" s="4"/>
      <c r="E298" s="4"/>
      <c r="F298" s="4"/>
      <c r="G298" s="4"/>
      <c r="H298" s="4"/>
      <c r="I298" s="4"/>
      <c r="J298" s="17">
        <f>IF(Tabela8[[#This Row],[Tipo]]="jcp",Tabela8[[#This Row],[Provento p/Ação]]*85%,Tabela8[[#This Row],[Provento p/Ação]])</f>
        <v>0</v>
      </c>
      <c r="K298" s="143" t="str">
        <f>IF([Lucro p/Ação]&lt;&gt;0,SUMPRODUCT(N([Papel]=Tabela8[[#This Row],[Papel]]),N([Exercício]=Tabela8[[#This Row],[Exercício]]),[Líquido p/Ação]),"")</f>
        <v/>
      </c>
      <c r="L298" s="42" t="str">
        <f>IF(Tabela8[[#This Row],[Lucro p/Ação]]="","",IF(Tabela8[[#This Row],[Lucro p/Ação]]&gt;0,Tabela8[[#This Row],[Total Exercício]]/Tabela8[[#This Row],[Lucro p/Ação]],0))</f>
        <v/>
      </c>
      <c r="M2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8" s="14" t="str">
        <f>IF(Tabela8[[#This Row],[Média Lucro p/Ação]]&lt;&gt;"",Tabela8[[#This Row],[Média Pago]]/Tabela8[[#This Row],[Média Lucro p/Ação]],"")</f>
        <v/>
      </c>
      <c r="P2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8" s="7">
        <f>SUMPRODUCT(N(Tabela1[Código]=Tabela8[[#This Row],[Papel]]),Tabela1[Fechamento])</f>
        <v>0</v>
      </c>
      <c r="R298" s="7">
        <f>SUMPRODUCT(N(Tabela17[Código]=Tabela8[[#This Row],[Papel]]),Tabela17[Fechamento])</f>
        <v>0</v>
      </c>
      <c r="S298" s="7">
        <f>SUMPRODUCT(N(Tabela176[Código]=Tabela8[[#This Row],[Papel]]),Tabela176[Fechamento])</f>
        <v>13.27</v>
      </c>
      <c r="T298" s="7">
        <f>SUMPRODUCT(N(Tabela1768[Código]=Tabela8[[#This Row],[Papel]]),Tabela1768[Fechamento])</f>
        <v>0</v>
      </c>
      <c r="U298" s="7">
        <f>SUMPRODUCT(N(Tabela17683[Código]=Tabela8[[#This Row],[Papel]]),Tabela17683[Fechamento])</f>
        <v>0</v>
      </c>
      <c r="V298" s="17">
        <f>IF(MAX(Tabela8[[#This Row],[Cotação 1]]:Tabela8[[#This Row],[Cotação 5]])=0,"",MAX(Tabela8[[#This Row],[Cotação 1]]:Tabela8[[#This Row],[Cotação 5]]))</f>
        <v>13.27</v>
      </c>
      <c r="W2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8" s="17" t="str">
        <f>IF(AND([Ref]=5,[Cotação]&gt;0,[Cotação]&lt;&gt;""),[Total Exercício]/[Cotação],IF([Ref]&lt;4,0,""))</f>
        <v/>
      </c>
      <c r="Y298" s="17">
        <f>IF([Tipo]="div",1,0)</f>
        <v>0</v>
      </c>
      <c r="Z298" s="17">
        <f>IF([Tipo]="jcp",1,0)</f>
        <v>0</v>
      </c>
    </row>
    <row r="299" spans="1:26" hidden="1">
      <c r="A299" s="3" t="s">
        <v>769</v>
      </c>
      <c r="B299" s="58" t="s">
        <v>771</v>
      </c>
      <c r="C299" s="16">
        <v>4</v>
      </c>
      <c r="D299" s="4"/>
      <c r="E299" s="4"/>
      <c r="F299" s="4"/>
      <c r="G299" s="4"/>
      <c r="H299" s="4"/>
      <c r="I299" s="4"/>
      <c r="J299" s="17">
        <f>IF(Tabela8[[#This Row],[Tipo]]="jcp",Tabela8[[#This Row],[Provento p/Ação]]*85%,Tabela8[[#This Row],[Provento p/Ação]])</f>
        <v>0</v>
      </c>
      <c r="K299" s="143" t="str">
        <f>IF([Lucro p/Ação]&lt;&gt;0,SUMPRODUCT(N([Papel]=Tabela8[[#This Row],[Papel]]),N([Exercício]=Tabela8[[#This Row],[Exercício]]),[Líquido p/Ação]),"")</f>
        <v/>
      </c>
      <c r="L299" s="42" t="str">
        <f>IF(Tabela8[[#This Row],[Lucro p/Ação]]="","",IF(Tabela8[[#This Row],[Lucro p/Ação]]&gt;0,Tabela8[[#This Row],[Total Exercício]]/Tabela8[[#This Row],[Lucro p/Ação]],0))</f>
        <v/>
      </c>
      <c r="M2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2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299" s="14" t="str">
        <f>IF(Tabela8[[#This Row],[Média Lucro p/Ação]]&lt;&gt;"",Tabela8[[#This Row],[Média Pago]]/Tabela8[[#This Row],[Média Lucro p/Ação]],"")</f>
        <v/>
      </c>
      <c r="P2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299" s="7">
        <f>SUMPRODUCT(N(Tabela1[Código]=Tabela8[[#This Row],[Papel]]),Tabela1[Fechamento])</f>
        <v>0</v>
      </c>
      <c r="R299" s="7">
        <f>SUMPRODUCT(N(Tabela17[Código]=Tabela8[[#This Row],[Papel]]),Tabela17[Fechamento])</f>
        <v>0</v>
      </c>
      <c r="S299" s="7">
        <f>SUMPRODUCT(N(Tabela176[Código]=Tabela8[[#This Row],[Papel]]),Tabela176[Fechamento])</f>
        <v>15.35</v>
      </c>
      <c r="T299" s="7">
        <f>SUMPRODUCT(N(Tabela1768[Código]=Tabela8[[#This Row],[Papel]]),Tabela1768[Fechamento])</f>
        <v>0</v>
      </c>
      <c r="U299" s="7">
        <f>SUMPRODUCT(N(Tabela17683[Código]=Tabela8[[#This Row],[Papel]]),Tabela17683[Fechamento])</f>
        <v>0</v>
      </c>
      <c r="V299" s="17">
        <f>IF(MAX(Tabela8[[#This Row],[Cotação 1]]:Tabela8[[#This Row],[Cotação 5]])=0,"",MAX(Tabela8[[#This Row],[Cotação 1]]:Tabela8[[#This Row],[Cotação 5]]))</f>
        <v>15.35</v>
      </c>
      <c r="W2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299" s="17" t="str">
        <f>IF(AND([Ref]=5,[Cotação]&gt;0,[Cotação]&lt;&gt;""),[Total Exercício]/[Cotação],IF([Ref]&lt;4,0,""))</f>
        <v/>
      </c>
      <c r="Y299" s="17">
        <f>IF([Tipo]="div",1,0)</f>
        <v>0</v>
      </c>
      <c r="Z299" s="17">
        <f>IF([Tipo]="jcp",1,0)</f>
        <v>0</v>
      </c>
    </row>
    <row r="300" spans="1:26" hidden="1">
      <c r="A300" s="3" t="s">
        <v>304</v>
      </c>
      <c r="B300" s="58" t="s">
        <v>305</v>
      </c>
      <c r="C300" s="16">
        <v>3</v>
      </c>
      <c r="D300" s="4"/>
      <c r="E300" s="4"/>
      <c r="F300" s="4"/>
      <c r="G300" s="4"/>
      <c r="H300" s="4"/>
      <c r="I300" s="4"/>
      <c r="J300" s="17">
        <f>IF(Tabela8[[#This Row],[Tipo]]="jcp",Tabela8[[#This Row],[Provento p/Ação]]*85%,Tabela8[[#This Row],[Provento p/Ação]])</f>
        <v>0</v>
      </c>
      <c r="K300" s="143" t="str">
        <f>IF([Lucro p/Ação]&lt;&gt;0,SUMPRODUCT(N([Papel]=Tabela8[[#This Row],[Papel]]),N([Exercício]=Tabela8[[#This Row],[Exercício]]),[Líquido p/Ação]),"")</f>
        <v/>
      </c>
      <c r="L300" s="42" t="str">
        <f>IF(Tabela8[[#This Row],[Lucro p/Ação]]="","",IF(Tabela8[[#This Row],[Lucro p/Ação]]&gt;0,Tabela8[[#This Row],[Total Exercício]]/Tabela8[[#This Row],[Lucro p/Ação]],0))</f>
        <v/>
      </c>
      <c r="M3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0" s="14" t="str">
        <f>IF(Tabela8[[#This Row],[Média Lucro p/Ação]]&lt;&gt;"",Tabela8[[#This Row],[Média Pago]]/Tabela8[[#This Row],[Média Lucro p/Ação]],"")</f>
        <v/>
      </c>
      <c r="P3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0" s="47">
        <f>SUMPRODUCT(N(Tabela1[Código]=Tabela8[[#This Row],[Papel]]),Tabela1[Fechamento])</f>
        <v>0</v>
      </c>
      <c r="R300" s="54">
        <f>SUMPRODUCT(N(Tabela17[Código]=Tabela8[[#This Row],[Papel]]),Tabela17[Fechamento])</f>
        <v>3.79</v>
      </c>
      <c r="S300" s="7">
        <f>SUMPRODUCT(N(Tabela176[Código]=Tabela8[[#This Row],[Papel]]),Tabela176[Fechamento])</f>
        <v>0</v>
      </c>
      <c r="T300" s="7">
        <f>SUMPRODUCT(N(Tabela1768[Código]=Tabela8[[#This Row],[Papel]]),Tabela1768[Fechamento])</f>
        <v>0</v>
      </c>
      <c r="U300" s="7">
        <f>SUMPRODUCT(N(Tabela17683[Código]=Tabela8[[#This Row],[Papel]]),Tabela17683[Fechamento])</f>
        <v>0</v>
      </c>
      <c r="V300" s="17">
        <f>IF(MAX(Tabela8[[#This Row],[Cotação 1]]:Tabela8[[#This Row],[Cotação 5]])=0,"",MAX(Tabela8[[#This Row],[Cotação 1]]:Tabela8[[#This Row],[Cotação 5]]))</f>
        <v>3.79</v>
      </c>
      <c r="W3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0" s="17">
        <f>IF(AND([Ref]=5,[Cotação]&gt;0,[Cotação]&lt;&gt;""),[Total Exercício]/[Cotação],IF([Ref]&lt;4,0,""))</f>
        <v>0</v>
      </c>
      <c r="Y300" s="17">
        <f>IF([Tipo]="div",1,0)</f>
        <v>0</v>
      </c>
      <c r="Z300" s="17">
        <f>IF([Tipo]="jcp",1,0)</f>
        <v>0</v>
      </c>
    </row>
    <row r="301" spans="1:26" hidden="1">
      <c r="A301" s="3" t="s">
        <v>1276</v>
      </c>
      <c r="B301" s="57" t="s">
        <v>1245</v>
      </c>
      <c r="C301" s="16">
        <v>4</v>
      </c>
      <c r="D301" s="4"/>
      <c r="E301" s="4"/>
      <c r="F301" s="4"/>
      <c r="G301" s="4"/>
      <c r="H301" s="4"/>
      <c r="I301" s="4"/>
      <c r="J301" s="17">
        <f>IF(Tabela8[[#This Row],[Tipo]]="jcp",Tabela8[[#This Row],[Provento p/Ação]]*85%,Tabela8[[#This Row],[Provento p/Ação]])</f>
        <v>0</v>
      </c>
      <c r="K301" s="143" t="str">
        <f>IF([Lucro p/Ação]&lt;&gt;0,SUMPRODUCT(N([Papel]=Tabela8[[#This Row],[Papel]]),N([Exercício]=Tabela8[[#This Row],[Exercício]]),[Líquido p/Ação]),"")</f>
        <v/>
      </c>
      <c r="L301" s="42" t="str">
        <f>IF(Tabela8[[#This Row],[Lucro p/Ação]]="","",IF(Tabela8[[#This Row],[Lucro p/Ação]]&gt;0,Tabela8[[#This Row],[Total Exercício]]/Tabela8[[#This Row],[Lucro p/Ação]],0))</f>
        <v/>
      </c>
      <c r="M3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1" s="14" t="str">
        <f>IF(Tabela8[[#This Row],[Média Lucro p/Ação]]&lt;&gt;"",Tabela8[[#This Row],[Média Pago]]/Tabela8[[#This Row],[Média Lucro p/Ação]],"")</f>
        <v/>
      </c>
      <c r="P3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1" s="7">
        <f>SUMPRODUCT(N(Tabela1[Código]=Tabela8[[#This Row],[Papel]]),Tabela1[Fechamento])</f>
        <v>0</v>
      </c>
      <c r="R301" s="7">
        <f>SUMPRODUCT(N(Tabela17[Código]=Tabela8[[#This Row],[Papel]]),Tabela17[Fechamento])</f>
        <v>0</v>
      </c>
      <c r="S301" s="7">
        <f>SUMPRODUCT(N(Tabela176[Código]=Tabela8[[#This Row],[Papel]]),Tabela176[Fechamento])</f>
        <v>0</v>
      </c>
      <c r="T301" s="7">
        <f>SUMPRODUCT(N(Tabela1768[Código]=Tabela8[[#This Row],[Papel]]),Tabela1768[Fechamento])</f>
        <v>0</v>
      </c>
      <c r="U301" s="7">
        <f>SUMPRODUCT(N(Tabela17683[Código]=Tabela8[[#This Row],[Papel]]),Tabela17683[Fechamento])</f>
        <v>22.86</v>
      </c>
      <c r="V301" s="17">
        <f>IF(MAX(Tabela8[[#This Row],[Cotação 1]]:Tabela8[[#This Row],[Cotação 5]])=0,"",MAX(Tabela8[[#This Row],[Cotação 1]]:Tabela8[[#This Row],[Cotação 5]]))</f>
        <v>22.86</v>
      </c>
      <c r="W3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1" s="17" t="str">
        <f>IF(AND([Ref]=5,[Cotação]&gt;0,[Cotação]&lt;&gt;""),[Total Exercício]/[Cotação],IF([Ref]&lt;4,0,""))</f>
        <v/>
      </c>
      <c r="Y301" s="17">
        <f>IF([Tipo]="div",1,0)</f>
        <v>0</v>
      </c>
      <c r="Z301" s="17">
        <f>IF([Tipo]="jcp",1,0)</f>
        <v>0</v>
      </c>
    </row>
    <row r="302" spans="1:26" hidden="1">
      <c r="A302" s="4" t="s">
        <v>283</v>
      </c>
      <c r="B302" s="57" t="s">
        <v>524</v>
      </c>
      <c r="C302" s="16">
        <v>3</v>
      </c>
      <c r="D302" s="4"/>
      <c r="E302" s="4"/>
      <c r="F302" s="4"/>
      <c r="G302" s="4"/>
      <c r="H302" s="4"/>
      <c r="I302" s="4"/>
      <c r="J302" s="17">
        <f>IF(Tabela8[[#This Row],[Tipo]]="jcp",Tabela8[[#This Row],[Provento p/Ação]]*85%,Tabela8[[#This Row],[Provento p/Ação]])</f>
        <v>0</v>
      </c>
      <c r="K302" s="143" t="str">
        <f>IF([Lucro p/Ação]&lt;&gt;0,SUMPRODUCT(N([Papel]=Tabela8[[#This Row],[Papel]]),N([Exercício]=Tabela8[[#This Row],[Exercício]]),[Líquido p/Ação]),"")</f>
        <v/>
      </c>
      <c r="L302" s="42" t="str">
        <f>IF(Tabela8[[#This Row],[Lucro p/Ação]]="","",IF(Tabela8[[#This Row],[Lucro p/Ação]]&gt;0,Tabela8[[#This Row],[Total Exercício]]/Tabela8[[#This Row],[Lucro p/Ação]],0))</f>
        <v/>
      </c>
      <c r="M3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2" s="14" t="str">
        <f>IF(Tabela8[[#This Row],[Média Lucro p/Ação]]&lt;&gt;"",Tabela8[[#This Row],[Média Pago]]/Tabela8[[#This Row],[Média Lucro p/Ação]],"")</f>
        <v/>
      </c>
      <c r="P3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2" s="7">
        <f>SUMPRODUCT(N(Tabela1[Código]=Tabela8[[#This Row],[Papel]]),Tabela1[Fechamento])</f>
        <v>0</v>
      </c>
      <c r="R302" s="7">
        <f>SUMPRODUCT(N(Tabela17[Código]=Tabela8[[#This Row],[Papel]]),Tabela17[Fechamento])</f>
        <v>1.99</v>
      </c>
      <c r="S302" s="7">
        <f>SUMPRODUCT(N(Tabela176[Código]=Tabela8[[#This Row],[Papel]]),Tabela176[Fechamento])</f>
        <v>0</v>
      </c>
      <c r="T302" s="7">
        <f>SUMPRODUCT(N(Tabela1768[Código]=Tabela8[[#This Row],[Papel]]),Tabela1768[Fechamento])</f>
        <v>0</v>
      </c>
      <c r="U302" s="7">
        <f>SUMPRODUCT(N(Tabela17683[Código]=Tabela8[[#This Row],[Papel]]),Tabela17683[Fechamento])</f>
        <v>0</v>
      </c>
      <c r="V302" s="17">
        <f>IF(MAX(Tabela8[[#This Row],[Cotação 1]]:Tabela8[[#This Row],[Cotação 5]])=0,"",MAX(Tabela8[[#This Row],[Cotação 1]]:Tabela8[[#This Row],[Cotação 5]]))</f>
        <v>1.99</v>
      </c>
      <c r="W3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2" s="17">
        <f>IF(AND([Ref]=5,[Cotação]&gt;0,[Cotação]&lt;&gt;""),[Total Exercício]/[Cotação],IF([Ref]&lt;4,0,""))</f>
        <v>0</v>
      </c>
      <c r="Y302" s="17">
        <f>IF([Tipo]="div",1,0)</f>
        <v>0</v>
      </c>
      <c r="Z302" s="17">
        <f>IF([Tipo]="jcp",1,0)</f>
        <v>0</v>
      </c>
    </row>
    <row r="303" spans="1:26" hidden="1">
      <c r="A303" s="4" t="s">
        <v>283</v>
      </c>
      <c r="B303" s="57" t="s">
        <v>525</v>
      </c>
      <c r="C303" s="15">
        <v>3</v>
      </c>
      <c r="D303" s="4"/>
      <c r="E303" s="4"/>
      <c r="F303" s="4"/>
      <c r="G303" s="4"/>
      <c r="H303" s="4"/>
      <c r="I303" s="4"/>
      <c r="J303" s="17">
        <f>IF(Tabela8[[#This Row],[Tipo]]="jcp",Tabela8[[#This Row],[Provento p/Ação]]*85%,Tabela8[[#This Row],[Provento p/Ação]])</f>
        <v>0</v>
      </c>
      <c r="K303" s="143" t="str">
        <f>IF([Lucro p/Ação]&lt;&gt;0,SUMPRODUCT(N([Papel]=Tabela8[[#This Row],[Papel]]),N([Exercício]=Tabela8[[#This Row],[Exercício]]),[Líquido p/Ação]),"")</f>
        <v/>
      </c>
      <c r="L303" s="42" t="str">
        <f>IF(Tabela8[[#This Row],[Lucro p/Ação]]="","",IF(Tabela8[[#This Row],[Lucro p/Ação]]&gt;0,Tabela8[[#This Row],[Total Exercício]]/Tabela8[[#This Row],[Lucro p/Ação]],0))</f>
        <v/>
      </c>
      <c r="M3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3" s="14" t="str">
        <f>IF(Tabela8[[#This Row],[Média Lucro p/Ação]]&lt;&gt;"",Tabela8[[#This Row],[Média Pago]]/Tabela8[[#This Row],[Média Lucro p/Ação]],"")</f>
        <v/>
      </c>
      <c r="P3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3" s="17">
        <f>SUMPRODUCT(N(Tabela1[Código]=Tabela8[[#This Row],[Papel]]),Tabela1[Fechamento])</f>
        <v>0</v>
      </c>
      <c r="R303" s="17">
        <f>SUMPRODUCT(N(Tabela17[Código]=Tabela8[[#This Row],[Papel]]),Tabela17[Fechamento])</f>
        <v>2</v>
      </c>
      <c r="S303" s="7">
        <f>SUMPRODUCT(N(Tabela176[Código]=Tabela8[[#This Row],[Papel]]),Tabela176[Fechamento])</f>
        <v>0</v>
      </c>
      <c r="T303" s="7">
        <f>SUMPRODUCT(N(Tabela1768[Código]=Tabela8[[#This Row],[Papel]]),Tabela1768[Fechamento])</f>
        <v>0</v>
      </c>
      <c r="U303" s="7">
        <f>SUMPRODUCT(N(Tabela17683[Código]=Tabela8[[#This Row],[Papel]]),Tabela17683[Fechamento])</f>
        <v>0</v>
      </c>
      <c r="V303" s="17">
        <f>IF(MAX(Tabela8[[#This Row],[Cotação 1]]:Tabela8[[#This Row],[Cotação 5]])=0,"",MAX(Tabela8[[#This Row],[Cotação 1]]:Tabela8[[#This Row],[Cotação 5]]))</f>
        <v>2</v>
      </c>
      <c r="W3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3" s="17">
        <f>IF(AND([Ref]=5,[Cotação]&gt;0,[Cotação]&lt;&gt;""),[Total Exercício]/[Cotação],IF([Ref]&lt;4,0,""))</f>
        <v>0</v>
      </c>
      <c r="Y303" s="17">
        <f>IF([Tipo]="div",1,0)</f>
        <v>0</v>
      </c>
      <c r="Z303" s="17">
        <f>IF([Tipo]="jcp",1,0)</f>
        <v>0</v>
      </c>
    </row>
    <row r="304" spans="1:26" hidden="1">
      <c r="A304" s="3" t="s">
        <v>996</v>
      </c>
      <c r="B304" s="58" t="s">
        <v>1005</v>
      </c>
      <c r="C304" s="16">
        <v>3</v>
      </c>
      <c r="D304" s="4"/>
      <c r="E304" s="4"/>
      <c r="F304" s="4"/>
      <c r="G304" s="4"/>
      <c r="H304" s="4"/>
      <c r="I304" s="4"/>
      <c r="J304" s="17">
        <f>IF(Tabela8[[#This Row],[Tipo]]="jcp",Tabela8[[#This Row],[Provento p/Ação]]*85%,Tabela8[[#This Row],[Provento p/Ação]])</f>
        <v>0</v>
      </c>
      <c r="K304" s="143" t="str">
        <f>IF([Lucro p/Ação]&lt;&gt;0,SUMPRODUCT(N([Papel]=Tabela8[[#This Row],[Papel]]),N([Exercício]=Tabela8[[#This Row],[Exercício]]),[Líquido p/Ação]),"")</f>
        <v/>
      </c>
      <c r="L304" s="42" t="str">
        <f>IF(Tabela8[[#This Row],[Lucro p/Ação]]="","",IF(Tabela8[[#This Row],[Lucro p/Ação]]&gt;0,Tabela8[[#This Row],[Total Exercício]]/Tabela8[[#This Row],[Lucro p/Ação]],0))</f>
        <v/>
      </c>
      <c r="M3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4" s="14" t="str">
        <f>IF(Tabela8[[#This Row],[Média Lucro p/Ação]]&lt;&gt;"",Tabela8[[#This Row],[Média Pago]]/Tabela8[[#This Row],[Média Lucro p/Ação]],"")</f>
        <v/>
      </c>
      <c r="P3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4" s="7">
        <f>SUMPRODUCT(N(Tabela1[Código]=Tabela8[[#This Row],[Papel]]),Tabela1[Fechamento])</f>
        <v>0</v>
      </c>
      <c r="R304" s="7">
        <f>SUMPRODUCT(N(Tabela17[Código]=Tabela8[[#This Row],[Papel]]),Tabela17[Fechamento])</f>
        <v>0</v>
      </c>
      <c r="S304" s="7">
        <f>SUMPRODUCT(N(Tabela176[Código]=Tabela8[[#This Row],[Papel]]),Tabela176[Fechamento])</f>
        <v>0</v>
      </c>
      <c r="T304" s="7">
        <f>SUMPRODUCT(N(Tabela1768[Código]=Tabela8[[#This Row],[Papel]]),Tabela1768[Fechamento])</f>
        <v>0</v>
      </c>
      <c r="U304" s="7">
        <f>SUMPRODUCT(N(Tabela17683[Código]=Tabela8[[#This Row],[Papel]]),Tabela17683[Fechamento])</f>
        <v>0</v>
      </c>
      <c r="V304" s="17" t="str">
        <f>IF(MAX(Tabela8[[#This Row],[Cotação 1]]:Tabela8[[#This Row],[Cotação 5]])=0,"",MAX(Tabela8[[#This Row],[Cotação 1]]:Tabela8[[#This Row],[Cotação 5]]))</f>
        <v/>
      </c>
      <c r="W3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4" s="17">
        <f>IF(AND([Ref]=5,[Cotação]&gt;0,[Cotação]&lt;&gt;""),[Total Exercício]/[Cotação],IF([Ref]&lt;4,0,""))</f>
        <v>0</v>
      </c>
      <c r="Y304" s="17">
        <f>IF([Tipo]="div",1,0)</f>
        <v>0</v>
      </c>
      <c r="Z304" s="17">
        <f>IF([Tipo]="jcp",1,0)</f>
        <v>0</v>
      </c>
    </row>
    <row r="305" spans="1:26" hidden="1">
      <c r="A305" s="3" t="s">
        <v>996</v>
      </c>
      <c r="B305" s="58" t="s">
        <v>1006</v>
      </c>
      <c r="C305" s="16">
        <v>3</v>
      </c>
      <c r="D305" s="4"/>
      <c r="E305" s="4"/>
      <c r="F305" s="4"/>
      <c r="G305" s="4"/>
      <c r="H305" s="4"/>
      <c r="I305" s="4"/>
      <c r="J305" s="17">
        <f>IF(Tabela8[[#This Row],[Tipo]]="jcp",Tabela8[[#This Row],[Provento p/Ação]]*85%,Tabela8[[#This Row],[Provento p/Ação]])</f>
        <v>0</v>
      </c>
      <c r="K305" s="143" t="str">
        <f>IF([Lucro p/Ação]&lt;&gt;0,SUMPRODUCT(N([Papel]=Tabela8[[#This Row],[Papel]]),N([Exercício]=Tabela8[[#This Row],[Exercício]]),[Líquido p/Ação]),"")</f>
        <v/>
      </c>
      <c r="L305" s="42" t="str">
        <f>IF(Tabela8[[#This Row],[Lucro p/Ação]]="","",IF(Tabela8[[#This Row],[Lucro p/Ação]]&gt;0,Tabela8[[#This Row],[Total Exercício]]/Tabela8[[#This Row],[Lucro p/Ação]],0))</f>
        <v/>
      </c>
      <c r="M3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5" s="14" t="str">
        <f>IF(Tabela8[[#This Row],[Média Lucro p/Ação]]&lt;&gt;"",Tabela8[[#This Row],[Média Pago]]/Tabela8[[#This Row],[Média Lucro p/Ação]],"")</f>
        <v/>
      </c>
      <c r="P3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5" s="7">
        <f>SUMPRODUCT(N(Tabela1[Código]=Tabela8[[#This Row],[Papel]]),Tabela1[Fechamento])</f>
        <v>0</v>
      </c>
      <c r="R305" s="7">
        <f>SUMPRODUCT(N(Tabela17[Código]=Tabela8[[#This Row],[Papel]]),Tabela17[Fechamento])</f>
        <v>0</v>
      </c>
      <c r="S305" s="7">
        <f>SUMPRODUCT(N(Tabela176[Código]=Tabela8[[#This Row],[Papel]]),Tabela176[Fechamento])</f>
        <v>0</v>
      </c>
      <c r="T305" s="7">
        <f>SUMPRODUCT(N(Tabela1768[Código]=Tabela8[[#This Row],[Papel]]),Tabela1768[Fechamento])</f>
        <v>68</v>
      </c>
      <c r="U305" s="7">
        <f>SUMPRODUCT(N(Tabela17683[Código]=Tabela8[[#This Row],[Papel]]),Tabela17683[Fechamento])</f>
        <v>0</v>
      </c>
      <c r="V305" s="17">
        <f>IF(MAX(Tabela8[[#This Row],[Cotação 1]]:Tabela8[[#This Row],[Cotação 5]])=0,"",MAX(Tabela8[[#This Row],[Cotação 1]]:Tabela8[[#This Row],[Cotação 5]]))</f>
        <v>68</v>
      </c>
      <c r="W3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5" s="17">
        <f>IF(AND([Ref]=5,[Cotação]&gt;0,[Cotação]&lt;&gt;""),[Total Exercício]/[Cotação],IF([Ref]&lt;4,0,""))</f>
        <v>0</v>
      </c>
      <c r="Y305" s="17">
        <f>IF([Tipo]="div",1,0)</f>
        <v>0</v>
      </c>
      <c r="Z305" s="17">
        <f>IF([Tipo]="jcp",1,0)</f>
        <v>0</v>
      </c>
    </row>
    <row r="306" spans="1:26" hidden="1">
      <c r="A306" s="4" t="s">
        <v>12</v>
      </c>
      <c r="B306" s="60" t="s">
        <v>55</v>
      </c>
      <c r="C306" s="16">
        <v>4</v>
      </c>
      <c r="D306" s="14"/>
      <c r="E306" s="4"/>
      <c r="F306" s="4"/>
      <c r="G306" s="4"/>
      <c r="H306" s="4"/>
      <c r="I306" s="4"/>
      <c r="J306" s="133">
        <f>IF(Tabela8[[#This Row],[Tipo]]="jcp",Tabela8[[#This Row],[Provento p/Ação]]*85%,Tabela8[[#This Row],[Provento p/Ação]])</f>
        <v>0</v>
      </c>
      <c r="K306" s="143" t="str">
        <f>IF([Lucro p/Ação]&lt;&gt;0,SUMPRODUCT(N([Papel]=Tabela8[[#This Row],[Papel]]),N([Exercício]=Tabela8[[#This Row],[Exercício]]),[Líquido p/Ação]),"")</f>
        <v/>
      </c>
      <c r="L306" s="42" t="str">
        <f>IF(Tabela8[[#This Row],[Lucro p/Ação]]="","",IF(Tabela8[[#This Row],[Lucro p/Ação]]&gt;0,Tabela8[[#This Row],[Total Exercício]]/Tabela8[[#This Row],[Lucro p/Ação]],0))</f>
        <v/>
      </c>
      <c r="M3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6" s="14" t="str">
        <f>IF(Tabela8[[#This Row],[Média Lucro p/Ação]]&lt;&gt;"",Tabela8[[#This Row],[Média Pago]]/Tabela8[[#This Row],[Média Lucro p/Ação]],"")</f>
        <v/>
      </c>
      <c r="P3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6" s="5">
        <f>SUMPRODUCT(N(Tabela1[Código]=Tabela8[[#This Row],[Papel]]),Tabela1[Fechamento])</f>
        <v>16.91</v>
      </c>
      <c r="R306" s="5">
        <f>SUMPRODUCT(N(Tabela17[Código]=Tabela8[[#This Row],[Papel]]),Tabela17[Fechamento])</f>
        <v>0</v>
      </c>
      <c r="S306" s="7">
        <f>SUMPRODUCT(N(Tabela176[Código]=Tabela8[[#This Row],[Papel]]),Tabela176[Fechamento])</f>
        <v>0</v>
      </c>
      <c r="T306" s="7">
        <f>SUMPRODUCT(N(Tabela1768[Código]=Tabela8[[#This Row],[Papel]]),Tabela1768[Fechamento])</f>
        <v>0</v>
      </c>
      <c r="U306" s="7">
        <f>SUMPRODUCT(N(Tabela17683[Código]=Tabela8[[#This Row],[Papel]]),Tabela17683[Fechamento])</f>
        <v>0</v>
      </c>
      <c r="V306" s="17">
        <f>IF(MAX(Tabela8[[#This Row],[Cotação 1]]:Tabela8[[#This Row],[Cotação 5]])=0,"",MAX(Tabela8[[#This Row],[Cotação 1]]:Tabela8[[#This Row],[Cotação 5]]))</f>
        <v>16.91</v>
      </c>
      <c r="W3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6" s="17" t="str">
        <f>IF(AND([Ref]=5,[Cotação]&gt;0,[Cotação]&lt;&gt;""),[Total Exercício]/[Cotação],IF([Ref]&lt;4,0,""))</f>
        <v/>
      </c>
      <c r="Y306" s="17">
        <f>IF([Tipo]="div",1,0)</f>
        <v>0</v>
      </c>
      <c r="Z306" s="17">
        <f>IF([Tipo]="jcp",1,0)</f>
        <v>0</v>
      </c>
    </row>
    <row r="307" spans="1:26" hidden="1">
      <c r="A307" s="4" t="s">
        <v>559</v>
      </c>
      <c r="B307" s="57" t="s">
        <v>560</v>
      </c>
      <c r="C307" s="15">
        <v>4</v>
      </c>
      <c r="D307" s="4"/>
      <c r="E307" s="4"/>
      <c r="F307" s="4"/>
      <c r="G307" s="4"/>
      <c r="H307" s="4"/>
      <c r="I307" s="4"/>
      <c r="J307" s="17">
        <f>IF(Tabela8[[#This Row],[Tipo]]="jcp",Tabela8[[#This Row],[Provento p/Ação]]*85%,Tabela8[[#This Row],[Provento p/Ação]])</f>
        <v>0</v>
      </c>
      <c r="K307" s="143" t="str">
        <f>IF([Lucro p/Ação]&lt;&gt;0,SUMPRODUCT(N([Papel]=Tabela8[[#This Row],[Papel]]),N([Exercício]=Tabela8[[#This Row],[Exercício]]),[Líquido p/Ação]),"")</f>
        <v/>
      </c>
      <c r="L307" s="42" t="str">
        <f>IF(Tabela8[[#This Row],[Lucro p/Ação]]="","",IF(Tabela8[[#This Row],[Lucro p/Ação]]&gt;0,Tabela8[[#This Row],[Total Exercício]]/Tabela8[[#This Row],[Lucro p/Ação]],0))</f>
        <v/>
      </c>
      <c r="M3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7" s="14" t="str">
        <f>IF(Tabela8[[#This Row],[Média Lucro p/Ação]]&lt;&gt;"",Tabela8[[#This Row],[Média Pago]]/Tabela8[[#This Row],[Média Lucro p/Ação]],"")</f>
        <v/>
      </c>
      <c r="P3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7" s="17">
        <f>SUMPRODUCT(N(Tabela1[Código]=Tabela8[[#This Row],[Papel]]),Tabela1[Fechamento])</f>
        <v>0</v>
      </c>
      <c r="R307" s="17">
        <f>SUMPRODUCT(N(Tabela17[Código]=Tabela8[[#This Row],[Papel]]),Tabela17[Fechamento])</f>
        <v>0</v>
      </c>
      <c r="S307" s="17">
        <f>SUMPRODUCT(N(Tabela176[Código]=Tabela8[[#This Row],[Papel]]),Tabela176[Fechamento])</f>
        <v>46.5</v>
      </c>
      <c r="T307" s="17">
        <f>SUMPRODUCT(N(Tabela1768[Código]=Tabela8[[#This Row],[Papel]]),Tabela1768[Fechamento])</f>
        <v>0</v>
      </c>
      <c r="U307" s="7">
        <f>SUMPRODUCT(N(Tabela17683[Código]=Tabela8[[#This Row],[Papel]]),Tabela17683[Fechamento])</f>
        <v>0</v>
      </c>
      <c r="V307" s="17">
        <f>IF(MAX(Tabela8[[#This Row],[Cotação 1]]:Tabela8[[#This Row],[Cotação 5]])=0,"",MAX(Tabela8[[#This Row],[Cotação 1]]:Tabela8[[#This Row],[Cotação 5]]))</f>
        <v>46.5</v>
      </c>
      <c r="W3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7" s="17" t="str">
        <f>IF(AND([Ref]=5,[Cotação]&gt;0,[Cotação]&lt;&gt;""),[Total Exercício]/[Cotação],IF([Ref]&lt;4,0,""))</f>
        <v/>
      </c>
      <c r="Y307" s="17">
        <f>IF([Tipo]="div",1,0)</f>
        <v>0</v>
      </c>
      <c r="Z307" s="17">
        <f>IF([Tipo]="jcp",1,0)</f>
        <v>0</v>
      </c>
    </row>
    <row r="308" spans="1:26" hidden="1">
      <c r="A308" s="4" t="s">
        <v>12</v>
      </c>
      <c r="B308" s="3" t="s">
        <v>160</v>
      </c>
      <c r="C308" s="15">
        <v>5</v>
      </c>
      <c r="D308" s="14">
        <v>2010</v>
      </c>
      <c r="E308" s="4" t="s">
        <v>1468</v>
      </c>
      <c r="F308" s="4">
        <v>2.1431900000000002</v>
      </c>
      <c r="G308" s="46">
        <v>40298</v>
      </c>
      <c r="H308" s="46">
        <v>40301</v>
      </c>
      <c r="I308" s="4">
        <v>6.5060000000000007E-2</v>
      </c>
      <c r="J308" s="133">
        <f>IF(Tabela8[[#This Row],[Tipo]]="jcp",Tabela8[[#This Row],[Provento p/Ação]]*85%,Tabela8[[#This Row],[Provento p/Ação]])</f>
        <v>6.5060000000000007E-2</v>
      </c>
      <c r="K308" s="143">
        <f>IF([Lucro p/Ação]&lt;&gt;0,SUMPRODUCT(N([Papel]=Tabela8[[#This Row],[Papel]]),N([Exercício]=Tabela8[[#This Row],[Exercício]]),[Líquido p/Ação]),"")</f>
        <v>6.5060000000000007E-2</v>
      </c>
      <c r="L308" s="42">
        <f>IF(Tabela8[[#This Row],[Lucro p/Ação]]="","",IF(Tabela8[[#This Row],[Lucro p/Ação]]&gt;0,Tabela8[[#This Row],[Total Exercício]]/Tabela8[[#This Row],[Lucro p/Ação]],0))</f>
        <v>3.0356617938680192E-2</v>
      </c>
      <c r="M308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2.1431900000000002</v>
      </c>
      <c r="N308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6.5060000000000007E-2</v>
      </c>
      <c r="O308" s="19">
        <f>IF(Tabela8[[#This Row],[Média Lucro p/Ação]]&lt;&gt;"",Tabela8[[#This Row],[Média Pago]]/Tabela8[[#This Row],[Média Lucro p/Ação]],"")</f>
        <v>3.0356617938680192E-2</v>
      </c>
      <c r="P3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8" s="5">
        <f>SUMPRODUCT(N(Tabela1[Código]=Tabela8[[#This Row],[Papel]]),Tabela1[Fechamento])</f>
        <v>49.78</v>
      </c>
      <c r="R308" s="5">
        <f>SUMPRODUCT(N(Tabela17[Código]=Tabela8[[#This Row],[Papel]]),Tabela17[Fechamento])</f>
        <v>0</v>
      </c>
      <c r="S308" s="7">
        <f>SUMPRODUCT(N(Tabela176[Código]=Tabela8[[#This Row],[Papel]]),Tabela176[Fechamento])</f>
        <v>0</v>
      </c>
      <c r="T308" s="7">
        <f>SUMPRODUCT(N(Tabela1768[Código]=Tabela8[[#This Row],[Papel]]),Tabela1768[Fechamento])</f>
        <v>0</v>
      </c>
      <c r="U308" s="7">
        <f>SUMPRODUCT(N(Tabela17683[Código]=Tabela8[[#This Row],[Papel]]),Tabela17683[Fechamento])</f>
        <v>0</v>
      </c>
      <c r="V308" s="17">
        <f>IF(MAX(Tabela8[[#This Row],[Cotação 1]]:Tabela8[[#This Row],[Cotação 5]])=0,"",MAX(Tabela8[[#This Row],[Cotação 1]]:Tabela8[[#This Row],[Cotação 5]]))</f>
        <v>49.78</v>
      </c>
      <c r="W3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8" s="19">
        <f>IF(AND([Ref]=5,[Cotação]&gt;0,[Cotação]&lt;&gt;""),[Total Exercício]/[Cotação],IF([Ref]&lt;4,0,""))</f>
        <v>1.3069505825632785E-3</v>
      </c>
      <c r="Y308" s="17">
        <f>IF([Tipo]="div",1,0)</f>
        <v>1</v>
      </c>
      <c r="Z308" s="17">
        <f>IF([Tipo]="jcp",1,0)</f>
        <v>0</v>
      </c>
    </row>
    <row r="309" spans="1:26" hidden="1">
      <c r="A309" s="3" t="s">
        <v>1085</v>
      </c>
      <c r="B309" s="57" t="s">
        <v>1066</v>
      </c>
      <c r="C309" s="16">
        <v>3</v>
      </c>
      <c r="D309" s="4"/>
      <c r="E309" s="4"/>
      <c r="F309" s="4"/>
      <c r="G309" s="4"/>
      <c r="H309" s="4"/>
      <c r="I309" s="4"/>
      <c r="J309" s="17">
        <f>IF(Tabela8[[#This Row],[Tipo]]="jcp",Tabela8[[#This Row],[Provento p/Ação]]*85%,Tabela8[[#This Row],[Provento p/Ação]])</f>
        <v>0</v>
      </c>
      <c r="K309" s="143" t="str">
        <f>IF([Lucro p/Ação]&lt;&gt;0,SUMPRODUCT(N([Papel]=Tabela8[[#This Row],[Papel]]),N([Exercício]=Tabela8[[#This Row],[Exercício]]),[Líquido p/Ação]),"")</f>
        <v/>
      </c>
      <c r="L309" s="42" t="str">
        <f>IF(Tabela8[[#This Row],[Lucro p/Ação]]="","",IF(Tabela8[[#This Row],[Lucro p/Ação]]&gt;0,Tabela8[[#This Row],[Total Exercício]]/Tabela8[[#This Row],[Lucro p/Ação]],0))</f>
        <v/>
      </c>
      <c r="M3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09" s="14" t="str">
        <f>IF(Tabela8[[#This Row],[Média Lucro p/Ação]]&lt;&gt;"",Tabela8[[#This Row],[Média Pago]]/Tabela8[[#This Row],[Média Lucro p/Ação]],"")</f>
        <v/>
      </c>
      <c r="P3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09" s="7">
        <f>SUMPRODUCT(N(Tabela1[Código]=Tabela8[[#This Row],[Papel]]),Tabela1[Fechamento])</f>
        <v>0</v>
      </c>
      <c r="R309" s="7">
        <f>SUMPRODUCT(N(Tabela17[Código]=Tabela8[[#This Row],[Papel]]),Tabela17[Fechamento])</f>
        <v>0</v>
      </c>
      <c r="S309" s="7">
        <f>SUMPRODUCT(N(Tabela176[Código]=Tabela8[[#This Row],[Papel]]),Tabela176[Fechamento])</f>
        <v>0</v>
      </c>
      <c r="T309" s="7">
        <f>SUMPRODUCT(N(Tabela1768[Código]=Tabela8[[#This Row],[Papel]]),Tabela1768[Fechamento])</f>
        <v>0</v>
      </c>
      <c r="U309" s="7">
        <f>SUMPRODUCT(N(Tabela17683[Código]=Tabela8[[#This Row],[Papel]]),Tabela17683[Fechamento])</f>
        <v>2.88</v>
      </c>
      <c r="V309" s="17">
        <f>IF(MAX(Tabela8[[#This Row],[Cotação 1]]:Tabela8[[#This Row],[Cotação 5]])=0,"",MAX(Tabela8[[#This Row],[Cotação 1]]:Tabela8[[#This Row],[Cotação 5]]))</f>
        <v>2.88</v>
      </c>
      <c r="W3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09" s="17">
        <f>IF(AND([Ref]=5,[Cotação]&gt;0,[Cotação]&lt;&gt;""),[Total Exercício]/[Cotação],IF([Ref]&lt;4,0,""))</f>
        <v>0</v>
      </c>
      <c r="Y309" s="17">
        <f>IF([Tipo]="div",1,0)</f>
        <v>0</v>
      </c>
      <c r="Z309" s="17">
        <f>IF([Tipo]="jcp",1,0)</f>
        <v>0</v>
      </c>
    </row>
    <row r="310" spans="1:26" hidden="1">
      <c r="A310" s="3" t="s">
        <v>1085</v>
      </c>
      <c r="B310" s="57" t="s">
        <v>1067</v>
      </c>
      <c r="C310" s="16">
        <v>3</v>
      </c>
      <c r="D310" s="4"/>
      <c r="E310" s="4"/>
      <c r="F310" s="4"/>
      <c r="G310" s="4"/>
      <c r="H310" s="4"/>
      <c r="I310" s="4"/>
      <c r="J310" s="17">
        <f>IF(Tabela8[[#This Row],[Tipo]]="jcp",Tabela8[[#This Row],[Provento p/Ação]]*85%,Tabela8[[#This Row],[Provento p/Ação]])</f>
        <v>0</v>
      </c>
      <c r="K310" s="143" t="str">
        <f>IF([Lucro p/Ação]&lt;&gt;0,SUMPRODUCT(N([Papel]=Tabela8[[#This Row],[Papel]]),N([Exercício]=Tabela8[[#This Row],[Exercício]]),[Líquido p/Ação]),"")</f>
        <v/>
      </c>
      <c r="L310" s="42" t="str">
        <f>IF(Tabela8[[#This Row],[Lucro p/Ação]]="","",IF(Tabela8[[#This Row],[Lucro p/Ação]]&gt;0,Tabela8[[#This Row],[Total Exercício]]/Tabela8[[#This Row],[Lucro p/Ação]],0))</f>
        <v/>
      </c>
      <c r="M3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0" s="14" t="str">
        <f>IF(Tabela8[[#This Row],[Média Lucro p/Ação]]&lt;&gt;"",Tabela8[[#This Row],[Média Pago]]/Tabela8[[#This Row],[Média Lucro p/Ação]],"")</f>
        <v/>
      </c>
      <c r="P3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0" s="7">
        <f>SUMPRODUCT(N(Tabela1[Código]=Tabela8[[#This Row],[Papel]]),Tabela1[Fechamento])</f>
        <v>0</v>
      </c>
      <c r="R310" s="7">
        <f>SUMPRODUCT(N(Tabela17[Código]=Tabela8[[#This Row],[Papel]]),Tabela17[Fechamento])</f>
        <v>0</v>
      </c>
      <c r="S310" s="7">
        <f>SUMPRODUCT(N(Tabela176[Código]=Tabela8[[#This Row],[Papel]]),Tabela176[Fechamento])</f>
        <v>0</v>
      </c>
      <c r="T310" s="7">
        <f>SUMPRODUCT(N(Tabela1768[Código]=Tabela8[[#This Row],[Papel]]),Tabela1768[Fechamento])</f>
        <v>0</v>
      </c>
      <c r="U310" s="7">
        <f>SUMPRODUCT(N(Tabela17683[Código]=Tabela8[[#This Row],[Papel]]),Tabela17683[Fechamento])</f>
        <v>2.94</v>
      </c>
      <c r="V310" s="17">
        <f>IF(MAX(Tabela8[[#This Row],[Cotação 1]]:Tabela8[[#This Row],[Cotação 5]])=0,"",MAX(Tabela8[[#This Row],[Cotação 1]]:Tabela8[[#This Row],[Cotação 5]]))</f>
        <v>2.94</v>
      </c>
      <c r="W3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0" s="17">
        <f>IF(AND([Ref]=5,[Cotação]&gt;0,[Cotação]&lt;&gt;""),[Total Exercício]/[Cotação],IF([Ref]&lt;4,0,""))</f>
        <v>0</v>
      </c>
      <c r="Y310" s="17">
        <f>IF([Tipo]="div",1,0)</f>
        <v>0</v>
      </c>
      <c r="Z310" s="17">
        <f>IF([Tipo]="jcp",1,0)</f>
        <v>0</v>
      </c>
    </row>
    <row r="311" spans="1:26" hidden="1">
      <c r="A311" s="3" t="s">
        <v>996</v>
      </c>
      <c r="B311" s="58" t="s">
        <v>994</v>
      </c>
      <c r="C311" s="16">
        <v>4</v>
      </c>
      <c r="D311" s="4"/>
      <c r="E311" s="4"/>
      <c r="F311" s="4"/>
      <c r="G311" s="4"/>
      <c r="H311" s="4"/>
      <c r="I311" s="4"/>
      <c r="J311" s="17">
        <f>IF(Tabela8[[#This Row],[Tipo]]="jcp",Tabela8[[#This Row],[Provento p/Ação]]*85%,Tabela8[[#This Row],[Provento p/Ação]])</f>
        <v>0</v>
      </c>
      <c r="K311" s="143" t="str">
        <f>IF([Lucro p/Ação]&lt;&gt;0,SUMPRODUCT(N([Papel]=Tabela8[[#This Row],[Papel]]),N([Exercício]=Tabela8[[#This Row],[Exercício]]),[Líquido p/Ação]),"")</f>
        <v/>
      </c>
      <c r="L311" s="42" t="str">
        <f>IF(Tabela8[[#This Row],[Lucro p/Ação]]="","",IF(Tabela8[[#This Row],[Lucro p/Ação]]&gt;0,Tabela8[[#This Row],[Total Exercício]]/Tabela8[[#This Row],[Lucro p/Ação]],0))</f>
        <v/>
      </c>
      <c r="M3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1" s="14" t="str">
        <f>IF(Tabela8[[#This Row],[Média Lucro p/Ação]]&lt;&gt;"",Tabela8[[#This Row],[Média Pago]]/Tabela8[[#This Row],[Média Lucro p/Ação]],"")</f>
        <v/>
      </c>
      <c r="P3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1" s="7">
        <f>SUMPRODUCT(N(Tabela1[Código]=Tabela8[[#This Row],[Papel]]),Tabela1[Fechamento])</f>
        <v>0</v>
      </c>
      <c r="R311" s="7">
        <f>SUMPRODUCT(N(Tabela17[Código]=Tabela8[[#This Row],[Papel]]),Tabela17[Fechamento])</f>
        <v>0</v>
      </c>
      <c r="S311" s="7">
        <f>SUMPRODUCT(N(Tabela176[Código]=Tabela8[[#This Row],[Papel]]),Tabela176[Fechamento])</f>
        <v>0</v>
      </c>
      <c r="T311" s="7">
        <f>SUMPRODUCT(N(Tabela1768[Código]=Tabela8[[#This Row],[Papel]]),Tabela1768[Fechamento])</f>
        <v>6.08</v>
      </c>
      <c r="U311" s="7">
        <f>SUMPRODUCT(N(Tabela17683[Código]=Tabela8[[#This Row],[Papel]]),Tabela17683[Fechamento])</f>
        <v>0</v>
      </c>
      <c r="V311" s="17">
        <f>IF(MAX(Tabela8[[#This Row],[Cotação 1]]:Tabela8[[#This Row],[Cotação 5]])=0,"",MAX(Tabela8[[#This Row],[Cotação 1]]:Tabela8[[#This Row],[Cotação 5]]))</f>
        <v>6.08</v>
      </c>
      <c r="W3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1" s="17" t="str">
        <f>IF(AND([Ref]=5,[Cotação]&gt;0,[Cotação]&lt;&gt;""),[Total Exercício]/[Cotação],IF([Ref]&lt;4,0,""))</f>
        <v/>
      </c>
      <c r="Y311" s="17">
        <f>IF([Tipo]="div",1,0)</f>
        <v>0</v>
      </c>
      <c r="Z311" s="17">
        <f>IF([Tipo]="jcp",1,0)</f>
        <v>0</v>
      </c>
    </row>
    <row r="312" spans="1:26" hidden="1">
      <c r="A312" s="3" t="s">
        <v>1141</v>
      </c>
      <c r="B312" s="57" t="s">
        <v>1144</v>
      </c>
      <c r="C312" s="16">
        <v>3</v>
      </c>
      <c r="D312" s="4"/>
      <c r="E312" s="4"/>
      <c r="F312" s="4"/>
      <c r="G312" s="4"/>
      <c r="H312" s="4"/>
      <c r="I312" s="4"/>
      <c r="J312" s="17">
        <f>IF(Tabela8[[#This Row],[Tipo]]="jcp",Tabela8[[#This Row],[Provento p/Ação]]*85%,Tabela8[[#This Row],[Provento p/Ação]])</f>
        <v>0</v>
      </c>
      <c r="K312" s="143" t="str">
        <f>IF([Lucro p/Ação]&lt;&gt;0,SUMPRODUCT(N([Papel]=Tabela8[[#This Row],[Papel]]),N([Exercício]=Tabela8[[#This Row],[Exercício]]),[Líquido p/Ação]),"")</f>
        <v/>
      </c>
      <c r="L312" s="42" t="str">
        <f>IF(Tabela8[[#This Row],[Lucro p/Ação]]="","",IF(Tabela8[[#This Row],[Lucro p/Ação]]&gt;0,Tabela8[[#This Row],[Total Exercício]]/Tabela8[[#This Row],[Lucro p/Ação]],0))</f>
        <v/>
      </c>
      <c r="M3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2" s="14" t="str">
        <f>IF(Tabela8[[#This Row],[Média Lucro p/Ação]]&lt;&gt;"",Tabela8[[#This Row],[Média Pago]]/Tabela8[[#This Row],[Média Lucro p/Ação]],"")</f>
        <v/>
      </c>
      <c r="P3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2" s="7">
        <f>SUMPRODUCT(N(Tabela1[Código]=Tabela8[[#This Row],[Papel]]),Tabela1[Fechamento])</f>
        <v>0</v>
      </c>
      <c r="R312" s="7">
        <f>SUMPRODUCT(N(Tabela17[Código]=Tabela8[[#This Row],[Papel]]),Tabela17[Fechamento])</f>
        <v>0</v>
      </c>
      <c r="S312" s="7">
        <f>SUMPRODUCT(N(Tabela176[Código]=Tabela8[[#This Row],[Papel]]),Tabela176[Fechamento])</f>
        <v>0</v>
      </c>
      <c r="T312" s="7">
        <f>SUMPRODUCT(N(Tabela1768[Código]=Tabela8[[#This Row],[Papel]]),Tabela1768[Fechamento])</f>
        <v>0</v>
      </c>
      <c r="U312" s="7">
        <f>SUMPRODUCT(N(Tabela17683[Código]=Tabela8[[#This Row],[Papel]]),Tabela17683[Fechamento])</f>
        <v>0.86</v>
      </c>
      <c r="V312" s="17">
        <f>IF(MAX(Tabela8[[#This Row],[Cotação 1]]:Tabela8[[#This Row],[Cotação 5]])=0,"",MAX(Tabela8[[#This Row],[Cotação 1]]:Tabela8[[#This Row],[Cotação 5]]))</f>
        <v>0.86</v>
      </c>
      <c r="W3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2" s="17">
        <f>IF(AND([Ref]=5,[Cotação]&gt;0,[Cotação]&lt;&gt;""),[Total Exercício]/[Cotação],IF([Ref]&lt;4,0,""))</f>
        <v>0</v>
      </c>
      <c r="Y312" s="17">
        <f>IF([Tipo]="div",1,0)</f>
        <v>0</v>
      </c>
      <c r="Z312" s="17">
        <f>IF([Tipo]="jcp",1,0)</f>
        <v>0</v>
      </c>
    </row>
    <row r="313" spans="1:26" hidden="1">
      <c r="A313" s="3" t="s">
        <v>1166</v>
      </c>
      <c r="B313" s="57" t="s">
        <v>1167</v>
      </c>
      <c r="C313" s="16">
        <v>3</v>
      </c>
      <c r="D313" s="4"/>
      <c r="E313" s="4"/>
      <c r="F313" s="4"/>
      <c r="G313" s="4"/>
      <c r="H313" s="4"/>
      <c r="I313" s="4"/>
      <c r="J313" s="17">
        <f>IF(Tabela8[[#This Row],[Tipo]]="jcp",Tabela8[[#This Row],[Provento p/Ação]]*85%,Tabela8[[#This Row],[Provento p/Ação]])</f>
        <v>0</v>
      </c>
      <c r="K313" s="143" t="str">
        <f>IF([Lucro p/Ação]&lt;&gt;0,SUMPRODUCT(N([Papel]=Tabela8[[#This Row],[Papel]]),N([Exercício]=Tabela8[[#This Row],[Exercício]]),[Líquido p/Ação]),"")</f>
        <v/>
      </c>
      <c r="L313" s="42" t="str">
        <f>IF(Tabela8[[#This Row],[Lucro p/Ação]]="","",IF(Tabela8[[#This Row],[Lucro p/Ação]]&gt;0,Tabela8[[#This Row],[Total Exercício]]/Tabela8[[#This Row],[Lucro p/Ação]],0))</f>
        <v/>
      </c>
      <c r="M3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3" s="14" t="str">
        <f>IF(Tabela8[[#This Row],[Média Lucro p/Ação]]&lt;&gt;"",Tabela8[[#This Row],[Média Pago]]/Tabela8[[#This Row],[Média Lucro p/Ação]],"")</f>
        <v/>
      </c>
      <c r="P3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3" s="7">
        <f>SUMPRODUCT(N(Tabela1[Código]=Tabela8[[#This Row],[Papel]]),Tabela1[Fechamento])</f>
        <v>0</v>
      </c>
      <c r="R313" s="7">
        <f>SUMPRODUCT(N(Tabela17[Código]=Tabela8[[#This Row],[Papel]]),Tabela17[Fechamento])</f>
        <v>0</v>
      </c>
      <c r="S313" s="7">
        <f>SUMPRODUCT(N(Tabela176[Código]=Tabela8[[#This Row],[Papel]]),Tabela176[Fechamento])</f>
        <v>0</v>
      </c>
      <c r="T313" s="7">
        <f>SUMPRODUCT(N(Tabela1768[Código]=Tabela8[[#This Row],[Papel]]),Tabela1768[Fechamento])</f>
        <v>0</v>
      </c>
      <c r="U313" s="7">
        <f>SUMPRODUCT(N(Tabela17683[Código]=Tabela8[[#This Row],[Papel]]),Tabela17683[Fechamento])</f>
        <v>8.48</v>
      </c>
      <c r="V313" s="17">
        <f>IF(MAX(Tabela8[[#This Row],[Cotação 1]]:Tabela8[[#This Row],[Cotação 5]])=0,"",MAX(Tabela8[[#This Row],[Cotação 1]]:Tabela8[[#This Row],[Cotação 5]]))</f>
        <v>8.48</v>
      </c>
      <c r="W3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3" s="17">
        <f>IF(AND([Ref]=5,[Cotação]&gt;0,[Cotação]&lt;&gt;""),[Total Exercício]/[Cotação],IF([Ref]&lt;4,0,""))</f>
        <v>0</v>
      </c>
      <c r="Y313" s="17">
        <f>IF([Tipo]="div",1,0)</f>
        <v>0</v>
      </c>
      <c r="Z313" s="17">
        <f>IF([Tipo]="jcp",1,0)</f>
        <v>0</v>
      </c>
    </row>
    <row r="314" spans="1:26" hidden="1">
      <c r="A314" s="3" t="s">
        <v>1104</v>
      </c>
      <c r="B314" s="57" t="s">
        <v>1101</v>
      </c>
      <c r="C314" s="16">
        <v>3</v>
      </c>
      <c r="D314" s="4"/>
      <c r="E314" s="4"/>
      <c r="F314" s="4"/>
      <c r="G314" s="4"/>
      <c r="H314" s="4"/>
      <c r="I314" s="4"/>
      <c r="J314" s="17">
        <f>IF(Tabela8[[#This Row],[Tipo]]="jcp",Tabela8[[#This Row],[Provento p/Ação]]*85%,Tabela8[[#This Row],[Provento p/Ação]])</f>
        <v>0</v>
      </c>
      <c r="K314" s="143" t="str">
        <f>IF([Lucro p/Ação]&lt;&gt;0,SUMPRODUCT(N([Papel]=Tabela8[[#This Row],[Papel]]),N([Exercício]=Tabela8[[#This Row],[Exercício]]),[Líquido p/Ação]),"")</f>
        <v/>
      </c>
      <c r="L314" s="42" t="str">
        <f>IF(Tabela8[[#This Row],[Lucro p/Ação]]="","",IF(Tabela8[[#This Row],[Lucro p/Ação]]&gt;0,Tabela8[[#This Row],[Total Exercício]]/Tabela8[[#This Row],[Lucro p/Ação]],0))</f>
        <v/>
      </c>
      <c r="M3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4" s="14" t="str">
        <f>IF(Tabela8[[#This Row],[Média Lucro p/Ação]]&lt;&gt;"",Tabela8[[#This Row],[Média Pago]]/Tabela8[[#This Row],[Média Lucro p/Ação]],"")</f>
        <v/>
      </c>
      <c r="P3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4" s="7">
        <f>SUMPRODUCT(N(Tabela1[Código]=Tabela8[[#This Row],[Papel]]),Tabela1[Fechamento])</f>
        <v>0</v>
      </c>
      <c r="R314" s="7">
        <f>SUMPRODUCT(N(Tabela17[Código]=Tabela8[[#This Row],[Papel]]),Tabela17[Fechamento])</f>
        <v>0</v>
      </c>
      <c r="S314" s="7">
        <f>SUMPRODUCT(N(Tabela176[Código]=Tabela8[[#This Row],[Papel]]),Tabela176[Fechamento])</f>
        <v>0</v>
      </c>
      <c r="T314" s="7">
        <f>SUMPRODUCT(N(Tabela1768[Código]=Tabela8[[#This Row],[Papel]]),Tabela1768[Fechamento])</f>
        <v>0</v>
      </c>
      <c r="U314" s="7">
        <f>SUMPRODUCT(N(Tabela17683[Código]=Tabela8[[#This Row],[Papel]]),Tabela17683[Fechamento])</f>
        <v>13.02</v>
      </c>
      <c r="V314" s="17">
        <f>IF(MAX(Tabela8[[#This Row],[Cotação 1]]:Tabela8[[#This Row],[Cotação 5]])=0,"",MAX(Tabela8[[#This Row],[Cotação 1]]:Tabela8[[#This Row],[Cotação 5]]))</f>
        <v>13.02</v>
      </c>
      <c r="W3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4" s="17">
        <f>IF(AND([Ref]=5,[Cotação]&gt;0,[Cotação]&lt;&gt;""),[Total Exercício]/[Cotação],IF([Ref]&lt;4,0,""))</f>
        <v>0</v>
      </c>
      <c r="Y314" s="17">
        <f>IF([Tipo]="div",1,0)</f>
        <v>0</v>
      </c>
      <c r="Z314" s="17">
        <f>IF([Tipo]="jcp",1,0)</f>
        <v>0</v>
      </c>
    </row>
    <row r="315" spans="1:26" hidden="1">
      <c r="A315" s="3" t="s">
        <v>996</v>
      </c>
      <c r="B315" s="58" t="s">
        <v>1009</v>
      </c>
      <c r="C315" s="16">
        <v>4</v>
      </c>
      <c r="D315" s="4"/>
      <c r="E315" s="4"/>
      <c r="F315" s="4"/>
      <c r="G315" s="4"/>
      <c r="H315" s="4"/>
      <c r="I315" s="4"/>
      <c r="J315" s="17">
        <f>IF(Tabela8[[#This Row],[Tipo]]="jcp",Tabela8[[#This Row],[Provento p/Ação]]*85%,Tabela8[[#This Row],[Provento p/Ação]])</f>
        <v>0</v>
      </c>
      <c r="K315" s="143" t="str">
        <f>IF([Lucro p/Ação]&lt;&gt;0,SUMPRODUCT(N([Papel]=Tabela8[[#This Row],[Papel]]),N([Exercício]=Tabela8[[#This Row],[Exercício]]),[Líquido p/Ação]),"")</f>
        <v/>
      </c>
      <c r="L315" s="42" t="str">
        <f>IF(Tabela8[[#This Row],[Lucro p/Ação]]="","",IF(Tabela8[[#This Row],[Lucro p/Ação]]&gt;0,Tabela8[[#This Row],[Total Exercício]]/Tabela8[[#This Row],[Lucro p/Ação]],0))</f>
        <v/>
      </c>
      <c r="M3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5" s="14" t="str">
        <f>IF(Tabela8[[#This Row],[Média Lucro p/Ação]]&lt;&gt;"",Tabela8[[#This Row],[Média Pago]]/Tabela8[[#This Row],[Média Lucro p/Ação]],"")</f>
        <v/>
      </c>
      <c r="P3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5" s="7">
        <f>SUMPRODUCT(N(Tabela1[Código]=Tabela8[[#This Row],[Papel]]),Tabela1[Fechamento])</f>
        <v>0</v>
      </c>
      <c r="R315" s="7">
        <f>SUMPRODUCT(N(Tabela17[Código]=Tabela8[[#This Row],[Papel]]),Tabela17[Fechamento])</f>
        <v>0</v>
      </c>
      <c r="S315" s="7">
        <f>SUMPRODUCT(N(Tabela176[Código]=Tabela8[[#This Row],[Papel]]),Tabela176[Fechamento])</f>
        <v>0</v>
      </c>
      <c r="T315" s="7">
        <f>SUMPRODUCT(N(Tabela1768[Código]=Tabela8[[#This Row],[Papel]]),Tabela1768[Fechamento])</f>
        <v>59.2</v>
      </c>
      <c r="U315" s="7">
        <f>SUMPRODUCT(N(Tabela17683[Código]=Tabela8[[#This Row],[Papel]]),Tabela17683[Fechamento])</f>
        <v>0</v>
      </c>
      <c r="V315" s="17">
        <f>IF(MAX(Tabela8[[#This Row],[Cotação 1]]:Tabela8[[#This Row],[Cotação 5]])=0,"",MAX(Tabela8[[#This Row],[Cotação 1]]:Tabela8[[#This Row],[Cotação 5]]))</f>
        <v>59.2</v>
      </c>
      <c r="W3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5" s="17" t="str">
        <f>IF(AND([Ref]=5,[Cotação]&gt;0,[Cotação]&lt;&gt;""),[Total Exercício]/[Cotação],IF([Ref]&lt;4,0,""))</f>
        <v/>
      </c>
      <c r="Y315" s="17">
        <f>IF([Tipo]="div",1,0)</f>
        <v>0</v>
      </c>
      <c r="Z315" s="17">
        <f>IF([Tipo]="jcp",1,0)</f>
        <v>0</v>
      </c>
    </row>
    <row r="316" spans="1:26" hidden="1">
      <c r="A316" s="3" t="s">
        <v>1166</v>
      </c>
      <c r="B316" s="57" t="s">
        <v>1168</v>
      </c>
      <c r="C316" s="16">
        <v>3</v>
      </c>
      <c r="D316" s="4"/>
      <c r="E316" s="4"/>
      <c r="F316" s="4"/>
      <c r="G316" s="4"/>
      <c r="H316" s="4"/>
      <c r="I316" s="4"/>
      <c r="J316" s="17">
        <f>IF(Tabela8[[#This Row],[Tipo]]="jcp",Tabela8[[#This Row],[Provento p/Ação]]*85%,Tabela8[[#This Row],[Provento p/Ação]])</f>
        <v>0</v>
      </c>
      <c r="K316" s="143" t="str">
        <f>IF([Lucro p/Ação]&lt;&gt;0,SUMPRODUCT(N([Papel]=Tabela8[[#This Row],[Papel]]),N([Exercício]=Tabela8[[#This Row],[Exercício]]),[Líquido p/Ação]),"")</f>
        <v/>
      </c>
      <c r="L316" s="42" t="str">
        <f>IF(Tabela8[[#This Row],[Lucro p/Ação]]="","",IF(Tabela8[[#This Row],[Lucro p/Ação]]&gt;0,Tabela8[[#This Row],[Total Exercício]]/Tabela8[[#This Row],[Lucro p/Ação]],0))</f>
        <v/>
      </c>
      <c r="M3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6" s="14" t="str">
        <f>IF(Tabela8[[#This Row],[Média Lucro p/Ação]]&lt;&gt;"",Tabela8[[#This Row],[Média Pago]]/Tabela8[[#This Row],[Média Lucro p/Ação]],"")</f>
        <v/>
      </c>
      <c r="P3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6" s="7">
        <f>SUMPRODUCT(N(Tabela1[Código]=Tabela8[[#This Row],[Papel]]),Tabela1[Fechamento])</f>
        <v>0</v>
      </c>
      <c r="R316" s="7">
        <f>SUMPRODUCT(N(Tabela17[Código]=Tabela8[[#This Row],[Papel]]),Tabela17[Fechamento])</f>
        <v>0</v>
      </c>
      <c r="S316" s="7">
        <f>SUMPRODUCT(N(Tabela176[Código]=Tabela8[[#This Row],[Papel]]),Tabela176[Fechamento])</f>
        <v>0</v>
      </c>
      <c r="T316" s="7">
        <f>SUMPRODUCT(N(Tabela1768[Código]=Tabela8[[#This Row],[Papel]]),Tabela1768[Fechamento])</f>
        <v>0</v>
      </c>
      <c r="U316" s="7">
        <f>SUMPRODUCT(N(Tabela17683[Código]=Tabela8[[#This Row],[Papel]]),Tabela17683[Fechamento])</f>
        <v>48</v>
      </c>
      <c r="V316" s="17">
        <f>IF(MAX(Tabela8[[#This Row],[Cotação 1]]:Tabela8[[#This Row],[Cotação 5]])=0,"",MAX(Tabela8[[#This Row],[Cotação 1]]:Tabela8[[#This Row],[Cotação 5]]))</f>
        <v>48</v>
      </c>
      <c r="W3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6" s="17">
        <f>IF(AND([Ref]=5,[Cotação]&gt;0,[Cotação]&lt;&gt;""),[Total Exercício]/[Cotação],IF([Ref]&lt;4,0,""))</f>
        <v>0</v>
      </c>
      <c r="Y316" s="17">
        <f>IF([Tipo]="div",1,0)</f>
        <v>0</v>
      </c>
      <c r="Z316" s="17">
        <f>IF([Tipo]="jcp",1,0)</f>
        <v>0</v>
      </c>
    </row>
    <row r="317" spans="1:26" hidden="1">
      <c r="A317" s="3" t="s">
        <v>1166</v>
      </c>
      <c r="B317" s="57" t="s">
        <v>1169</v>
      </c>
      <c r="C317" s="16">
        <v>3</v>
      </c>
      <c r="D317" s="4"/>
      <c r="E317" s="4"/>
      <c r="F317" s="4"/>
      <c r="G317" s="4"/>
      <c r="H317" s="4"/>
      <c r="I317" s="4"/>
      <c r="J317" s="17">
        <f>IF(Tabela8[[#This Row],[Tipo]]="jcp",Tabela8[[#This Row],[Provento p/Ação]]*85%,Tabela8[[#This Row],[Provento p/Ação]])</f>
        <v>0</v>
      </c>
      <c r="K317" s="143" t="str">
        <f>IF([Lucro p/Ação]&lt;&gt;0,SUMPRODUCT(N([Papel]=Tabela8[[#This Row],[Papel]]),N([Exercício]=Tabela8[[#This Row],[Exercício]]),[Líquido p/Ação]),"")</f>
        <v/>
      </c>
      <c r="L317" s="42" t="str">
        <f>IF(Tabela8[[#This Row],[Lucro p/Ação]]="","",IF(Tabela8[[#This Row],[Lucro p/Ação]]&gt;0,Tabela8[[#This Row],[Total Exercício]]/Tabela8[[#This Row],[Lucro p/Ação]],0))</f>
        <v/>
      </c>
      <c r="M3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7" s="14" t="str">
        <f>IF(Tabela8[[#This Row],[Média Lucro p/Ação]]&lt;&gt;"",Tabela8[[#This Row],[Média Pago]]/Tabela8[[#This Row],[Média Lucro p/Ação]],"")</f>
        <v/>
      </c>
      <c r="P3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7" s="7">
        <f>SUMPRODUCT(N(Tabela1[Código]=Tabela8[[#This Row],[Papel]]),Tabela1[Fechamento])</f>
        <v>0</v>
      </c>
      <c r="R317" s="7">
        <f>SUMPRODUCT(N(Tabela17[Código]=Tabela8[[#This Row],[Papel]]),Tabela17[Fechamento])</f>
        <v>0</v>
      </c>
      <c r="S317" s="7">
        <f>SUMPRODUCT(N(Tabela176[Código]=Tabela8[[#This Row],[Papel]]),Tabela176[Fechamento])</f>
        <v>0</v>
      </c>
      <c r="T317" s="7">
        <f>SUMPRODUCT(N(Tabela1768[Código]=Tabela8[[#This Row],[Papel]]),Tabela1768[Fechamento])</f>
        <v>0</v>
      </c>
      <c r="U317" s="7">
        <f>SUMPRODUCT(N(Tabela17683[Código]=Tabela8[[#This Row],[Papel]]),Tabela17683[Fechamento])</f>
        <v>31.15</v>
      </c>
      <c r="V317" s="17">
        <f>IF(MAX(Tabela8[[#This Row],[Cotação 1]]:Tabela8[[#This Row],[Cotação 5]])=0,"",MAX(Tabela8[[#This Row],[Cotação 1]]:Tabela8[[#This Row],[Cotação 5]]))</f>
        <v>31.15</v>
      </c>
      <c r="W3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7" s="17">
        <f>IF(AND([Ref]=5,[Cotação]&gt;0,[Cotação]&lt;&gt;""),[Total Exercício]/[Cotação],IF([Ref]&lt;4,0,""))</f>
        <v>0</v>
      </c>
      <c r="Y317" s="17">
        <f>IF([Tipo]="div",1,0)</f>
        <v>0</v>
      </c>
      <c r="Z317" s="17">
        <f>IF([Tipo]="jcp",1,0)</f>
        <v>0</v>
      </c>
    </row>
    <row r="318" spans="1:26" hidden="1">
      <c r="A318" s="4" t="s">
        <v>314</v>
      </c>
      <c r="B318" s="57" t="s">
        <v>317</v>
      </c>
      <c r="C318" s="15">
        <v>3</v>
      </c>
      <c r="D318" s="4"/>
      <c r="E318" s="4"/>
      <c r="F318" s="4"/>
      <c r="G318" s="4"/>
      <c r="H318" s="4"/>
      <c r="I318" s="4"/>
      <c r="J318" s="17">
        <f>IF(Tabela8[[#This Row],[Tipo]]="jcp",Tabela8[[#This Row],[Provento p/Ação]]*85%,Tabela8[[#This Row],[Provento p/Ação]])</f>
        <v>0</v>
      </c>
      <c r="K318" s="143" t="str">
        <f>IF([Lucro p/Ação]&lt;&gt;0,SUMPRODUCT(N([Papel]=Tabela8[[#This Row],[Papel]]),N([Exercício]=Tabela8[[#This Row],[Exercício]]),[Líquido p/Ação]),"")</f>
        <v/>
      </c>
      <c r="L318" s="42" t="str">
        <f>IF(Tabela8[[#This Row],[Lucro p/Ação]]="","",IF(Tabela8[[#This Row],[Lucro p/Ação]]&gt;0,Tabela8[[#This Row],[Total Exercício]]/Tabela8[[#This Row],[Lucro p/Ação]],0))</f>
        <v/>
      </c>
      <c r="M3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8" s="14" t="str">
        <f>IF(Tabela8[[#This Row],[Média Lucro p/Ação]]&lt;&gt;"",Tabela8[[#This Row],[Média Pago]]/Tabela8[[#This Row],[Média Lucro p/Ação]],"")</f>
        <v/>
      </c>
      <c r="P3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8" s="13">
        <f>SUMPRODUCT(N(Tabela1[Código]=Tabela8[[#This Row],[Papel]]),Tabela1[Fechamento])</f>
        <v>0</v>
      </c>
      <c r="R318" s="55">
        <f>SUMPRODUCT(N(Tabela17[Código]=Tabela8[[#This Row],[Papel]]),Tabela17[Fechamento])</f>
        <v>4.9800000000000004</v>
      </c>
      <c r="S318" s="7">
        <f>SUMPRODUCT(N(Tabela176[Código]=Tabela8[[#This Row],[Papel]]),Tabela176[Fechamento])</f>
        <v>0</v>
      </c>
      <c r="T318" s="7">
        <f>SUMPRODUCT(N(Tabela1768[Código]=Tabela8[[#This Row],[Papel]]),Tabela1768[Fechamento])</f>
        <v>0</v>
      </c>
      <c r="U318" s="7">
        <f>SUMPRODUCT(N(Tabela17683[Código]=Tabela8[[#This Row],[Papel]]),Tabela17683[Fechamento])</f>
        <v>0</v>
      </c>
      <c r="V318" s="17">
        <f>IF(MAX(Tabela8[[#This Row],[Cotação 1]]:Tabela8[[#This Row],[Cotação 5]])=0,"",MAX(Tabela8[[#This Row],[Cotação 1]]:Tabela8[[#This Row],[Cotação 5]]))</f>
        <v>4.9800000000000004</v>
      </c>
      <c r="W3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8" s="17">
        <f>IF(AND([Ref]=5,[Cotação]&gt;0,[Cotação]&lt;&gt;""),[Total Exercício]/[Cotação],IF([Ref]&lt;4,0,""))</f>
        <v>0</v>
      </c>
      <c r="Y318" s="17">
        <f>IF([Tipo]="div",1,0)</f>
        <v>0</v>
      </c>
      <c r="Z318" s="17">
        <f>IF([Tipo]="jcp",1,0)</f>
        <v>0</v>
      </c>
    </row>
    <row r="319" spans="1:26" hidden="1">
      <c r="A319" s="4" t="s">
        <v>250</v>
      </c>
      <c r="B319" s="58" t="s">
        <v>825</v>
      </c>
      <c r="C319" s="16">
        <v>4</v>
      </c>
      <c r="D319" s="4"/>
      <c r="E319" s="4"/>
      <c r="F319" s="4"/>
      <c r="G319" s="4"/>
      <c r="H319" s="4"/>
      <c r="I319" s="4"/>
      <c r="J319" s="17">
        <f>IF(Tabela8[[#This Row],[Tipo]]="jcp",Tabela8[[#This Row],[Provento p/Ação]]*85%,Tabela8[[#This Row],[Provento p/Ação]])</f>
        <v>0</v>
      </c>
      <c r="K319" s="143" t="str">
        <f>IF([Lucro p/Ação]&lt;&gt;0,SUMPRODUCT(N([Papel]=Tabela8[[#This Row],[Papel]]),N([Exercício]=Tabela8[[#This Row],[Exercício]]),[Líquido p/Ação]),"")</f>
        <v/>
      </c>
      <c r="L319" s="42" t="str">
        <f>IF(Tabela8[[#This Row],[Lucro p/Ação]]="","",IF(Tabela8[[#This Row],[Lucro p/Ação]]&gt;0,Tabela8[[#This Row],[Total Exercício]]/Tabela8[[#This Row],[Lucro p/Ação]],0))</f>
        <v/>
      </c>
      <c r="M3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19" s="14" t="str">
        <f>IF(Tabela8[[#This Row],[Média Lucro p/Ação]]&lt;&gt;"",Tabela8[[#This Row],[Média Pago]]/Tabela8[[#This Row],[Média Lucro p/Ação]],"")</f>
        <v/>
      </c>
      <c r="P3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19" s="7">
        <f>SUMPRODUCT(N(Tabela1[Código]=Tabela8[[#This Row],[Papel]]),Tabela1[Fechamento])</f>
        <v>0</v>
      </c>
      <c r="R319" s="7">
        <f>SUMPRODUCT(N(Tabela17[Código]=Tabela8[[#This Row],[Papel]]),Tabela17[Fechamento])</f>
        <v>0</v>
      </c>
      <c r="S319" s="7">
        <f>SUMPRODUCT(N(Tabela176[Código]=Tabela8[[#This Row],[Papel]]),Tabela176[Fechamento])</f>
        <v>0</v>
      </c>
      <c r="T319" s="7">
        <f>SUMPRODUCT(N(Tabela1768[Código]=Tabela8[[#This Row],[Papel]]),Tabela1768[Fechamento])</f>
        <v>0</v>
      </c>
      <c r="U319" s="7">
        <f>SUMPRODUCT(N(Tabela17683[Código]=Tabela8[[#This Row],[Papel]]),Tabela17683[Fechamento])</f>
        <v>83.57</v>
      </c>
      <c r="V319" s="17">
        <f>IF(MAX(Tabela8[[#This Row],[Cotação 1]]:Tabela8[[#This Row],[Cotação 5]])=0,"",MAX(Tabela8[[#This Row],[Cotação 1]]:Tabela8[[#This Row],[Cotação 5]]))</f>
        <v>83.57</v>
      </c>
      <c r="W3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19" s="17" t="str">
        <f>IF(AND([Ref]=5,[Cotação]&gt;0,[Cotação]&lt;&gt;""),[Total Exercício]/[Cotação],IF([Ref]&lt;4,0,""))</f>
        <v/>
      </c>
      <c r="Y319" s="17">
        <f>IF([Tipo]="div",1,0)</f>
        <v>0</v>
      </c>
      <c r="Z319" s="17">
        <f>IF([Tipo]="jcp",1,0)</f>
        <v>0</v>
      </c>
    </row>
    <row r="320" spans="1:26" hidden="1">
      <c r="A320" s="3" t="s">
        <v>1085</v>
      </c>
      <c r="B320" s="57" t="s">
        <v>1070</v>
      </c>
      <c r="C320" s="16">
        <v>3</v>
      </c>
      <c r="D320" s="4"/>
      <c r="E320" s="4"/>
      <c r="F320" s="4"/>
      <c r="G320" s="4"/>
      <c r="H320" s="4"/>
      <c r="I320" s="4"/>
      <c r="J320" s="17">
        <f>IF(Tabela8[[#This Row],[Tipo]]="jcp",Tabela8[[#This Row],[Provento p/Ação]]*85%,Tabela8[[#This Row],[Provento p/Ação]])</f>
        <v>0</v>
      </c>
      <c r="K320" s="143" t="str">
        <f>IF([Lucro p/Ação]&lt;&gt;0,SUMPRODUCT(N([Papel]=Tabela8[[#This Row],[Papel]]),N([Exercício]=Tabela8[[#This Row],[Exercício]]),[Líquido p/Ação]),"")</f>
        <v/>
      </c>
      <c r="L320" s="42" t="str">
        <f>IF(Tabela8[[#This Row],[Lucro p/Ação]]="","",IF(Tabela8[[#This Row],[Lucro p/Ação]]&gt;0,Tabela8[[#This Row],[Total Exercício]]/Tabela8[[#This Row],[Lucro p/Ação]],0))</f>
        <v/>
      </c>
      <c r="M3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0" s="14" t="str">
        <f>IF(Tabela8[[#This Row],[Média Lucro p/Ação]]&lt;&gt;"",Tabela8[[#This Row],[Média Pago]]/Tabela8[[#This Row],[Média Lucro p/Ação]],"")</f>
        <v/>
      </c>
      <c r="P3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0" s="7">
        <f>SUMPRODUCT(N(Tabela1[Código]=Tabela8[[#This Row],[Papel]]),Tabela1[Fechamento])</f>
        <v>0</v>
      </c>
      <c r="R320" s="7">
        <f>SUMPRODUCT(N(Tabela17[Código]=Tabela8[[#This Row],[Papel]]),Tabela17[Fechamento])</f>
        <v>0</v>
      </c>
      <c r="S320" s="7">
        <f>SUMPRODUCT(N(Tabela176[Código]=Tabela8[[#This Row],[Papel]]),Tabela176[Fechamento])</f>
        <v>0</v>
      </c>
      <c r="T320" s="7">
        <f>SUMPRODUCT(N(Tabela1768[Código]=Tabela8[[#This Row],[Papel]]),Tabela1768[Fechamento])</f>
        <v>0</v>
      </c>
      <c r="U320" s="7">
        <f>SUMPRODUCT(N(Tabela17683[Código]=Tabela8[[#This Row],[Papel]]),Tabela17683[Fechamento])</f>
        <v>0</v>
      </c>
      <c r="V320" s="17" t="str">
        <f>IF(MAX(Tabela8[[#This Row],[Cotação 1]]:Tabela8[[#This Row],[Cotação 5]])=0,"",MAX(Tabela8[[#This Row],[Cotação 1]]:Tabela8[[#This Row],[Cotação 5]]))</f>
        <v/>
      </c>
      <c r="W3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0" s="17">
        <f>IF(AND([Ref]=5,[Cotação]&gt;0,[Cotação]&lt;&gt;""),[Total Exercício]/[Cotação],IF([Ref]&lt;4,0,""))</f>
        <v>0</v>
      </c>
      <c r="Y320" s="17">
        <f>IF([Tipo]="div",1,0)</f>
        <v>0</v>
      </c>
      <c r="Z320" s="17">
        <f>IF([Tipo]="jcp",1,0)</f>
        <v>0</v>
      </c>
    </row>
    <row r="321" spans="1:26" hidden="1">
      <c r="A321" s="3" t="s">
        <v>1085</v>
      </c>
      <c r="B321" s="57" t="s">
        <v>1071</v>
      </c>
      <c r="C321" s="16">
        <v>3</v>
      </c>
      <c r="D321" s="4"/>
      <c r="E321" s="4"/>
      <c r="F321" s="4"/>
      <c r="G321" s="4"/>
      <c r="H321" s="4"/>
      <c r="I321" s="4"/>
      <c r="J321" s="17">
        <f>IF(Tabela8[[#This Row],[Tipo]]="jcp",Tabela8[[#This Row],[Provento p/Ação]]*85%,Tabela8[[#This Row],[Provento p/Ação]])</f>
        <v>0</v>
      </c>
      <c r="K321" s="143" t="str">
        <f>IF([Lucro p/Ação]&lt;&gt;0,SUMPRODUCT(N([Papel]=Tabela8[[#This Row],[Papel]]),N([Exercício]=Tabela8[[#This Row],[Exercício]]),[Líquido p/Ação]),"")</f>
        <v/>
      </c>
      <c r="L321" s="42" t="str">
        <f>IF(Tabela8[[#This Row],[Lucro p/Ação]]="","",IF(Tabela8[[#This Row],[Lucro p/Ação]]&gt;0,Tabela8[[#This Row],[Total Exercício]]/Tabela8[[#This Row],[Lucro p/Ação]],0))</f>
        <v/>
      </c>
      <c r="M3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1" s="14" t="str">
        <f>IF(Tabela8[[#This Row],[Média Lucro p/Ação]]&lt;&gt;"",Tabela8[[#This Row],[Média Pago]]/Tabela8[[#This Row],[Média Lucro p/Ação]],"")</f>
        <v/>
      </c>
      <c r="P3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1" s="7">
        <f>SUMPRODUCT(N(Tabela1[Código]=Tabela8[[#This Row],[Papel]]),Tabela1[Fechamento])</f>
        <v>0</v>
      </c>
      <c r="R321" s="7">
        <f>SUMPRODUCT(N(Tabela17[Código]=Tabela8[[#This Row],[Papel]]),Tabela17[Fechamento])</f>
        <v>0</v>
      </c>
      <c r="S321" s="7">
        <f>SUMPRODUCT(N(Tabela176[Código]=Tabela8[[#This Row],[Papel]]),Tabela176[Fechamento])</f>
        <v>0</v>
      </c>
      <c r="T321" s="7">
        <f>SUMPRODUCT(N(Tabela1768[Código]=Tabela8[[#This Row],[Papel]]),Tabela1768[Fechamento])</f>
        <v>0</v>
      </c>
      <c r="U321" s="7">
        <f>SUMPRODUCT(N(Tabela17683[Código]=Tabela8[[#This Row],[Papel]]),Tabela17683[Fechamento])</f>
        <v>10.3</v>
      </c>
      <c r="V321" s="17">
        <f>IF(MAX(Tabela8[[#This Row],[Cotação 1]]:Tabela8[[#This Row],[Cotação 5]])=0,"",MAX(Tabela8[[#This Row],[Cotação 1]]:Tabela8[[#This Row],[Cotação 5]]))</f>
        <v>10.3</v>
      </c>
      <c r="W3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1" s="17">
        <f>IF(AND([Ref]=5,[Cotação]&gt;0,[Cotação]&lt;&gt;""),[Total Exercício]/[Cotação],IF([Ref]&lt;4,0,""))</f>
        <v>0</v>
      </c>
      <c r="Y321" s="17">
        <f>IF([Tipo]="div",1,0)</f>
        <v>0</v>
      </c>
      <c r="Z321" s="17">
        <f>IF([Tipo]="jcp",1,0)</f>
        <v>0</v>
      </c>
    </row>
    <row r="322" spans="1:26" hidden="1">
      <c r="A322" s="3" t="s">
        <v>1085</v>
      </c>
      <c r="B322" s="57" t="s">
        <v>1072</v>
      </c>
      <c r="C322" s="16">
        <v>3</v>
      </c>
      <c r="D322" s="4"/>
      <c r="E322" s="4"/>
      <c r="F322" s="4"/>
      <c r="G322" s="4"/>
      <c r="H322" s="4"/>
      <c r="I322" s="4"/>
      <c r="J322" s="17">
        <f>IF(Tabela8[[#This Row],[Tipo]]="jcp",Tabela8[[#This Row],[Provento p/Ação]]*85%,Tabela8[[#This Row],[Provento p/Ação]])</f>
        <v>0</v>
      </c>
      <c r="K322" s="143" t="str">
        <f>IF([Lucro p/Ação]&lt;&gt;0,SUMPRODUCT(N([Papel]=Tabela8[[#This Row],[Papel]]),N([Exercício]=Tabela8[[#This Row],[Exercício]]),[Líquido p/Ação]),"")</f>
        <v/>
      </c>
      <c r="L322" s="42" t="str">
        <f>IF(Tabela8[[#This Row],[Lucro p/Ação]]="","",IF(Tabela8[[#This Row],[Lucro p/Ação]]&gt;0,Tabela8[[#This Row],[Total Exercício]]/Tabela8[[#This Row],[Lucro p/Ação]],0))</f>
        <v/>
      </c>
      <c r="M3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2" s="14" t="str">
        <f>IF(Tabela8[[#This Row],[Média Lucro p/Ação]]&lt;&gt;"",Tabela8[[#This Row],[Média Pago]]/Tabela8[[#This Row],[Média Lucro p/Ação]],"")</f>
        <v/>
      </c>
      <c r="P3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2" s="7">
        <f>SUMPRODUCT(N(Tabela1[Código]=Tabela8[[#This Row],[Papel]]),Tabela1[Fechamento])</f>
        <v>0</v>
      </c>
      <c r="R322" s="7">
        <f>SUMPRODUCT(N(Tabela17[Código]=Tabela8[[#This Row],[Papel]]),Tabela17[Fechamento])</f>
        <v>0</v>
      </c>
      <c r="S322" s="7">
        <f>SUMPRODUCT(N(Tabela176[Código]=Tabela8[[#This Row],[Papel]]),Tabela176[Fechamento])</f>
        <v>0</v>
      </c>
      <c r="T322" s="7">
        <f>SUMPRODUCT(N(Tabela1768[Código]=Tabela8[[#This Row],[Papel]]),Tabela1768[Fechamento])</f>
        <v>0</v>
      </c>
      <c r="U322" s="7">
        <f>SUMPRODUCT(N(Tabela17683[Código]=Tabela8[[#This Row],[Papel]]),Tabela17683[Fechamento])</f>
        <v>11.6</v>
      </c>
      <c r="V322" s="17">
        <f>IF(MAX(Tabela8[[#This Row],[Cotação 1]]:Tabela8[[#This Row],[Cotação 5]])=0,"",MAX(Tabela8[[#This Row],[Cotação 1]]:Tabela8[[#This Row],[Cotação 5]]))</f>
        <v>11.6</v>
      </c>
      <c r="W3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2" s="17">
        <f>IF(AND([Ref]=5,[Cotação]&gt;0,[Cotação]&lt;&gt;""),[Total Exercício]/[Cotação],IF([Ref]&lt;4,0,""))</f>
        <v>0</v>
      </c>
      <c r="Y322" s="17">
        <f>IF([Tipo]="div",1,0)</f>
        <v>0</v>
      </c>
      <c r="Z322" s="17">
        <f>IF([Tipo]="jcp",1,0)</f>
        <v>0</v>
      </c>
    </row>
    <row r="323" spans="1:26" hidden="1">
      <c r="A323" s="4" t="s">
        <v>354</v>
      </c>
      <c r="B323" s="57" t="s">
        <v>352</v>
      </c>
      <c r="C323" s="15">
        <v>4</v>
      </c>
      <c r="D323" s="4"/>
      <c r="E323" s="4"/>
      <c r="F323" s="4"/>
      <c r="G323" s="4"/>
      <c r="H323" s="4"/>
      <c r="I323" s="4"/>
      <c r="J323" s="17">
        <f>IF(Tabela8[[#This Row],[Tipo]]="jcp",Tabela8[[#This Row],[Provento p/Ação]]*85%,Tabela8[[#This Row],[Provento p/Ação]])</f>
        <v>0</v>
      </c>
      <c r="K323" s="143" t="str">
        <f>IF([Lucro p/Ação]&lt;&gt;0,SUMPRODUCT(N([Papel]=Tabela8[[#This Row],[Papel]]),N([Exercício]=Tabela8[[#This Row],[Exercício]]),[Líquido p/Ação]),"")</f>
        <v/>
      </c>
      <c r="L323" s="42" t="str">
        <f>IF(Tabela8[[#This Row],[Lucro p/Ação]]="","",IF(Tabela8[[#This Row],[Lucro p/Ação]]&gt;0,Tabela8[[#This Row],[Total Exercício]]/Tabela8[[#This Row],[Lucro p/Ação]],0))</f>
        <v/>
      </c>
      <c r="M3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3" s="14" t="str">
        <f>IF(Tabela8[[#This Row],[Média Lucro p/Ação]]&lt;&gt;"",Tabela8[[#This Row],[Média Pago]]/Tabela8[[#This Row],[Média Lucro p/Ação]],"")</f>
        <v/>
      </c>
      <c r="P3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3" s="5">
        <f>SUMPRODUCT(N(Tabela1[Código]=Tabela8[[#This Row],[Papel]]),Tabela1[Fechamento])</f>
        <v>0</v>
      </c>
      <c r="R323" s="5">
        <f>SUMPRODUCT(N(Tabela17[Código]=Tabela8[[#This Row],[Papel]]),Tabela17[Fechamento])</f>
        <v>83.91</v>
      </c>
      <c r="S323" s="7">
        <f>SUMPRODUCT(N(Tabela176[Código]=Tabela8[[#This Row],[Papel]]),Tabela176[Fechamento])</f>
        <v>0</v>
      </c>
      <c r="T323" s="7">
        <f>SUMPRODUCT(N(Tabela1768[Código]=Tabela8[[#This Row],[Papel]]),Tabela1768[Fechamento])</f>
        <v>0</v>
      </c>
      <c r="U323" s="7">
        <f>SUMPRODUCT(N(Tabela17683[Código]=Tabela8[[#This Row],[Papel]]),Tabela17683[Fechamento])</f>
        <v>0</v>
      </c>
      <c r="V323" s="17">
        <f>IF(MAX(Tabela8[[#This Row],[Cotação 1]]:Tabela8[[#This Row],[Cotação 5]])=0,"",MAX(Tabela8[[#This Row],[Cotação 1]]:Tabela8[[#This Row],[Cotação 5]]))</f>
        <v>83.91</v>
      </c>
      <c r="W3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3" s="17" t="str">
        <f>IF(AND([Ref]=5,[Cotação]&gt;0,[Cotação]&lt;&gt;""),[Total Exercício]/[Cotação],IF([Ref]&lt;4,0,""))</f>
        <v/>
      </c>
      <c r="Y323" s="17">
        <f>IF([Tipo]="div",1,0)</f>
        <v>0</v>
      </c>
      <c r="Z323" s="17">
        <f>IF([Tipo]="jcp",1,0)</f>
        <v>0</v>
      </c>
    </row>
    <row r="324" spans="1:26" hidden="1">
      <c r="A324" s="4" t="s">
        <v>354</v>
      </c>
      <c r="B324" s="57" t="s">
        <v>353</v>
      </c>
      <c r="C324" s="15">
        <v>4</v>
      </c>
      <c r="D324" s="4"/>
      <c r="E324" s="4"/>
      <c r="F324" s="4"/>
      <c r="G324" s="4"/>
      <c r="H324" s="4"/>
      <c r="I324" s="4"/>
      <c r="J324" s="17">
        <f>IF(Tabela8[[#This Row],[Tipo]]="jcp",Tabela8[[#This Row],[Provento p/Ação]]*85%,Tabela8[[#This Row],[Provento p/Ação]])</f>
        <v>0</v>
      </c>
      <c r="K324" s="143" t="str">
        <f>IF([Lucro p/Ação]&lt;&gt;0,SUMPRODUCT(N([Papel]=Tabela8[[#This Row],[Papel]]),N([Exercício]=Tabela8[[#This Row],[Exercício]]),[Líquido p/Ação]),"")</f>
        <v/>
      </c>
      <c r="L324" s="42" t="str">
        <f>IF(Tabela8[[#This Row],[Lucro p/Ação]]="","",IF(Tabela8[[#This Row],[Lucro p/Ação]]&gt;0,Tabela8[[#This Row],[Total Exercício]]/Tabela8[[#This Row],[Lucro p/Ação]],0))</f>
        <v/>
      </c>
      <c r="M3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4" s="14" t="str">
        <f>IF(Tabela8[[#This Row],[Média Lucro p/Ação]]&lt;&gt;"",Tabela8[[#This Row],[Média Pago]]/Tabela8[[#This Row],[Média Lucro p/Ação]],"")</f>
        <v/>
      </c>
      <c r="P3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4" s="13">
        <f>SUMPRODUCT(N(Tabela1[Código]=Tabela8[[#This Row],[Papel]]),Tabela1[Fechamento])</f>
        <v>0</v>
      </c>
      <c r="R324" s="55">
        <f>SUMPRODUCT(N(Tabela17[Código]=Tabela8[[#This Row],[Papel]]),Tabela17[Fechamento])</f>
        <v>8.5</v>
      </c>
      <c r="S324" s="7">
        <f>SUMPRODUCT(N(Tabela176[Código]=Tabela8[[#This Row],[Papel]]),Tabela176[Fechamento])</f>
        <v>0</v>
      </c>
      <c r="T324" s="7">
        <f>SUMPRODUCT(N(Tabela1768[Código]=Tabela8[[#This Row],[Papel]]),Tabela1768[Fechamento])</f>
        <v>0</v>
      </c>
      <c r="U324" s="7">
        <f>SUMPRODUCT(N(Tabela17683[Código]=Tabela8[[#This Row],[Papel]]),Tabela17683[Fechamento])</f>
        <v>0</v>
      </c>
      <c r="V324" s="17">
        <f>IF(MAX(Tabela8[[#This Row],[Cotação 1]]:Tabela8[[#This Row],[Cotação 5]])=0,"",MAX(Tabela8[[#This Row],[Cotação 1]]:Tabela8[[#This Row],[Cotação 5]]))</f>
        <v>8.5</v>
      </c>
      <c r="W3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4" s="17" t="str">
        <f>IF(AND([Ref]=5,[Cotação]&gt;0,[Cotação]&lt;&gt;""),[Total Exercício]/[Cotação],IF([Ref]&lt;4,0,""))</f>
        <v/>
      </c>
      <c r="Y324" s="17">
        <f>IF([Tipo]="div",1,0)</f>
        <v>0</v>
      </c>
      <c r="Z324" s="17">
        <f>IF([Tipo]="jcp",1,0)</f>
        <v>0</v>
      </c>
    </row>
    <row r="325" spans="1:26" hidden="1">
      <c r="A325" s="4" t="s">
        <v>325</v>
      </c>
      <c r="B325" s="115" t="s">
        <v>605</v>
      </c>
      <c r="C325" s="15">
        <v>3</v>
      </c>
      <c r="D325" s="4"/>
      <c r="E325" s="4"/>
      <c r="F325" s="4"/>
      <c r="G325" s="4"/>
      <c r="H325" s="4"/>
      <c r="I325" s="4"/>
      <c r="J325" s="17">
        <f>IF(Tabela8[[#This Row],[Tipo]]="jcp",Tabela8[[#This Row],[Provento p/Ação]]*85%,Tabela8[[#This Row],[Provento p/Ação]])</f>
        <v>0</v>
      </c>
      <c r="K325" s="143" t="str">
        <f>IF([Lucro p/Ação]&lt;&gt;0,SUMPRODUCT(N([Papel]=Tabela8[[#This Row],[Papel]]),N([Exercício]=Tabela8[[#This Row],[Exercício]]),[Líquido p/Ação]),"")</f>
        <v/>
      </c>
      <c r="L325" s="42" t="str">
        <f>IF(Tabela8[[#This Row],[Lucro p/Ação]]="","",IF(Tabela8[[#This Row],[Lucro p/Ação]]&gt;0,Tabela8[[#This Row],[Total Exercício]]/Tabela8[[#This Row],[Lucro p/Ação]],0))</f>
        <v/>
      </c>
      <c r="M3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5" s="14" t="str">
        <f>IF(Tabela8[[#This Row],[Média Lucro p/Ação]]&lt;&gt;"",Tabela8[[#This Row],[Média Pago]]/Tabela8[[#This Row],[Média Lucro p/Ação]],"")</f>
        <v/>
      </c>
      <c r="P3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5" s="17">
        <f>SUMPRODUCT(N(Tabela1[Código]=Tabela8[[#This Row],[Papel]]),Tabela1[Fechamento])</f>
        <v>0</v>
      </c>
      <c r="R325" s="17">
        <f>SUMPRODUCT(N(Tabela17[Código]=Tabela8[[#This Row],[Papel]]),Tabela17[Fechamento])</f>
        <v>0</v>
      </c>
      <c r="S325" s="17">
        <f>SUMPRODUCT(N(Tabela176[Código]=Tabela8[[#This Row],[Papel]]),Tabela176[Fechamento])</f>
        <v>25</v>
      </c>
      <c r="T325" s="17">
        <f>SUMPRODUCT(N(Tabela1768[Código]=Tabela8[[#This Row],[Papel]]),Tabela1768[Fechamento])</f>
        <v>0</v>
      </c>
      <c r="U325" s="7">
        <f>SUMPRODUCT(N(Tabela17683[Código]=Tabela8[[#This Row],[Papel]]),Tabela17683[Fechamento])</f>
        <v>0</v>
      </c>
      <c r="V325" s="17">
        <f>IF(MAX(Tabela8[[#This Row],[Cotação 1]]:Tabela8[[#This Row],[Cotação 5]])=0,"",MAX(Tabela8[[#This Row],[Cotação 1]]:Tabela8[[#This Row],[Cotação 5]]))</f>
        <v>25</v>
      </c>
      <c r="W3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5" s="17">
        <f>IF(AND([Ref]=5,[Cotação]&gt;0,[Cotação]&lt;&gt;""),[Total Exercício]/[Cotação],IF([Ref]&lt;4,0,""))</f>
        <v>0</v>
      </c>
      <c r="Y325" s="17">
        <f>IF([Tipo]="div",1,0)</f>
        <v>0</v>
      </c>
      <c r="Z325" s="17">
        <f>IF([Tipo]="jcp",1,0)</f>
        <v>0</v>
      </c>
    </row>
    <row r="326" spans="1:26" hidden="1">
      <c r="A326" s="4" t="s">
        <v>325</v>
      </c>
      <c r="B326" s="115" t="s">
        <v>606</v>
      </c>
      <c r="C326" s="15">
        <v>3</v>
      </c>
      <c r="D326" s="4"/>
      <c r="E326" s="4"/>
      <c r="F326" s="4"/>
      <c r="G326" s="4"/>
      <c r="H326" s="4"/>
      <c r="I326" s="4"/>
      <c r="J326" s="17">
        <f>IF(Tabela8[[#This Row],[Tipo]]="jcp",Tabela8[[#This Row],[Provento p/Ação]]*85%,Tabela8[[#This Row],[Provento p/Ação]])</f>
        <v>0</v>
      </c>
      <c r="K326" s="143" t="str">
        <f>IF([Lucro p/Ação]&lt;&gt;0,SUMPRODUCT(N([Papel]=Tabela8[[#This Row],[Papel]]),N([Exercício]=Tabela8[[#This Row],[Exercício]]),[Líquido p/Ação]),"")</f>
        <v/>
      </c>
      <c r="L326" s="42" t="str">
        <f>IF(Tabela8[[#This Row],[Lucro p/Ação]]="","",IF(Tabela8[[#This Row],[Lucro p/Ação]]&gt;0,Tabela8[[#This Row],[Total Exercício]]/Tabela8[[#This Row],[Lucro p/Ação]],0))</f>
        <v/>
      </c>
      <c r="M3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6" s="14" t="str">
        <f>IF(Tabela8[[#This Row],[Média Lucro p/Ação]]&lt;&gt;"",Tabela8[[#This Row],[Média Pago]]/Tabela8[[#This Row],[Média Lucro p/Ação]],"")</f>
        <v/>
      </c>
      <c r="P3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6" s="17">
        <f>SUMPRODUCT(N(Tabela1[Código]=Tabela8[[#This Row],[Papel]]),Tabela1[Fechamento])</f>
        <v>0</v>
      </c>
      <c r="R326" s="17">
        <f>SUMPRODUCT(N(Tabela17[Código]=Tabela8[[#This Row],[Papel]]),Tabela17[Fechamento])</f>
        <v>0</v>
      </c>
      <c r="S326" s="17">
        <f>SUMPRODUCT(N(Tabela176[Código]=Tabela8[[#This Row],[Papel]]),Tabela176[Fechamento])</f>
        <v>0.54</v>
      </c>
      <c r="T326" s="17">
        <f>SUMPRODUCT(N(Tabela1768[Código]=Tabela8[[#This Row],[Papel]]),Tabela1768[Fechamento])</f>
        <v>0</v>
      </c>
      <c r="U326" s="7">
        <f>SUMPRODUCT(N(Tabela17683[Código]=Tabela8[[#This Row],[Papel]]),Tabela17683[Fechamento])</f>
        <v>0</v>
      </c>
      <c r="V326" s="17">
        <f>IF(MAX(Tabela8[[#This Row],[Cotação 1]]:Tabela8[[#This Row],[Cotação 5]])=0,"",MAX(Tabela8[[#This Row],[Cotação 1]]:Tabela8[[#This Row],[Cotação 5]]))</f>
        <v>0.54</v>
      </c>
      <c r="W3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6" s="17">
        <f>IF(AND([Ref]=5,[Cotação]&gt;0,[Cotação]&lt;&gt;""),[Total Exercício]/[Cotação],IF([Ref]&lt;4,0,""))</f>
        <v>0</v>
      </c>
      <c r="Y326" s="17">
        <f>IF([Tipo]="div",1,0)</f>
        <v>0</v>
      </c>
      <c r="Z326" s="17">
        <f>IF([Tipo]="jcp",1,0)</f>
        <v>0</v>
      </c>
    </row>
    <row r="327" spans="1:26" hidden="1">
      <c r="A327" s="3" t="s">
        <v>855</v>
      </c>
      <c r="B327" s="58" t="s">
        <v>864</v>
      </c>
      <c r="C327" s="16">
        <v>4</v>
      </c>
      <c r="D327" s="4"/>
      <c r="E327" s="4"/>
      <c r="F327" s="4"/>
      <c r="G327" s="4"/>
      <c r="H327" s="4"/>
      <c r="I327" s="4"/>
      <c r="J327" s="17">
        <f>IF(Tabela8[[#This Row],[Tipo]]="jcp",Tabela8[[#This Row],[Provento p/Ação]]*85%,Tabela8[[#This Row],[Provento p/Ação]])</f>
        <v>0</v>
      </c>
      <c r="K327" s="143" t="str">
        <f>IF([Lucro p/Ação]&lt;&gt;0,SUMPRODUCT(N([Papel]=Tabela8[[#This Row],[Papel]]),N([Exercício]=Tabela8[[#This Row],[Exercício]]),[Líquido p/Ação]),"")</f>
        <v/>
      </c>
      <c r="L327" s="42" t="str">
        <f>IF(Tabela8[[#This Row],[Lucro p/Ação]]="","",IF(Tabela8[[#This Row],[Lucro p/Ação]]&gt;0,Tabela8[[#This Row],[Total Exercício]]/Tabela8[[#This Row],[Lucro p/Ação]],0))</f>
        <v/>
      </c>
      <c r="M3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7" s="14" t="str">
        <f>IF(Tabela8[[#This Row],[Média Lucro p/Ação]]&lt;&gt;"",Tabela8[[#This Row],[Média Pago]]/Tabela8[[#This Row],[Média Lucro p/Ação]],"")</f>
        <v/>
      </c>
      <c r="P3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7" s="7">
        <f>SUMPRODUCT(N(Tabela1[Código]=Tabela8[[#This Row],[Papel]]),Tabela1[Fechamento])</f>
        <v>0</v>
      </c>
      <c r="R327" s="7">
        <f>SUMPRODUCT(N(Tabela17[Código]=Tabela8[[#This Row],[Papel]]),Tabela17[Fechamento])</f>
        <v>0</v>
      </c>
      <c r="S327" s="7">
        <f>SUMPRODUCT(N(Tabela176[Código]=Tabela8[[#This Row],[Papel]]),Tabela176[Fechamento])</f>
        <v>0</v>
      </c>
      <c r="T327" s="7">
        <f>SUMPRODUCT(N(Tabela1768[Código]=Tabela8[[#This Row],[Papel]]),Tabela1768[Fechamento])</f>
        <v>6.12</v>
      </c>
      <c r="U327" s="7">
        <f>SUMPRODUCT(N(Tabela17683[Código]=Tabela8[[#This Row],[Papel]]),Tabela17683[Fechamento])</f>
        <v>0</v>
      </c>
      <c r="V327" s="17">
        <f>IF(MAX(Tabela8[[#This Row],[Cotação 1]]:Tabela8[[#This Row],[Cotação 5]])=0,"",MAX(Tabela8[[#This Row],[Cotação 1]]:Tabela8[[#This Row],[Cotação 5]]))</f>
        <v>6.12</v>
      </c>
      <c r="W3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7" s="17" t="str">
        <f>IF(AND([Ref]=5,[Cotação]&gt;0,[Cotação]&lt;&gt;""),[Total Exercício]/[Cotação],IF([Ref]&lt;4,0,""))</f>
        <v/>
      </c>
      <c r="Y327" s="17">
        <f>IF([Tipo]="div",1,0)</f>
        <v>0</v>
      </c>
      <c r="Z327" s="17">
        <f>IF([Tipo]="jcp",1,0)</f>
        <v>0</v>
      </c>
    </row>
    <row r="328" spans="1:26" hidden="1">
      <c r="A328" s="3" t="s">
        <v>1131</v>
      </c>
      <c r="B328" s="57" t="s">
        <v>1121</v>
      </c>
      <c r="C328" s="16">
        <v>4</v>
      </c>
      <c r="D328" s="4"/>
      <c r="E328" s="4"/>
      <c r="F328" s="4"/>
      <c r="G328" s="4"/>
      <c r="H328" s="4"/>
      <c r="I328" s="4"/>
      <c r="J328" s="17">
        <f>IF(Tabela8[[#This Row],[Tipo]]="jcp",Tabela8[[#This Row],[Provento p/Ação]]*85%,Tabela8[[#This Row],[Provento p/Ação]])</f>
        <v>0</v>
      </c>
      <c r="K328" s="143" t="str">
        <f>IF([Lucro p/Ação]&lt;&gt;0,SUMPRODUCT(N([Papel]=Tabela8[[#This Row],[Papel]]),N([Exercício]=Tabela8[[#This Row],[Exercício]]),[Líquido p/Ação]),"")</f>
        <v/>
      </c>
      <c r="L328" s="42" t="str">
        <f>IF(Tabela8[[#This Row],[Lucro p/Ação]]="","",IF(Tabela8[[#This Row],[Lucro p/Ação]]&gt;0,Tabela8[[#This Row],[Total Exercício]]/Tabela8[[#This Row],[Lucro p/Ação]],0))</f>
        <v/>
      </c>
      <c r="M3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8" s="14" t="str">
        <f>IF(Tabela8[[#This Row],[Média Lucro p/Ação]]&lt;&gt;"",Tabela8[[#This Row],[Média Pago]]/Tabela8[[#This Row],[Média Lucro p/Ação]],"")</f>
        <v/>
      </c>
      <c r="P3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8" s="7">
        <f>SUMPRODUCT(N(Tabela1[Código]=Tabela8[[#This Row],[Papel]]),Tabela1[Fechamento])</f>
        <v>0</v>
      </c>
      <c r="R328" s="7">
        <f>SUMPRODUCT(N(Tabela17[Código]=Tabela8[[#This Row],[Papel]]),Tabela17[Fechamento])</f>
        <v>0</v>
      </c>
      <c r="S328" s="7">
        <f>SUMPRODUCT(N(Tabela176[Código]=Tabela8[[#This Row],[Papel]]),Tabela176[Fechamento])</f>
        <v>0</v>
      </c>
      <c r="T328" s="7">
        <f>SUMPRODUCT(N(Tabela1768[Código]=Tabela8[[#This Row],[Papel]]),Tabela1768[Fechamento])</f>
        <v>0</v>
      </c>
      <c r="U328" s="7">
        <f>SUMPRODUCT(N(Tabela17683[Código]=Tabela8[[#This Row],[Papel]]),Tabela17683[Fechamento])</f>
        <v>25.48</v>
      </c>
      <c r="V328" s="17">
        <f>IF(MAX(Tabela8[[#This Row],[Cotação 1]]:Tabela8[[#This Row],[Cotação 5]])=0,"",MAX(Tabela8[[#This Row],[Cotação 1]]:Tabela8[[#This Row],[Cotação 5]]))</f>
        <v>25.48</v>
      </c>
      <c r="W3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8" s="17" t="str">
        <f>IF(AND([Ref]=5,[Cotação]&gt;0,[Cotação]&lt;&gt;""),[Total Exercício]/[Cotação],IF([Ref]&lt;4,0,""))</f>
        <v/>
      </c>
      <c r="Y328" s="17">
        <f>IF([Tipo]="div",1,0)</f>
        <v>0</v>
      </c>
      <c r="Z328" s="17">
        <f>IF([Tipo]="jcp",1,0)</f>
        <v>0</v>
      </c>
    </row>
    <row r="329" spans="1:26" hidden="1">
      <c r="A329" s="4" t="s">
        <v>283</v>
      </c>
      <c r="B329" s="57" t="s">
        <v>518</v>
      </c>
      <c r="C329" s="15">
        <v>3</v>
      </c>
      <c r="D329" s="4"/>
      <c r="E329" s="4"/>
      <c r="F329" s="4"/>
      <c r="G329" s="4"/>
      <c r="H329" s="4"/>
      <c r="I329" s="4"/>
      <c r="J329" s="17">
        <f>IF(Tabela8[[#This Row],[Tipo]]="jcp",Tabela8[[#This Row],[Provento p/Ação]]*85%,Tabela8[[#This Row],[Provento p/Ação]])</f>
        <v>0</v>
      </c>
      <c r="K329" s="143" t="str">
        <f>IF([Lucro p/Ação]&lt;&gt;0,SUMPRODUCT(N([Papel]=Tabela8[[#This Row],[Papel]]),N([Exercício]=Tabela8[[#This Row],[Exercício]]),[Líquido p/Ação]),"")</f>
        <v/>
      </c>
      <c r="L329" s="42" t="str">
        <f>IF(Tabela8[[#This Row],[Lucro p/Ação]]="","",IF(Tabela8[[#This Row],[Lucro p/Ação]]&gt;0,Tabela8[[#This Row],[Total Exercício]]/Tabela8[[#This Row],[Lucro p/Ação]],0))</f>
        <v/>
      </c>
      <c r="M3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29" s="14" t="str">
        <f>IF(Tabela8[[#This Row],[Média Lucro p/Ação]]&lt;&gt;"",Tabela8[[#This Row],[Média Pago]]/Tabela8[[#This Row],[Média Lucro p/Ação]],"")</f>
        <v/>
      </c>
      <c r="P3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29" s="17">
        <f>SUMPRODUCT(N(Tabela1[Código]=Tabela8[[#This Row],[Papel]]),Tabela1[Fechamento])</f>
        <v>0</v>
      </c>
      <c r="R329" s="17">
        <f>SUMPRODUCT(N(Tabela17[Código]=Tabela8[[#This Row],[Papel]]),Tabela17[Fechamento])</f>
        <v>1.87</v>
      </c>
      <c r="S329" s="7">
        <f>SUMPRODUCT(N(Tabela176[Código]=Tabela8[[#This Row],[Papel]]),Tabela176[Fechamento])</f>
        <v>0</v>
      </c>
      <c r="T329" s="7">
        <f>SUMPRODUCT(N(Tabela1768[Código]=Tabela8[[#This Row],[Papel]]),Tabela1768[Fechamento])</f>
        <v>0</v>
      </c>
      <c r="U329" s="7">
        <f>SUMPRODUCT(N(Tabela17683[Código]=Tabela8[[#This Row],[Papel]]),Tabela17683[Fechamento])</f>
        <v>0</v>
      </c>
      <c r="V329" s="17">
        <f>IF(MAX(Tabela8[[#This Row],[Cotação 1]]:Tabela8[[#This Row],[Cotação 5]])=0,"",MAX(Tabela8[[#This Row],[Cotação 1]]:Tabela8[[#This Row],[Cotação 5]]))</f>
        <v>1.87</v>
      </c>
      <c r="W3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29" s="17">
        <f>IF(AND([Ref]=5,[Cotação]&gt;0,[Cotação]&lt;&gt;""),[Total Exercício]/[Cotação],IF([Ref]&lt;4,0,""))</f>
        <v>0</v>
      </c>
      <c r="Y329" s="17">
        <f>IF([Tipo]="div",1,0)</f>
        <v>0</v>
      </c>
      <c r="Z329" s="17">
        <f>IF([Tipo]="jcp",1,0)</f>
        <v>0</v>
      </c>
    </row>
    <row r="330" spans="1:26" hidden="1">
      <c r="A330" s="4" t="s">
        <v>283</v>
      </c>
      <c r="B330" s="57" t="s">
        <v>519</v>
      </c>
      <c r="C330" s="15">
        <v>3</v>
      </c>
      <c r="D330" s="4"/>
      <c r="E330" s="4"/>
      <c r="F330" s="4"/>
      <c r="G330" s="4"/>
      <c r="H330" s="4"/>
      <c r="I330" s="4"/>
      <c r="J330" s="17">
        <f>IF(Tabela8[[#This Row],[Tipo]]="jcp",Tabela8[[#This Row],[Provento p/Ação]]*85%,Tabela8[[#This Row],[Provento p/Ação]])</f>
        <v>0</v>
      </c>
      <c r="K330" s="143" t="str">
        <f>IF([Lucro p/Ação]&lt;&gt;0,SUMPRODUCT(N([Papel]=Tabela8[[#This Row],[Papel]]),N([Exercício]=Tabela8[[#This Row],[Exercício]]),[Líquido p/Ação]),"")</f>
        <v/>
      </c>
      <c r="L330" s="42" t="str">
        <f>IF(Tabela8[[#This Row],[Lucro p/Ação]]="","",IF(Tabela8[[#This Row],[Lucro p/Ação]]&gt;0,Tabela8[[#This Row],[Total Exercício]]/Tabela8[[#This Row],[Lucro p/Ação]],0))</f>
        <v/>
      </c>
      <c r="M3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0" s="14" t="str">
        <f>IF(Tabela8[[#This Row],[Média Lucro p/Ação]]&lt;&gt;"",Tabela8[[#This Row],[Média Pago]]/Tabela8[[#This Row],[Média Lucro p/Ação]],"")</f>
        <v/>
      </c>
      <c r="P3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0" s="17">
        <f>SUMPRODUCT(N(Tabela1[Código]=Tabela8[[#This Row],[Papel]]),Tabela1[Fechamento])</f>
        <v>0</v>
      </c>
      <c r="R330" s="17">
        <f>SUMPRODUCT(N(Tabela17[Código]=Tabela8[[#This Row],[Papel]]),Tabela17[Fechamento])</f>
        <v>1.54</v>
      </c>
      <c r="S330" s="7">
        <f>SUMPRODUCT(N(Tabela176[Código]=Tabela8[[#This Row],[Papel]]),Tabela176[Fechamento])</f>
        <v>0</v>
      </c>
      <c r="T330" s="7">
        <f>SUMPRODUCT(N(Tabela1768[Código]=Tabela8[[#This Row],[Papel]]),Tabela1768[Fechamento])</f>
        <v>0</v>
      </c>
      <c r="U330" s="7">
        <f>SUMPRODUCT(N(Tabela17683[Código]=Tabela8[[#This Row],[Papel]]),Tabela17683[Fechamento])</f>
        <v>0</v>
      </c>
      <c r="V330" s="17">
        <f>IF(MAX(Tabela8[[#This Row],[Cotação 1]]:Tabela8[[#This Row],[Cotação 5]])=0,"",MAX(Tabela8[[#This Row],[Cotação 1]]:Tabela8[[#This Row],[Cotação 5]]))</f>
        <v>1.54</v>
      </c>
      <c r="W3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0" s="17">
        <f>IF(AND([Ref]=5,[Cotação]&gt;0,[Cotação]&lt;&gt;""),[Total Exercício]/[Cotação],IF([Ref]&lt;4,0,""))</f>
        <v>0</v>
      </c>
      <c r="Y330" s="17">
        <f>IF([Tipo]="div",1,0)</f>
        <v>0</v>
      </c>
      <c r="Z330" s="17">
        <f>IF([Tipo]="jcp",1,0)</f>
        <v>0</v>
      </c>
    </row>
    <row r="331" spans="1:26" hidden="1">
      <c r="A331" s="4" t="s">
        <v>319</v>
      </c>
      <c r="B331" s="57" t="s">
        <v>647</v>
      </c>
      <c r="C331" s="15">
        <v>3</v>
      </c>
      <c r="D331" s="4"/>
      <c r="E331" s="4"/>
      <c r="F331" s="4"/>
      <c r="G331" s="4"/>
      <c r="H331" s="4"/>
      <c r="I331" s="4"/>
      <c r="J331" s="17">
        <f>IF(Tabela8[[#This Row],[Tipo]]="jcp",Tabela8[[#This Row],[Provento p/Ação]]*85%,Tabela8[[#This Row],[Provento p/Ação]])</f>
        <v>0</v>
      </c>
      <c r="K331" s="143" t="str">
        <f>IF([Lucro p/Ação]&lt;&gt;0,SUMPRODUCT(N([Papel]=Tabela8[[#This Row],[Papel]]),N([Exercício]=Tabela8[[#This Row],[Exercício]]),[Líquido p/Ação]),"")</f>
        <v/>
      </c>
      <c r="L331" s="42" t="str">
        <f>IF(Tabela8[[#This Row],[Lucro p/Ação]]="","",IF(Tabela8[[#This Row],[Lucro p/Ação]]&gt;0,Tabela8[[#This Row],[Total Exercício]]/Tabela8[[#This Row],[Lucro p/Ação]],0))</f>
        <v/>
      </c>
      <c r="M3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1" s="14" t="str">
        <f>IF(Tabela8[[#This Row],[Média Lucro p/Ação]]&lt;&gt;"",Tabela8[[#This Row],[Média Pago]]/Tabela8[[#This Row],[Média Lucro p/Ação]],"")</f>
        <v/>
      </c>
      <c r="P3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1" s="17">
        <f>SUMPRODUCT(N(Tabela1[Código]=Tabela8[[#This Row],[Papel]]),Tabela1[Fechamento])</f>
        <v>0</v>
      </c>
      <c r="R331" s="17">
        <f>SUMPRODUCT(N(Tabela17[Código]=Tabela8[[#This Row],[Papel]]),Tabela17[Fechamento])</f>
        <v>0</v>
      </c>
      <c r="S331" s="17">
        <f>SUMPRODUCT(N(Tabela176[Código]=Tabela8[[#This Row],[Papel]]),Tabela176[Fechamento])</f>
        <v>2.8</v>
      </c>
      <c r="T331" s="17">
        <f>SUMPRODUCT(N(Tabela1768[Código]=Tabela8[[#This Row],[Papel]]),Tabela1768[Fechamento])</f>
        <v>0</v>
      </c>
      <c r="U331" s="7">
        <f>SUMPRODUCT(N(Tabela17683[Código]=Tabela8[[#This Row],[Papel]]),Tabela17683[Fechamento])</f>
        <v>0</v>
      </c>
      <c r="V331" s="17">
        <f>IF(MAX(Tabela8[[#This Row],[Cotação 1]]:Tabela8[[#This Row],[Cotação 5]])=0,"",MAX(Tabela8[[#This Row],[Cotação 1]]:Tabela8[[#This Row],[Cotação 5]]))</f>
        <v>2.8</v>
      </c>
      <c r="W3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1" s="17">
        <f>IF(AND([Ref]=5,[Cotação]&gt;0,[Cotação]&lt;&gt;""),[Total Exercício]/[Cotação],IF([Ref]&lt;4,0,""))</f>
        <v>0</v>
      </c>
      <c r="Y331" s="17">
        <f>IF([Tipo]="div",1,0)</f>
        <v>0</v>
      </c>
      <c r="Z331" s="17">
        <f>IF([Tipo]="jcp",1,0)</f>
        <v>0</v>
      </c>
    </row>
    <row r="332" spans="1:26" hidden="1">
      <c r="A332" s="3" t="s">
        <v>964</v>
      </c>
      <c r="B332" s="58" t="s">
        <v>965</v>
      </c>
      <c r="C332" s="16">
        <v>3</v>
      </c>
      <c r="D332" s="4"/>
      <c r="E332" s="4"/>
      <c r="F332" s="4"/>
      <c r="G332" s="4"/>
      <c r="H332" s="4"/>
      <c r="I332" s="4"/>
      <c r="J332" s="17">
        <f>IF(Tabela8[[#This Row],[Tipo]]="jcp",Tabela8[[#This Row],[Provento p/Ação]]*85%,Tabela8[[#This Row],[Provento p/Ação]])</f>
        <v>0</v>
      </c>
      <c r="K332" s="143" t="str">
        <f>IF([Lucro p/Ação]&lt;&gt;0,SUMPRODUCT(N([Papel]=Tabela8[[#This Row],[Papel]]),N([Exercício]=Tabela8[[#This Row],[Exercício]]),[Líquido p/Ação]),"")</f>
        <v/>
      </c>
      <c r="L332" s="42" t="str">
        <f>IF(Tabela8[[#This Row],[Lucro p/Ação]]="","",IF(Tabela8[[#This Row],[Lucro p/Ação]]&gt;0,Tabela8[[#This Row],[Total Exercício]]/Tabela8[[#This Row],[Lucro p/Ação]],0))</f>
        <v/>
      </c>
      <c r="M3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2" s="14" t="str">
        <f>IF(Tabela8[[#This Row],[Média Lucro p/Ação]]&lt;&gt;"",Tabela8[[#This Row],[Média Pago]]/Tabela8[[#This Row],[Média Lucro p/Ação]],"")</f>
        <v/>
      </c>
      <c r="P3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2" s="7">
        <f>SUMPRODUCT(N(Tabela1[Código]=Tabela8[[#This Row],[Papel]]),Tabela1[Fechamento])</f>
        <v>0</v>
      </c>
      <c r="R332" s="7">
        <f>SUMPRODUCT(N(Tabela17[Código]=Tabela8[[#This Row],[Papel]]),Tabela17[Fechamento])</f>
        <v>0</v>
      </c>
      <c r="S332" s="7">
        <f>SUMPRODUCT(N(Tabela176[Código]=Tabela8[[#This Row],[Papel]]),Tabela176[Fechamento])</f>
        <v>0</v>
      </c>
      <c r="T332" s="7">
        <f>SUMPRODUCT(N(Tabela1768[Código]=Tabela8[[#This Row],[Papel]]),Tabela1768[Fechamento])</f>
        <v>9.01</v>
      </c>
      <c r="U332" s="7">
        <f>SUMPRODUCT(N(Tabela17683[Código]=Tabela8[[#This Row],[Papel]]),Tabela17683[Fechamento])</f>
        <v>0</v>
      </c>
      <c r="V332" s="17">
        <f>IF(MAX(Tabela8[[#This Row],[Cotação 1]]:Tabela8[[#This Row],[Cotação 5]])=0,"",MAX(Tabela8[[#This Row],[Cotação 1]]:Tabela8[[#This Row],[Cotação 5]]))</f>
        <v>9.01</v>
      </c>
      <c r="W3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2" s="17">
        <f>IF(AND([Ref]=5,[Cotação]&gt;0,[Cotação]&lt;&gt;""),[Total Exercício]/[Cotação],IF([Ref]&lt;4,0,""))</f>
        <v>0</v>
      </c>
      <c r="Y332" s="17">
        <f>IF([Tipo]="div",1,0)</f>
        <v>0</v>
      </c>
      <c r="Z332" s="17">
        <f>IF([Tipo]="jcp",1,0)</f>
        <v>0</v>
      </c>
    </row>
    <row r="333" spans="1:26" hidden="1">
      <c r="A333" s="3" t="s">
        <v>269</v>
      </c>
      <c r="B333" s="58" t="s">
        <v>803</v>
      </c>
      <c r="C333" s="16">
        <v>4</v>
      </c>
      <c r="D333" s="4"/>
      <c r="E333" s="4"/>
      <c r="F333" s="4"/>
      <c r="G333" s="4"/>
      <c r="H333" s="4"/>
      <c r="I333" s="4"/>
      <c r="J333" s="17">
        <f>IF(Tabela8[[#This Row],[Tipo]]="jcp",Tabela8[[#This Row],[Provento p/Ação]]*85%,Tabela8[[#This Row],[Provento p/Ação]])</f>
        <v>0</v>
      </c>
      <c r="K333" s="143" t="str">
        <f>IF([Lucro p/Ação]&lt;&gt;0,SUMPRODUCT(N([Papel]=Tabela8[[#This Row],[Papel]]),N([Exercício]=Tabela8[[#This Row],[Exercício]]),[Líquido p/Ação]),"")</f>
        <v/>
      </c>
      <c r="L333" s="42" t="str">
        <f>IF(Tabela8[[#This Row],[Lucro p/Ação]]="","",IF(Tabela8[[#This Row],[Lucro p/Ação]]&gt;0,Tabela8[[#This Row],[Total Exercício]]/Tabela8[[#This Row],[Lucro p/Ação]],0))</f>
        <v/>
      </c>
      <c r="M3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3" s="14" t="str">
        <f>IF(Tabela8[[#This Row],[Média Lucro p/Ação]]&lt;&gt;"",Tabela8[[#This Row],[Média Pago]]/Tabela8[[#This Row],[Média Lucro p/Ação]],"")</f>
        <v/>
      </c>
      <c r="P3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3" s="7">
        <f>SUMPRODUCT(N(Tabela1[Código]=Tabela8[[#This Row],[Papel]]),Tabela1[Fechamento])</f>
        <v>0</v>
      </c>
      <c r="R333" s="7">
        <f>SUMPRODUCT(N(Tabela17[Código]=Tabela8[[#This Row],[Papel]]),Tabela17[Fechamento])</f>
        <v>0</v>
      </c>
      <c r="S333" s="7">
        <f>SUMPRODUCT(N(Tabela176[Código]=Tabela8[[#This Row],[Papel]]),Tabela176[Fechamento])</f>
        <v>7.0000000000000007E-2</v>
      </c>
      <c r="T333" s="7">
        <f>SUMPRODUCT(N(Tabela1768[Código]=Tabela8[[#This Row],[Papel]]),Tabela1768[Fechamento])</f>
        <v>0</v>
      </c>
      <c r="U333" s="7">
        <f>SUMPRODUCT(N(Tabela17683[Código]=Tabela8[[#This Row],[Papel]]),Tabela17683[Fechamento])</f>
        <v>0</v>
      </c>
      <c r="V333" s="17">
        <f>IF(MAX(Tabela8[[#This Row],[Cotação 1]]:Tabela8[[#This Row],[Cotação 5]])=0,"",MAX(Tabela8[[#This Row],[Cotação 1]]:Tabela8[[#This Row],[Cotação 5]]))</f>
        <v>7.0000000000000007E-2</v>
      </c>
      <c r="W3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3" s="17" t="str">
        <f>IF(AND([Ref]=5,[Cotação]&gt;0,[Cotação]&lt;&gt;""),[Total Exercício]/[Cotação],IF([Ref]&lt;4,0,""))</f>
        <v/>
      </c>
      <c r="Y333" s="17">
        <f>IF([Tipo]="div",1,0)</f>
        <v>0</v>
      </c>
      <c r="Z333" s="17">
        <f>IF([Tipo]="jcp",1,0)</f>
        <v>0</v>
      </c>
    </row>
    <row r="334" spans="1:26" hidden="1">
      <c r="A334" s="3" t="s">
        <v>288</v>
      </c>
      <c r="B334" s="58" t="s">
        <v>294</v>
      </c>
      <c r="C334" s="16">
        <v>3</v>
      </c>
      <c r="D334" s="4"/>
      <c r="E334" s="4"/>
      <c r="F334" s="4"/>
      <c r="G334" s="4"/>
      <c r="H334" s="4"/>
      <c r="I334" s="4"/>
      <c r="J334" s="17">
        <f>IF(Tabela8[[#This Row],[Tipo]]="jcp",Tabela8[[#This Row],[Provento p/Ação]]*85%,Tabela8[[#This Row],[Provento p/Ação]])</f>
        <v>0</v>
      </c>
      <c r="K334" s="143" t="str">
        <f>IF([Lucro p/Ação]&lt;&gt;0,SUMPRODUCT(N([Papel]=Tabela8[[#This Row],[Papel]]),N([Exercício]=Tabela8[[#This Row],[Exercício]]),[Líquido p/Ação]),"")</f>
        <v/>
      </c>
      <c r="L334" s="42" t="str">
        <f>IF(Tabela8[[#This Row],[Lucro p/Ação]]="","",IF(Tabela8[[#This Row],[Lucro p/Ação]]&gt;0,Tabela8[[#This Row],[Total Exercício]]/Tabela8[[#This Row],[Lucro p/Ação]],0))</f>
        <v/>
      </c>
      <c r="M3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4" s="14" t="str">
        <f>IF(Tabela8[[#This Row],[Média Lucro p/Ação]]&lt;&gt;"",Tabela8[[#This Row],[Média Pago]]/Tabela8[[#This Row],[Média Lucro p/Ação]],"")</f>
        <v/>
      </c>
      <c r="P3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4" s="47">
        <f>SUMPRODUCT(N(Tabela1[Código]=Tabela8[[#This Row],[Papel]]),Tabela1[Fechamento])</f>
        <v>0</v>
      </c>
      <c r="R334" s="54">
        <f>SUMPRODUCT(N(Tabela17[Código]=Tabela8[[#This Row],[Papel]]),Tabela17[Fechamento])</f>
        <v>156</v>
      </c>
      <c r="S334" s="7">
        <f>SUMPRODUCT(N(Tabela176[Código]=Tabela8[[#This Row],[Papel]]),Tabela176[Fechamento])</f>
        <v>0</v>
      </c>
      <c r="T334" s="7">
        <f>SUMPRODUCT(N(Tabela1768[Código]=Tabela8[[#This Row],[Papel]]),Tabela1768[Fechamento])</f>
        <v>0</v>
      </c>
      <c r="U334" s="7">
        <f>SUMPRODUCT(N(Tabela17683[Código]=Tabela8[[#This Row],[Papel]]),Tabela17683[Fechamento])</f>
        <v>0</v>
      </c>
      <c r="V334" s="17">
        <f>IF(MAX(Tabela8[[#This Row],[Cotação 1]]:Tabela8[[#This Row],[Cotação 5]])=0,"",MAX(Tabela8[[#This Row],[Cotação 1]]:Tabela8[[#This Row],[Cotação 5]]))</f>
        <v>156</v>
      </c>
      <c r="W3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4" s="17">
        <f>IF(AND([Ref]=5,[Cotação]&gt;0,[Cotação]&lt;&gt;""),[Total Exercício]/[Cotação],IF([Ref]&lt;4,0,""))</f>
        <v>0</v>
      </c>
      <c r="Y334" s="17">
        <f>IF([Tipo]="div",1,0)</f>
        <v>0</v>
      </c>
      <c r="Z334" s="17">
        <f>IF([Tipo]="jcp",1,0)</f>
        <v>0</v>
      </c>
    </row>
    <row r="335" spans="1:26" hidden="1">
      <c r="A335" s="3" t="s">
        <v>269</v>
      </c>
      <c r="B335" s="58" t="s">
        <v>809</v>
      </c>
      <c r="C335" s="16">
        <v>4</v>
      </c>
      <c r="D335" s="4"/>
      <c r="E335" s="4"/>
      <c r="F335" s="4"/>
      <c r="G335" s="4"/>
      <c r="H335" s="4"/>
      <c r="I335" s="4"/>
      <c r="J335" s="17">
        <f>IF(Tabela8[[#This Row],[Tipo]]="jcp",Tabela8[[#This Row],[Provento p/Ação]]*85%,Tabela8[[#This Row],[Provento p/Ação]])</f>
        <v>0</v>
      </c>
      <c r="K335" s="143" t="str">
        <f>IF([Lucro p/Ação]&lt;&gt;0,SUMPRODUCT(N([Papel]=Tabela8[[#This Row],[Papel]]),N([Exercício]=Tabela8[[#This Row],[Exercício]]),[Líquido p/Ação]),"")</f>
        <v/>
      </c>
      <c r="L335" s="42" t="str">
        <f>IF(Tabela8[[#This Row],[Lucro p/Ação]]="","",IF(Tabela8[[#This Row],[Lucro p/Ação]]&gt;0,Tabela8[[#This Row],[Total Exercício]]/Tabela8[[#This Row],[Lucro p/Ação]],0))</f>
        <v/>
      </c>
      <c r="M3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5" s="14" t="str">
        <f>IF(Tabela8[[#This Row],[Média Lucro p/Ação]]&lt;&gt;"",Tabela8[[#This Row],[Média Pago]]/Tabela8[[#This Row],[Média Lucro p/Ação]],"")</f>
        <v/>
      </c>
      <c r="P3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5" s="7">
        <f>SUMPRODUCT(N(Tabela1[Código]=Tabela8[[#This Row],[Papel]]),Tabela1[Fechamento])</f>
        <v>0</v>
      </c>
      <c r="R335" s="7">
        <f>SUMPRODUCT(N(Tabela17[Código]=Tabela8[[#This Row],[Papel]]),Tabela17[Fechamento])</f>
        <v>0</v>
      </c>
      <c r="S335" s="7">
        <f>SUMPRODUCT(N(Tabela176[Código]=Tabela8[[#This Row],[Papel]]),Tabela176[Fechamento])</f>
        <v>3.91</v>
      </c>
      <c r="T335" s="7">
        <f>SUMPRODUCT(N(Tabela1768[Código]=Tabela8[[#This Row],[Papel]]),Tabela1768[Fechamento])</f>
        <v>0</v>
      </c>
      <c r="U335" s="7">
        <f>SUMPRODUCT(N(Tabela17683[Código]=Tabela8[[#This Row],[Papel]]),Tabela17683[Fechamento])</f>
        <v>0</v>
      </c>
      <c r="V335" s="17">
        <f>IF(MAX(Tabela8[[#This Row],[Cotação 1]]:Tabela8[[#This Row],[Cotação 5]])=0,"",MAX(Tabela8[[#This Row],[Cotação 1]]:Tabela8[[#This Row],[Cotação 5]]))</f>
        <v>3.91</v>
      </c>
      <c r="W3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5" s="17" t="str">
        <f>IF(AND([Ref]=5,[Cotação]&gt;0,[Cotação]&lt;&gt;""),[Total Exercício]/[Cotação],IF([Ref]&lt;4,0,""))</f>
        <v/>
      </c>
      <c r="Y335" s="17">
        <f>IF([Tipo]="div",1,0)</f>
        <v>0</v>
      </c>
      <c r="Z335" s="17">
        <f>IF([Tipo]="jcp",1,0)</f>
        <v>0</v>
      </c>
    </row>
    <row r="336" spans="1:26" hidden="1">
      <c r="A336" s="3" t="s">
        <v>1019</v>
      </c>
      <c r="B336" s="57" t="s">
        <v>1045</v>
      </c>
      <c r="C336" s="16">
        <v>3</v>
      </c>
      <c r="D336" s="4"/>
      <c r="E336" s="4"/>
      <c r="F336" s="4"/>
      <c r="G336" s="4"/>
      <c r="H336" s="4"/>
      <c r="I336" s="4"/>
      <c r="J336" s="17">
        <f>IF(Tabela8[[#This Row],[Tipo]]="jcp",Tabela8[[#This Row],[Provento p/Ação]]*85%,Tabela8[[#This Row],[Provento p/Ação]])</f>
        <v>0</v>
      </c>
      <c r="K336" s="143" t="str">
        <f>IF([Lucro p/Ação]&lt;&gt;0,SUMPRODUCT(N([Papel]=Tabela8[[#This Row],[Papel]]),N([Exercício]=Tabela8[[#This Row],[Exercício]]),[Líquido p/Ação]),"")</f>
        <v/>
      </c>
      <c r="L336" s="42" t="str">
        <f>IF(Tabela8[[#This Row],[Lucro p/Ação]]="","",IF(Tabela8[[#This Row],[Lucro p/Ação]]&gt;0,Tabela8[[#This Row],[Total Exercício]]/Tabela8[[#This Row],[Lucro p/Ação]],0))</f>
        <v/>
      </c>
      <c r="M3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6" s="14" t="str">
        <f>IF(Tabela8[[#This Row],[Média Lucro p/Ação]]&lt;&gt;"",Tabela8[[#This Row],[Média Pago]]/Tabela8[[#This Row],[Média Lucro p/Ação]],"")</f>
        <v/>
      </c>
      <c r="P3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6" s="7">
        <f>SUMPRODUCT(N(Tabela1[Código]=Tabela8[[#This Row],[Papel]]),Tabela1[Fechamento])</f>
        <v>0</v>
      </c>
      <c r="R336" s="7">
        <f>SUMPRODUCT(N(Tabela17[Código]=Tabela8[[#This Row],[Papel]]),Tabela17[Fechamento])</f>
        <v>0</v>
      </c>
      <c r="S336" s="7">
        <f>SUMPRODUCT(N(Tabela176[Código]=Tabela8[[#This Row],[Papel]]),Tabela176[Fechamento])</f>
        <v>0</v>
      </c>
      <c r="T336" s="7">
        <f>SUMPRODUCT(N(Tabela1768[Código]=Tabela8[[#This Row],[Papel]]),Tabela1768[Fechamento])</f>
        <v>7.11</v>
      </c>
      <c r="U336" s="7">
        <f>SUMPRODUCT(N(Tabela17683[Código]=Tabela8[[#This Row],[Papel]]),Tabela17683[Fechamento])</f>
        <v>0</v>
      </c>
      <c r="V336" s="17">
        <f>IF(MAX(Tabela8[[#This Row],[Cotação 1]]:Tabela8[[#This Row],[Cotação 5]])=0,"",MAX(Tabela8[[#This Row],[Cotação 1]]:Tabela8[[#This Row],[Cotação 5]]))</f>
        <v>7.11</v>
      </c>
      <c r="W3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6" s="17">
        <f>IF(AND([Ref]=5,[Cotação]&gt;0,[Cotação]&lt;&gt;""),[Total Exercício]/[Cotação],IF([Ref]&lt;4,0,""))</f>
        <v>0</v>
      </c>
      <c r="Y336" s="17">
        <f>IF([Tipo]="div",1,0)</f>
        <v>0</v>
      </c>
      <c r="Z336" s="17">
        <f>IF([Tipo]="jcp",1,0)</f>
        <v>0</v>
      </c>
    </row>
    <row r="337" spans="1:26" hidden="1">
      <c r="A337" s="4" t="s">
        <v>19</v>
      </c>
      <c r="B337" s="57" t="s">
        <v>659</v>
      </c>
      <c r="C337" s="15">
        <v>3</v>
      </c>
      <c r="D337" s="4"/>
      <c r="E337" s="4"/>
      <c r="F337" s="4"/>
      <c r="G337" s="4"/>
      <c r="H337" s="4"/>
      <c r="I337" s="4"/>
      <c r="J337" s="17">
        <f>IF(Tabela8[[#This Row],[Tipo]]="jcp",Tabela8[[#This Row],[Provento p/Ação]]*85%,Tabela8[[#This Row],[Provento p/Ação]])</f>
        <v>0</v>
      </c>
      <c r="K337" s="143" t="str">
        <f>IF([Lucro p/Ação]&lt;&gt;0,SUMPRODUCT(N([Papel]=Tabela8[[#This Row],[Papel]]),N([Exercício]=Tabela8[[#This Row],[Exercício]]),[Líquido p/Ação]),"")</f>
        <v/>
      </c>
      <c r="L337" s="42" t="str">
        <f>IF(Tabela8[[#This Row],[Lucro p/Ação]]="","",IF(Tabela8[[#This Row],[Lucro p/Ação]]&gt;0,Tabela8[[#This Row],[Total Exercício]]/Tabela8[[#This Row],[Lucro p/Ação]],0))</f>
        <v/>
      </c>
      <c r="M3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7" s="14" t="str">
        <f>IF(Tabela8[[#This Row],[Média Lucro p/Ação]]&lt;&gt;"",Tabela8[[#This Row],[Média Pago]]/Tabela8[[#This Row],[Média Lucro p/Ação]],"")</f>
        <v/>
      </c>
      <c r="P3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7" s="17">
        <f>SUMPRODUCT(N(Tabela1[Código]=Tabela8[[#This Row],[Papel]]),Tabela1[Fechamento])</f>
        <v>0</v>
      </c>
      <c r="R337" s="17">
        <f>SUMPRODUCT(N(Tabela17[Código]=Tabela8[[#This Row],[Papel]]),Tabela17[Fechamento])</f>
        <v>0</v>
      </c>
      <c r="S337" s="17">
        <f>SUMPRODUCT(N(Tabela176[Código]=Tabela8[[#This Row],[Papel]]),Tabela176[Fechamento])</f>
        <v>27.3</v>
      </c>
      <c r="T337" s="17">
        <f>SUMPRODUCT(N(Tabela1768[Código]=Tabela8[[#This Row],[Papel]]),Tabela1768[Fechamento])</f>
        <v>0</v>
      </c>
      <c r="U337" s="7">
        <f>SUMPRODUCT(N(Tabela17683[Código]=Tabela8[[#This Row],[Papel]]),Tabela17683[Fechamento])</f>
        <v>0</v>
      </c>
      <c r="V337" s="17">
        <f>IF(MAX(Tabela8[[#This Row],[Cotação 1]]:Tabela8[[#This Row],[Cotação 5]])=0,"",MAX(Tabela8[[#This Row],[Cotação 1]]:Tabela8[[#This Row],[Cotação 5]]))</f>
        <v>27.3</v>
      </c>
      <c r="W3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7" s="17">
        <f>IF(AND([Ref]=5,[Cotação]&gt;0,[Cotação]&lt;&gt;""),[Total Exercício]/[Cotação],IF([Ref]&lt;4,0,""))</f>
        <v>0</v>
      </c>
      <c r="Y337" s="17">
        <f>IF([Tipo]="div",1,0)</f>
        <v>0</v>
      </c>
      <c r="Z337" s="17">
        <f>IF([Tipo]="jcp",1,0)</f>
        <v>0</v>
      </c>
    </row>
    <row r="338" spans="1:26" hidden="1">
      <c r="A338" s="4" t="s">
        <v>19</v>
      </c>
      <c r="B338" s="57" t="s">
        <v>660</v>
      </c>
      <c r="C338" s="15">
        <v>3</v>
      </c>
      <c r="D338" s="4"/>
      <c r="E338" s="4"/>
      <c r="F338" s="4"/>
      <c r="G338" s="4"/>
      <c r="H338" s="4"/>
      <c r="I338" s="4"/>
      <c r="J338" s="17">
        <f>IF(Tabela8[[#This Row],[Tipo]]="jcp",Tabela8[[#This Row],[Provento p/Ação]]*85%,Tabela8[[#This Row],[Provento p/Ação]])</f>
        <v>0</v>
      </c>
      <c r="K338" s="143" t="str">
        <f>IF([Lucro p/Ação]&lt;&gt;0,SUMPRODUCT(N([Papel]=Tabela8[[#This Row],[Papel]]),N([Exercício]=Tabela8[[#This Row],[Exercício]]),[Líquido p/Ação]),"")</f>
        <v/>
      </c>
      <c r="L338" s="42" t="str">
        <f>IF(Tabela8[[#This Row],[Lucro p/Ação]]="","",IF(Tabela8[[#This Row],[Lucro p/Ação]]&gt;0,Tabela8[[#This Row],[Total Exercício]]/Tabela8[[#This Row],[Lucro p/Ação]],0))</f>
        <v/>
      </c>
      <c r="M3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8" s="14" t="str">
        <f>IF(Tabela8[[#This Row],[Média Lucro p/Ação]]&lt;&gt;"",Tabela8[[#This Row],[Média Pago]]/Tabela8[[#This Row],[Média Lucro p/Ação]],"")</f>
        <v/>
      </c>
      <c r="P3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8" s="17">
        <f>SUMPRODUCT(N(Tabela1[Código]=Tabela8[[#This Row],[Papel]]),Tabela1[Fechamento])</f>
        <v>0</v>
      </c>
      <c r="R338" s="17">
        <f>SUMPRODUCT(N(Tabela17[Código]=Tabela8[[#This Row],[Papel]]),Tabela17[Fechamento])</f>
        <v>0</v>
      </c>
      <c r="S338" s="17">
        <f>SUMPRODUCT(N(Tabela176[Código]=Tabela8[[#This Row],[Papel]]),Tabela176[Fechamento])</f>
        <v>27</v>
      </c>
      <c r="T338" s="17">
        <f>SUMPRODUCT(N(Tabela1768[Código]=Tabela8[[#This Row],[Papel]]),Tabela1768[Fechamento])</f>
        <v>0</v>
      </c>
      <c r="U338" s="7">
        <f>SUMPRODUCT(N(Tabela17683[Código]=Tabela8[[#This Row],[Papel]]),Tabela17683[Fechamento])</f>
        <v>0</v>
      </c>
      <c r="V338" s="17">
        <f>IF(MAX(Tabela8[[#This Row],[Cotação 1]]:Tabela8[[#This Row],[Cotação 5]])=0,"",MAX(Tabela8[[#This Row],[Cotação 1]]:Tabela8[[#This Row],[Cotação 5]]))</f>
        <v>27</v>
      </c>
      <c r="W3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8" s="17">
        <f>IF(AND([Ref]=5,[Cotação]&gt;0,[Cotação]&lt;&gt;""),[Total Exercício]/[Cotação],IF([Ref]&lt;4,0,""))</f>
        <v>0</v>
      </c>
      <c r="Y338" s="17">
        <f>IF([Tipo]="div",1,0)</f>
        <v>0</v>
      </c>
      <c r="Z338" s="17">
        <f>IF([Tipo]="jcp",1,0)</f>
        <v>0</v>
      </c>
    </row>
    <row r="339" spans="1:26" hidden="1">
      <c r="A339" s="4" t="s">
        <v>308</v>
      </c>
      <c r="B339" s="57" t="s">
        <v>673</v>
      </c>
      <c r="C339" s="16">
        <v>3</v>
      </c>
      <c r="D339" s="4"/>
      <c r="E339" s="4"/>
      <c r="F339" s="4"/>
      <c r="G339" s="4"/>
      <c r="H339" s="4"/>
      <c r="I339" s="4"/>
      <c r="J339" s="17">
        <f>IF(Tabela8[[#This Row],[Tipo]]="jcp",Tabela8[[#This Row],[Provento p/Ação]]*85%,Tabela8[[#This Row],[Provento p/Ação]])</f>
        <v>0</v>
      </c>
      <c r="K339" s="143" t="str">
        <f>IF([Lucro p/Ação]&lt;&gt;0,SUMPRODUCT(N([Papel]=Tabela8[[#This Row],[Papel]]),N([Exercício]=Tabela8[[#This Row],[Exercício]]),[Líquido p/Ação]),"")</f>
        <v/>
      </c>
      <c r="L339" s="42" t="str">
        <f>IF(Tabela8[[#This Row],[Lucro p/Ação]]="","",IF(Tabela8[[#This Row],[Lucro p/Ação]]&gt;0,Tabela8[[#This Row],[Total Exercício]]/Tabela8[[#This Row],[Lucro p/Ação]],0))</f>
        <v/>
      </c>
      <c r="M3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39" s="14" t="str">
        <f>IF(Tabela8[[#This Row],[Média Lucro p/Ação]]&lt;&gt;"",Tabela8[[#This Row],[Média Pago]]/Tabela8[[#This Row],[Média Lucro p/Ação]],"")</f>
        <v/>
      </c>
      <c r="P3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39" s="17">
        <f>SUMPRODUCT(N(Tabela1[Código]=Tabela8[[#This Row],[Papel]]),Tabela1[Fechamento])</f>
        <v>0</v>
      </c>
      <c r="R339" s="17">
        <f>SUMPRODUCT(N(Tabela17[Código]=Tabela8[[#This Row],[Papel]]),Tabela17[Fechamento])</f>
        <v>0</v>
      </c>
      <c r="S339" s="17">
        <f>SUMPRODUCT(N(Tabela176[Código]=Tabela8[[#This Row],[Papel]]),Tabela176[Fechamento])</f>
        <v>0.5</v>
      </c>
      <c r="T339" s="17">
        <f>SUMPRODUCT(N(Tabela1768[Código]=Tabela8[[#This Row],[Papel]]),Tabela1768[Fechamento])</f>
        <v>0</v>
      </c>
      <c r="U339" s="7">
        <f>SUMPRODUCT(N(Tabela17683[Código]=Tabela8[[#This Row],[Papel]]),Tabela17683[Fechamento])</f>
        <v>0</v>
      </c>
      <c r="V339" s="17">
        <f>IF(MAX(Tabela8[[#This Row],[Cotação 1]]:Tabela8[[#This Row],[Cotação 5]])=0,"",MAX(Tabela8[[#This Row],[Cotação 1]]:Tabela8[[#This Row],[Cotação 5]]))</f>
        <v>0.5</v>
      </c>
      <c r="W3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39" s="17">
        <f>IF(AND([Ref]=5,[Cotação]&gt;0,[Cotação]&lt;&gt;""),[Total Exercício]/[Cotação],IF([Ref]&lt;4,0,""))</f>
        <v>0</v>
      </c>
      <c r="Y339" s="17">
        <f>IF([Tipo]="div",1,0)</f>
        <v>0</v>
      </c>
      <c r="Z339" s="17">
        <f>IF([Tipo]="jcp",1,0)</f>
        <v>0</v>
      </c>
    </row>
    <row r="340" spans="1:26" hidden="1">
      <c r="A340" s="4" t="s">
        <v>308</v>
      </c>
      <c r="B340" s="57" t="s">
        <v>674</v>
      </c>
      <c r="C340" s="16">
        <v>3</v>
      </c>
      <c r="D340" s="4"/>
      <c r="E340" s="4"/>
      <c r="F340" s="4"/>
      <c r="G340" s="4"/>
      <c r="H340" s="4"/>
      <c r="I340" s="4"/>
      <c r="J340" s="17">
        <f>IF(Tabela8[[#This Row],[Tipo]]="jcp",Tabela8[[#This Row],[Provento p/Ação]]*85%,Tabela8[[#This Row],[Provento p/Ação]])</f>
        <v>0</v>
      </c>
      <c r="K340" s="143" t="str">
        <f>IF([Lucro p/Ação]&lt;&gt;0,SUMPRODUCT(N([Papel]=Tabela8[[#This Row],[Papel]]),N([Exercício]=Tabela8[[#This Row],[Exercício]]),[Líquido p/Ação]),"")</f>
        <v/>
      </c>
      <c r="L340" s="42" t="str">
        <f>IF(Tabela8[[#This Row],[Lucro p/Ação]]="","",IF(Tabela8[[#This Row],[Lucro p/Ação]]&gt;0,Tabela8[[#This Row],[Total Exercício]]/Tabela8[[#This Row],[Lucro p/Ação]],0))</f>
        <v/>
      </c>
      <c r="M3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0" s="14" t="str">
        <f>IF(Tabela8[[#This Row],[Média Lucro p/Ação]]&lt;&gt;"",Tabela8[[#This Row],[Média Pago]]/Tabela8[[#This Row],[Média Lucro p/Ação]],"")</f>
        <v/>
      </c>
      <c r="P3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0" s="17">
        <f>SUMPRODUCT(N(Tabela1[Código]=Tabela8[[#This Row],[Papel]]),Tabela1[Fechamento])</f>
        <v>0</v>
      </c>
      <c r="R340" s="17">
        <f>SUMPRODUCT(N(Tabela17[Código]=Tabela8[[#This Row],[Papel]]),Tabela17[Fechamento])</f>
        <v>0</v>
      </c>
      <c r="S340" s="17">
        <f>SUMPRODUCT(N(Tabela176[Código]=Tabela8[[#This Row],[Papel]]),Tabela176[Fechamento])</f>
        <v>0.11</v>
      </c>
      <c r="T340" s="17">
        <f>SUMPRODUCT(N(Tabela1768[Código]=Tabela8[[#This Row],[Papel]]),Tabela1768[Fechamento])</f>
        <v>0</v>
      </c>
      <c r="U340" s="7">
        <f>SUMPRODUCT(N(Tabela17683[Código]=Tabela8[[#This Row],[Papel]]),Tabela17683[Fechamento])</f>
        <v>0</v>
      </c>
      <c r="V340" s="17">
        <f>IF(MAX(Tabela8[[#This Row],[Cotação 1]]:Tabela8[[#This Row],[Cotação 5]])=0,"",MAX(Tabela8[[#This Row],[Cotação 1]]:Tabela8[[#This Row],[Cotação 5]]))</f>
        <v>0.11</v>
      </c>
      <c r="W3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0" s="17">
        <f>IF(AND([Ref]=5,[Cotação]&gt;0,[Cotação]&lt;&gt;""),[Total Exercício]/[Cotação],IF([Ref]&lt;4,0,""))</f>
        <v>0</v>
      </c>
      <c r="Y340" s="17">
        <f>IF([Tipo]="div",1,0)</f>
        <v>0</v>
      </c>
      <c r="Z340" s="17">
        <f>IF([Tipo]="jcp",1,0)</f>
        <v>0</v>
      </c>
    </row>
    <row r="341" spans="1:26" hidden="1">
      <c r="A341" s="3" t="s">
        <v>1201</v>
      </c>
      <c r="B341" s="58" t="s">
        <v>1195</v>
      </c>
      <c r="C341" s="16">
        <v>3</v>
      </c>
      <c r="D341" s="4"/>
      <c r="E341" s="4"/>
      <c r="F341" s="4"/>
      <c r="G341" s="4"/>
      <c r="H341" s="4"/>
      <c r="I341" s="4"/>
      <c r="J341" s="17">
        <f>IF(Tabela8[[#This Row],[Tipo]]="jcp",Tabela8[[#This Row],[Provento p/Ação]]*85%,Tabela8[[#This Row],[Provento p/Ação]])</f>
        <v>0</v>
      </c>
      <c r="K341" s="143" t="str">
        <f>IF([Lucro p/Ação]&lt;&gt;0,SUMPRODUCT(N([Papel]=Tabela8[[#This Row],[Papel]]),N([Exercício]=Tabela8[[#This Row],[Exercício]]),[Líquido p/Ação]),"")</f>
        <v/>
      </c>
      <c r="L341" s="42" t="str">
        <f>IF(Tabela8[[#This Row],[Lucro p/Ação]]="","",IF(Tabela8[[#This Row],[Lucro p/Ação]]&gt;0,Tabela8[[#This Row],[Total Exercício]]/Tabela8[[#This Row],[Lucro p/Ação]],0))</f>
        <v/>
      </c>
      <c r="M3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1" s="14" t="str">
        <f>IF(Tabela8[[#This Row],[Média Lucro p/Ação]]&lt;&gt;"",Tabela8[[#This Row],[Média Pago]]/Tabela8[[#This Row],[Média Lucro p/Ação]],"")</f>
        <v/>
      </c>
      <c r="P3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1" s="7">
        <f>SUMPRODUCT(N(Tabela1[Código]=Tabela8[[#This Row],[Papel]]),Tabela1[Fechamento])</f>
        <v>0</v>
      </c>
      <c r="R341" s="7">
        <f>SUMPRODUCT(N(Tabela17[Código]=Tabela8[[#This Row],[Papel]]),Tabela17[Fechamento])</f>
        <v>0</v>
      </c>
      <c r="S341" s="7">
        <f>SUMPRODUCT(N(Tabela176[Código]=Tabela8[[#This Row],[Papel]]),Tabela176[Fechamento])</f>
        <v>0</v>
      </c>
      <c r="T341" s="7">
        <f>SUMPRODUCT(N(Tabela1768[Código]=Tabela8[[#This Row],[Papel]]),Tabela1768[Fechamento])</f>
        <v>0</v>
      </c>
      <c r="U341" s="7">
        <f>SUMPRODUCT(N(Tabela17683[Código]=Tabela8[[#This Row],[Papel]]),Tabela17683[Fechamento])</f>
        <v>60</v>
      </c>
      <c r="V341" s="17">
        <f>IF(MAX(Tabela8[[#This Row],[Cotação 1]]:Tabela8[[#This Row],[Cotação 5]])=0,"",MAX(Tabela8[[#This Row],[Cotação 1]]:Tabela8[[#This Row],[Cotação 5]]))</f>
        <v>60</v>
      </c>
      <c r="W3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1" s="17">
        <f>IF(AND([Ref]=5,[Cotação]&gt;0,[Cotação]&lt;&gt;""),[Total Exercício]/[Cotação],IF([Ref]&lt;4,0,""))</f>
        <v>0</v>
      </c>
      <c r="Y341" s="17">
        <f>IF([Tipo]="div",1,0)</f>
        <v>0</v>
      </c>
      <c r="Z341" s="17">
        <f>IF([Tipo]="jcp",1,0)</f>
        <v>0</v>
      </c>
    </row>
    <row r="342" spans="1:26" hidden="1">
      <c r="A342" s="3" t="s">
        <v>1201</v>
      </c>
      <c r="B342" s="58" t="s">
        <v>1196</v>
      </c>
      <c r="C342" s="16">
        <v>3</v>
      </c>
      <c r="D342" s="4"/>
      <c r="E342" s="4"/>
      <c r="F342" s="4"/>
      <c r="G342" s="4"/>
      <c r="H342" s="4"/>
      <c r="I342" s="4"/>
      <c r="J342" s="17">
        <f>IF(Tabela8[[#This Row],[Tipo]]="jcp",Tabela8[[#This Row],[Provento p/Ação]]*85%,Tabela8[[#This Row],[Provento p/Ação]])</f>
        <v>0</v>
      </c>
      <c r="K342" s="143" t="str">
        <f>IF([Lucro p/Ação]&lt;&gt;0,SUMPRODUCT(N([Papel]=Tabela8[[#This Row],[Papel]]),N([Exercício]=Tabela8[[#This Row],[Exercício]]),[Líquido p/Ação]),"")</f>
        <v/>
      </c>
      <c r="L342" s="42" t="str">
        <f>IF(Tabela8[[#This Row],[Lucro p/Ação]]="","",IF(Tabela8[[#This Row],[Lucro p/Ação]]&gt;0,Tabela8[[#This Row],[Total Exercício]]/Tabela8[[#This Row],[Lucro p/Ação]],0))</f>
        <v/>
      </c>
      <c r="M3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2" s="14" t="str">
        <f>IF(Tabela8[[#This Row],[Média Lucro p/Ação]]&lt;&gt;"",Tabela8[[#This Row],[Média Pago]]/Tabela8[[#This Row],[Média Lucro p/Ação]],"")</f>
        <v/>
      </c>
      <c r="P3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2" s="7">
        <f>SUMPRODUCT(N(Tabela1[Código]=Tabela8[[#This Row],[Papel]]),Tabela1[Fechamento])</f>
        <v>0</v>
      </c>
      <c r="R342" s="7">
        <f>SUMPRODUCT(N(Tabela17[Código]=Tabela8[[#This Row],[Papel]]),Tabela17[Fechamento])</f>
        <v>0</v>
      </c>
      <c r="S342" s="7">
        <f>SUMPRODUCT(N(Tabela176[Código]=Tabela8[[#This Row],[Papel]]),Tabela176[Fechamento])</f>
        <v>0</v>
      </c>
      <c r="T342" s="7">
        <f>SUMPRODUCT(N(Tabela1768[Código]=Tabela8[[#This Row],[Papel]]),Tabela1768[Fechamento])</f>
        <v>0</v>
      </c>
      <c r="U342" s="7">
        <f>SUMPRODUCT(N(Tabela17683[Código]=Tabela8[[#This Row],[Papel]]),Tabela17683[Fechamento])</f>
        <v>16.829999999999998</v>
      </c>
      <c r="V342" s="17">
        <f>IF(MAX(Tabela8[[#This Row],[Cotação 1]]:Tabela8[[#This Row],[Cotação 5]])=0,"",MAX(Tabela8[[#This Row],[Cotação 1]]:Tabela8[[#This Row],[Cotação 5]]))</f>
        <v>16.829999999999998</v>
      </c>
      <c r="W3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2" s="17">
        <f>IF(AND([Ref]=5,[Cotação]&gt;0,[Cotação]&lt;&gt;""),[Total Exercício]/[Cotação],IF([Ref]&lt;4,0,""))</f>
        <v>0</v>
      </c>
      <c r="Y342" s="17">
        <f>IF([Tipo]="div",1,0)</f>
        <v>0</v>
      </c>
      <c r="Z342" s="17">
        <f>IF([Tipo]="jcp",1,0)</f>
        <v>0</v>
      </c>
    </row>
    <row r="343" spans="1:26" hidden="1">
      <c r="A343" s="3" t="s">
        <v>335</v>
      </c>
      <c r="B343" s="58" t="s">
        <v>346</v>
      </c>
      <c r="C343" s="16">
        <v>4</v>
      </c>
      <c r="D343" s="4"/>
      <c r="E343" s="4"/>
      <c r="F343" s="4"/>
      <c r="G343" s="4"/>
      <c r="H343" s="4"/>
      <c r="I343" s="4"/>
      <c r="J343" s="17">
        <f>IF(Tabela8[[#This Row],[Tipo]]="jcp",Tabela8[[#This Row],[Provento p/Ação]]*85%,Tabela8[[#This Row],[Provento p/Ação]])</f>
        <v>0</v>
      </c>
      <c r="K343" s="143" t="str">
        <f>IF([Lucro p/Ação]&lt;&gt;0,SUMPRODUCT(N([Papel]=Tabela8[[#This Row],[Papel]]),N([Exercício]=Tabela8[[#This Row],[Exercício]]),[Líquido p/Ação]),"")</f>
        <v/>
      </c>
      <c r="L343" s="42" t="str">
        <f>IF(Tabela8[[#This Row],[Lucro p/Ação]]="","",IF(Tabela8[[#This Row],[Lucro p/Ação]]&gt;0,Tabela8[[#This Row],[Total Exercício]]/Tabela8[[#This Row],[Lucro p/Ação]],0))</f>
        <v/>
      </c>
      <c r="M3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3" s="14" t="str">
        <f>IF(Tabela8[[#This Row],[Média Lucro p/Ação]]&lt;&gt;"",Tabela8[[#This Row],[Média Pago]]/Tabela8[[#This Row],[Média Lucro p/Ação]],"")</f>
        <v/>
      </c>
      <c r="P3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3" s="47">
        <f>SUMPRODUCT(N(Tabela1[Código]=Tabela8[[#This Row],[Papel]]),Tabela1[Fechamento])</f>
        <v>0</v>
      </c>
      <c r="R343" s="54">
        <f>SUMPRODUCT(N(Tabela17[Código]=Tabela8[[#This Row],[Papel]]),Tabela17[Fechamento])</f>
        <v>46.34</v>
      </c>
      <c r="S343" s="7">
        <f>SUMPRODUCT(N(Tabela176[Código]=Tabela8[[#This Row],[Papel]]),Tabela176[Fechamento])</f>
        <v>0</v>
      </c>
      <c r="T343" s="7">
        <f>SUMPRODUCT(N(Tabela1768[Código]=Tabela8[[#This Row],[Papel]]),Tabela1768[Fechamento])</f>
        <v>0</v>
      </c>
      <c r="U343" s="7">
        <f>SUMPRODUCT(N(Tabela17683[Código]=Tabela8[[#This Row],[Papel]]),Tabela17683[Fechamento])</f>
        <v>0</v>
      </c>
      <c r="V343" s="17">
        <f>IF(MAX(Tabela8[[#This Row],[Cotação 1]]:Tabela8[[#This Row],[Cotação 5]])=0,"",MAX(Tabela8[[#This Row],[Cotação 1]]:Tabela8[[#This Row],[Cotação 5]]))</f>
        <v>46.34</v>
      </c>
      <c r="W3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3" s="17" t="str">
        <f>IF(AND([Ref]=5,[Cotação]&gt;0,[Cotação]&lt;&gt;""),[Total Exercício]/[Cotação],IF([Ref]&lt;4,0,""))</f>
        <v/>
      </c>
      <c r="Y343" s="17">
        <f>IF([Tipo]="div",1,0)</f>
        <v>0</v>
      </c>
      <c r="Z343" s="17">
        <f>IF([Tipo]="jcp",1,0)</f>
        <v>0</v>
      </c>
    </row>
    <row r="344" spans="1:26" hidden="1">
      <c r="A344" s="3" t="s">
        <v>335</v>
      </c>
      <c r="B344" s="58" t="s">
        <v>716</v>
      </c>
      <c r="C344" s="16">
        <v>4</v>
      </c>
      <c r="D344" s="4"/>
      <c r="E344" s="4"/>
      <c r="F344" s="4"/>
      <c r="G344" s="4"/>
      <c r="H344" s="4"/>
      <c r="I344" s="4"/>
      <c r="J344" s="17">
        <f>IF(Tabela8[[#This Row],[Tipo]]="jcp",Tabela8[[#This Row],[Provento p/Ação]]*85%,Tabela8[[#This Row],[Provento p/Ação]])</f>
        <v>0</v>
      </c>
      <c r="K344" s="143" t="str">
        <f>IF([Lucro p/Ação]&lt;&gt;0,SUMPRODUCT(N([Papel]=Tabela8[[#This Row],[Papel]]),N([Exercício]=Tabela8[[#This Row],[Exercício]]),[Líquido p/Ação]),"")</f>
        <v/>
      </c>
      <c r="L344" s="42" t="str">
        <f>IF(Tabela8[[#This Row],[Lucro p/Ação]]="","",IF(Tabela8[[#This Row],[Lucro p/Ação]]&gt;0,Tabela8[[#This Row],[Total Exercício]]/Tabela8[[#This Row],[Lucro p/Ação]],0))</f>
        <v/>
      </c>
      <c r="M3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4" s="14" t="str">
        <f>IF(Tabela8[[#This Row],[Média Lucro p/Ação]]&lt;&gt;"",Tabela8[[#This Row],[Média Pago]]/Tabela8[[#This Row],[Média Lucro p/Ação]],"")</f>
        <v/>
      </c>
      <c r="P3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4" s="17">
        <f>SUMPRODUCT(N(Tabela1[Código]=Tabela8[[#This Row],[Papel]]),Tabela1[Fechamento])</f>
        <v>0</v>
      </c>
      <c r="R344" s="17">
        <f>SUMPRODUCT(N(Tabela17[Código]=Tabela8[[#This Row],[Papel]]),Tabela17[Fechamento])</f>
        <v>0</v>
      </c>
      <c r="S344" s="17">
        <f>SUMPRODUCT(N(Tabela176[Código]=Tabela8[[#This Row],[Papel]]),Tabela176[Fechamento])</f>
        <v>0</v>
      </c>
      <c r="T344" s="17">
        <f>SUMPRODUCT(N(Tabela1768[Código]=Tabela8[[#This Row],[Papel]]),Tabela1768[Fechamento])</f>
        <v>0</v>
      </c>
      <c r="U344" s="7">
        <f>SUMPRODUCT(N(Tabela17683[Código]=Tabela8[[#This Row],[Papel]]),Tabela17683[Fechamento])</f>
        <v>0</v>
      </c>
      <c r="V344" s="17" t="str">
        <f>IF(MAX(Tabela8[[#This Row],[Cotação 1]]:Tabela8[[#This Row],[Cotação 5]])=0,"",MAX(Tabela8[[#This Row],[Cotação 1]]:Tabela8[[#This Row],[Cotação 5]]))</f>
        <v/>
      </c>
      <c r="W3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4" s="17" t="str">
        <f>IF(AND([Ref]=5,[Cotação]&gt;0,[Cotação]&lt;&gt;""),[Total Exercício]/[Cotação],IF([Ref]&lt;4,0,""))</f>
        <v/>
      </c>
      <c r="Y344" s="17">
        <f>IF([Tipo]="div",1,0)</f>
        <v>0</v>
      </c>
      <c r="Z344" s="17">
        <f>IF([Tipo]="jcp",1,0)</f>
        <v>0</v>
      </c>
    </row>
    <row r="345" spans="1:26" hidden="1">
      <c r="A345" s="3" t="s">
        <v>1276</v>
      </c>
      <c r="B345" s="58" t="s">
        <v>1256</v>
      </c>
      <c r="C345" s="16">
        <v>3</v>
      </c>
      <c r="D345" s="4"/>
      <c r="E345" s="4"/>
      <c r="F345" s="4"/>
      <c r="G345" s="4"/>
      <c r="H345" s="4"/>
      <c r="I345" s="4"/>
      <c r="J345" s="17">
        <f>IF(Tabela8[[#This Row],[Tipo]]="jcp",Tabela8[[#This Row],[Provento p/Ação]]*85%,Tabela8[[#This Row],[Provento p/Ação]])</f>
        <v>0</v>
      </c>
      <c r="K345" s="143" t="str">
        <f>IF([Lucro p/Ação]&lt;&gt;0,SUMPRODUCT(N([Papel]=Tabela8[[#This Row],[Papel]]),N([Exercício]=Tabela8[[#This Row],[Exercício]]),[Líquido p/Ação]),"")</f>
        <v/>
      </c>
      <c r="L345" s="42" t="str">
        <f>IF(Tabela8[[#This Row],[Lucro p/Ação]]="","",IF(Tabela8[[#This Row],[Lucro p/Ação]]&gt;0,Tabela8[[#This Row],[Total Exercício]]/Tabela8[[#This Row],[Lucro p/Ação]],0))</f>
        <v/>
      </c>
      <c r="M3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5" s="14" t="str">
        <f>IF(Tabela8[[#This Row],[Média Lucro p/Ação]]&lt;&gt;"",Tabela8[[#This Row],[Média Pago]]/Tabela8[[#This Row],[Média Lucro p/Ação]],"")</f>
        <v/>
      </c>
      <c r="P3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5" s="7">
        <f>SUMPRODUCT(N(Tabela1[Código]=Tabela8[[#This Row],[Papel]]),Tabela1[Fechamento])</f>
        <v>0</v>
      </c>
      <c r="R345" s="7">
        <f>SUMPRODUCT(N(Tabela17[Código]=Tabela8[[#This Row],[Papel]]),Tabela17[Fechamento])</f>
        <v>0</v>
      </c>
      <c r="S345" s="7">
        <f>SUMPRODUCT(N(Tabela176[Código]=Tabela8[[#This Row],[Papel]]),Tabela176[Fechamento])</f>
        <v>0</v>
      </c>
      <c r="T345" s="7">
        <f>SUMPRODUCT(N(Tabela1768[Código]=Tabela8[[#This Row],[Papel]]),Tabela1768[Fechamento])</f>
        <v>0</v>
      </c>
      <c r="U345" s="7">
        <f>SUMPRODUCT(N(Tabela17683[Código]=Tabela8[[#This Row],[Papel]]),Tabela17683[Fechamento])</f>
        <v>4</v>
      </c>
      <c r="V345" s="17">
        <f>IF(MAX(Tabela8[[#This Row],[Cotação 1]]:Tabela8[[#This Row],[Cotação 5]])=0,"",MAX(Tabela8[[#This Row],[Cotação 1]]:Tabela8[[#This Row],[Cotação 5]]))</f>
        <v>4</v>
      </c>
      <c r="W3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5" s="17">
        <f>IF(AND([Ref]=5,[Cotação]&gt;0,[Cotação]&lt;&gt;""),[Total Exercício]/[Cotação],IF([Ref]&lt;4,0,""))</f>
        <v>0</v>
      </c>
      <c r="Y345" s="17">
        <f>IF([Tipo]="div",1,0)</f>
        <v>0</v>
      </c>
      <c r="Z345" s="17">
        <f>IF([Tipo]="jcp",1,0)</f>
        <v>0</v>
      </c>
    </row>
    <row r="346" spans="1:26" hidden="1">
      <c r="A346" s="3" t="s">
        <v>1276</v>
      </c>
      <c r="B346" s="58" t="s">
        <v>1257</v>
      </c>
      <c r="C346" s="16">
        <v>3</v>
      </c>
      <c r="D346" s="4"/>
      <c r="E346" s="4"/>
      <c r="F346" s="4"/>
      <c r="G346" s="4"/>
      <c r="H346" s="4"/>
      <c r="I346" s="4"/>
      <c r="J346" s="17">
        <f>IF(Tabela8[[#This Row],[Tipo]]="jcp",Tabela8[[#This Row],[Provento p/Ação]]*85%,Tabela8[[#This Row],[Provento p/Ação]])</f>
        <v>0</v>
      </c>
      <c r="K346" s="143" t="str">
        <f>IF([Lucro p/Ação]&lt;&gt;0,SUMPRODUCT(N([Papel]=Tabela8[[#This Row],[Papel]]),N([Exercício]=Tabela8[[#This Row],[Exercício]]),[Líquido p/Ação]),"")</f>
        <v/>
      </c>
      <c r="L346" s="42" t="str">
        <f>IF(Tabela8[[#This Row],[Lucro p/Ação]]="","",IF(Tabela8[[#This Row],[Lucro p/Ação]]&gt;0,Tabela8[[#This Row],[Total Exercício]]/Tabela8[[#This Row],[Lucro p/Ação]],0))</f>
        <v/>
      </c>
      <c r="M3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6" s="14" t="str">
        <f>IF(Tabela8[[#This Row],[Média Lucro p/Ação]]&lt;&gt;"",Tabela8[[#This Row],[Média Pago]]/Tabela8[[#This Row],[Média Lucro p/Ação]],"")</f>
        <v/>
      </c>
      <c r="P3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6" s="7">
        <f>SUMPRODUCT(N(Tabela1[Código]=Tabela8[[#This Row],[Papel]]),Tabela1[Fechamento])</f>
        <v>0</v>
      </c>
      <c r="R346" s="7">
        <f>SUMPRODUCT(N(Tabela17[Código]=Tabela8[[#This Row],[Papel]]),Tabela17[Fechamento])</f>
        <v>0</v>
      </c>
      <c r="S346" s="7">
        <f>SUMPRODUCT(N(Tabela176[Código]=Tabela8[[#This Row],[Papel]]),Tabela176[Fechamento])</f>
        <v>0</v>
      </c>
      <c r="T346" s="7">
        <f>SUMPRODUCT(N(Tabela1768[Código]=Tabela8[[#This Row],[Papel]]),Tabela1768[Fechamento])</f>
        <v>0</v>
      </c>
      <c r="U346" s="7">
        <f>SUMPRODUCT(N(Tabela17683[Código]=Tabela8[[#This Row],[Papel]]),Tabela17683[Fechamento])</f>
        <v>1.46</v>
      </c>
      <c r="V346" s="17">
        <f>IF(MAX(Tabela8[[#This Row],[Cotação 1]]:Tabela8[[#This Row],[Cotação 5]])=0,"",MAX(Tabela8[[#This Row],[Cotação 1]]:Tabela8[[#This Row],[Cotação 5]]))</f>
        <v>1.46</v>
      </c>
      <c r="W3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6" s="17">
        <f>IF(AND([Ref]=5,[Cotação]&gt;0,[Cotação]&lt;&gt;""),[Total Exercício]/[Cotação],IF([Ref]&lt;4,0,""))</f>
        <v>0</v>
      </c>
      <c r="Y346" s="17">
        <f>IF([Tipo]="div",1,0)</f>
        <v>0</v>
      </c>
      <c r="Z346" s="17">
        <f>IF([Tipo]="jcp",1,0)</f>
        <v>0</v>
      </c>
    </row>
    <row r="347" spans="1:26" hidden="1">
      <c r="A347" s="3" t="s">
        <v>1276</v>
      </c>
      <c r="B347" s="57" t="s">
        <v>1274</v>
      </c>
      <c r="C347" s="16">
        <v>4</v>
      </c>
      <c r="D347" s="4"/>
      <c r="E347" s="4"/>
      <c r="F347" s="4"/>
      <c r="G347" s="4"/>
      <c r="H347" s="4"/>
      <c r="I347" s="4"/>
      <c r="J347" s="17">
        <f>IF(Tabela8[[#This Row],[Tipo]]="jcp",Tabela8[[#This Row],[Provento p/Ação]]*85%,Tabela8[[#This Row],[Provento p/Ação]])</f>
        <v>0</v>
      </c>
      <c r="K347" s="143" t="str">
        <f>IF([Lucro p/Ação]&lt;&gt;0,SUMPRODUCT(N([Papel]=Tabela8[[#This Row],[Papel]]),N([Exercício]=Tabela8[[#This Row],[Exercício]]),[Líquido p/Ação]),"")</f>
        <v/>
      </c>
      <c r="L347" s="42" t="str">
        <f>IF(Tabela8[[#This Row],[Lucro p/Ação]]="","",IF(Tabela8[[#This Row],[Lucro p/Ação]]&gt;0,Tabela8[[#This Row],[Total Exercício]]/Tabela8[[#This Row],[Lucro p/Ação]],0))</f>
        <v/>
      </c>
      <c r="M3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7" s="14" t="str">
        <f>IF(Tabela8[[#This Row],[Média Lucro p/Ação]]&lt;&gt;"",Tabela8[[#This Row],[Média Pago]]/Tabela8[[#This Row],[Média Lucro p/Ação]],"")</f>
        <v/>
      </c>
      <c r="P3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7" s="7">
        <f>SUMPRODUCT(N(Tabela1[Código]=Tabela8[[#This Row],[Papel]]),Tabela1[Fechamento])</f>
        <v>0</v>
      </c>
      <c r="R347" s="7">
        <f>SUMPRODUCT(N(Tabela17[Código]=Tabela8[[#This Row],[Papel]]),Tabela17[Fechamento])</f>
        <v>0</v>
      </c>
      <c r="S347" s="7">
        <f>SUMPRODUCT(N(Tabela176[Código]=Tabela8[[#This Row],[Papel]]),Tabela176[Fechamento])</f>
        <v>0</v>
      </c>
      <c r="T347" s="7">
        <f>SUMPRODUCT(N(Tabela1768[Código]=Tabela8[[#This Row],[Papel]]),Tabela1768[Fechamento])</f>
        <v>0</v>
      </c>
      <c r="U347" s="7">
        <f>SUMPRODUCT(N(Tabela17683[Código]=Tabela8[[#This Row],[Papel]]),Tabela17683[Fechamento])</f>
        <v>23.76</v>
      </c>
      <c r="V347" s="17">
        <f>IF(MAX(Tabela8[[#This Row],[Cotação 1]]:Tabela8[[#This Row],[Cotação 5]])=0,"",MAX(Tabela8[[#This Row],[Cotação 1]]:Tabela8[[#This Row],[Cotação 5]]))</f>
        <v>23.76</v>
      </c>
      <c r="W3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7" s="17" t="str">
        <f>IF(AND([Ref]=5,[Cotação]&gt;0,[Cotação]&lt;&gt;""),[Total Exercício]/[Cotação],IF([Ref]&lt;4,0,""))</f>
        <v/>
      </c>
      <c r="Y347" s="17">
        <f>IF([Tipo]="div",1,0)</f>
        <v>0</v>
      </c>
      <c r="Z347" s="17">
        <f>IF([Tipo]="jcp",1,0)</f>
        <v>0</v>
      </c>
    </row>
    <row r="348" spans="1:26" hidden="1">
      <c r="A348" s="3" t="s">
        <v>905</v>
      </c>
      <c r="B348" s="58" t="s">
        <v>903</v>
      </c>
      <c r="C348" s="16">
        <v>3</v>
      </c>
      <c r="D348" s="4"/>
      <c r="E348" s="4"/>
      <c r="F348" s="4"/>
      <c r="G348" s="4"/>
      <c r="H348" s="4"/>
      <c r="I348" s="4"/>
      <c r="J348" s="17">
        <f>IF(Tabela8[[#This Row],[Tipo]]="jcp",Tabela8[[#This Row],[Provento p/Ação]]*85%,Tabela8[[#This Row],[Provento p/Ação]])</f>
        <v>0</v>
      </c>
      <c r="K348" s="143" t="str">
        <f>IF([Lucro p/Ação]&lt;&gt;0,SUMPRODUCT(N([Papel]=Tabela8[[#This Row],[Papel]]),N([Exercício]=Tabela8[[#This Row],[Exercício]]),[Líquido p/Ação]),"")</f>
        <v/>
      </c>
      <c r="L348" s="42" t="str">
        <f>IF(Tabela8[[#This Row],[Lucro p/Ação]]="","",IF(Tabela8[[#This Row],[Lucro p/Ação]]&gt;0,Tabela8[[#This Row],[Total Exercício]]/Tabela8[[#This Row],[Lucro p/Ação]],0))</f>
        <v/>
      </c>
      <c r="M3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8" s="14" t="str">
        <f>IF(Tabela8[[#This Row],[Média Lucro p/Ação]]&lt;&gt;"",Tabela8[[#This Row],[Média Pago]]/Tabela8[[#This Row],[Média Lucro p/Ação]],"")</f>
        <v/>
      </c>
      <c r="P3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8" s="7">
        <f>SUMPRODUCT(N(Tabela1[Código]=Tabela8[[#This Row],[Papel]]),Tabela1[Fechamento])</f>
        <v>0</v>
      </c>
      <c r="R348" s="7">
        <f>SUMPRODUCT(N(Tabela17[Código]=Tabela8[[#This Row],[Papel]]),Tabela17[Fechamento])</f>
        <v>0</v>
      </c>
      <c r="S348" s="7">
        <f>SUMPRODUCT(N(Tabela176[Código]=Tabela8[[#This Row],[Papel]]),Tabela176[Fechamento])</f>
        <v>0</v>
      </c>
      <c r="T348" s="7">
        <f>SUMPRODUCT(N(Tabela1768[Código]=Tabela8[[#This Row],[Papel]]),Tabela1768[Fechamento])</f>
        <v>0</v>
      </c>
      <c r="U348" s="7">
        <f>SUMPRODUCT(N(Tabela17683[Código]=Tabela8[[#This Row],[Papel]]),Tabela17683[Fechamento])</f>
        <v>0</v>
      </c>
      <c r="V348" s="17" t="str">
        <f>IF(MAX(Tabela8[[#This Row],[Cotação 1]]:Tabela8[[#This Row],[Cotação 5]])=0,"",MAX(Tabela8[[#This Row],[Cotação 1]]:Tabela8[[#This Row],[Cotação 5]]))</f>
        <v/>
      </c>
      <c r="W3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8" s="17">
        <f>IF(AND([Ref]=5,[Cotação]&gt;0,[Cotação]&lt;&gt;""),[Total Exercício]/[Cotação],IF([Ref]&lt;4,0,""))</f>
        <v>0</v>
      </c>
      <c r="Y348" s="17">
        <f>IF([Tipo]="div",1,0)</f>
        <v>0</v>
      </c>
      <c r="Z348" s="17">
        <f>IF([Tipo]="jcp",1,0)</f>
        <v>0</v>
      </c>
    </row>
    <row r="349" spans="1:26" hidden="1">
      <c r="A349" s="3" t="s">
        <v>905</v>
      </c>
      <c r="B349" s="58" t="s">
        <v>904</v>
      </c>
      <c r="C349" s="16">
        <v>3</v>
      </c>
      <c r="D349" s="4"/>
      <c r="E349" s="4"/>
      <c r="F349" s="4"/>
      <c r="G349" s="4"/>
      <c r="H349" s="4"/>
      <c r="I349" s="4"/>
      <c r="J349" s="17">
        <f>IF(Tabela8[[#This Row],[Tipo]]="jcp",Tabela8[[#This Row],[Provento p/Ação]]*85%,Tabela8[[#This Row],[Provento p/Ação]])</f>
        <v>0</v>
      </c>
      <c r="K349" s="143" t="str">
        <f>IF([Lucro p/Ação]&lt;&gt;0,SUMPRODUCT(N([Papel]=Tabela8[[#This Row],[Papel]]),N([Exercício]=Tabela8[[#This Row],[Exercício]]),[Líquido p/Ação]),"")</f>
        <v/>
      </c>
      <c r="L349" s="42" t="str">
        <f>IF(Tabela8[[#This Row],[Lucro p/Ação]]="","",IF(Tabela8[[#This Row],[Lucro p/Ação]]&gt;0,Tabela8[[#This Row],[Total Exercício]]/Tabela8[[#This Row],[Lucro p/Ação]],0))</f>
        <v/>
      </c>
      <c r="M3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49" s="14" t="str">
        <f>IF(Tabela8[[#This Row],[Média Lucro p/Ação]]&lt;&gt;"",Tabela8[[#This Row],[Média Pago]]/Tabela8[[#This Row],[Média Lucro p/Ação]],"")</f>
        <v/>
      </c>
      <c r="P3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49" s="7">
        <f>SUMPRODUCT(N(Tabela1[Código]=Tabela8[[#This Row],[Papel]]),Tabela1[Fechamento])</f>
        <v>0</v>
      </c>
      <c r="R349" s="7">
        <f>SUMPRODUCT(N(Tabela17[Código]=Tabela8[[#This Row],[Papel]]),Tabela17[Fechamento])</f>
        <v>0</v>
      </c>
      <c r="S349" s="7">
        <f>SUMPRODUCT(N(Tabela176[Código]=Tabela8[[#This Row],[Papel]]),Tabela176[Fechamento])</f>
        <v>0</v>
      </c>
      <c r="T349" s="7">
        <f>SUMPRODUCT(N(Tabela1768[Código]=Tabela8[[#This Row],[Papel]]),Tabela1768[Fechamento])</f>
        <v>15</v>
      </c>
      <c r="U349" s="7">
        <f>SUMPRODUCT(N(Tabela17683[Código]=Tabela8[[#This Row],[Papel]]),Tabela17683[Fechamento])</f>
        <v>0</v>
      </c>
      <c r="V349" s="17">
        <f>IF(MAX(Tabela8[[#This Row],[Cotação 1]]:Tabela8[[#This Row],[Cotação 5]])=0,"",MAX(Tabela8[[#This Row],[Cotação 1]]:Tabela8[[#This Row],[Cotação 5]]))</f>
        <v>15</v>
      </c>
      <c r="W3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49" s="17">
        <f>IF(AND([Ref]=5,[Cotação]&gt;0,[Cotação]&lt;&gt;""),[Total Exercício]/[Cotação],IF([Ref]&lt;4,0,""))</f>
        <v>0</v>
      </c>
      <c r="Y349" s="17">
        <f>IF([Tipo]="div",1,0)</f>
        <v>0</v>
      </c>
      <c r="Z349" s="17">
        <f>IF([Tipo]="jcp",1,0)</f>
        <v>0</v>
      </c>
    </row>
    <row r="350" spans="1:26" hidden="1">
      <c r="A350" s="3" t="s">
        <v>757</v>
      </c>
      <c r="B350" s="58" t="s">
        <v>758</v>
      </c>
      <c r="C350" s="16">
        <v>4</v>
      </c>
      <c r="D350" s="4"/>
      <c r="E350" s="4"/>
      <c r="F350" s="4"/>
      <c r="G350" s="4"/>
      <c r="H350" s="4"/>
      <c r="I350" s="4"/>
      <c r="J350" s="17">
        <f>IF(Tabela8[[#This Row],[Tipo]]="jcp",Tabela8[[#This Row],[Provento p/Ação]]*85%,Tabela8[[#This Row],[Provento p/Ação]])</f>
        <v>0</v>
      </c>
      <c r="K350" s="143" t="str">
        <f>IF([Lucro p/Ação]&lt;&gt;0,SUMPRODUCT(N([Papel]=Tabela8[[#This Row],[Papel]]),N([Exercício]=Tabela8[[#This Row],[Exercício]]),[Líquido p/Ação]),"")</f>
        <v/>
      </c>
      <c r="L350" s="42" t="str">
        <f>IF(Tabela8[[#This Row],[Lucro p/Ação]]="","",IF(Tabela8[[#This Row],[Lucro p/Ação]]&gt;0,Tabela8[[#This Row],[Total Exercício]]/Tabela8[[#This Row],[Lucro p/Ação]],0))</f>
        <v/>
      </c>
      <c r="M3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0" s="14" t="str">
        <f>IF(Tabela8[[#This Row],[Média Lucro p/Ação]]&lt;&gt;"",Tabela8[[#This Row],[Média Pago]]/Tabela8[[#This Row],[Média Lucro p/Ação]],"")</f>
        <v/>
      </c>
      <c r="P3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0" s="7">
        <f>SUMPRODUCT(N(Tabela1[Código]=Tabela8[[#This Row],[Papel]]),Tabela1[Fechamento])</f>
        <v>0</v>
      </c>
      <c r="R350" s="7">
        <f>SUMPRODUCT(N(Tabela17[Código]=Tabela8[[#This Row],[Papel]]),Tabela17[Fechamento])</f>
        <v>0</v>
      </c>
      <c r="S350" s="7">
        <f>SUMPRODUCT(N(Tabela176[Código]=Tabela8[[#This Row],[Papel]]),Tabela176[Fechamento])</f>
        <v>35.799999999999997</v>
      </c>
      <c r="T350" s="7">
        <f>SUMPRODUCT(N(Tabela1768[Código]=Tabela8[[#This Row],[Papel]]),Tabela1768[Fechamento])</f>
        <v>0</v>
      </c>
      <c r="U350" s="7">
        <f>SUMPRODUCT(N(Tabela17683[Código]=Tabela8[[#This Row],[Papel]]),Tabela17683[Fechamento])</f>
        <v>0</v>
      </c>
      <c r="V350" s="17">
        <f>IF(MAX(Tabela8[[#This Row],[Cotação 1]]:Tabela8[[#This Row],[Cotação 5]])=0,"",MAX(Tabela8[[#This Row],[Cotação 1]]:Tabela8[[#This Row],[Cotação 5]]))</f>
        <v>35.799999999999997</v>
      </c>
      <c r="W3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0" s="17" t="str">
        <f>IF(AND([Ref]=5,[Cotação]&gt;0,[Cotação]&lt;&gt;""),[Total Exercício]/[Cotação],IF([Ref]&lt;4,0,""))</f>
        <v/>
      </c>
      <c r="Y350" s="17">
        <f>IF([Tipo]="div",1,0)</f>
        <v>0</v>
      </c>
      <c r="Z350" s="17">
        <f>IF([Tipo]="jcp",1,0)</f>
        <v>0</v>
      </c>
    </row>
    <row r="351" spans="1:26" hidden="1">
      <c r="A351" s="3" t="s">
        <v>969</v>
      </c>
      <c r="B351" s="58" t="s">
        <v>970</v>
      </c>
      <c r="C351" s="16">
        <v>3</v>
      </c>
      <c r="D351" s="4"/>
      <c r="E351" s="4"/>
      <c r="F351" s="4"/>
      <c r="G351" s="4"/>
      <c r="H351" s="4"/>
      <c r="I351" s="4"/>
      <c r="J351" s="17">
        <f>IF(Tabela8[[#This Row],[Tipo]]="jcp",Tabela8[[#This Row],[Provento p/Ação]]*85%,Tabela8[[#This Row],[Provento p/Ação]])</f>
        <v>0</v>
      </c>
      <c r="K351" s="143" t="str">
        <f>IF([Lucro p/Ação]&lt;&gt;0,SUMPRODUCT(N([Papel]=Tabela8[[#This Row],[Papel]]),N([Exercício]=Tabela8[[#This Row],[Exercício]]),[Líquido p/Ação]),"")</f>
        <v/>
      </c>
      <c r="L351" s="42" t="str">
        <f>IF(Tabela8[[#This Row],[Lucro p/Ação]]="","",IF(Tabela8[[#This Row],[Lucro p/Ação]]&gt;0,Tabela8[[#This Row],[Total Exercício]]/Tabela8[[#This Row],[Lucro p/Ação]],0))</f>
        <v/>
      </c>
      <c r="M3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1" s="14" t="str">
        <f>IF(Tabela8[[#This Row],[Média Lucro p/Ação]]&lt;&gt;"",Tabela8[[#This Row],[Média Pago]]/Tabela8[[#This Row],[Média Lucro p/Ação]],"")</f>
        <v/>
      </c>
      <c r="P3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1" s="7">
        <f>SUMPRODUCT(N(Tabela1[Código]=Tabela8[[#This Row],[Papel]]),Tabela1[Fechamento])</f>
        <v>0</v>
      </c>
      <c r="R351" s="7">
        <f>SUMPRODUCT(N(Tabela17[Código]=Tabela8[[#This Row],[Papel]]),Tabela17[Fechamento])</f>
        <v>0</v>
      </c>
      <c r="S351" s="7">
        <f>SUMPRODUCT(N(Tabela176[Código]=Tabela8[[#This Row],[Papel]]),Tabela176[Fechamento])</f>
        <v>0</v>
      </c>
      <c r="T351" s="7">
        <f>SUMPRODUCT(N(Tabela1768[Código]=Tabela8[[#This Row],[Papel]]),Tabela1768[Fechamento])</f>
        <v>29.73</v>
      </c>
      <c r="U351" s="7">
        <f>SUMPRODUCT(N(Tabela17683[Código]=Tabela8[[#This Row],[Papel]]),Tabela17683[Fechamento])</f>
        <v>0</v>
      </c>
      <c r="V351" s="17">
        <f>IF(MAX(Tabela8[[#This Row],[Cotação 1]]:Tabela8[[#This Row],[Cotação 5]])=0,"",MAX(Tabela8[[#This Row],[Cotação 1]]:Tabela8[[#This Row],[Cotação 5]]))</f>
        <v>29.73</v>
      </c>
      <c r="W3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1" s="17">
        <f>IF(AND([Ref]=5,[Cotação]&gt;0,[Cotação]&lt;&gt;""),[Total Exercício]/[Cotação],IF([Ref]&lt;4,0,""))</f>
        <v>0</v>
      </c>
      <c r="Y351" s="17">
        <f>IF([Tipo]="div",1,0)</f>
        <v>0</v>
      </c>
      <c r="Z351" s="17">
        <f>IF([Tipo]="jcp",1,0)</f>
        <v>0</v>
      </c>
    </row>
    <row r="352" spans="1:26" hidden="1">
      <c r="A352" s="3" t="s">
        <v>969</v>
      </c>
      <c r="B352" s="58" t="s">
        <v>971</v>
      </c>
      <c r="C352" s="16">
        <v>3</v>
      </c>
      <c r="D352" s="4"/>
      <c r="E352" s="4"/>
      <c r="F352" s="4"/>
      <c r="G352" s="4"/>
      <c r="H352" s="4"/>
      <c r="I352" s="4"/>
      <c r="J352" s="17">
        <f>IF(Tabela8[[#This Row],[Tipo]]="jcp",Tabela8[[#This Row],[Provento p/Ação]]*85%,Tabela8[[#This Row],[Provento p/Ação]])</f>
        <v>0</v>
      </c>
      <c r="K352" s="143" t="str">
        <f>IF([Lucro p/Ação]&lt;&gt;0,SUMPRODUCT(N([Papel]=Tabela8[[#This Row],[Papel]]),N([Exercício]=Tabela8[[#This Row],[Exercício]]),[Líquido p/Ação]),"")</f>
        <v/>
      </c>
      <c r="L352" s="42" t="str">
        <f>IF(Tabela8[[#This Row],[Lucro p/Ação]]="","",IF(Tabela8[[#This Row],[Lucro p/Ação]]&gt;0,Tabela8[[#This Row],[Total Exercício]]/Tabela8[[#This Row],[Lucro p/Ação]],0))</f>
        <v/>
      </c>
      <c r="M3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2" s="14" t="str">
        <f>IF(Tabela8[[#This Row],[Média Lucro p/Ação]]&lt;&gt;"",Tabela8[[#This Row],[Média Pago]]/Tabela8[[#This Row],[Média Lucro p/Ação]],"")</f>
        <v/>
      </c>
      <c r="P3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2" s="7">
        <f>SUMPRODUCT(N(Tabela1[Código]=Tabela8[[#This Row],[Papel]]),Tabela1[Fechamento])</f>
        <v>0</v>
      </c>
      <c r="R352" s="7">
        <f>SUMPRODUCT(N(Tabela17[Código]=Tabela8[[#This Row],[Papel]]),Tabela17[Fechamento])</f>
        <v>0</v>
      </c>
      <c r="S352" s="7">
        <f>SUMPRODUCT(N(Tabela176[Código]=Tabela8[[#This Row],[Papel]]),Tabela176[Fechamento])</f>
        <v>0</v>
      </c>
      <c r="T352" s="7">
        <f>SUMPRODUCT(N(Tabela1768[Código]=Tabela8[[#This Row],[Papel]]),Tabela1768[Fechamento])</f>
        <v>27.8</v>
      </c>
      <c r="U352" s="7">
        <f>SUMPRODUCT(N(Tabela17683[Código]=Tabela8[[#This Row],[Papel]]),Tabela17683[Fechamento])</f>
        <v>0</v>
      </c>
      <c r="V352" s="17">
        <f>IF(MAX(Tabela8[[#This Row],[Cotação 1]]:Tabela8[[#This Row],[Cotação 5]])=0,"",MAX(Tabela8[[#This Row],[Cotação 1]]:Tabela8[[#This Row],[Cotação 5]]))</f>
        <v>27.8</v>
      </c>
      <c r="W3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2" s="17">
        <f>IF(AND([Ref]=5,[Cotação]&gt;0,[Cotação]&lt;&gt;""),[Total Exercício]/[Cotação],IF([Ref]&lt;4,0,""))</f>
        <v>0</v>
      </c>
      <c r="Y352" s="17">
        <f>IF([Tipo]="div",1,0)</f>
        <v>0</v>
      </c>
      <c r="Z352" s="17">
        <f>IF([Tipo]="jcp",1,0)</f>
        <v>0</v>
      </c>
    </row>
    <row r="353" spans="1:26" hidden="1">
      <c r="A353" s="4" t="s">
        <v>641</v>
      </c>
      <c r="B353" s="57" t="s">
        <v>322</v>
      </c>
      <c r="C353" s="15">
        <v>3</v>
      </c>
      <c r="D353" s="4"/>
      <c r="E353" s="4"/>
      <c r="F353" s="4"/>
      <c r="G353" s="4"/>
      <c r="H353" s="4"/>
      <c r="I353" s="4"/>
      <c r="J353" s="17">
        <f>IF(Tabela8[[#This Row],[Tipo]]="jcp",Tabela8[[#This Row],[Provento p/Ação]]*85%,Tabela8[[#This Row],[Provento p/Ação]])</f>
        <v>0</v>
      </c>
      <c r="K353" s="143" t="str">
        <f>IF([Lucro p/Ação]&lt;&gt;0,SUMPRODUCT(N([Papel]=Tabela8[[#This Row],[Papel]]),N([Exercício]=Tabela8[[#This Row],[Exercício]]),[Líquido p/Ação]),"")</f>
        <v/>
      </c>
      <c r="L353" s="42" t="str">
        <f>IF(Tabela8[[#This Row],[Lucro p/Ação]]="","",IF(Tabela8[[#This Row],[Lucro p/Ação]]&gt;0,Tabela8[[#This Row],[Total Exercício]]/Tabela8[[#This Row],[Lucro p/Ação]],0))</f>
        <v/>
      </c>
      <c r="M3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3" s="14" t="str">
        <f>IF(Tabela8[[#This Row],[Média Lucro p/Ação]]&lt;&gt;"",Tabela8[[#This Row],[Média Pago]]/Tabela8[[#This Row],[Média Lucro p/Ação]],"")</f>
        <v/>
      </c>
      <c r="P3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3" s="17">
        <f>SUMPRODUCT(N(Tabela1[Código]=Tabela8[[#This Row],[Papel]]),Tabela1[Fechamento])</f>
        <v>0</v>
      </c>
      <c r="R353" s="17">
        <f>SUMPRODUCT(N(Tabela17[Código]=Tabela8[[#This Row],[Papel]]),Tabela17[Fechamento])</f>
        <v>1.51</v>
      </c>
      <c r="S353" s="17">
        <f>SUMPRODUCT(N(Tabela176[Código]=Tabela8[[#This Row],[Papel]]),Tabela176[Fechamento])</f>
        <v>1.51</v>
      </c>
      <c r="T353" s="17">
        <f>SUMPRODUCT(N(Tabela1768[Código]=Tabela8[[#This Row],[Papel]]),Tabela1768[Fechamento])</f>
        <v>0</v>
      </c>
      <c r="U353" s="7">
        <f>SUMPRODUCT(N(Tabela17683[Código]=Tabela8[[#This Row],[Papel]]),Tabela17683[Fechamento])</f>
        <v>0</v>
      </c>
      <c r="V353" s="17">
        <f>IF(MAX(Tabela8[[#This Row],[Cotação 1]]:Tabela8[[#This Row],[Cotação 5]])=0,"",MAX(Tabela8[[#This Row],[Cotação 1]]:Tabela8[[#This Row],[Cotação 5]]))</f>
        <v>1.51</v>
      </c>
      <c r="W3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3" s="17">
        <f>IF(AND([Ref]=5,[Cotação]&gt;0,[Cotação]&lt;&gt;""),[Total Exercício]/[Cotação],IF([Ref]&lt;4,0,""))</f>
        <v>0</v>
      </c>
      <c r="Y353" s="17">
        <f>IF([Tipo]="div",1,0)</f>
        <v>0</v>
      </c>
      <c r="Z353" s="17">
        <f>IF([Tipo]="jcp",1,0)</f>
        <v>0</v>
      </c>
    </row>
    <row r="354" spans="1:26" hidden="1">
      <c r="A354" s="4" t="s">
        <v>719</v>
      </c>
      <c r="B354" s="57" t="s">
        <v>725</v>
      </c>
      <c r="C354" s="15">
        <v>4</v>
      </c>
      <c r="D354" s="4"/>
      <c r="E354" s="4"/>
      <c r="F354" s="4"/>
      <c r="G354" s="4"/>
      <c r="H354" s="4"/>
      <c r="I354" s="4"/>
      <c r="J354" s="17">
        <f>IF(Tabela8[[#This Row],[Tipo]]="jcp",Tabela8[[#This Row],[Provento p/Ação]]*85%,Tabela8[[#This Row],[Provento p/Ação]])</f>
        <v>0</v>
      </c>
      <c r="K354" s="143" t="str">
        <f>IF([Lucro p/Ação]&lt;&gt;0,SUMPRODUCT(N([Papel]=Tabela8[[#This Row],[Papel]]),N([Exercício]=Tabela8[[#This Row],[Exercício]]),[Líquido p/Ação]),"")</f>
        <v/>
      </c>
      <c r="L354" s="42" t="str">
        <f>IF(Tabela8[[#This Row],[Lucro p/Ação]]="","",IF(Tabela8[[#This Row],[Lucro p/Ação]]&gt;0,Tabela8[[#This Row],[Total Exercício]]/Tabela8[[#This Row],[Lucro p/Ação]],0))</f>
        <v/>
      </c>
      <c r="M3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4" s="14" t="str">
        <f>IF(Tabela8[[#This Row],[Média Lucro p/Ação]]&lt;&gt;"",Tabela8[[#This Row],[Média Pago]]/Tabela8[[#This Row],[Média Lucro p/Ação]],"")</f>
        <v/>
      </c>
      <c r="P3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4" s="17">
        <f>SUMPRODUCT(N(Tabela1[Código]=Tabela8[[#This Row],[Papel]]),Tabela1[Fechamento])</f>
        <v>0</v>
      </c>
      <c r="R354" s="17">
        <f>SUMPRODUCT(N(Tabela17[Código]=Tabela8[[#This Row],[Papel]]),Tabela17[Fechamento])</f>
        <v>0</v>
      </c>
      <c r="S354" s="17">
        <f>SUMPRODUCT(N(Tabela176[Código]=Tabela8[[#This Row],[Papel]]),Tabela176[Fechamento])</f>
        <v>8.76</v>
      </c>
      <c r="T354" s="17">
        <f>SUMPRODUCT(N(Tabela1768[Código]=Tabela8[[#This Row],[Papel]]),Tabela1768[Fechamento])</f>
        <v>0</v>
      </c>
      <c r="U354" s="7">
        <f>SUMPRODUCT(N(Tabela17683[Código]=Tabela8[[#This Row],[Papel]]),Tabela17683[Fechamento])</f>
        <v>0</v>
      </c>
      <c r="V354" s="17">
        <f>IF(MAX(Tabela8[[#This Row],[Cotação 1]]:Tabela8[[#This Row],[Cotação 5]])=0,"",MAX(Tabela8[[#This Row],[Cotação 1]]:Tabela8[[#This Row],[Cotação 5]]))</f>
        <v>8.76</v>
      </c>
      <c r="W3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4" s="17" t="str">
        <f>IF(AND([Ref]=5,[Cotação]&gt;0,[Cotação]&lt;&gt;""),[Total Exercício]/[Cotação],IF([Ref]&lt;4,0,""))</f>
        <v/>
      </c>
      <c r="Y354" s="17">
        <f>IF([Tipo]="div",1,0)</f>
        <v>0</v>
      </c>
      <c r="Z354" s="17">
        <f>IF([Tipo]="jcp",1,0)</f>
        <v>0</v>
      </c>
    </row>
    <row r="355" spans="1:26" hidden="1">
      <c r="A355" s="4" t="s">
        <v>236</v>
      </c>
      <c r="B355" s="116" t="s">
        <v>577</v>
      </c>
      <c r="C355" s="15">
        <v>3</v>
      </c>
      <c r="D355" s="4"/>
      <c r="E355" s="4"/>
      <c r="F355" s="4"/>
      <c r="G355" s="4"/>
      <c r="H355" s="4"/>
      <c r="I355" s="4"/>
      <c r="J355" s="17">
        <f>IF(Tabela8[[#This Row],[Tipo]]="jcp",Tabela8[[#This Row],[Provento p/Ação]]*85%,Tabela8[[#This Row],[Provento p/Ação]])</f>
        <v>0</v>
      </c>
      <c r="K355" s="143" t="str">
        <f>IF([Lucro p/Ação]&lt;&gt;0,SUMPRODUCT(N([Papel]=Tabela8[[#This Row],[Papel]]),N([Exercício]=Tabela8[[#This Row],[Exercício]]),[Líquido p/Ação]),"")</f>
        <v/>
      </c>
      <c r="L355" s="42" t="str">
        <f>IF(Tabela8[[#This Row],[Lucro p/Ação]]="","",IF(Tabela8[[#This Row],[Lucro p/Ação]]&gt;0,Tabela8[[#This Row],[Total Exercício]]/Tabela8[[#This Row],[Lucro p/Ação]],0))</f>
        <v/>
      </c>
      <c r="M3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5" s="14" t="str">
        <f>IF(Tabela8[[#This Row],[Média Lucro p/Ação]]&lt;&gt;"",Tabela8[[#This Row],[Média Pago]]/Tabela8[[#This Row],[Média Lucro p/Ação]],"")</f>
        <v/>
      </c>
      <c r="P3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5" s="17">
        <f>SUMPRODUCT(N(Tabela1[Código]=Tabela8[[#This Row],[Papel]]),Tabela1[Fechamento])</f>
        <v>0</v>
      </c>
      <c r="R355" s="17">
        <f>SUMPRODUCT(N(Tabela17[Código]=Tabela8[[#This Row],[Papel]]),Tabela17[Fechamento])</f>
        <v>0</v>
      </c>
      <c r="S355" s="17">
        <f>SUMPRODUCT(N(Tabela176[Código]=Tabela8[[#This Row],[Papel]]),Tabela176[Fechamento])</f>
        <v>0</v>
      </c>
      <c r="T355" s="17">
        <f>SUMPRODUCT(N(Tabela1768[Código]=Tabela8[[#This Row],[Papel]]),Tabela1768[Fechamento])</f>
        <v>0</v>
      </c>
      <c r="U355" s="7">
        <f>SUMPRODUCT(N(Tabela17683[Código]=Tabela8[[#This Row],[Papel]]),Tabela17683[Fechamento])</f>
        <v>0</v>
      </c>
      <c r="V355" s="17" t="str">
        <f>IF(MAX(Tabela8[[#This Row],[Cotação 1]]:Tabela8[[#This Row],[Cotação 5]])=0,"",MAX(Tabela8[[#This Row],[Cotação 1]]:Tabela8[[#This Row],[Cotação 5]]))</f>
        <v/>
      </c>
      <c r="W3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5" s="17">
        <f>IF(AND([Ref]=5,[Cotação]&gt;0,[Cotação]&lt;&gt;""),[Total Exercício]/[Cotação],IF([Ref]&lt;4,0,""))</f>
        <v>0</v>
      </c>
      <c r="Y355" s="17">
        <f>IF([Tipo]="div",1,0)</f>
        <v>0</v>
      </c>
      <c r="Z355" s="17">
        <f>IF([Tipo]="jcp",1,0)</f>
        <v>0</v>
      </c>
    </row>
    <row r="356" spans="1:26" hidden="1">
      <c r="A356" s="3" t="s">
        <v>283</v>
      </c>
      <c r="B356" s="57" t="s">
        <v>279</v>
      </c>
      <c r="C356" s="16">
        <v>4</v>
      </c>
      <c r="D356" s="4"/>
      <c r="E356" s="4"/>
      <c r="F356" s="4"/>
      <c r="G356" s="4"/>
      <c r="H356" s="4"/>
      <c r="I356" s="4"/>
      <c r="J356" s="17">
        <f>IF(Tabela8[[#This Row],[Tipo]]="jcp",Tabela8[[#This Row],[Provento p/Ação]]*85%,Tabela8[[#This Row],[Provento p/Ação]])</f>
        <v>0</v>
      </c>
      <c r="K356" s="143" t="str">
        <f>IF([Lucro p/Ação]&lt;&gt;0,SUMPRODUCT(N([Papel]=Tabela8[[#This Row],[Papel]]),N([Exercício]=Tabela8[[#This Row],[Exercício]]),[Líquido p/Ação]),"")</f>
        <v/>
      </c>
      <c r="L356" s="42" t="str">
        <f>IF(Tabela8[[#This Row],[Lucro p/Ação]]="","",IF(Tabela8[[#This Row],[Lucro p/Ação]]&gt;0,Tabela8[[#This Row],[Total Exercício]]/Tabela8[[#This Row],[Lucro p/Ação]],0))</f>
        <v/>
      </c>
      <c r="M3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6" s="14" t="str">
        <f>IF(Tabela8[[#This Row],[Média Lucro p/Ação]]&lt;&gt;"",Tabela8[[#This Row],[Média Pago]]/Tabela8[[#This Row],[Média Lucro p/Ação]],"")</f>
        <v/>
      </c>
      <c r="P3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6" s="47">
        <f>SUMPRODUCT(N(Tabela1[Código]=Tabela8[[#This Row],[Papel]]),Tabela1[Fechamento])</f>
        <v>0</v>
      </c>
      <c r="R356" s="54">
        <f>SUMPRODUCT(N(Tabela17[Código]=Tabela8[[#This Row],[Papel]]),Tabela17[Fechamento])</f>
        <v>3.79</v>
      </c>
      <c r="S356" s="7">
        <f>SUMPRODUCT(N(Tabela176[Código]=Tabela8[[#This Row],[Papel]]),Tabela176[Fechamento])</f>
        <v>0</v>
      </c>
      <c r="T356" s="7">
        <f>SUMPRODUCT(N(Tabela1768[Código]=Tabela8[[#This Row],[Papel]]),Tabela1768[Fechamento])</f>
        <v>0</v>
      </c>
      <c r="U356" s="7">
        <f>SUMPRODUCT(N(Tabela17683[Código]=Tabela8[[#This Row],[Papel]]),Tabela17683[Fechamento])</f>
        <v>0</v>
      </c>
      <c r="V356" s="17">
        <f>IF(MAX(Tabela8[[#This Row],[Cotação 1]]:Tabela8[[#This Row],[Cotação 5]])=0,"",MAX(Tabela8[[#This Row],[Cotação 1]]:Tabela8[[#This Row],[Cotação 5]]))</f>
        <v>3.79</v>
      </c>
      <c r="W3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6" s="17" t="str">
        <f>IF(AND([Ref]=5,[Cotação]&gt;0,[Cotação]&lt;&gt;""),[Total Exercício]/[Cotação],IF([Ref]&lt;4,0,""))</f>
        <v/>
      </c>
      <c r="Y356" s="17">
        <f>IF([Tipo]="div",1,0)</f>
        <v>0</v>
      </c>
      <c r="Z356" s="17">
        <f>IF([Tipo]="jcp",1,0)</f>
        <v>0</v>
      </c>
    </row>
    <row r="357" spans="1:26" hidden="1">
      <c r="A357" s="3" t="s">
        <v>283</v>
      </c>
      <c r="B357" s="58" t="s">
        <v>280</v>
      </c>
      <c r="C357" s="16">
        <v>4</v>
      </c>
      <c r="D357" s="4"/>
      <c r="E357" s="4"/>
      <c r="F357" s="4"/>
      <c r="G357" s="4"/>
      <c r="H357" s="4"/>
      <c r="I357" s="4"/>
      <c r="J357" s="17">
        <f>IF(Tabela8[[#This Row],[Tipo]]="jcp",Tabela8[[#This Row],[Provento p/Ação]]*85%,Tabela8[[#This Row],[Provento p/Ação]])</f>
        <v>0</v>
      </c>
      <c r="K357" s="143" t="str">
        <f>IF([Lucro p/Ação]&lt;&gt;0,SUMPRODUCT(N([Papel]=Tabela8[[#This Row],[Papel]]),N([Exercício]=Tabela8[[#This Row],[Exercício]]),[Líquido p/Ação]),"")</f>
        <v/>
      </c>
      <c r="L357" s="42" t="str">
        <f>IF(Tabela8[[#This Row],[Lucro p/Ação]]="","",IF(Tabela8[[#This Row],[Lucro p/Ação]]&gt;0,Tabela8[[#This Row],[Total Exercício]]/Tabela8[[#This Row],[Lucro p/Ação]],0))</f>
        <v/>
      </c>
      <c r="M3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7" s="14" t="str">
        <f>IF(Tabela8[[#This Row],[Média Lucro p/Ação]]&lt;&gt;"",Tabela8[[#This Row],[Média Pago]]/Tabela8[[#This Row],[Média Lucro p/Ação]],"")</f>
        <v/>
      </c>
      <c r="P3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7" s="47">
        <f>SUMPRODUCT(N(Tabela1[Código]=Tabela8[[#This Row],[Papel]]),Tabela1[Fechamento])</f>
        <v>0</v>
      </c>
      <c r="R357" s="54">
        <f>SUMPRODUCT(N(Tabela17[Código]=Tabela8[[#This Row],[Papel]]),Tabela17[Fechamento])</f>
        <v>3.49</v>
      </c>
      <c r="S357" s="7">
        <f>SUMPRODUCT(N(Tabela176[Código]=Tabela8[[#This Row],[Papel]]),Tabela176[Fechamento])</f>
        <v>0</v>
      </c>
      <c r="T357" s="7">
        <f>SUMPRODUCT(N(Tabela1768[Código]=Tabela8[[#This Row],[Papel]]),Tabela1768[Fechamento])</f>
        <v>0</v>
      </c>
      <c r="U357" s="7">
        <f>SUMPRODUCT(N(Tabela17683[Código]=Tabela8[[#This Row],[Papel]]),Tabela17683[Fechamento])</f>
        <v>0</v>
      </c>
      <c r="V357" s="17">
        <f>IF(MAX(Tabela8[[#This Row],[Cotação 1]]:Tabela8[[#This Row],[Cotação 5]])=0,"",MAX(Tabela8[[#This Row],[Cotação 1]]:Tabela8[[#This Row],[Cotação 5]]))</f>
        <v>3.49</v>
      </c>
      <c r="W3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7" s="17" t="str">
        <f>IF(AND([Ref]=5,[Cotação]&gt;0,[Cotação]&lt;&gt;""),[Total Exercício]/[Cotação],IF([Ref]&lt;4,0,""))</f>
        <v/>
      </c>
      <c r="Y357" s="17">
        <f>IF([Tipo]="div",1,0)</f>
        <v>0</v>
      </c>
      <c r="Z357" s="17">
        <f>IF([Tipo]="jcp",1,0)</f>
        <v>0</v>
      </c>
    </row>
    <row r="358" spans="1:26" hidden="1">
      <c r="A358" s="4" t="s">
        <v>582</v>
      </c>
      <c r="B358" s="115" t="s">
        <v>583</v>
      </c>
      <c r="C358" s="15">
        <v>3</v>
      </c>
      <c r="D358" s="4"/>
      <c r="E358" s="4"/>
      <c r="F358" s="4"/>
      <c r="G358" s="4"/>
      <c r="H358" s="4"/>
      <c r="I358" s="4"/>
      <c r="J358" s="17">
        <f>IF(Tabela8[[#This Row],[Tipo]]="jcp",Tabela8[[#This Row],[Provento p/Ação]]*85%,Tabela8[[#This Row],[Provento p/Ação]])</f>
        <v>0</v>
      </c>
      <c r="K358" s="143" t="str">
        <f>IF([Lucro p/Ação]&lt;&gt;0,SUMPRODUCT(N([Papel]=Tabela8[[#This Row],[Papel]]),N([Exercício]=Tabela8[[#This Row],[Exercício]]),[Líquido p/Ação]),"")</f>
        <v/>
      </c>
      <c r="L358" s="42" t="str">
        <f>IF(Tabela8[[#This Row],[Lucro p/Ação]]="","",IF(Tabela8[[#This Row],[Lucro p/Ação]]&gt;0,Tabela8[[#This Row],[Total Exercício]]/Tabela8[[#This Row],[Lucro p/Ação]],0))</f>
        <v/>
      </c>
      <c r="M35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8" s="14" t="str">
        <f>IF(Tabela8[[#This Row],[Média Lucro p/Ação]]&lt;&gt;"",Tabela8[[#This Row],[Média Pago]]/Tabela8[[#This Row],[Média Lucro p/Ação]],"")</f>
        <v/>
      </c>
      <c r="P3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8" s="17">
        <f>SUMPRODUCT(N(Tabela1[Código]=Tabela8[[#This Row],[Papel]]),Tabela1[Fechamento])</f>
        <v>0</v>
      </c>
      <c r="R358" s="17">
        <f>SUMPRODUCT(N(Tabela17[Código]=Tabela8[[#This Row],[Papel]]),Tabela17[Fechamento])</f>
        <v>0</v>
      </c>
      <c r="S358" s="17">
        <f>SUMPRODUCT(N(Tabela176[Código]=Tabela8[[#This Row],[Papel]]),Tabela176[Fechamento])</f>
        <v>0</v>
      </c>
      <c r="T358" s="17">
        <f>SUMPRODUCT(N(Tabela1768[Código]=Tabela8[[#This Row],[Papel]]),Tabela1768[Fechamento])</f>
        <v>0</v>
      </c>
      <c r="U358" s="7">
        <f>SUMPRODUCT(N(Tabela17683[Código]=Tabela8[[#This Row],[Papel]]),Tabela17683[Fechamento])</f>
        <v>0</v>
      </c>
      <c r="V358" s="17" t="str">
        <f>IF(MAX(Tabela8[[#This Row],[Cotação 1]]:Tabela8[[#This Row],[Cotação 5]])=0,"",MAX(Tabela8[[#This Row],[Cotação 1]]:Tabela8[[#This Row],[Cotação 5]]))</f>
        <v/>
      </c>
      <c r="W35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8" s="17">
        <f>IF(AND([Ref]=5,[Cotação]&gt;0,[Cotação]&lt;&gt;""),[Total Exercício]/[Cotação],IF([Ref]&lt;4,0,""))</f>
        <v>0</v>
      </c>
      <c r="Y358" s="17">
        <f>IF([Tipo]="div",1,0)</f>
        <v>0</v>
      </c>
      <c r="Z358" s="17">
        <f>IF([Tipo]="jcp",1,0)</f>
        <v>0</v>
      </c>
    </row>
    <row r="359" spans="1:26" hidden="1">
      <c r="A359" s="4" t="s">
        <v>325</v>
      </c>
      <c r="B359" s="57" t="s">
        <v>404</v>
      </c>
      <c r="C359" s="16">
        <v>3</v>
      </c>
      <c r="D359" s="4"/>
      <c r="E359" s="4"/>
      <c r="F359" s="4"/>
      <c r="G359" s="4"/>
      <c r="H359" s="4"/>
      <c r="I359" s="4"/>
      <c r="J359" s="17">
        <f>IF(Tabela8[[#This Row],[Tipo]]="jcp",Tabela8[[#This Row],[Provento p/Ação]]*85%,Tabela8[[#This Row],[Provento p/Ação]])</f>
        <v>0</v>
      </c>
      <c r="K359" s="143" t="str">
        <f>IF([Lucro p/Ação]&lt;&gt;0,SUMPRODUCT(N([Papel]=Tabela8[[#This Row],[Papel]]),N([Exercício]=Tabela8[[#This Row],[Exercício]]),[Líquido p/Ação]),"")</f>
        <v/>
      </c>
      <c r="L359" s="42" t="str">
        <f>IF(Tabela8[[#This Row],[Lucro p/Ação]]="","",IF(Tabela8[[#This Row],[Lucro p/Ação]]&gt;0,Tabela8[[#This Row],[Total Exercício]]/Tabela8[[#This Row],[Lucro p/Ação]],0))</f>
        <v/>
      </c>
      <c r="M35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5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59" s="14" t="str">
        <f>IF(Tabela8[[#This Row],[Média Lucro p/Ação]]&lt;&gt;"",Tabela8[[#This Row],[Média Pago]]/Tabela8[[#This Row],[Média Lucro p/Ação]],"")</f>
        <v/>
      </c>
      <c r="P3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59" s="47">
        <f>SUMPRODUCT(N(Tabela1[Código]=Tabela8[[#This Row],[Papel]]),Tabela1[Fechamento])</f>
        <v>18.489999999999998</v>
      </c>
      <c r="R359" s="47">
        <f>SUMPRODUCT(N(Tabela17[Código]=Tabela8[[#This Row],[Papel]]),Tabela17[Fechamento])</f>
        <v>0</v>
      </c>
      <c r="S359" s="7">
        <f>SUMPRODUCT(N(Tabela176[Código]=Tabela8[[#This Row],[Papel]]),Tabela176[Fechamento])</f>
        <v>0</v>
      </c>
      <c r="T359" s="7">
        <f>SUMPRODUCT(N(Tabela1768[Código]=Tabela8[[#This Row],[Papel]]),Tabela1768[Fechamento])</f>
        <v>0</v>
      </c>
      <c r="U359" s="7">
        <f>SUMPRODUCT(N(Tabela17683[Código]=Tabela8[[#This Row],[Papel]]),Tabela17683[Fechamento])</f>
        <v>0</v>
      </c>
      <c r="V359" s="17">
        <f>IF(MAX(Tabela8[[#This Row],[Cotação 1]]:Tabela8[[#This Row],[Cotação 5]])=0,"",MAX(Tabela8[[#This Row],[Cotação 1]]:Tabela8[[#This Row],[Cotação 5]]))</f>
        <v>18.489999999999998</v>
      </c>
      <c r="W35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59" s="17">
        <f>IF(AND([Ref]=5,[Cotação]&gt;0,[Cotação]&lt;&gt;""),[Total Exercício]/[Cotação],IF([Ref]&lt;4,0,""))</f>
        <v>0</v>
      </c>
      <c r="Y359" s="17">
        <f>IF([Tipo]="div",1,0)</f>
        <v>0</v>
      </c>
      <c r="Z359" s="17">
        <f>IF([Tipo]="jcp",1,0)</f>
        <v>0</v>
      </c>
    </row>
    <row r="360" spans="1:26" hidden="1">
      <c r="A360" s="4" t="s">
        <v>325</v>
      </c>
      <c r="B360" s="57" t="s">
        <v>324</v>
      </c>
      <c r="C360" s="15">
        <v>3</v>
      </c>
      <c r="D360" s="4"/>
      <c r="E360" s="4"/>
      <c r="F360" s="4"/>
      <c r="G360" s="4"/>
      <c r="H360" s="4"/>
      <c r="I360" s="4"/>
      <c r="J360" s="17">
        <f>IF(Tabela8[[#This Row],[Tipo]]="jcp",Tabela8[[#This Row],[Provento p/Ação]]*85%,Tabela8[[#This Row],[Provento p/Ação]])</f>
        <v>0</v>
      </c>
      <c r="K360" s="143" t="str">
        <f>IF([Lucro p/Ação]&lt;&gt;0,SUMPRODUCT(N([Papel]=Tabela8[[#This Row],[Papel]]),N([Exercício]=Tabela8[[#This Row],[Exercício]]),[Líquido p/Ação]),"")</f>
        <v/>
      </c>
      <c r="L360" s="42" t="str">
        <f>IF(Tabela8[[#This Row],[Lucro p/Ação]]="","",IF(Tabela8[[#This Row],[Lucro p/Ação]]&gt;0,Tabela8[[#This Row],[Total Exercício]]/Tabela8[[#This Row],[Lucro p/Ação]],0))</f>
        <v/>
      </c>
      <c r="M36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0" s="14" t="str">
        <f>IF(Tabela8[[#This Row],[Média Lucro p/Ação]]&lt;&gt;"",Tabela8[[#This Row],[Média Pago]]/Tabela8[[#This Row],[Média Lucro p/Ação]],"")</f>
        <v/>
      </c>
      <c r="P3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0" s="13">
        <f>SUMPRODUCT(N(Tabela1[Código]=Tabela8[[#This Row],[Papel]]),Tabela1[Fechamento])</f>
        <v>0</v>
      </c>
      <c r="R360" s="55">
        <f>SUMPRODUCT(N(Tabela17[Código]=Tabela8[[#This Row],[Papel]]),Tabela17[Fechamento])</f>
        <v>19.25</v>
      </c>
      <c r="S360" s="7">
        <f>SUMPRODUCT(N(Tabela176[Código]=Tabela8[[#This Row],[Papel]]),Tabela176[Fechamento])</f>
        <v>0</v>
      </c>
      <c r="T360" s="7">
        <f>SUMPRODUCT(N(Tabela1768[Código]=Tabela8[[#This Row],[Papel]]),Tabela1768[Fechamento])</f>
        <v>0</v>
      </c>
      <c r="U360" s="7">
        <f>SUMPRODUCT(N(Tabela17683[Código]=Tabela8[[#This Row],[Papel]]),Tabela17683[Fechamento])</f>
        <v>0</v>
      </c>
      <c r="V360" s="17">
        <f>IF(MAX(Tabela8[[#This Row],[Cotação 1]]:Tabela8[[#This Row],[Cotação 5]])=0,"",MAX(Tabela8[[#This Row],[Cotação 1]]:Tabela8[[#This Row],[Cotação 5]]))</f>
        <v>19.25</v>
      </c>
      <c r="W36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0" s="17">
        <f>IF(AND([Ref]=5,[Cotação]&gt;0,[Cotação]&lt;&gt;""),[Total Exercício]/[Cotação],IF([Ref]&lt;4,0,""))</f>
        <v>0</v>
      </c>
      <c r="Y360" s="17">
        <f>IF([Tipo]="div",1,0)</f>
        <v>0</v>
      </c>
      <c r="Z360" s="17">
        <f>IF([Tipo]="jcp",1,0)</f>
        <v>0</v>
      </c>
    </row>
    <row r="361" spans="1:26" hidden="1">
      <c r="A361" s="3" t="s">
        <v>789</v>
      </c>
      <c r="B361" s="58" t="s">
        <v>790</v>
      </c>
      <c r="C361" s="16">
        <v>4</v>
      </c>
      <c r="D361" s="4"/>
      <c r="E361" s="4"/>
      <c r="F361" s="4"/>
      <c r="G361" s="4"/>
      <c r="H361" s="4"/>
      <c r="I361" s="4"/>
      <c r="J361" s="17">
        <f>IF(Tabela8[[#This Row],[Tipo]]="jcp",Tabela8[[#This Row],[Provento p/Ação]]*85%,Tabela8[[#This Row],[Provento p/Ação]])</f>
        <v>0</v>
      </c>
      <c r="K361" s="143" t="str">
        <f>IF([Lucro p/Ação]&lt;&gt;0,SUMPRODUCT(N([Papel]=Tabela8[[#This Row],[Papel]]),N([Exercício]=Tabela8[[#This Row],[Exercício]]),[Líquido p/Ação]),"")</f>
        <v/>
      </c>
      <c r="L361" s="42" t="str">
        <f>IF(Tabela8[[#This Row],[Lucro p/Ação]]="","",IF(Tabela8[[#This Row],[Lucro p/Ação]]&gt;0,Tabela8[[#This Row],[Total Exercício]]/Tabela8[[#This Row],[Lucro p/Ação]],0))</f>
        <v/>
      </c>
      <c r="M3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1" s="14" t="str">
        <f>IF(Tabela8[[#This Row],[Média Lucro p/Ação]]&lt;&gt;"",Tabela8[[#This Row],[Média Pago]]/Tabela8[[#This Row],[Média Lucro p/Ação]],"")</f>
        <v/>
      </c>
      <c r="P3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1" s="7">
        <f>SUMPRODUCT(N(Tabela1[Código]=Tabela8[[#This Row],[Papel]]),Tabela1[Fechamento])</f>
        <v>0</v>
      </c>
      <c r="R361" s="7">
        <f>SUMPRODUCT(N(Tabela17[Código]=Tabela8[[#This Row],[Papel]]),Tabela17[Fechamento])</f>
        <v>0</v>
      </c>
      <c r="S361" s="7">
        <f>SUMPRODUCT(N(Tabela176[Código]=Tabela8[[#This Row],[Papel]]),Tabela176[Fechamento])</f>
        <v>74.989999999999995</v>
      </c>
      <c r="T361" s="7">
        <f>SUMPRODUCT(N(Tabela1768[Código]=Tabela8[[#This Row],[Papel]]),Tabela1768[Fechamento])</f>
        <v>0</v>
      </c>
      <c r="U361" s="7">
        <f>SUMPRODUCT(N(Tabela17683[Código]=Tabela8[[#This Row],[Papel]]),Tabela17683[Fechamento])</f>
        <v>0</v>
      </c>
      <c r="V361" s="17">
        <f>IF(MAX(Tabela8[[#This Row],[Cotação 1]]:Tabela8[[#This Row],[Cotação 5]])=0,"",MAX(Tabela8[[#This Row],[Cotação 1]]:Tabela8[[#This Row],[Cotação 5]]))</f>
        <v>74.989999999999995</v>
      </c>
      <c r="W3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1" s="17" t="str">
        <f>IF(AND([Ref]=5,[Cotação]&gt;0,[Cotação]&lt;&gt;""),[Total Exercício]/[Cotação],IF([Ref]&lt;4,0,""))</f>
        <v/>
      </c>
      <c r="Y361" s="17">
        <f>IF([Tipo]="div",1,0)</f>
        <v>0</v>
      </c>
      <c r="Z361" s="17">
        <f>IF([Tipo]="jcp",1,0)</f>
        <v>0</v>
      </c>
    </row>
    <row r="362" spans="1:26" hidden="1">
      <c r="A362" s="3" t="s">
        <v>789</v>
      </c>
      <c r="B362" s="58" t="s">
        <v>791</v>
      </c>
      <c r="C362" s="16">
        <v>4</v>
      </c>
      <c r="D362" s="4"/>
      <c r="E362" s="4"/>
      <c r="F362" s="4"/>
      <c r="G362" s="4"/>
      <c r="H362" s="4"/>
      <c r="I362" s="4"/>
      <c r="J362" s="17">
        <f>IF(Tabela8[[#This Row],[Tipo]]="jcp",Tabela8[[#This Row],[Provento p/Ação]]*85%,Tabela8[[#This Row],[Provento p/Ação]])</f>
        <v>0</v>
      </c>
      <c r="K362" s="143" t="str">
        <f>IF([Lucro p/Ação]&lt;&gt;0,SUMPRODUCT(N([Papel]=Tabela8[[#This Row],[Papel]]),N([Exercício]=Tabela8[[#This Row],[Exercício]]),[Líquido p/Ação]),"")</f>
        <v/>
      </c>
      <c r="L362" s="42" t="str">
        <f>IF(Tabela8[[#This Row],[Lucro p/Ação]]="","",IF(Tabela8[[#This Row],[Lucro p/Ação]]&gt;0,Tabela8[[#This Row],[Total Exercício]]/Tabela8[[#This Row],[Lucro p/Ação]],0))</f>
        <v/>
      </c>
      <c r="M3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2" s="14" t="str">
        <f>IF(Tabela8[[#This Row],[Média Lucro p/Ação]]&lt;&gt;"",Tabela8[[#This Row],[Média Pago]]/Tabela8[[#This Row],[Média Lucro p/Ação]],"")</f>
        <v/>
      </c>
      <c r="P3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2" s="7">
        <f>SUMPRODUCT(N(Tabela1[Código]=Tabela8[[#This Row],[Papel]]),Tabela1[Fechamento])</f>
        <v>0</v>
      </c>
      <c r="R362" s="7">
        <f>SUMPRODUCT(N(Tabela17[Código]=Tabela8[[#This Row],[Papel]]),Tabela17[Fechamento])</f>
        <v>0</v>
      </c>
      <c r="S362" s="7">
        <f>SUMPRODUCT(N(Tabela176[Código]=Tabela8[[#This Row],[Papel]]),Tabela176[Fechamento])</f>
        <v>97.04</v>
      </c>
      <c r="T362" s="7">
        <f>SUMPRODUCT(N(Tabela1768[Código]=Tabela8[[#This Row],[Papel]]),Tabela1768[Fechamento])</f>
        <v>0</v>
      </c>
      <c r="U362" s="7">
        <f>SUMPRODUCT(N(Tabela17683[Código]=Tabela8[[#This Row],[Papel]]),Tabela17683[Fechamento])</f>
        <v>0</v>
      </c>
      <c r="V362" s="17">
        <f>IF(MAX(Tabela8[[#This Row],[Cotação 1]]:Tabela8[[#This Row],[Cotação 5]])=0,"",MAX(Tabela8[[#This Row],[Cotação 1]]:Tabela8[[#This Row],[Cotação 5]]))</f>
        <v>97.04</v>
      </c>
      <c r="W3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2" s="17" t="str">
        <f>IF(AND([Ref]=5,[Cotação]&gt;0,[Cotação]&lt;&gt;""),[Total Exercício]/[Cotação],IF([Ref]&lt;4,0,""))</f>
        <v/>
      </c>
      <c r="Y362" s="17">
        <f>IF([Tipo]="div",1,0)</f>
        <v>0</v>
      </c>
      <c r="Z362" s="17">
        <f>IF([Tipo]="jcp",1,0)</f>
        <v>0</v>
      </c>
    </row>
    <row r="363" spans="1:26" hidden="1">
      <c r="A363" s="3" t="s">
        <v>1019</v>
      </c>
      <c r="B363" s="57" t="s">
        <v>1046</v>
      </c>
      <c r="C363" s="16">
        <v>4</v>
      </c>
      <c r="D363" s="4"/>
      <c r="E363" s="4"/>
      <c r="F363" s="4"/>
      <c r="G363" s="4"/>
      <c r="H363" s="4"/>
      <c r="I363" s="4"/>
      <c r="J363" s="17">
        <f>IF(Tabela8[[#This Row],[Tipo]]="jcp",Tabela8[[#This Row],[Provento p/Ação]]*85%,Tabela8[[#This Row],[Provento p/Ação]])</f>
        <v>0</v>
      </c>
      <c r="K363" s="143" t="str">
        <f>IF([Lucro p/Ação]&lt;&gt;0,SUMPRODUCT(N([Papel]=Tabela8[[#This Row],[Papel]]),N([Exercício]=Tabela8[[#This Row],[Exercício]]),[Líquido p/Ação]),"")</f>
        <v/>
      </c>
      <c r="L363" s="42" t="str">
        <f>IF(Tabela8[[#This Row],[Lucro p/Ação]]="","",IF(Tabela8[[#This Row],[Lucro p/Ação]]&gt;0,Tabela8[[#This Row],[Total Exercício]]/Tabela8[[#This Row],[Lucro p/Ação]],0))</f>
        <v/>
      </c>
      <c r="M3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3" s="14" t="str">
        <f>IF(Tabela8[[#This Row],[Média Lucro p/Ação]]&lt;&gt;"",Tabela8[[#This Row],[Média Pago]]/Tabela8[[#This Row],[Média Lucro p/Ação]],"")</f>
        <v/>
      </c>
      <c r="P3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3" s="7">
        <f>SUMPRODUCT(N(Tabela1[Código]=Tabela8[[#This Row],[Papel]]),Tabela1[Fechamento])</f>
        <v>0</v>
      </c>
      <c r="R363" s="7">
        <f>SUMPRODUCT(N(Tabela17[Código]=Tabela8[[#This Row],[Papel]]),Tabela17[Fechamento])</f>
        <v>0</v>
      </c>
      <c r="S363" s="7">
        <f>SUMPRODUCT(N(Tabela176[Código]=Tabela8[[#This Row],[Papel]]),Tabela176[Fechamento])</f>
        <v>0</v>
      </c>
      <c r="T363" s="7">
        <f>SUMPRODUCT(N(Tabela1768[Código]=Tabela8[[#This Row],[Papel]]),Tabela1768[Fechamento])</f>
        <v>1.29</v>
      </c>
      <c r="U363" s="7">
        <f>SUMPRODUCT(N(Tabela17683[Código]=Tabela8[[#This Row],[Papel]]),Tabela17683[Fechamento])</f>
        <v>0</v>
      </c>
      <c r="V363" s="17">
        <f>IF(MAX(Tabela8[[#This Row],[Cotação 1]]:Tabela8[[#This Row],[Cotação 5]])=0,"",MAX(Tabela8[[#This Row],[Cotação 1]]:Tabela8[[#This Row],[Cotação 5]]))</f>
        <v>1.29</v>
      </c>
      <c r="W3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3" s="17" t="str">
        <f>IF(AND([Ref]=5,[Cotação]&gt;0,[Cotação]&lt;&gt;""),[Total Exercício]/[Cotação],IF([Ref]&lt;4,0,""))</f>
        <v/>
      </c>
      <c r="Y363" s="17">
        <f>IF([Tipo]="div",1,0)</f>
        <v>0</v>
      </c>
      <c r="Z363" s="17">
        <f>IF([Tipo]="jcp",1,0)</f>
        <v>0</v>
      </c>
    </row>
    <row r="364" spans="1:26" hidden="1">
      <c r="A364" s="4" t="s">
        <v>26</v>
      </c>
      <c r="B364" s="57" t="s">
        <v>677</v>
      </c>
      <c r="C364" s="15">
        <v>3</v>
      </c>
      <c r="D364" s="4"/>
      <c r="E364" s="4"/>
      <c r="F364" s="4"/>
      <c r="G364" s="4"/>
      <c r="H364" s="4"/>
      <c r="I364" s="4"/>
      <c r="J364" s="17">
        <f>IF(Tabela8[[#This Row],[Tipo]]="jcp",Tabela8[[#This Row],[Provento p/Ação]]*85%,Tabela8[[#This Row],[Provento p/Ação]])</f>
        <v>0</v>
      </c>
      <c r="K364" s="143" t="str">
        <f>IF([Lucro p/Ação]&lt;&gt;0,SUMPRODUCT(N([Papel]=Tabela8[[#This Row],[Papel]]),N([Exercício]=Tabela8[[#This Row],[Exercício]]),[Líquido p/Ação]),"")</f>
        <v/>
      </c>
      <c r="L364" s="42" t="str">
        <f>IF(Tabela8[[#This Row],[Lucro p/Ação]]="","",IF(Tabela8[[#This Row],[Lucro p/Ação]]&gt;0,Tabela8[[#This Row],[Total Exercício]]/Tabela8[[#This Row],[Lucro p/Ação]],0))</f>
        <v/>
      </c>
      <c r="M3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4" s="14" t="str">
        <f>IF(Tabela8[[#This Row],[Média Lucro p/Ação]]&lt;&gt;"",Tabela8[[#This Row],[Média Pago]]/Tabela8[[#This Row],[Média Lucro p/Ação]],"")</f>
        <v/>
      </c>
      <c r="P3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4" s="17">
        <f>SUMPRODUCT(N(Tabela1[Código]=Tabela8[[#This Row],[Papel]]),Tabela1[Fechamento])</f>
        <v>0</v>
      </c>
      <c r="R364" s="17">
        <f>SUMPRODUCT(N(Tabela17[Código]=Tabela8[[#This Row],[Papel]]),Tabela17[Fechamento])</f>
        <v>0</v>
      </c>
      <c r="S364" s="17">
        <f>SUMPRODUCT(N(Tabela176[Código]=Tabela8[[#This Row],[Papel]]),Tabela176[Fechamento])</f>
        <v>30</v>
      </c>
      <c r="T364" s="17">
        <f>SUMPRODUCT(N(Tabela1768[Código]=Tabela8[[#This Row],[Papel]]),Tabela1768[Fechamento])</f>
        <v>0</v>
      </c>
      <c r="U364" s="7">
        <f>SUMPRODUCT(N(Tabela17683[Código]=Tabela8[[#This Row],[Papel]]),Tabela17683[Fechamento])</f>
        <v>0</v>
      </c>
      <c r="V364" s="17">
        <f>IF(MAX(Tabela8[[#This Row],[Cotação 1]]:Tabela8[[#This Row],[Cotação 5]])=0,"",MAX(Tabela8[[#This Row],[Cotação 1]]:Tabela8[[#This Row],[Cotação 5]]))</f>
        <v>30</v>
      </c>
      <c r="W3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4" s="17">
        <f>IF(AND([Ref]=5,[Cotação]&gt;0,[Cotação]&lt;&gt;""),[Total Exercício]/[Cotação],IF([Ref]&lt;4,0,""))</f>
        <v>0</v>
      </c>
      <c r="Y364" s="17">
        <f>IF([Tipo]="div",1,0)</f>
        <v>0</v>
      </c>
      <c r="Z364" s="17">
        <f>IF([Tipo]="jcp",1,0)</f>
        <v>0</v>
      </c>
    </row>
    <row r="365" spans="1:26" hidden="1">
      <c r="A365" s="4" t="s">
        <v>26</v>
      </c>
      <c r="B365" s="57" t="s">
        <v>678</v>
      </c>
      <c r="C365" s="15">
        <v>3</v>
      </c>
      <c r="D365" s="4"/>
      <c r="E365" s="4"/>
      <c r="F365" s="4"/>
      <c r="G365" s="4"/>
      <c r="H365" s="4"/>
      <c r="I365" s="4"/>
      <c r="J365" s="17">
        <f>IF(Tabela8[[#This Row],[Tipo]]="jcp",Tabela8[[#This Row],[Provento p/Ação]]*85%,Tabela8[[#This Row],[Provento p/Ação]])</f>
        <v>0</v>
      </c>
      <c r="K365" s="143" t="str">
        <f>IF([Lucro p/Ação]&lt;&gt;0,SUMPRODUCT(N([Papel]=Tabela8[[#This Row],[Papel]]),N([Exercício]=Tabela8[[#This Row],[Exercício]]),[Líquido p/Ação]),"")</f>
        <v/>
      </c>
      <c r="L365" s="42" t="str">
        <f>IF(Tabela8[[#This Row],[Lucro p/Ação]]="","",IF(Tabela8[[#This Row],[Lucro p/Ação]]&gt;0,Tabela8[[#This Row],[Total Exercício]]/Tabela8[[#This Row],[Lucro p/Ação]],0))</f>
        <v/>
      </c>
      <c r="M3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5" s="14" t="str">
        <f>IF(Tabela8[[#This Row],[Média Lucro p/Ação]]&lt;&gt;"",Tabela8[[#This Row],[Média Pago]]/Tabela8[[#This Row],[Média Lucro p/Ação]],"")</f>
        <v/>
      </c>
      <c r="P3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5" s="17">
        <f>SUMPRODUCT(N(Tabela1[Código]=Tabela8[[#This Row],[Papel]]),Tabela1[Fechamento])</f>
        <v>0</v>
      </c>
      <c r="R365" s="17">
        <f>SUMPRODUCT(N(Tabela17[Código]=Tabela8[[#This Row],[Papel]]),Tabela17[Fechamento])</f>
        <v>0</v>
      </c>
      <c r="S365" s="17">
        <f>SUMPRODUCT(N(Tabela176[Código]=Tabela8[[#This Row],[Papel]]),Tabela176[Fechamento])</f>
        <v>30.01</v>
      </c>
      <c r="T365" s="17">
        <f>SUMPRODUCT(N(Tabela1768[Código]=Tabela8[[#This Row],[Papel]]),Tabela1768[Fechamento])</f>
        <v>0</v>
      </c>
      <c r="U365" s="7">
        <f>SUMPRODUCT(N(Tabela17683[Código]=Tabela8[[#This Row],[Papel]]),Tabela17683[Fechamento])</f>
        <v>0</v>
      </c>
      <c r="V365" s="17">
        <f>IF(MAX(Tabela8[[#This Row],[Cotação 1]]:Tabela8[[#This Row],[Cotação 5]])=0,"",MAX(Tabela8[[#This Row],[Cotação 1]]:Tabela8[[#This Row],[Cotação 5]]))</f>
        <v>30.01</v>
      </c>
      <c r="W3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5" s="17">
        <f>IF(AND([Ref]=5,[Cotação]&gt;0,[Cotação]&lt;&gt;""),[Total Exercício]/[Cotação],IF([Ref]&lt;4,0,""))</f>
        <v>0</v>
      </c>
      <c r="Y365" s="17">
        <f>IF([Tipo]="div",1,0)</f>
        <v>0</v>
      </c>
      <c r="Z365" s="17">
        <f>IF([Tipo]="jcp",1,0)</f>
        <v>0</v>
      </c>
    </row>
    <row r="366" spans="1:26" hidden="1">
      <c r="A366" s="4" t="s">
        <v>236</v>
      </c>
      <c r="B366" s="3" t="s">
        <v>20</v>
      </c>
      <c r="C366" s="15">
        <v>4</v>
      </c>
      <c r="D366" s="4">
        <v>2010</v>
      </c>
      <c r="E366" s="4" t="s">
        <v>1475</v>
      </c>
      <c r="F366" s="4"/>
      <c r="G366" s="46">
        <v>40312</v>
      </c>
      <c r="H366" s="46">
        <v>40329</v>
      </c>
      <c r="I366" s="4">
        <v>0.2</v>
      </c>
      <c r="J366" s="17">
        <f>IF(Tabela8[[#This Row],[Tipo]]="jcp",Tabela8[[#This Row],[Provento p/Ação]]*85%,Tabela8[[#This Row],[Provento p/Ação]])</f>
        <v>0.17</v>
      </c>
      <c r="K366" s="143" t="str">
        <f>IF([Lucro p/Ação]&lt;&gt;0,SUMPRODUCT(N([Papel]=Tabela8[[#This Row],[Papel]]),N([Exercício]=Tabela8[[#This Row],[Exercício]]),[Líquido p/Ação]),"")</f>
        <v/>
      </c>
      <c r="L366" s="42" t="str">
        <f>IF(Tabela8[[#This Row],[Lucro p/Ação]]="","",IF(Tabela8[[#This Row],[Lucro p/Ação]]&gt;0,Tabela8[[#This Row],[Total Exercício]]/Tabela8[[#This Row],[Lucro p/Ação]],0))</f>
        <v/>
      </c>
      <c r="M3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6" s="14" t="str">
        <f>IF(Tabela8[[#This Row],[Média Lucro p/Ação]]&lt;&gt;"",Tabela8[[#This Row],[Média Pago]]/Tabela8[[#This Row],[Média Lucro p/Ação]],"")</f>
        <v/>
      </c>
      <c r="P3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6" s="13">
        <f>SUMPRODUCT(N(Tabela1[Código]=Tabela8[[#This Row],[Papel]]),Tabela1[Fechamento])</f>
        <v>0</v>
      </c>
      <c r="R366" s="13">
        <f>SUMPRODUCT(N(Tabela17[Código]=Tabela8[[#This Row],[Papel]]),Tabela17[Fechamento])</f>
        <v>12.95</v>
      </c>
      <c r="S366" s="7">
        <f>SUMPRODUCT(N(Tabela176[Código]=Tabela8[[#This Row],[Papel]]),Tabela176[Fechamento])</f>
        <v>0</v>
      </c>
      <c r="T366" s="7">
        <f>SUMPRODUCT(N(Tabela1768[Código]=Tabela8[[#This Row],[Papel]]),Tabela1768[Fechamento])</f>
        <v>0</v>
      </c>
      <c r="U366" s="7">
        <f>SUMPRODUCT(N(Tabela17683[Código]=Tabela8[[#This Row],[Papel]]),Tabela17683[Fechamento])</f>
        <v>0</v>
      </c>
      <c r="V366" s="17">
        <f>IF(MAX(Tabela8[[#This Row],[Cotação 1]]:Tabela8[[#This Row],[Cotação 5]])=0,"",MAX(Tabela8[[#This Row],[Cotação 1]]:Tabela8[[#This Row],[Cotação 5]]))</f>
        <v>12.95</v>
      </c>
      <c r="W3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6" s="17" t="str">
        <f>IF(AND([Ref]=5,[Cotação]&gt;0,[Cotação]&lt;&gt;""),[Total Exercício]/[Cotação],IF([Ref]&lt;4,0,""))</f>
        <v/>
      </c>
      <c r="Y366" s="17">
        <f>IF([Tipo]="div",1,0)</f>
        <v>0</v>
      </c>
      <c r="Z366" s="17">
        <f>IF([Tipo]="jcp",1,0)</f>
        <v>1</v>
      </c>
    </row>
    <row r="367" spans="1:26" hidden="1">
      <c r="A367" s="4" t="s">
        <v>236</v>
      </c>
      <c r="B367" s="3" t="s">
        <v>21</v>
      </c>
      <c r="C367" s="15">
        <v>4</v>
      </c>
      <c r="D367" s="4">
        <v>2010</v>
      </c>
      <c r="E367" s="4" t="s">
        <v>1475</v>
      </c>
      <c r="F367" s="4"/>
      <c r="G367" s="46">
        <v>40312</v>
      </c>
      <c r="H367" s="46">
        <v>40329</v>
      </c>
      <c r="I367" s="4">
        <v>0.2</v>
      </c>
      <c r="J367" s="17">
        <f>IF(Tabela8[[#This Row],[Tipo]]="jcp",Tabela8[[#This Row],[Provento p/Ação]]*85%,Tabela8[[#This Row],[Provento p/Ação]])</f>
        <v>0.17</v>
      </c>
      <c r="K367" s="143" t="str">
        <f>IF([Lucro p/Ação]&lt;&gt;0,SUMPRODUCT(N([Papel]=Tabela8[[#This Row],[Papel]]),N([Exercício]=Tabela8[[#This Row],[Exercício]]),[Líquido p/Ação]),"")</f>
        <v/>
      </c>
      <c r="L367" s="42" t="str">
        <f>IF(Tabela8[[#This Row],[Lucro p/Ação]]="","",IF(Tabela8[[#This Row],[Lucro p/Ação]]&gt;0,Tabela8[[#This Row],[Total Exercício]]/Tabela8[[#This Row],[Lucro p/Ação]],0))</f>
        <v/>
      </c>
      <c r="M3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7" s="14" t="str">
        <f>IF(Tabela8[[#This Row],[Média Lucro p/Ação]]&lt;&gt;"",Tabela8[[#This Row],[Média Pago]]/Tabela8[[#This Row],[Média Lucro p/Ação]],"")</f>
        <v/>
      </c>
      <c r="P3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7" s="13">
        <f>SUMPRODUCT(N(Tabela1[Código]=Tabela8[[#This Row],[Papel]]),Tabela1[Fechamento])</f>
        <v>0</v>
      </c>
      <c r="R367" s="13">
        <f>SUMPRODUCT(N(Tabela17[Código]=Tabela8[[#This Row],[Papel]]),Tabela17[Fechamento])</f>
        <v>13.5</v>
      </c>
      <c r="S367" s="7">
        <f>SUMPRODUCT(N(Tabela176[Código]=Tabela8[[#This Row],[Papel]]),Tabela176[Fechamento])</f>
        <v>0</v>
      </c>
      <c r="T367" s="7">
        <f>SUMPRODUCT(N(Tabela1768[Código]=Tabela8[[#This Row],[Papel]]),Tabela1768[Fechamento])</f>
        <v>0</v>
      </c>
      <c r="U367" s="7">
        <f>SUMPRODUCT(N(Tabela17683[Código]=Tabela8[[#This Row],[Papel]]),Tabela17683[Fechamento])</f>
        <v>0</v>
      </c>
      <c r="V367" s="17">
        <f>IF(MAX(Tabela8[[#This Row],[Cotação 1]]:Tabela8[[#This Row],[Cotação 5]])=0,"",MAX(Tabela8[[#This Row],[Cotação 1]]:Tabela8[[#This Row],[Cotação 5]]))</f>
        <v>13.5</v>
      </c>
      <c r="W3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7" s="17" t="str">
        <f>IF(AND([Ref]=5,[Cotação]&gt;0,[Cotação]&lt;&gt;""),[Total Exercício]/[Cotação],IF([Ref]&lt;4,0,""))</f>
        <v/>
      </c>
      <c r="Y367" s="17">
        <f>IF([Tipo]="div",1,0)</f>
        <v>0</v>
      </c>
      <c r="Z367" s="17">
        <f>IF([Tipo]="jcp",1,0)</f>
        <v>1</v>
      </c>
    </row>
    <row r="368" spans="1:26" hidden="1">
      <c r="A368" s="3" t="s">
        <v>779</v>
      </c>
      <c r="B368" s="58" t="s">
        <v>787</v>
      </c>
      <c r="C368" s="16">
        <v>3</v>
      </c>
      <c r="D368" s="4"/>
      <c r="E368" s="4"/>
      <c r="F368" s="4"/>
      <c r="G368" s="4"/>
      <c r="H368" s="4"/>
      <c r="I368" s="4"/>
      <c r="J368" s="17">
        <f>IF(Tabela8[[#This Row],[Tipo]]="jcp",Tabela8[[#This Row],[Provento p/Ação]]*85%,Tabela8[[#This Row],[Provento p/Ação]])</f>
        <v>0</v>
      </c>
      <c r="K368" s="143" t="str">
        <f>IF([Lucro p/Ação]&lt;&gt;0,SUMPRODUCT(N([Papel]=Tabela8[[#This Row],[Papel]]),N([Exercício]=Tabela8[[#This Row],[Exercício]]),[Líquido p/Ação]),"")</f>
        <v/>
      </c>
      <c r="L368" s="42" t="str">
        <f>IF(Tabela8[[#This Row],[Lucro p/Ação]]="","",IF(Tabela8[[#This Row],[Lucro p/Ação]]&gt;0,Tabela8[[#This Row],[Total Exercício]]/Tabela8[[#This Row],[Lucro p/Ação]],0))</f>
        <v/>
      </c>
      <c r="M3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8" s="14" t="str">
        <f>IF(Tabela8[[#This Row],[Média Lucro p/Ação]]&lt;&gt;"",Tabela8[[#This Row],[Média Pago]]/Tabela8[[#This Row],[Média Lucro p/Ação]],"")</f>
        <v/>
      </c>
      <c r="P3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8" s="7">
        <f>SUMPRODUCT(N(Tabela1[Código]=Tabela8[[#This Row],[Papel]]),Tabela1[Fechamento])</f>
        <v>0</v>
      </c>
      <c r="R368" s="7">
        <f>SUMPRODUCT(N(Tabela17[Código]=Tabela8[[#This Row],[Papel]]),Tabela17[Fechamento])</f>
        <v>0</v>
      </c>
      <c r="S368" s="7">
        <f>SUMPRODUCT(N(Tabela176[Código]=Tabela8[[#This Row],[Papel]]),Tabela176[Fechamento])</f>
        <v>17.8</v>
      </c>
      <c r="T368" s="7">
        <f>SUMPRODUCT(N(Tabela1768[Código]=Tabela8[[#This Row],[Papel]]),Tabela1768[Fechamento])</f>
        <v>0</v>
      </c>
      <c r="U368" s="7">
        <f>SUMPRODUCT(N(Tabela17683[Código]=Tabela8[[#This Row],[Papel]]),Tabela17683[Fechamento])</f>
        <v>0</v>
      </c>
      <c r="V368" s="17">
        <f>IF(MAX(Tabela8[[#This Row],[Cotação 1]]:Tabela8[[#This Row],[Cotação 5]])=0,"",MAX(Tabela8[[#This Row],[Cotação 1]]:Tabela8[[#This Row],[Cotação 5]]))</f>
        <v>17.8</v>
      </c>
      <c r="W3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8" s="17">
        <f>IF(AND([Ref]=5,[Cotação]&gt;0,[Cotação]&lt;&gt;""),[Total Exercício]/[Cotação],IF([Ref]&lt;4,0,""))</f>
        <v>0</v>
      </c>
      <c r="Y368" s="17">
        <f>IF([Tipo]="div",1,0)</f>
        <v>0</v>
      </c>
      <c r="Z368" s="17">
        <f>IF([Tipo]="jcp",1,0)</f>
        <v>0</v>
      </c>
    </row>
    <row r="369" spans="1:26" hidden="1">
      <c r="A369" s="4" t="s">
        <v>14</v>
      </c>
      <c r="B369" s="57" t="s">
        <v>418</v>
      </c>
      <c r="C369" s="15">
        <v>4</v>
      </c>
      <c r="D369" s="4"/>
      <c r="E369" s="4"/>
      <c r="F369" s="4"/>
      <c r="G369" s="4"/>
      <c r="H369" s="4"/>
      <c r="I369" s="4"/>
      <c r="J369" s="17">
        <f>IF(Tabela8[[#This Row],[Tipo]]="jcp",Tabela8[[#This Row],[Provento p/Ação]]*85%,Tabela8[[#This Row],[Provento p/Ação]])</f>
        <v>0</v>
      </c>
      <c r="K369" s="143" t="str">
        <f>IF([Lucro p/Ação]&lt;&gt;0,SUMPRODUCT(N([Papel]=Tabela8[[#This Row],[Papel]]),N([Exercício]=Tabela8[[#This Row],[Exercício]]),[Líquido p/Ação]),"")</f>
        <v/>
      </c>
      <c r="L369" s="42" t="str">
        <f>IF(Tabela8[[#This Row],[Lucro p/Ação]]="","",IF(Tabela8[[#This Row],[Lucro p/Ação]]&gt;0,Tabela8[[#This Row],[Total Exercício]]/Tabela8[[#This Row],[Lucro p/Ação]],0))</f>
        <v/>
      </c>
      <c r="M3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69" s="14" t="str">
        <f>IF(Tabela8[[#This Row],[Média Lucro p/Ação]]&lt;&gt;"",Tabela8[[#This Row],[Média Pago]]/Tabela8[[#This Row],[Média Lucro p/Ação]],"")</f>
        <v/>
      </c>
      <c r="P3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69" s="13">
        <f>SUMPRODUCT(N(Tabela1[Código]=Tabela8[[#This Row],[Papel]]),Tabela1[Fechamento])</f>
        <v>0</v>
      </c>
      <c r="R369" s="13">
        <f>SUMPRODUCT(N(Tabela17[Código]=Tabela8[[#This Row],[Papel]]),Tabela17[Fechamento])</f>
        <v>0</v>
      </c>
      <c r="S369" s="7">
        <f>SUMPRODUCT(N(Tabela176[Código]=Tabela8[[#This Row],[Papel]]),Tabela176[Fechamento])</f>
        <v>0</v>
      </c>
      <c r="T369" s="7">
        <f>SUMPRODUCT(N(Tabela1768[Código]=Tabela8[[#This Row],[Papel]]),Tabela1768[Fechamento])</f>
        <v>0</v>
      </c>
      <c r="U369" s="7">
        <f>SUMPRODUCT(N(Tabela17683[Código]=Tabela8[[#This Row],[Papel]]),Tabela17683[Fechamento])</f>
        <v>0</v>
      </c>
      <c r="V369" s="17" t="str">
        <f>IF(MAX(Tabela8[[#This Row],[Cotação 1]]:Tabela8[[#This Row],[Cotação 5]])=0,"",MAX(Tabela8[[#This Row],[Cotação 1]]:Tabela8[[#This Row],[Cotação 5]]))</f>
        <v/>
      </c>
      <c r="W3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69" s="17" t="str">
        <f>IF(AND([Ref]=5,[Cotação]&gt;0,[Cotação]&lt;&gt;""),[Total Exercício]/[Cotação],IF([Ref]&lt;4,0,""))</f>
        <v/>
      </c>
      <c r="Y369" s="17">
        <f>IF([Tipo]="div",1,0)</f>
        <v>0</v>
      </c>
      <c r="Z369" s="17">
        <f>IF([Tipo]="jcp",1,0)</f>
        <v>0</v>
      </c>
    </row>
    <row r="370" spans="1:26" hidden="1">
      <c r="A370" s="4" t="s">
        <v>14</v>
      </c>
      <c r="B370" s="57" t="s">
        <v>74</v>
      </c>
      <c r="C370" s="15">
        <v>4</v>
      </c>
      <c r="D370" s="4"/>
      <c r="E370" s="4"/>
      <c r="F370" s="4"/>
      <c r="G370" s="4"/>
      <c r="H370" s="4"/>
      <c r="I370" s="4"/>
      <c r="J370" s="17">
        <f>IF(Tabela8[[#This Row],[Tipo]]="jcp",Tabela8[[#This Row],[Provento p/Ação]]*85%,Tabela8[[#This Row],[Provento p/Ação]])</f>
        <v>0</v>
      </c>
      <c r="K370" s="143" t="str">
        <f>IF([Lucro p/Ação]&lt;&gt;0,SUMPRODUCT(N([Papel]=Tabela8[[#This Row],[Papel]]),N([Exercício]=Tabela8[[#This Row],[Exercício]]),[Líquido p/Ação]),"")</f>
        <v/>
      </c>
      <c r="L370" s="42" t="str">
        <f>IF(Tabela8[[#This Row],[Lucro p/Ação]]="","",IF(Tabela8[[#This Row],[Lucro p/Ação]]&gt;0,Tabela8[[#This Row],[Total Exercício]]/Tabela8[[#This Row],[Lucro p/Ação]],0))</f>
        <v/>
      </c>
      <c r="M3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0" s="14" t="str">
        <f>IF(Tabela8[[#This Row],[Média Lucro p/Ação]]&lt;&gt;"",Tabela8[[#This Row],[Média Pago]]/Tabela8[[#This Row],[Média Lucro p/Ação]],"")</f>
        <v/>
      </c>
      <c r="P3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0" s="5">
        <f>SUMPRODUCT(N(Tabela1[Código]=Tabela8[[#This Row],[Papel]]),Tabela1[Fechamento])</f>
        <v>7.59</v>
      </c>
      <c r="R370" s="5">
        <f>SUMPRODUCT(N(Tabela17[Código]=Tabela8[[#This Row],[Papel]]),Tabela17[Fechamento])</f>
        <v>0</v>
      </c>
      <c r="S370" s="7">
        <f>SUMPRODUCT(N(Tabela176[Código]=Tabela8[[#This Row],[Papel]]),Tabela176[Fechamento])</f>
        <v>0</v>
      </c>
      <c r="T370" s="7">
        <f>SUMPRODUCT(N(Tabela1768[Código]=Tabela8[[#This Row],[Papel]]),Tabela1768[Fechamento])</f>
        <v>0</v>
      </c>
      <c r="U370" s="7">
        <f>SUMPRODUCT(N(Tabela17683[Código]=Tabela8[[#This Row],[Papel]]),Tabela17683[Fechamento])</f>
        <v>0</v>
      </c>
      <c r="V370" s="17">
        <f>IF(MAX(Tabela8[[#This Row],[Cotação 1]]:Tabela8[[#This Row],[Cotação 5]])=0,"",MAX(Tabela8[[#This Row],[Cotação 1]]:Tabela8[[#This Row],[Cotação 5]]))</f>
        <v>7.59</v>
      </c>
      <c r="W3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0" s="17" t="str">
        <f>IF(AND([Ref]=5,[Cotação]&gt;0,[Cotação]&lt;&gt;""),[Total Exercício]/[Cotação],IF([Ref]&lt;4,0,""))</f>
        <v/>
      </c>
      <c r="Y370" s="17">
        <f>IF([Tipo]="div",1,0)</f>
        <v>0</v>
      </c>
      <c r="Z370" s="17">
        <f>IF([Tipo]="jcp",1,0)</f>
        <v>0</v>
      </c>
    </row>
    <row r="371" spans="1:26" hidden="1">
      <c r="A371" s="3" t="s">
        <v>1276</v>
      </c>
      <c r="B371" s="57" t="s">
        <v>1250</v>
      </c>
      <c r="C371" s="16">
        <v>3</v>
      </c>
      <c r="D371" s="4"/>
      <c r="E371" s="4"/>
      <c r="F371" s="4"/>
      <c r="G371" s="4"/>
      <c r="H371" s="4"/>
      <c r="I371" s="4"/>
      <c r="J371" s="17">
        <f>IF(Tabela8[[#This Row],[Tipo]]="jcp",Tabela8[[#This Row],[Provento p/Ação]]*85%,Tabela8[[#This Row],[Provento p/Ação]])</f>
        <v>0</v>
      </c>
      <c r="K371" s="143" t="str">
        <f>IF([Lucro p/Ação]&lt;&gt;0,SUMPRODUCT(N([Papel]=Tabela8[[#This Row],[Papel]]),N([Exercício]=Tabela8[[#This Row],[Exercício]]),[Líquido p/Ação]),"")</f>
        <v/>
      </c>
      <c r="L371" s="42" t="str">
        <f>IF(Tabela8[[#This Row],[Lucro p/Ação]]="","",IF(Tabela8[[#This Row],[Lucro p/Ação]]&gt;0,Tabela8[[#This Row],[Total Exercício]]/Tabela8[[#This Row],[Lucro p/Ação]],0))</f>
        <v/>
      </c>
      <c r="M3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1" s="14" t="str">
        <f>IF(Tabela8[[#This Row],[Média Lucro p/Ação]]&lt;&gt;"",Tabela8[[#This Row],[Média Pago]]/Tabela8[[#This Row],[Média Lucro p/Ação]],"")</f>
        <v/>
      </c>
      <c r="P3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1" s="7">
        <f>SUMPRODUCT(N(Tabela1[Código]=Tabela8[[#This Row],[Papel]]),Tabela1[Fechamento])</f>
        <v>0</v>
      </c>
      <c r="R371" s="7">
        <f>SUMPRODUCT(N(Tabela17[Código]=Tabela8[[#This Row],[Papel]]),Tabela17[Fechamento])</f>
        <v>0</v>
      </c>
      <c r="S371" s="7">
        <f>SUMPRODUCT(N(Tabela176[Código]=Tabela8[[#This Row],[Papel]]),Tabela176[Fechamento])</f>
        <v>0</v>
      </c>
      <c r="T371" s="7">
        <f>SUMPRODUCT(N(Tabela1768[Código]=Tabela8[[#This Row],[Papel]]),Tabela1768[Fechamento])</f>
        <v>0</v>
      </c>
      <c r="U371" s="7">
        <f>SUMPRODUCT(N(Tabela17683[Código]=Tabela8[[#This Row],[Papel]]),Tabela17683[Fechamento])</f>
        <v>0.41</v>
      </c>
      <c r="V371" s="17">
        <f>IF(MAX(Tabela8[[#This Row],[Cotação 1]]:Tabela8[[#This Row],[Cotação 5]])=0,"",MAX(Tabela8[[#This Row],[Cotação 1]]:Tabela8[[#This Row],[Cotação 5]]))</f>
        <v>0.41</v>
      </c>
      <c r="W3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1" s="17">
        <f>IF(AND([Ref]=5,[Cotação]&gt;0,[Cotação]&lt;&gt;""),[Total Exercício]/[Cotação],IF([Ref]&lt;4,0,""))</f>
        <v>0</v>
      </c>
      <c r="Y371" s="17">
        <f>IF([Tipo]="div",1,0)</f>
        <v>0</v>
      </c>
      <c r="Z371" s="17">
        <f>IF([Tipo]="jcp",1,0)</f>
        <v>0</v>
      </c>
    </row>
    <row r="372" spans="1:26" hidden="1">
      <c r="A372" s="4" t="s">
        <v>618</v>
      </c>
      <c r="B372" s="57" t="s">
        <v>616</v>
      </c>
      <c r="C372" s="15">
        <v>4</v>
      </c>
      <c r="D372" s="4"/>
      <c r="E372" s="4"/>
      <c r="F372" s="4"/>
      <c r="G372" s="4"/>
      <c r="H372" s="4"/>
      <c r="I372" s="4"/>
      <c r="J372" s="17">
        <f>IF(Tabela8[[#This Row],[Tipo]]="jcp",Tabela8[[#This Row],[Provento p/Ação]]*85%,Tabela8[[#This Row],[Provento p/Ação]])</f>
        <v>0</v>
      </c>
      <c r="K372" s="143" t="str">
        <f>IF([Lucro p/Ação]&lt;&gt;0,SUMPRODUCT(N([Papel]=Tabela8[[#This Row],[Papel]]),N([Exercício]=Tabela8[[#This Row],[Exercício]]),[Líquido p/Ação]),"")</f>
        <v/>
      </c>
      <c r="L372" s="42" t="str">
        <f>IF(Tabela8[[#This Row],[Lucro p/Ação]]="","",IF(Tabela8[[#This Row],[Lucro p/Ação]]&gt;0,Tabela8[[#This Row],[Total Exercício]]/Tabela8[[#This Row],[Lucro p/Ação]],0))</f>
        <v/>
      </c>
      <c r="M3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2" s="14" t="str">
        <f>IF(Tabela8[[#This Row],[Média Lucro p/Ação]]&lt;&gt;"",Tabela8[[#This Row],[Média Pago]]/Tabela8[[#This Row],[Média Lucro p/Ação]],"")</f>
        <v/>
      </c>
      <c r="P3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2" s="17">
        <f>SUMPRODUCT(N(Tabela1[Código]=Tabela8[[#This Row],[Papel]]),Tabela1[Fechamento])</f>
        <v>0</v>
      </c>
      <c r="R372" s="17">
        <f>SUMPRODUCT(N(Tabela17[Código]=Tabela8[[#This Row],[Papel]]),Tabela17[Fechamento])</f>
        <v>0</v>
      </c>
      <c r="S372" s="17">
        <f>SUMPRODUCT(N(Tabela176[Código]=Tabela8[[#This Row],[Papel]]),Tabela176[Fechamento])</f>
        <v>3.02</v>
      </c>
      <c r="T372" s="17">
        <f>SUMPRODUCT(N(Tabela1768[Código]=Tabela8[[#This Row],[Papel]]),Tabela1768[Fechamento])</f>
        <v>0</v>
      </c>
      <c r="U372" s="7">
        <f>SUMPRODUCT(N(Tabela17683[Código]=Tabela8[[#This Row],[Papel]]),Tabela17683[Fechamento])</f>
        <v>0</v>
      </c>
      <c r="V372" s="17">
        <f>IF(MAX(Tabela8[[#This Row],[Cotação 1]]:Tabela8[[#This Row],[Cotação 5]])=0,"",MAX(Tabela8[[#This Row],[Cotação 1]]:Tabela8[[#This Row],[Cotação 5]]))</f>
        <v>3.02</v>
      </c>
      <c r="W3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2" s="17" t="str">
        <f>IF(AND([Ref]=5,[Cotação]&gt;0,[Cotação]&lt;&gt;""),[Total Exercício]/[Cotação],IF([Ref]&lt;4,0,""))</f>
        <v/>
      </c>
      <c r="Y372" s="17">
        <f>IF([Tipo]="div",1,0)</f>
        <v>0</v>
      </c>
      <c r="Z372" s="17">
        <f>IF([Tipo]="jcp",1,0)</f>
        <v>0</v>
      </c>
    </row>
    <row r="373" spans="1:26" hidden="1">
      <c r="A373" s="3" t="s">
        <v>779</v>
      </c>
      <c r="B373" s="58" t="s">
        <v>783</v>
      </c>
      <c r="C373" s="16">
        <v>3</v>
      </c>
      <c r="D373" s="4"/>
      <c r="E373" s="4"/>
      <c r="F373" s="4"/>
      <c r="G373" s="4"/>
      <c r="H373" s="4"/>
      <c r="I373" s="4"/>
      <c r="J373" s="17">
        <f>IF(Tabela8[[#This Row],[Tipo]]="jcp",Tabela8[[#This Row],[Provento p/Ação]]*85%,Tabela8[[#This Row],[Provento p/Ação]])</f>
        <v>0</v>
      </c>
      <c r="K373" s="143" t="str">
        <f>IF([Lucro p/Ação]&lt;&gt;0,SUMPRODUCT(N([Papel]=Tabela8[[#This Row],[Papel]]),N([Exercício]=Tabela8[[#This Row],[Exercício]]),[Líquido p/Ação]),"")</f>
        <v/>
      </c>
      <c r="L373" s="42" t="str">
        <f>IF(Tabela8[[#This Row],[Lucro p/Ação]]="","",IF(Tabela8[[#This Row],[Lucro p/Ação]]&gt;0,Tabela8[[#This Row],[Total Exercício]]/Tabela8[[#This Row],[Lucro p/Ação]],0))</f>
        <v/>
      </c>
      <c r="M3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3" s="14" t="str">
        <f>IF(Tabela8[[#This Row],[Média Lucro p/Ação]]&lt;&gt;"",Tabela8[[#This Row],[Média Pago]]/Tabela8[[#This Row],[Média Lucro p/Ação]],"")</f>
        <v/>
      </c>
      <c r="P3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3" s="7">
        <f>SUMPRODUCT(N(Tabela1[Código]=Tabela8[[#This Row],[Papel]]),Tabela1[Fechamento])</f>
        <v>0</v>
      </c>
      <c r="R373" s="7">
        <f>SUMPRODUCT(N(Tabela17[Código]=Tabela8[[#This Row],[Papel]]),Tabela17[Fechamento])</f>
        <v>0</v>
      </c>
      <c r="S373" s="7">
        <f>SUMPRODUCT(N(Tabela176[Código]=Tabela8[[#This Row],[Papel]]),Tabela176[Fechamento])</f>
        <v>166</v>
      </c>
      <c r="T373" s="7">
        <f>SUMPRODUCT(N(Tabela1768[Código]=Tabela8[[#This Row],[Papel]]),Tabela1768[Fechamento])</f>
        <v>0</v>
      </c>
      <c r="U373" s="7">
        <f>SUMPRODUCT(N(Tabela17683[Código]=Tabela8[[#This Row],[Papel]]),Tabela17683[Fechamento])</f>
        <v>0</v>
      </c>
      <c r="V373" s="17">
        <f>IF(MAX(Tabela8[[#This Row],[Cotação 1]]:Tabela8[[#This Row],[Cotação 5]])=0,"",MAX(Tabela8[[#This Row],[Cotação 1]]:Tabela8[[#This Row],[Cotação 5]]))</f>
        <v>166</v>
      </c>
      <c r="W3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3" s="17">
        <f>IF(AND([Ref]=5,[Cotação]&gt;0,[Cotação]&lt;&gt;""),[Total Exercício]/[Cotação],IF([Ref]&lt;4,0,""))</f>
        <v>0</v>
      </c>
      <c r="Y373" s="17">
        <f>IF([Tipo]="div",1,0)</f>
        <v>0</v>
      </c>
      <c r="Z373" s="17">
        <f>IF([Tipo]="jcp",1,0)</f>
        <v>0</v>
      </c>
    </row>
    <row r="374" spans="1:26" hidden="1">
      <c r="A374" s="3" t="s">
        <v>779</v>
      </c>
      <c r="B374" s="58" t="s">
        <v>784</v>
      </c>
      <c r="C374" s="16">
        <v>3</v>
      </c>
      <c r="D374" s="4"/>
      <c r="E374" s="4"/>
      <c r="F374" s="4"/>
      <c r="G374" s="4"/>
      <c r="H374" s="4"/>
      <c r="I374" s="4"/>
      <c r="J374" s="17">
        <f>IF(Tabela8[[#This Row],[Tipo]]="jcp",Tabela8[[#This Row],[Provento p/Ação]]*85%,Tabela8[[#This Row],[Provento p/Ação]])</f>
        <v>0</v>
      </c>
      <c r="K374" s="143" t="str">
        <f>IF([Lucro p/Ação]&lt;&gt;0,SUMPRODUCT(N([Papel]=Tabela8[[#This Row],[Papel]]),N([Exercício]=Tabela8[[#This Row],[Exercício]]),[Líquido p/Ação]),"")</f>
        <v/>
      </c>
      <c r="L374" s="42" t="str">
        <f>IF(Tabela8[[#This Row],[Lucro p/Ação]]="","",IF(Tabela8[[#This Row],[Lucro p/Ação]]&gt;0,Tabela8[[#This Row],[Total Exercício]]/Tabela8[[#This Row],[Lucro p/Ação]],0))</f>
        <v/>
      </c>
      <c r="M3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4" s="14" t="str">
        <f>IF(Tabela8[[#This Row],[Média Lucro p/Ação]]&lt;&gt;"",Tabela8[[#This Row],[Média Pago]]/Tabela8[[#This Row],[Média Lucro p/Ação]],"")</f>
        <v/>
      </c>
      <c r="P3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4" s="7">
        <f>SUMPRODUCT(N(Tabela1[Código]=Tabela8[[#This Row],[Papel]]),Tabela1[Fechamento])</f>
        <v>0</v>
      </c>
      <c r="R374" s="7">
        <f>SUMPRODUCT(N(Tabela17[Código]=Tabela8[[#This Row],[Papel]]),Tabela17[Fechamento])</f>
        <v>0</v>
      </c>
      <c r="S374" s="7">
        <f>SUMPRODUCT(N(Tabela176[Código]=Tabela8[[#This Row],[Papel]]),Tabela176[Fechamento])</f>
        <v>160</v>
      </c>
      <c r="T374" s="7">
        <f>SUMPRODUCT(N(Tabela1768[Código]=Tabela8[[#This Row],[Papel]]),Tabela1768[Fechamento])</f>
        <v>0</v>
      </c>
      <c r="U374" s="7">
        <f>SUMPRODUCT(N(Tabela17683[Código]=Tabela8[[#This Row],[Papel]]),Tabela17683[Fechamento])</f>
        <v>0</v>
      </c>
      <c r="V374" s="17">
        <f>IF(MAX(Tabela8[[#This Row],[Cotação 1]]:Tabela8[[#This Row],[Cotação 5]])=0,"",MAX(Tabela8[[#This Row],[Cotação 1]]:Tabela8[[#This Row],[Cotação 5]]))</f>
        <v>160</v>
      </c>
      <c r="W3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4" s="17">
        <f>IF(AND([Ref]=5,[Cotação]&gt;0,[Cotação]&lt;&gt;""),[Total Exercício]/[Cotação],IF([Ref]&lt;4,0,""))</f>
        <v>0</v>
      </c>
      <c r="Y374" s="17">
        <f>IF([Tipo]="div",1,0)</f>
        <v>0</v>
      </c>
      <c r="Z374" s="17">
        <f>IF([Tipo]="jcp",1,0)</f>
        <v>0</v>
      </c>
    </row>
    <row r="375" spans="1:26" hidden="1">
      <c r="A375" s="3" t="s">
        <v>1276</v>
      </c>
      <c r="B375" s="57" t="s">
        <v>1246</v>
      </c>
      <c r="C375" s="16">
        <v>4</v>
      </c>
      <c r="D375" s="4"/>
      <c r="E375" s="4"/>
      <c r="F375" s="4"/>
      <c r="G375" s="4"/>
      <c r="H375" s="4"/>
      <c r="I375" s="4"/>
      <c r="J375" s="17">
        <f>IF(Tabela8[[#This Row],[Tipo]]="jcp",Tabela8[[#This Row],[Provento p/Ação]]*85%,Tabela8[[#This Row],[Provento p/Ação]])</f>
        <v>0</v>
      </c>
      <c r="K375" s="143" t="str">
        <f>IF([Lucro p/Ação]&lt;&gt;0,SUMPRODUCT(N([Papel]=Tabela8[[#This Row],[Papel]]),N([Exercício]=Tabela8[[#This Row],[Exercício]]),[Líquido p/Ação]),"")</f>
        <v/>
      </c>
      <c r="L375" s="42" t="str">
        <f>IF(Tabela8[[#This Row],[Lucro p/Ação]]="","",IF(Tabela8[[#This Row],[Lucro p/Ação]]&gt;0,Tabela8[[#This Row],[Total Exercício]]/Tabela8[[#This Row],[Lucro p/Ação]],0))</f>
        <v/>
      </c>
      <c r="M3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5" s="14" t="str">
        <f>IF(Tabela8[[#This Row],[Média Lucro p/Ação]]&lt;&gt;"",Tabela8[[#This Row],[Média Pago]]/Tabela8[[#This Row],[Média Lucro p/Ação]],"")</f>
        <v/>
      </c>
      <c r="P3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5" s="7">
        <f>SUMPRODUCT(N(Tabela1[Código]=Tabela8[[#This Row],[Papel]]),Tabela1[Fechamento])</f>
        <v>0</v>
      </c>
      <c r="R375" s="7">
        <f>SUMPRODUCT(N(Tabela17[Código]=Tabela8[[#This Row],[Papel]]),Tabela17[Fechamento])</f>
        <v>0</v>
      </c>
      <c r="S375" s="7">
        <f>SUMPRODUCT(N(Tabela176[Código]=Tabela8[[#This Row],[Papel]]),Tabela176[Fechamento])</f>
        <v>0</v>
      </c>
      <c r="T375" s="7">
        <f>SUMPRODUCT(N(Tabela1768[Código]=Tabela8[[#This Row],[Papel]]),Tabela1768[Fechamento])</f>
        <v>0</v>
      </c>
      <c r="U375" s="7">
        <f>SUMPRODUCT(N(Tabela17683[Código]=Tabela8[[#This Row],[Papel]]),Tabela17683[Fechamento])</f>
        <v>4.2699999999999996</v>
      </c>
      <c r="V375" s="17">
        <f>IF(MAX(Tabela8[[#This Row],[Cotação 1]]:Tabela8[[#This Row],[Cotação 5]])=0,"",MAX(Tabela8[[#This Row],[Cotação 1]]:Tabela8[[#This Row],[Cotação 5]]))</f>
        <v>4.2699999999999996</v>
      </c>
      <c r="W3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5" s="17" t="str">
        <f>IF(AND([Ref]=5,[Cotação]&gt;0,[Cotação]&lt;&gt;""),[Total Exercício]/[Cotação],IF([Ref]&lt;4,0,""))</f>
        <v/>
      </c>
      <c r="Y375" s="17">
        <f>IF([Tipo]="div",1,0)</f>
        <v>0</v>
      </c>
      <c r="Z375" s="17">
        <f>IF([Tipo]="jcp",1,0)</f>
        <v>0</v>
      </c>
    </row>
    <row r="376" spans="1:26" hidden="1">
      <c r="A376" s="3" t="s">
        <v>1276</v>
      </c>
      <c r="B376" s="57" t="s">
        <v>1247</v>
      </c>
      <c r="C376" s="16">
        <v>4</v>
      </c>
      <c r="D376" s="4"/>
      <c r="E376" s="4"/>
      <c r="F376" s="4"/>
      <c r="G376" s="4"/>
      <c r="H376" s="4"/>
      <c r="I376" s="4"/>
      <c r="J376" s="17">
        <f>IF(Tabela8[[#This Row],[Tipo]]="jcp",Tabela8[[#This Row],[Provento p/Ação]]*85%,Tabela8[[#This Row],[Provento p/Ação]])</f>
        <v>0</v>
      </c>
      <c r="K376" s="143" t="str">
        <f>IF([Lucro p/Ação]&lt;&gt;0,SUMPRODUCT(N([Papel]=Tabela8[[#This Row],[Papel]]),N([Exercício]=Tabela8[[#This Row],[Exercício]]),[Líquido p/Ação]),"")</f>
        <v/>
      </c>
      <c r="L376" s="42" t="str">
        <f>IF(Tabela8[[#This Row],[Lucro p/Ação]]="","",IF(Tabela8[[#This Row],[Lucro p/Ação]]&gt;0,Tabela8[[#This Row],[Total Exercício]]/Tabela8[[#This Row],[Lucro p/Ação]],0))</f>
        <v/>
      </c>
      <c r="M3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6" s="14" t="str">
        <f>IF(Tabela8[[#This Row],[Média Lucro p/Ação]]&lt;&gt;"",Tabela8[[#This Row],[Média Pago]]/Tabela8[[#This Row],[Média Lucro p/Ação]],"")</f>
        <v/>
      </c>
      <c r="P3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6" s="7">
        <f>SUMPRODUCT(N(Tabela1[Código]=Tabela8[[#This Row],[Papel]]),Tabela1[Fechamento])</f>
        <v>0</v>
      </c>
      <c r="R376" s="7">
        <f>SUMPRODUCT(N(Tabela17[Código]=Tabela8[[#This Row],[Papel]]),Tabela17[Fechamento])</f>
        <v>0</v>
      </c>
      <c r="S376" s="7">
        <f>SUMPRODUCT(N(Tabela176[Código]=Tabela8[[#This Row],[Papel]]),Tabela176[Fechamento])</f>
        <v>0</v>
      </c>
      <c r="T376" s="7">
        <f>SUMPRODUCT(N(Tabela1768[Código]=Tabela8[[#This Row],[Papel]]),Tabela1768[Fechamento])</f>
        <v>0</v>
      </c>
      <c r="U376" s="7">
        <f>SUMPRODUCT(N(Tabela17683[Código]=Tabela8[[#This Row],[Papel]]),Tabela17683[Fechamento])</f>
        <v>4.43</v>
      </c>
      <c r="V376" s="17">
        <f>IF(MAX(Tabela8[[#This Row],[Cotação 1]]:Tabela8[[#This Row],[Cotação 5]])=0,"",MAX(Tabela8[[#This Row],[Cotação 1]]:Tabela8[[#This Row],[Cotação 5]]))</f>
        <v>4.43</v>
      </c>
      <c r="W3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6" s="17" t="str">
        <f>IF(AND([Ref]=5,[Cotação]&gt;0,[Cotação]&lt;&gt;""),[Total Exercício]/[Cotação],IF([Ref]&lt;4,0,""))</f>
        <v/>
      </c>
      <c r="Y376" s="17">
        <f>IF([Tipo]="div",1,0)</f>
        <v>0</v>
      </c>
      <c r="Z376" s="17">
        <f>IF([Tipo]="jcp",1,0)</f>
        <v>0</v>
      </c>
    </row>
    <row r="377" spans="1:26" hidden="1">
      <c r="A377" s="4" t="s">
        <v>570</v>
      </c>
      <c r="B377" s="57" t="s">
        <v>573</v>
      </c>
      <c r="C377" s="15">
        <v>4</v>
      </c>
      <c r="D377" s="4"/>
      <c r="E377" s="4"/>
      <c r="F377" s="4"/>
      <c r="G377" s="4"/>
      <c r="H377" s="4"/>
      <c r="I377" s="4"/>
      <c r="J377" s="17">
        <f>IF(Tabela8[[#This Row],[Tipo]]="jcp",Tabela8[[#This Row],[Provento p/Ação]]*85%,Tabela8[[#This Row],[Provento p/Ação]])</f>
        <v>0</v>
      </c>
      <c r="K377" s="143" t="str">
        <f>IF([Lucro p/Ação]&lt;&gt;0,SUMPRODUCT(N([Papel]=Tabela8[[#This Row],[Papel]]),N([Exercício]=Tabela8[[#This Row],[Exercício]]),[Líquido p/Ação]),"")</f>
        <v/>
      </c>
      <c r="L377" s="42" t="str">
        <f>IF(Tabela8[[#This Row],[Lucro p/Ação]]="","",IF(Tabela8[[#This Row],[Lucro p/Ação]]&gt;0,Tabela8[[#This Row],[Total Exercício]]/Tabela8[[#This Row],[Lucro p/Ação]],0))</f>
        <v/>
      </c>
      <c r="M3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7" s="14" t="str">
        <f>IF(Tabela8[[#This Row],[Média Lucro p/Ação]]&lt;&gt;"",Tabela8[[#This Row],[Média Pago]]/Tabela8[[#This Row],[Média Lucro p/Ação]],"")</f>
        <v/>
      </c>
      <c r="P3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7" s="17">
        <f>SUMPRODUCT(N(Tabela1[Código]=Tabela8[[#This Row],[Papel]]),Tabela1[Fechamento])</f>
        <v>0</v>
      </c>
      <c r="R377" s="17">
        <f>SUMPRODUCT(N(Tabela17[Código]=Tabela8[[#This Row],[Papel]]),Tabela17[Fechamento])</f>
        <v>0</v>
      </c>
      <c r="S377" s="17">
        <f>SUMPRODUCT(N(Tabela176[Código]=Tabela8[[#This Row],[Papel]]),Tabela176[Fechamento])</f>
        <v>2.36</v>
      </c>
      <c r="T377" s="17">
        <f>SUMPRODUCT(N(Tabela1768[Código]=Tabela8[[#This Row],[Papel]]),Tabela1768[Fechamento])</f>
        <v>0</v>
      </c>
      <c r="U377" s="7">
        <f>SUMPRODUCT(N(Tabela17683[Código]=Tabela8[[#This Row],[Papel]]),Tabela17683[Fechamento])</f>
        <v>0</v>
      </c>
      <c r="V377" s="17">
        <f>IF(MAX(Tabela8[[#This Row],[Cotação 1]]:Tabela8[[#This Row],[Cotação 5]])=0,"",MAX(Tabela8[[#This Row],[Cotação 1]]:Tabela8[[#This Row],[Cotação 5]]))</f>
        <v>2.36</v>
      </c>
      <c r="W3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7" s="17" t="str">
        <f>IF(AND([Ref]=5,[Cotação]&gt;0,[Cotação]&lt;&gt;""),[Total Exercício]/[Cotação],IF([Ref]&lt;4,0,""))</f>
        <v/>
      </c>
      <c r="Y377" s="17">
        <f>IF([Tipo]="div",1,0)</f>
        <v>0</v>
      </c>
      <c r="Z377" s="17">
        <f>IF([Tipo]="jcp",1,0)</f>
        <v>0</v>
      </c>
    </row>
    <row r="378" spans="1:26" hidden="1">
      <c r="A378" s="4" t="s">
        <v>14</v>
      </c>
      <c r="B378" s="57" t="s">
        <v>556</v>
      </c>
      <c r="C378" s="15">
        <v>4</v>
      </c>
      <c r="D378" s="4"/>
      <c r="E378" s="4"/>
      <c r="F378" s="4"/>
      <c r="G378" s="4"/>
      <c r="H378" s="4"/>
      <c r="I378" s="4"/>
      <c r="J378" s="17">
        <f>IF(Tabela8[[#This Row],[Tipo]]="jcp",Tabela8[[#This Row],[Provento p/Ação]]*85%,Tabela8[[#This Row],[Provento p/Ação]])</f>
        <v>0</v>
      </c>
      <c r="K378" s="143" t="str">
        <f>IF([Lucro p/Ação]&lt;&gt;0,SUMPRODUCT(N([Papel]=Tabela8[[#This Row],[Papel]]),N([Exercício]=Tabela8[[#This Row],[Exercício]]),[Líquido p/Ação]),"")</f>
        <v/>
      </c>
      <c r="L378" s="42" t="str">
        <f>IF(Tabela8[[#This Row],[Lucro p/Ação]]="","",IF(Tabela8[[#This Row],[Lucro p/Ação]]&gt;0,Tabela8[[#This Row],[Total Exercício]]/Tabela8[[#This Row],[Lucro p/Ação]],0))</f>
        <v/>
      </c>
      <c r="M3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8" s="14" t="str">
        <f>IF(Tabela8[[#This Row],[Média Lucro p/Ação]]&lt;&gt;"",Tabela8[[#This Row],[Média Pago]]/Tabela8[[#This Row],[Média Lucro p/Ação]],"")</f>
        <v/>
      </c>
      <c r="P3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8" s="5">
        <f>SUMPRODUCT(N(Tabela1[Código]=Tabela8[[#This Row],[Papel]]),Tabela1[Fechamento])</f>
        <v>0</v>
      </c>
      <c r="R378" s="5">
        <f>SUMPRODUCT(N(Tabela17[Código]=Tabela8[[#This Row],[Papel]]),Tabela17[Fechamento])</f>
        <v>0</v>
      </c>
      <c r="S378" s="7">
        <f>SUMPRODUCT(N(Tabela176[Código]=Tabela8[[#This Row],[Papel]]),Tabela176[Fechamento])</f>
        <v>0</v>
      </c>
      <c r="T378" s="7">
        <f>SUMPRODUCT(N(Tabela1768[Código]=Tabela8[[#This Row],[Papel]]),Tabela1768[Fechamento])</f>
        <v>0</v>
      </c>
      <c r="U378" s="7">
        <f>SUMPRODUCT(N(Tabela17683[Código]=Tabela8[[#This Row],[Papel]]),Tabela17683[Fechamento])</f>
        <v>0</v>
      </c>
      <c r="V378" s="17" t="str">
        <f>IF(MAX(Tabela8[[#This Row],[Cotação 1]]:Tabela8[[#This Row],[Cotação 5]])=0,"",MAX(Tabela8[[#This Row],[Cotação 1]]:Tabela8[[#This Row],[Cotação 5]]))</f>
        <v/>
      </c>
      <c r="W3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8" s="17" t="str">
        <f>IF(AND([Ref]=5,[Cotação]&gt;0,[Cotação]&lt;&gt;""),[Total Exercício]/[Cotação],IF([Ref]&lt;4,0,""))</f>
        <v/>
      </c>
      <c r="Y378" s="17">
        <f>IF([Tipo]="div",1,0)</f>
        <v>0</v>
      </c>
      <c r="Z378" s="17">
        <f>IF([Tipo]="jcp",1,0)</f>
        <v>0</v>
      </c>
    </row>
    <row r="379" spans="1:26" hidden="1">
      <c r="A379" s="4" t="s">
        <v>14</v>
      </c>
      <c r="B379" s="57" t="s">
        <v>82</v>
      </c>
      <c r="C379" s="15">
        <v>4</v>
      </c>
      <c r="D379" s="4"/>
      <c r="E379" s="4"/>
      <c r="F379" s="4"/>
      <c r="G379" s="4"/>
      <c r="H379" s="4"/>
      <c r="I379" s="4"/>
      <c r="J379" s="17">
        <f>IF(Tabela8[[#This Row],[Tipo]]="jcp",Tabela8[[#This Row],[Provento p/Ação]]*85%,Tabela8[[#This Row],[Provento p/Ação]])</f>
        <v>0</v>
      </c>
      <c r="K379" s="143" t="str">
        <f>IF([Lucro p/Ação]&lt;&gt;0,SUMPRODUCT(N([Papel]=Tabela8[[#This Row],[Papel]]),N([Exercício]=Tabela8[[#This Row],[Exercício]]),[Líquido p/Ação]),"")</f>
        <v/>
      </c>
      <c r="L379" s="42" t="str">
        <f>IF(Tabela8[[#This Row],[Lucro p/Ação]]="","",IF(Tabela8[[#This Row],[Lucro p/Ação]]&gt;0,Tabela8[[#This Row],[Total Exercício]]/Tabela8[[#This Row],[Lucro p/Ação]],0))</f>
        <v/>
      </c>
      <c r="M3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79" s="14" t="str">
        <f>IF(Tabela8[[#This Row],[Média Lucro p/Ação]]&lt;&gt;"",Tabela8[[#This Row],[Média Pago]]/Tabela8[[#This Row],[Média Lucro p/Ação]],"")</f>
        <v/>
      </c>
      <c r="P3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79" s="5">
        <f>SUMPRODUCT(N(Tabela1[Código]=Tabela8[[#This Row],[Papel]]),Tabela1[Fechamento])</f>
        <v>10.27</v>
      </c>
      <c r="R379" s="5">
        <f>SUMPRODUCT(N(Tabela17[Código]=Tabela8[[#This Row],[Papel]]),Tabela17[Fechamento])</f>
        <v>0</v>
      </c>
      <c r="S379" s="7">
        <f>SUMPRODUCT(N(Tabela176[Código]=Tabela8[[#This Row],[Papel]]),Tabela176[Fechamento])</f>
        <v>0</v>
      </c>
      <c r="T379" s="7">
        <f>SUMPRODUCT(N(Tabela1768[Código]=Tabela8[[#This Row],[Papel]]),Tabela1768[Fechamento])</f>
        <v>0</v>
      </c>
      <c r="U379" s="7">
        <f>SUMPRODUCT(N(Tabela17683[Código]=Tabela8[[#This Row],[Papel]]),Tabela17683[Fechamento])</f>
        <v>0</v>
      </c>
      <c r="V379" s="17">
        <f>IF(MAX(Tabela8[[#This Row],[Cotação 1]]:Tabela8[[#This Row],[Cotação 5]])=0,"",MAX(Tabela8[[#This Row],[Cotação 1]]:Tabela8[[#This Row],[Cotação 5]]))</f>
        <v>10.27</v>
      </c>
      <c r="W3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79" s="17" t="str">
        <f>IF(AND([Ref]=5,[Cotação]&gt;0,[Cotação]&lt;&gt;""),[Total Exercício]/[Cotação],IF([Ref]&lt;4,0,""))</f>
        <v/>
      </c>
      <c r="Y379" s="17">
        <f>IF([Tipo]="div",1,0)</f>
        <v>0</v>
      </c>
      <c r="Z379" s="17">
        <f>IF([Tipo]="jcp",1,0)</f>
        <v>0</v>
      </c>
    </row>
    <row r="380" spans="1:26" hidden="1">
      <c r="A380" s="4" t="s">
        <v>314</v>
      </c>
      <c r="B380" s="57" t="s">
        <v>315</v>
      </c>
      <c r="C380" s="15">
        <v>4</v>
      </c>
      <c r="D380" s="4"/>
      <c r="E380" s="4"/>
      <c r="F380" s="4"/>
      <c r="G380" s="4"/>
      <c r="H380" s="4"/>
      <c r="I380" s="4"/>
      <c r="J380" s="17">
        <f>IF(Tabela8[[#This Row],[Tipo]]="jcp",Tabela8[[#This Row],[Provento p/Ação]]*85%,Tabela8[[#This Row],[Provento p/Ação]])</f>
        <v>0</v>
      </c>
      <c r="K380" s="143" t="str">
        <f>IF([Lucro p/Ação]&lt;&gt;0,SUMPRODUCT(N([Papel]=Tabela8[[#This Row],[Papel]]),N([Exercício]=Tabela8[[#This Row],[Exercício]]),[Líquido p/Ação]),"")</f>
        <v/>
      </c>
      <c r="L380" s="42" t="str">
        <f>IF(Tabela8[[#This Row],[Lucro p/Ação]]="","",IF(Tabela8[[#This Row],[Lucro p/Ação]]&gt;0,Tabela8[[#This Row],[Total Exercício]]/Tabela8[[#This Row],[Lucro p/Ação]],0))</f>
        <v/>
      </c>
      <c r="M3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0" s="14" t="str">
        <f>IF(Tabela8[[#This Row],[Média Lucro p/Ação]]&lt;&gt;"",Tabela8[[#This Row],[Média Pago]]/Tabela8[[#This Row],[Média Lucro p/Ação]],"")</f>
        <v/>
      </c>
      <c r="P3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0" s="13">
        <f>SUMPRODUCT(N(Tabela1[Código]=Tabela8[[#This Row],[Papel]]),Tabela1[Fechamento])</f>
        <v>0</v>
      </c>
      <c r="R380" s="55">
        <f>SUMPRODUCT(N(Tabela17[Código]=Tabela8[[#This Row],[Papel]]),Tabela17[Fechamento])</f>
        <v>7.88</v>
      </c>
      <c r="S380" s="7">
        <f>SUMPRODUCT(N(Tabela176[Código]=Tabela8[[#This Row],[Papel]]),Tabela176[Fechamento])</f>
        <v>0</v>
      </c>
      <c r="T380" s="7">
        <f>SUMPRODUCT(N(Tabela1768[Código]=Tabela8[[#This Row],[Papel]]),Tabela1768[Fechamento])</f>
        <v>0</v>
      </c>
      <c r="U380" s="7">
        <f>SUMPRODUCT(N(Tabela17683[Código]=Tabela8[[#This Row],[Papel]]),Tabela17683[Fechamento])</f>
        <v>0</v>
      </c>
      <c r="V380" s="17">
        <f>IF(MAX(Tabela8[[#This Row],[Cotação 1]]:Tabela8[[#This Row],[Cotação 5]])=0,"",MAX(Tabela8[[#This Row],[Cotação 1]]:Tabela8[[#This Row],[Cotação 5]]))</f>
        <v>7.88</v>
      </c>
      <c r="W3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0" s="17" t="str">
        <f>IF(AND([Ref]=5,[Cotação]&gt;0,[Cotação]&lt;&gt;""),[Total Exercício]/[Cotação],IF([Ref]&lt;4,0,""))</f>
        <v/>
      </c>
      <c r="Y380" s="17">
        <f>IF([Tipo]="div",1,0)</f>
        <v>0</v>
      </c>
      <c r="Z380" s="17">
        <f>IF([Tipo]="jcp",1,0)</f>
        <v>0</v>
      </c>
    </row>
    <row r="381" spans="1:26" hidden="1">
      <c r="A381" s="4" t="s">
        <v>26</v>
      </c>
      <c r="B381" s="57" t="s">
        <v>225</v>
      </c>
      <c r="C381" s="15">
        <v>4</v>
      </c>
      <c r="D381" s="4"/>
      <c r="E381" s="4"/>
      <c r="F381" s="4"/>
      <c r="G381" s="4"/>
      <c r="H381" s="4"/>
      <c r="I381" s="4"/>
      <c r="J381" s="17">
        <f>IF(Tabela8[[#This Row],[Tipo]]="jcp",Tabela8[[#This Row],[Provento p/Ação]]*85%,Tabela8[[#This Row],[Provento p/Ação]])</f>
        <v>0</v>
      </c>
      <c r="K381" s="143" t="str">
        <f>IF([Lucro p/Ação]&lt;&gt;0,SUMPRODUCT(N([Papel]=Tabela8[[#This Row],[Papel]]),N([Exercício]=Tabela8[[#This Row],[Exercício]]),[Líquido p/Ação]),"")</f>
        <v/>
      </c>
      <c r="L381" s="42" t="str">
        <f>IF(Tabela8[[#This Row],[Lucro p/Ação]]="","",IF(Tabela8[[#This Row],[Lucro p/Ação]]&gt;0,Tabela8[[#This Row],[Total Exercício]]/Tabela8[[#This Row],[Lucro p/Ação]],0))</f>
        <v/>
      </c>
      <c r="M3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1" s="14" t="str">
        <f>IF(Tabela8[[#This Row],[Média Lucro p/Ação]]&lt;&gt;"",Tabela8[[#This Row],[Média Pago]]/Tabela8[[#This Row],[Média Lucro p/Ação]],"")</f>
        <v/>
      </c>
      <c r="P3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1" s="5">
        <f>SUMPRODUCT(N(Tabela1[Código]=Tabela8[[#This Row],[Papel]]),Tabela1[Fechamento])</f>
        <v>32.770000000000003</v>
      </c>
      <c r="R381" s="5">
        <f>SUMPRODUCT(N(Tabela17[Código]=Tabela8[[#This Row],[Papel]]),Tabela17[Fechamento])</f>
        <v>0</v>
      </c>
      <c r="S381" s="7">
        <f>SUMPRODUCT(N(Tabela176[Código]=Tabela8[[#This Row],[Papel]]),Tabela176[Fechamento])</f>
        <v>0</v>
      </c>
      <c r="T381" s="7">
        <f>SUMPRODUCT(N(Tabela1768[Código]=Tabela8[[#This Row],[Papel]]),Tabela1768[Fechamento])</f>
        <v>0</v>
      </c>
      <c r="U381" s="7">
        <f>SUMPRODUCT(N(Tabela17683[Código]=Tabela8[[#This Row],[Papel]]),Tabela17683[Fechamento])</f>
        <v>0</v>
      </c>
      <c r="V381" s="17">
        <f>IF(MAX(Tabela8[[#This Row],[Cotação 1]]:Tabela8[[#This Row],[Cotação 5]])=0,"",MAX(Tabela8[[#This Row],[Cotação 1]]:Tabela8[[#This Row],[Cotação 5]]))</f>
        <v>32.770000000000003</v>
      </c>
      <c r="W3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1" s="17" t="str">
        <f>IF(AND([Ref]=5,[Cotação]&gt;0,[Cotação]&lt;&gt;""),[Total Exercício]/[Cotação],IF([Ref]&lt;4,0,""))</f>
        <v/>
      </c>
      <c r="Y381" s="17">
        <f>IF([Tipo]="div",1,0)</f>
        <v>0</v>
      </c>
      <c r="Z381" s="17">
        <f>IF([Tipo]="jcp",1,0)</f>
        <v>0</v>
      </c>
    </row>
    <row r="382" spans="1:26" hidden="1">
      <c r="A382" s="4" t="s">
        <v>330</v>
      </c>
      <c r="B382" s="57" t="s">
        <v>1109</v>
      </c>
      <c r="C382" s="16">
        <v>3</v>
      </c>
      <c r="D382" s="4"/>
      <c r="E382" s="4"/>
      <c r="F382" s="4"/>
      <c r="G382" s="4"/>
      <c r="H382" s="4"/>
      <c r="I382" s="4"/>
      <c r="J382" s="17">
        <f>IF(Tabela8[[#This Row],[Tipo]]="jcp",Tabela8[[#This Row],[Provento p/Ação]]*85%,Tabela8[[#This Row],[Provento p/Ação]])</f>
        <v>0</v>
      </c>
      <c r="K382" s="143" t="str">
        <f>IF([Lucro p/Ação]&lt;&gt;0,SUMPRODUCT(N([Papel]=Tabela8[[#This Row],[Papel]]),N([Exercício]=Tabela8[[#This Row],[Exercício]]),[Líquido p/Ação]),"")</f>
        <v/>
      </c>
      <c r="L382" s="42" t="str">
        <f>IF(Tabela8[[#This Row],[Lucro p/Ação]]="","",IF(Tabela8[[#This Row],[Lucro p/Ação]]&gt;0,Tabela8[[#This Row],[Total Exercício]]/Tabela8[[#This Row],[Lucro p/Ação]],0))</f>
        <v/>
      </c>
      <c r="M3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2" s="14" t="str">
        <f>IF(Tabela8[[#This Row],[Média Lucro p/Ação]]&lt;&gt;"",Tabela8[[#This Row],[Média Pago]]/Tabela8[[#This Row],[Média Lucro p/Ação]],"")</f>
        <v/>
      </c>
      <c r="P3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2" s="7">
        <f>SUMPRODUCT(N(Tabela1[Código]=Tabela8[[#This Row],[Papel]]),Tabela1[Fechamento])</f>
        <v>0</v>
      </c>
      <c r="R382" s="7">
        <f>SUMPRODUCT(N(Tabela17[Código]=Tabela8[[#This Row],[Papel]]),Tabela17[Fechamento])</f>
        <v>0</v>
      </c>
      <c r="S382" s="7">
        <f>SUMPRODUCT(N(Tabela176[Código]=Tabela8[[#This Row],[Papel]]),Tabela176[Fechamento])</f>
        <v>0</v>
      </c>
      <c r="T382" s="7">
        <f>SUMPRODUCT(N(Tabela1768[Código]=Tabela8[[#This Row],[Papel]]),Tabela1768[Fechamento])</f>
        <v>0</v>
      </c>
      <c r="U382" s="7">
        <f>SUMPRODUCT(N(Tabela17683[Código]=Tabela8[[#This Row],[Papel]]),Tabela17683[Fechamento])</f>
        <v>4.26</v>
      </c>
      <c r="V382" s="17">
        <f>IF(MAX(Tabela8[[#This Row],[Cotação 1]]:Tabela8[[#This Row],[Cotação 5]])=0,"",MAX(Tabela8[[#This Row],[Cotação 1]]:Tabela8[[#This Row],[Cotação 5]]))</f>
        <v>4.26</v>
      </c>
      <c r="W3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2" s="17">
        <f>IF(AND([Ref]=5,[Cotação]&gt;0,[Cotação]&lt;&gt;""),[Total Exercício]/[Cotação],IF([Ref]&lt;4,0,""))</f>
        <v>0</v>
      </c>
      <c r="Y382" s="17">
        <f>IF([Tipo]="div",1,0)</f>
        <v>0</v>
      </c>
      <c r="Z382" s="17">
        <f>IF([Tipo]="jcp",1,0)</f>
        <v>0</v>
      </c>
    </row>
    <row r="383" spans="1:26" hidden="1">
      <c r="A383" s="3" t="s">
        <v>876</v>
      </c>
      <c r="B383" s="58" t="s">
        <v>934</v>
      </c>
      <c r="C383" s="16">
        <v>4</v>
      </c>
      <c r="D383" s="4"/>
      <c r="E383" s="4"/>
      <c r="F383" s="4"/>
      <c r="G383" s="4"/>
      <c r="H383" s="4"/>
      <c r="I383" s="4"/>
      <c r="J383" s="17">
        <f>IF(Tabela8[[#This Row],[Tipo]]="jcp",Tabela8[[#This Row],[Provento p/Ação]]*85%,Tabela8[[#This Row],[Provento p/Ação]])</f>
        <v>0</v>
      </c>
      <c r="K383" s="143" t="str">
        <f>IF([Lucro p/Ação]&lt;&gt;0,SUMPRODUCT(N([Papel]=Tabela8[[#This Row],[Papel]]),N([Exercício]=Tabela8[[#This Row],[Exercício]]),[Líquido p/Ação]),"")</f>
        <v/>
      </c>
      <c r="L383" s="42" t="str">
        <f>IF(Tabela8[[#This Row],[Lucro p/Ação]]="","",IF(Tabela8[[#This Row],[Lucro p/Ação]]&gt;0,Tabela8[[#This Row],[Total Exercício]]/Tabela8[[#This Row],[Lucro p/Ação]],0))</f>
        <v/>
      </c>
      <c r="M3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3" s="14" t="str">
        <f>IF(Tabela8[[#This Row],[Média Lucro p/Ação]]&lt;&gt;"",Tabela8[[#This Row],[Média Pago]]/Tabela8[[#This Row],[Média Lucro p/Ação]],"")</f>
        <v/>
      </c>
      <c r="P3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3" s="7">
        <f>SUMPRODUCT(N(Tabela1[Código]=Tabela8[[#This Row],[Papel]]),Tabela1[Fechamento])</f>
        <v>0</v>
      </c>
      <c r="R383" s="7">
        <f>SUMPRODUCT(N(Tabela17[Código]=Tabela8[[#This Row],[Papel]]),Tabela17[Fechamento])</f>
        <v>0</v>
      </c>
      <c r="S383" s="7">
        <f>SUMPRODUCT(N(Tabela176[Código]=Tabela8[[#This Row],[Papel]]),Tabela176[Fechamento])</f>
        <v>0</v>
      </c>
      <c r="T383" s="7">
        <f>SUMPRODUCT(N(Tabela1768[Código]=Tabela8[[#This Row],[Papel]]),Tabela1768[Fechamento])</f>
        <v>2.25</v>
      </c>
      <c r="U383" s="7">
        <f>SUMPRODUCT(N(Tabela17683[Código]=Tabela8[[#This Row],[Papel]]),Tabela17683[Fechamento])</f>
        <v>0</v>
      </c>
      <c r="V383" s="17">
        <f>IF(MAX(Tabela8[[#This Row],[Cotação 1]]:Tabela8[[#This Row],[Cotação 5]])=0,"",MAX(Tabela8[[#This Row],[Cotação 1]]:Tabela8[[#This Row],[Cotação 5]]))</f>
        <v>2.25</v>
      </c>
      <c r="W3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3" s="17" t="str">
        <f>IF(AND([Ref]=5,[Cotação]&gt;0,[Cotação]&lt;&gt;""),[Total Exercício]/[Cotação],IF([Ref]&lt;4,0,""))</f>
        <v/>
      </c>
      <c r="Y383" s="17">
        <f>IF([Tipo]="div",1,0)</f>
        <v>0</v>
      </c>
      <c r="Z383" s="17">
        <f>IF([Tipo]="jcp",1,0)</f>
        <v>0</v>
      </c>
    </row>
    <row r="384" spans="1:26" hidden="1">
      <c r="A384" s="3" t="s">
        <v>876</v>
      </c>
      <c r="B384" s="58" t="s">
        <v>935</v>
      </c>
      <c r="C384" s="16">
        <v>4</v>
      </c>
      <c r="D384" s="4"/>
      <c r="E384" s="4"/>
      <c r="F384" s="4"/>
      <c r="G384" s="4"/>
      <c r="H384" s="4"/>
      <c r="I384" s="4"/>
      <c r="J384" s="17">
        <f>IF(Tabela8[[#This Row],[Tipo]]="jcp",Tabela8[[#This Row],[Provento p/Ação]]*85%,Tabela8[[#This Row],[Provento p/Ação]])</f>
        <v>0</v>
      </c>
      <c r="K384" s="143" t="str">
        <f>IF([Lucro p/Ação]&lt;&gt;0,SUMPRODUCT(N([Papel]=Tabela8[[#This Row],[Papel]]),N([Exercício]=Tabela8[[#This Row],[Exercício]]),[Líquido p/Ação]),"")</f>
        <v/>
      </c>
      <c r="L384" s="42" t="str">
        <f>IF(Tabela8[[#This Row],[Lucro p/Ação]]="","",IF(Tabela8[[#This Row],[Lucro p/Ação]]&gt;0,Tabela8[[#This Row],[Total Exercício]]/Tabela8[[#This Row],[Lucro p/Ação]],0))</f>
        <v/>
      </c>
      <c r="M3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4" s="14" t="str">
        <f>IF(Tabela8[[#This Row],[Média Lucro p/Ação]]&lt;&gt;"",Tabela8[[#This Row],[Média Pago]]/Tabela8[[#This Row],[Média Lucro p/Ação]],"")</f>
        <v/>
      </c>
      <c r="P3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4" s="7">
        <f>SUMPRODUCT(N(Tabela1[Código]=Tabela8[[#This Row],[Papel]]),Tabela1[Fechamento])</f>
        <v>0</v>
      </c>
      <c r="R384" s="7">
        <f>SUMPRODUCT(N(Tabela17[Código]=Tabela8[[#This Row],[Papel]]),Tabela17[Fechamento])</f>
        <v>0</v>
      </c>
      <c r="S384" s="7">
        <f>SUMPRODUCT(N(Tabela176[Código]=Tabela8[[#This Row],[Papel]]),Tabela176[Fechamento])</f>
        <v>0</v>
      </c>
      <c r="T384" s="7">
        <f>SUMPRODUCT(N(Tabela1768[Código]=Tabela8[[#This Row],[Papel]]),Tabela1768[Fechamento])</f>
        <v>1.3</v>
      </c>
      <c r="U384" s="7">
        <f>SUMPRODUCT(N(Tabela17683[Código]=Tabela8[[#This Row],[Papel]]),Tabela17683[Fechamento])</f>
        <v>0</v>
      </c>
      <c r="V384" s="17">
        <f>IF(MAX(Tabela8[[#This Row],[Cotação 1]]:Tabela8[[#This Row],[Cotação 5]])=0,"",MAX(Tabela8[[#This Row],[Cotação 1]]:Tabela8[[#This Row],[Cotação 5]]))</f>
        <v>1.3</v>
      </c>
      <c r="W3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4" s="17" t="str">
        <f>IF(AND([Ref]=5,[Cotação]&gt;0,[Cotação]&lt;&gt;""),[Total Exercício]/[Cotação],IF([Ref]&lt;4,0,""))</f>
        <v/>
      </c>
      <c r="Y384" s="17">
        <f>IF([Tipo]="div",1,0)</f>
        <v>0</v>
      </c>
      <c r="Z384" s="17">
        <f>IF([Tipo]="jcp",1,0)</f>
        <v>0</v>
      </c>
    </row>
    <row r="385" spans="1:26" hidden="1">
      <c r="A385" s="4" t="s">
        <v>308</v>
      </c>
      <c r="B385" s="57" t="s">
        <v>672</v>
      </c>
      <c r="C385" s="15">
        <v>4</v>
      </c>
      <c r="D385" s="4"/>
      <c r="E385" s="4"/>
      <c r="F385" s="4"/>
      <c r="G385" s="4"/>
      <c r="H385" s="4"/>
      <c r="I385" s="4"/>
      <c r="J385" s="17">
        <f>IF(Tabela8[[#This Row],[Tipo]]="jcp",Tabela8[[#This Row],[Provento p/Ação]]*85%,Tabela8[[#This Row],[Provento p/Ação]])</f>
        <v>0</v>
      </c>
      <c r="K385" s="143" t="str">
        <f>IF([Lucro p/Ação]&lt;&gt;0,SUMPRODUCT(N([Papel]=Tabela8[[#This Row],[Papel]]),N([Exercício]=Tabela8[[#This Row],[Exercício]]),[Líquido p/Ação]),"")</f>
        <v/>
      </c>
      <c r="L385" s="42" t="str">
        <f>IF(Tabela8[[#This Row],[Lucro p/Ação]]="","",IF(Tabela8[[#This Row],[Lucro p/Ação]]&gt;0,Tabela8[[#This Row],[Total Exercício]]/Tabela8[[#This Row],[Lucro p/Ação]],0))</f>
        <v/>
      </c>
      <c r="M3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5" s="14" t="str">
        <f>IF(Tabela8[[#This Row],[Média Lucro p/Ação]]&lt;&gt;"",Tabela8[[#This Row],[Média Pago]]/Tabela8[[#This Row],[Média Lucro p/Ação]],"")</f>
        <v/>
      </c>
      <c r="P3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5" s="5">
        <f>SUMPRODUCT(N(Tabela1[Código]=Tabela8[[#This Row],[Papel]]),Tabela1[Fechamento])</f>
        <v>0</v>
      </c>
      <c r="R385" s="5">
        <f>SUMPRODUCT(N(Tabela17[Código]=Tabela8[[#This Row],[Papel]]),Tabela17[Fechamento])</f>
        <v>0</v>
      </c>
      <c r="S385" s="7">
        <f>SUMPRODUCT(N(Tabela176[Código]=Tabela8[[#This Row],[Papel]]),Tabela176[Fechamento])</f>
        <v>0</v>
      </c>
      <c r="T385" s="7">
        <f>SUMPRODUCT(N(Tabela1768[Código]=Tabela8[[#This Row],[Papel]]),Tabela1768[Fechamento])</f>
        <v>0</v>
      </c>
      <c r="U385" s="7">
        <f>SUMPRODUCT(N(Tabela17683[Código]=Tabela8[[#This Row],[Papel]]),Tabela17683[Fechamento])</f>
        <v>0</v>
      </c>
      <c r="V385" s="17" t="str">
        <f>IF(MAX(Tabela8[[#This Row],[Cotação 1]]:Tabela8[[#This Row],[Cotação 5]])=0,"",MAX(Tabela8[[#This Row],[Cotação 1]]:Tabela8[[#This Row],[Cotação 5]]))</f>
        <v/>
      </c>
      <c r="W3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5" s="17" t="str">
        <f>IF(AND([Ref]=5,[Cotação]&gt;0,[Cotação]&lt;&gt;""),[Total Exercício]/[Cotação],IF([Ref]&lt;4,0,""))</f>
        <v/>
      </c>
      <c r="Y385" s="17">
        <f>IF([Tipo]="div",1,0)</f>
        <v>0</v>
      </c>
      <c r="Z385" s="17">
        <f>IF([Tipo]="jcp",1,0)</f>
        <v>0</v>
      </c>
    </row>
    <row r="386" spans="1:26" hidden="1">
      <c r="A386" s="4" t="s">
        <v>308</v>
      </c>
      <c r="B386" s="57" t="s">
        <v>307</v>
      </c>
      <c r="C386" s="15">
        <v>4</v>
      </c>
      <c r="D386" s="4"/>
      <c r="E386" s="4"/>
      <c r="F386" s="4"/>
      <c r="G386" s="4"/>
      <c r="H386" s="4"/>
      <c r="I386" s="4"/>
      <c r="J386" s="17">
        <f>IF(Tabela8[[#This Row],[Tipo]]="jcp",Tabela8[[#This Row],[Provento p/Ação]]*85%,Tabela8[[#This Row],[Provento p/Ação]])</f>
        <v>0</v>
      </c>
      <c r="K386" s="143" t="str">
        <f>IF([Lucro p/Ação]&lt;&gt;0,SUMPRODUCT(N([Papel]=Tabela8[[#This Row],[Papel]]),N([Exercício]=Tabela8[[#This Row],[Exercício]]),[Líquido p/Ação]),"")</f>
        <v/>
      </c>
      <c r="L386" s="42" t="str">
        <f>IF(Tabela8[[#This Row],[Lucro p/Ação]]="","",IF(Tabela8[[#This Row],[Lucro p/Ação]]&gt;0,Tabela8[[#This Row],[Total Exercício]]/Tabela8[[#This Row],[Lucro p/Ação]],0))</f>
        <v/>
      </c>
      <c r="M3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6" s="14" t="str">
        <f>IF(Tabela8[[#This Row],[Média Lucro p/Ação]]&lt;&gt;"",Tabela8[[#This Row],[Média Pago]]/Tabela8[[#This Row],[Média Lucro p/Ação]],"")</f>
        <v/>
      </c>
      <c r="P3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6" s="13">
        <f>SUMPRODUCT(N(Tabela1[Código]=Tabela8[[#This Row],[Papel]]),Tabela1[Fechamento])</f>
        <v>0</v>
      </c>
      <c r="R386" s="55">
        <f>SUMPRODUCT(N(Tabela17[Código]=Tabela8[[#This Row],[Papel]]),Tabela17[Fechamento])</f>
        <v>60</v>
      </c>
      <c r="S386" s="7">
        <f>SUMPRODUCT(N(Tabela176[Código]=Tabela8[[#This Row],[Papel]]),Tabela176[Fechamento])</f>
        <v>0</v>
      </c>
      <c r="T386" s="7">
        <f>SUMPRODUCT(N(Tabela1768[Código]=Tabela8[[#This Row],[Papel]]),Tabela1768[Fechamento])</f>
        <v>0</v>
      </c>
      <c r="U386" s="7">
        <f>SUMPRODUCT(N(Tabela17683[Código]=Tabela8[[#This Row],[Papel]]),Tabela17683[Fechamento])</f>
        <v>0</v>
      </c>
      <c r="V386" s="17">
        <f>IF(MAX(Tabela8[[#This Row],[Cotação 1]]:Tabela8[[#This Row],[Cotação 5]])=0,"",MAX(Tabela8[[#This Row],[Cotação 1]]:Tabela8[[#This Row],[Cotação 5]]))</f>
        <v>60</v>
      </c>
      <c r="W3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6" s="17" t="str">
        <f>IF(AND([Ref]=5,[Cotação]&gt;0,[Cotação]&lt;&gt;""),[Total Exercício]/[Cotação],IF([Ref]&lt;4,0,""))</f>
        <v/>
      </c>
      <c r="Y386" s="17">
        <f>IF([Tipo]="div",1,0)</f>
        <v>0</v>
      </c>
      <c r="Z386" s="17">
        <f>IF([Tipo]="jcp",1,0)</f>
        <v>0</v>
      </c>
    </row>
    <row r="387" spans="1:26" hidden="1">
      <c r="A387" s="4" t="s">
        <v>236</v>
      </c>
      <c r="B387" s="57" t="s">
        <v>237</v>
      </c>
      <c r="C387" s="15">
        <v>3</v>
      </c>
      <c r="D387" s="4"/>
      <c r="E387" s="4"/>
      <c r="F387" s="4"/>
      <c r="G387" s="4"/>
      <c r="H387" s="4"/>
      <c r="I387" s="4"/>
      <c r="J387" s="17">
        <f>IF(Tabela8[[#This Row],[Tipo]]="jcp",Tabela8[[#This Row],[Provento p/Ação]]*85%,Tabela8[[#This Row],[Provento p/Ação]])</f>
        <v>0</v>
      </c>
      <c r="K387" s="143" t="str">
        <f>IF([Lucro p/Ação]&lt;&gt;0,SUMPRODUCT(N([Papel]=Tabela8[[#This Row],[Papel]]),N([Exercício]=Tabela8[[#This Row],[Exercício]]),[Líquido p/Ação]),"")</f>
        <v/>
      </c>
      <c r="L387" s="42" t="str">
        <f>IF(Tabela8[[#This Row],[Lucro p/Ação]]="","",IF(Tabela8[[#This Row],[Lucro p/Ação]]&gt;0,Tabela8[[#This Row],[Total Exercício]]/Tabela8[[#This Row],[Lucro p/Ação]],0))</f>
        <v/>
      </c>
      <c r="M3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7" s="14" t="str">
        <f>IF(Tabela8[[#This Row],[Média Lucro p/Ação]]&lt;&gt;"",Tabela8[[#This Row],[Média Pago]]/Tabela8[[#This Row],[Média Lucro p/Ação]],"")</f>
        <v/>
      </c>
      <c r="P3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7" s="13">
        <f>SUMPRODUCT(N(Tabela1[Código]=Tabela8[[#This Row],[Papel]]),Tabela1[Fechamento])</f>
        <v>0</v>
      </c>
      <c r="R387" s="13">
        <f>SUMPRODUCT(N(Tabela17[Código]=Tabela8[[#This Row],[Papel]]),Tabela17[Fechamento])</f>
        <v>8.43</v>
      </c>
      <c r="S387" s="7">
        <f>SUMPRODUCT(N(Tabela176[Código]=Tabela8[[#This Row],[Papel]]),Tabela176[Fechamento])</f>
        <v>0</v>
      </c>
      <c r="T387" s="7">
        <f>SUMPRODUCT(N(Tabela1768[Código]=Tabela8[[#This Row],[Papel]]),Tabela1768[Fechamento])</f>
        <v>0</v>
      </c>
      <c r="U387" s="7">
        <f>SUMPRODUCT(N(Tabela17683[Código]=Tabela8[[#This Row],[Papel]]),Tabela17683[Fechamento])</f>
        <v>0</v>
      </c>
      <c r="V387" s="17">
        <f>IF(MAX(Tabela8[[#This Row],[Cotação 1]]:Tabela8[[#This Row],[Cotação 5]])=0,"",MAX(Tabela8[[#This Row],[Cotação 1]]:Tabela8[[#This Row],[Cotação 5]]))</f>
        <v>8.43</v>
      </c>
      <c r="W3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7" s="17">
        <f>IF(AND([Ref]=5,[Cotação]&gt;0,[Cotação]&lt;&gt;""),[Total Exercício]/[Cotação],IF([Ref]&lt;4,0,""))</f>
        <v>0</v>
      </c>
      <c r="Y387" s="17">
        <f>IF([Tipo]="div",1,0)</f>
        <v>0</v>
      </c>
      <c r="Z387" s="17">
        <f>IF([Tipo]="jcp",1,0)</f>
        <v>0</v>
      </c>
    </row>
    <row r="388" spans="1:26" hidden="1">
      <c r="A388" s="4" t="s">
        <v>719</v>
      </c>
      <c r="B388" s="57" t="s">
        <v>727</v>
      </c>
      <c r="C388" s="15">
        <v>3</v>
      </c>
      <c r="D388" s="4"/>
      <c r="E388" s="4"/>
      <c r="F388" s="4"/>
      <c r="G388" s="4"/>
      <c r="H388" s="4"/>
      <c r="I388" s="4"/>
      <c r="J388" s="17">
        <f>IF(Tabela8[[#This Row],[Tipo]]="jcp",Tabela8[[#This Row],[Provento p/Ação]]*85%,Tabela8[[#This Row],[Provento p/Ação]])</f>
        <v>0</v>
      </c>
      <c r="K388" s="143" t="str">
        <f>IF([Lucro p/Ação]&lt;&gt;0,SUMPRODUCT(N([Papel]=Tabela8[[#This Row],[Papel]]),N([Exercício]=Tabela8[[#This Row],[Exercício]]),[Líquido p/Ação]),"")</f>
        <v/>
      </c>
      <c r="L388" s="42" t="str">
        <f>IF(Tabela8[[#This Row],[Lucro p/Ação]]="","",IF(Tabela8[[#This Row],[Lucro p/Ação]]&gt;0,Tabela8[[#This Row],[Total Exercício]]/Tabela8[[#This Row],[Lucro p/Ação]],0))</f>
        <v/>
      </c>
      <c r="M3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8" s="14" t="str">
        <f>IF(Tabela8[[#This Row],[Média Lucro p/Ação]]&lt;&gt;"",Tabela8[[#This Row],[Média Pago]]/Tabela8[[#This Row],[Média Lucro p/Ação]],"")</f>
        <v/>
      </c>
      <c r="P3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8" s="17">
        <f>SUMPRODUCT(N(Tabela1[Código]=Tabela8[[#This Row],[Papel]]),Tabela1[Fechamento])</f>
        <v>0</v>
      </c>
      <c r="R388" s="17">
        <f>SUMPRODUCT(N(Tabela17[Código]=Tabela8[[#This Row],[Papel]]),Tabela17[Fechamento])</f>
        <v>0</v>
      </c>
      <c r="S388" s="17">
        <f>SUMPRODUCT(N(Tabela176[Código]=Tabela8[[#This Row],[Papel]]),Tabela176[Fechamento])</f>
        <v>20.98</v>
      </c>
      <c r="T388" s="17">
        <f>SUMPRODUCT(N(Tabela1768[Código]=Tabela8[[#This Row],[Papel]]),Tabela1768[Fechamento])</f>
        <v>0</v>
      </c>
      <c r="U388" s="7">
        <f>SUMPRODUCT(N(Tabela17683[Código]=Tabela8[[#This Row],[Papel]]),Tabela17683[Fechamento])</f>
        <v>0</v>
      </c>
      <c r="V388" s="17">
        <f>IF(MAX(Tabela8[[#This Row],[Cotação 1]]:Tabela8[[#This Row],[Cotação 5]])=0,"",MAX(Tabela8[[#This Row],[Cotação 1]]:Tabela8[[#This Row],[Cotação 5]]))</f>
        <v>20.98</v>
      </c>
      <c r="W3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8" s="17">
        <f>IF(AND([Ref]=5,[Cotação]&gt;0,[Cotação]&lt;&gt;""),[Total Exercício]/[Cotação],IF([Ref]&lt;4,0,""))</f>
        <v>0</v>
      </c>
      <c r="Y388" s="17">
        <f>IF([Tipo]="div",1,0)</f>
        <v>0</v>
      </c>
      <c r="Z388" s="17">
        <f>IF([Tipo]="jcp",1,0)</f>
        <v>0</v>
      </c>
    </row>
    <row r="389" spans="1:26" hidden="1">
      <c r="A389" s="3" t="s">
        <v>779</v>
      </c>
      <c r="B389" s="58" t="s">
        <v>778</v>
      </c>
      <c r="C389" s="16">
        <v>3</v>
      </c>
      <c r="D389" s="4"/>
      <c r="E389" s="4"/>
      <c r="F389" s="4"/>
      <c r="G389" s="4"/>
      <c r="H389" s="4"/>
      <c r="I389" s="4"/>
      <c r="J389" s="17">
        <f>IF(Tabela8[[#This Row],[Tipo]]="jcp",Tabela8[[#This Row],[Provento p/Ação]]*85%,Tabela8[[#This Row],[Provento p/Ação]])</f>
        <v>0</v>
      </c>
      <c r="K389" s="143" t="str">
        <f>IF([Lucro p/Ação]&lt;&gt;0,SUMPRODUCT(N([Papel]=Tabela8[[#This Row],[Papel]]),N([Exercício]=Tabela8[[#This Row],[Exercício]]),[Líquido p/Ação]),"")</f>
        <v/>
      </c>
      <c r="L389" s="42" t="str">
        <f>IF(Tabela8[[#This Row],[Lucro p/Ação]]="","",IF(Tabela8[[#This Row],[Lucro p/Ação]]&gt;0,Tabela8[[#This Row],[Total Exercício]]/Tabela8[[#This Row],[Lucro p/Ação]],0))</f>
        <v/>
      </c>
      <c r="M3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89" s="14" t="str">
        <f>IF(Tabela8[[#This Row],[Média Lucro p/Ação]]&lt;&gt;"",Tabela8[[#This Row],[Média Pago]]/Tabela8[[#This Row],[Média Lucro p/Ação]],"")</f>
        <v/>
      </c>
      <c r="P3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89" s="7">
        <f>SUMPRODUCT(N(Tabela1[Código]=Tabela8[[#This Row],[Papel]]),Tabela1[Fechamento])</f>
        <v>0</v>
      </c>
      <c r="R389" s="7">
        <f>SUMPRODUCT(N(Tabela17[Código]=Tabela8[[#This Row],[Papel]]),Tabela17[Fechamento])</f>
        <v>0</v>
      </c>
      <c r="S389" s="7">
        <f>SUMPRODUCT(N(Tabela176[Código]=Tabela8[[#This Row],[Papel]]),Tabela176[Fechamento])</f>
        <v>17.64</v>
      </c>
      <c r="T389" s="7">
        <f>SUMPRODUCT(N(Tabela1768[Código]=Tabela8[[#This Row],[Papel]]),Tabela1768[Fechamento])</f>
        <v>0</v>
      </c>
      <c r="U389" s="7">
        <f>SUMPRODUCT(N(Tabela17683[Código]=Tabela8[[#This Row],[Papel]]),Tabela17683[Fechamento])</f>
        <v>0</v>
      </c>
      <c r="V389" s="17">
        <f>IF(MAX(Tabela8[[#This Row],[Cotação 1]]:Tabela8[[#This Row],[Cotação 5]])=0,"",MAX(Tabela8[[#This Row],[Cotação 1]]:Tabela8[[#This Row],[Cotação 5]]))</f>
        <v>17.64</v>
      </c>
      <c r="W3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89" s="17">
        <f>IF(AND([Ref]=5,[Cotação]&gt;0,[Cotação]&lt;&gt;""),[Total Exercício]/[Cotação],IF([Ref]&lt;4,0,""))</f>
        <v>0</v>
      </c>
      <c r="Y389" s="17">
        <f>IF([Tipo]="div",1,0)</f>
        <v>0</v>
      </c>
      <c r="Z389" s="17">
        <f>IF([Tipo]="jcp",1,0)</f>
        <v>0</v>
      </c>
    </row>
    <row r="390" spans="1:26" hidden="1">
      <c r="A390" s="4" t="s">
        <v>19</v>
      </c>
      <c r="B390" s="57" t="s">
        <v>179</v>
      </c>
      <c r="C390" s="15">
        <v>4</v>
      </c>
      <c r="D390" s="4"/>
      <c r="E390" s="4"/>
      <c r="F390" s="4"/>
      <c r="G390" s="4"/>
      <c r="H390" s="4"/>
      <c r="I390" s="4"/>
      <c r="J390" s="17">
        <f>IF(Tabela8[[#This Row],[Tipo]]="jcp",Tabela8[[#This Row],[Provento p/Ação]]*85%,Tabela8[[#This Row],[Provento p/Ação]])</f>
        <v>0</v>
      </c>
      <c r="K390" s="143" t="str">
        <f>IF([Lucro p/Ação]&lt;&gt;0,SUMPRODUCT(N([Papel]=Tabela8[[#This Row],[Papel]]),N([Exercício]=Tabela8[[#This Row],[Exercício]]),[Líquido p/Ação]),"")</f>
        <v/>
      </c>
      <c r="L390" s="42" t="str">
        <f>IF(Tabela8[[#This Row],[Lucro p/Ação]]="","",IF(Tabela8[[#This Row],[Lucro p/Ação]]&gt;0,Tabela8[[#This Row],[Total Exercício]]/Tabela8[[#This Row],[Lucro p/Ação]],0))</f>
        <v/>
      </c>
      <c r="M3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0" s="14" t="str">
        <f>IF(Tabela8[[#This Row],[Média Lucro p/Ação]]&lt;&gt;"",Tabela8[[#This Row],[Média Pago]]/Tabela8[[#This Row],[Média Lucro p/Ação]],"")</f>
        <v/>
      </c>
      <c r="P3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0" s="5">
        <f>SUMPRODUCT(N(Tabela1[Código]=Tabela8[[#This Row],[Papel]]),Tabela1[Fechamento])</f>
        <v>3.28</v>
      </c>
      <c r="R390" s="5">
        <f>SUMPRODUCT(N(Tabela17[Código]=Tabela8[[#This Row],[Papel]]),Tabela17[Fechamento])</f>
        <v>0</v>
      </c>
      <c r="S390" s="7">
        <f>SUMPRODUCT(N(Tabela176[Código]=Tabela8[[#This Row],[Papel]]),Tabela176[Fechamento])</f>
        <v>0</v>
      </c>
      <c r="T390" s="7">
        <f>SUMPRODUCT(N(Tabela1768[Código]=Tabela8[[#This Row],[Papel]]),Tabela1768[Fechamento])</f>
        <v>0</v>
      </c>
      <c r="U390" s="7">
        <f>SUMPRODUCT(N(Tabela17683[Código]=Tabela8[[#This Row],[Papel]]),Tabela17683[Fechamento])</f>
        <v>0</v>
      </c>
      <c r="V390" s="17">
        <f>IF(MAX(Tabela8[[#This Row],[Cotação 1]]:Tabela8[[#This Row],[Cotação 5]])=0,"",MAX(Tabela8[[#This Row],[Cotação 1]]:Tabela8[[#This Row],[Cotação 5]]))</f>
        <v>3.28</v>
      </c>
      <c r="W3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0" s="17" t="str">
        <f>IF(AND([Ref]=5,[Cotação]&gt;0,[Cotação]&lt;&gt;""),[Total Exercício]/[Cotação],IF([Ref]&lt;4,0,""))</f>
        <v/>
      </c>
      <c r="Y390" s="17">
        <f>IF([Tipo]="div",1,0)</f>
        <v>0</v>
      </c>
      <c r="Z390" s="17">
        <f>IF([Tipo]="jcp",1,0)</f>
        <v>0</v>
      </c>
    </row>
    <row r="391" spans="1:26" hidden="1">
      <c r="A391" s="4" t="s">
        <v>19</v>
      </c>
      <c r="B391" s="57" t="s">
        <v>180</v>
      </c>
      <c r="C391" s="15">
        <v>4</v>
      </c>
      <c r="D391" s="4"/>
      <c r="E391" s="4"/>
      <c r="F391" s="4"/>
      <c r="G391" s="4"/>
      <c r="H391" s="4"/>
      <c r="I391" s="4"/>
      <c r="J391" s="17">
        <f>IF(Tabela8[[#This Row],[Tipo]]="jcp",Tabela8[[#This Row],[Provento p/Ação]]*85%,Tabela8[[#This Row],[Provento p/Ação]])</f>
        <v>0</v>
      </c>
      <c r="K391" s="143" t="str">
        <f>IF([Lucro p/Ação]&lt;&gt;0,SUMPRODUCT(N([Papel]=Tabela8[[#This Row],[Papel]]),N([Exercício]=Tabela8[[#This Row],[Exercício]]),[Líquido p/Ação]),"")</f>
        <v/>
      </c>
      <c r="L391" s="42" t="str">
        <f>IF(Tabela8[[#This Row],[Lucro p/Ação]]="","",IF(Tabela8[[#This Row],[Lucro p/Ação]]&gt;0,Tabela8[[#This Row],[Total Exercício]]/Tabela8[[#This Row],[Lucro p/Ação]],0))</f>
        <v/>
      </c>
      <c r="M3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1" s="14" t="str">
        <f>IF(Tabela8[[#This Row],[Média Lucro p/Ação]]&lt;&gt;"",Tabela8[[#This Row],[Média Pago]]/Tabela8[[#This Row],[Média Lucro p/Ação]],"")</f>
        <v/>
      </c>
      <c r="P3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1" s="5">
        <f>SUMPRODUCT(N(Tabela1[Código]=Tabela8[[#This Row],[Papel]]),Tabela1[Fechamento])</f>
        <v>3.61</v>
      </c>
      <c r="R391" s="5">
        <f>SUMPRODUCT(N(Tabela17[Código]=Tabela8[[#This Row],[Papel]]),Tabela17[Fechamento])</f>
        <v>0</v>
      </c>
      <c r="S391" s="7">
        <f>SUMPRODUCT(N(Tabela176[Código]=Tabela8[[#This Row],[Papel]]),Tabela176[Fechamento])</f>
        <v>0</v>
      </c>
      <c r="T391" s="7">
        <f>SUMPRODUCT(N(Tabela1768[Código]=Tabela8[[#This Row],[Papel]]),Tabela1768[Fechamento])</f>
        <v>0</v>
      </c>
      <c r="U391" s="7">
        <f>SUMPRODUCT(N(Tabela17683[Código]=Tabela8[[#This Row],[Papel]]),Tabela17683[Fechamento])</f>
        <v>0</v>
      </c>
      <c r="V391" s="17">
        <f>IF(MAX(Tabela8[[#This Row],[Cotação 1]]:Tabela8[[#This Row],[Cotação 5]])=0,"",MAX(Tabela8[[#This Row],[Cotação 1]]:Tabela8[[#This Row],[Cotação 5]]))</f>
        <v>3.61</v>
      </c>
      <c r="W3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1" s="17" t="str">
        <f>IF(AND([Ref]=5,[Cotação]&gt;0,[Cotação]&lt;&gt;""),[Total Exercício]/[Cotação],IF([Ref]&lt;4,0,""))</f>
        <v/>
      </c>
      <c r="Y391" s="17">
        <f>IF([Tipo]="div",1,0)</f>
        <v>0</v>
      </c>
      <c r="Z391" s="17">
        <f>IF([Tipo]="jcp",1,0)</f>
        <v>0</v>
      </c>
    </row>
    <row r="392" spans="1:26" hidden="1">
      <c r="A392" s="3" t="s">
        <v>1276</v>
      </c>
      <c r="B392" s="58" t="s">
        <v>1251</v>
      </c>
      <c r="C392" s="16">
        <v>4</v>
      </c>
      <c r="D392" s="4"/>
      <c r="E392" s="4"/>
      <c r="F392" s="4"/>
      <c r="G392" s="4"/>
      <c r="H392" s="4"/>
      <c r="I392" s="4"/>
      <c r="J392" s="17">
        <f>IF(Tabela8[[#This Row],[Tipo]]="jcp",Tabela8[[#This Row],[Provento p/Ação]]*85%,Tabela8[[#This Row],[Provento p/Ação]])</f>
        <v>0</v>
      </c>
      <c r="K392" s="143" t="str">
        <f>IF([Lucro p/Ação]&lt;&gt;0,SUMPRODUCT(N([Papel]=Tabela8[[#This Row],[Papel]]),N([Exercício]=Tabela8[[#This Row],[Exercício]]),[Líquido p/Ação]),"")</f>
        <v/>
      </c>
      <c r="L392" s="42" t="str">
        <f>IF(Tabela8[[#This Row],[Lucro p/Ação]]="","",IF(Tabela8[[#This Row],[Lucro p/Ação]]&gt;0,Tabela8[[#This Row],[Total Exercício]]/Tabela8[[#This Row],[Lucro p/Ação]],0))</f>
        <v/>
      </c>
      <c r="M39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2" s="14" t="str">
        <f>IF(Tabela8[[#This Row],[Média Lucro p/Ação]]&lt;&gt;"",Tabela8[[#This Row],[Média Pago]]/Tabela8[[#This Row],[Média Lucro p/Ação]],"")</f>
        <v/>
      </c>
      <c r="P3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2" s="7">
        <f>SUMPRODUCT(N(Tabela1[Código]=Tabela8[[#This Row],[Papel]]),Tabela1[Fechamento])</f>
        <v>0</v>
      </c>
      <c r="R392" s="7">
        <f>SUMPRODUCT(N(Tabela17[Código]=Tabela8[[#This Row],[Papel]]),Tabela17[Fechamento])</f>
        <v>0</v>
      </c>
      <c r="S392" s="7">
        <f>SUMPRODUCT(N(Tabela176[Código]=Tabela8[[#This Row],[Papel]]),Tabela176[Fechamento])</f>
        <v>0</v>
      </c>
      <c r="T392" s="7">
        <f>SUMPRODUCT(N(Tabela1768[Código]=Tabela8[[#This Row],[Papel]]),Tabela1768[Fechamento])</f>
        <v>0</v>
      </c>
      <c r="U392" s="7">
        <f>SUMPRODUCT(N(Tabela17683[Código]=Tabela8[[#This Row],[Papel]]),Tabela17683[Fechamento])</f>
        <v>7.2</v>
      </c>
      <c r="V392" s="17">
        <f>IF(MAX(Tabela8[[#This Row],[Cotação 1]]:Tabela8[[#This Row],[Cotação 5]])=0,"",MAX(Tabela8[[#This Row],[Cotação 1]]:Tabela8[[#This Row],[Cotação 5]]))</f>
        <v>7.2</v>
      </c>
      <c r="W39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2" s="17" t="str">
        <f>IF(AND([Ref]=5,[Cotação]&gt;0,[Cotação]&lt;&gt;""),[Total Exercício]/[Cotação],IF([Ref]&lt;4,0,""))</f>
        <v/>
      </c>
      <c r="Y392" s="17">
        <f>IF([Tipo]="div",1,0)</f>
        <v>0</v>
      </c>
      <c r="Z392" s="17">
        <f>IF([Tipo]="jcp",1,0)</f>
        <v>0</v>
      </c>
    </row>
    <row r="393" spans="1:26" hidden="1">
      <c r="A393" s="3" t="s">
        <v>1276</v>
      </c>
      <c r="B393" s="58" t="s">
        <v>1252</v>
      </c>
      <c r="C393" s="16">
        <v>4</v>
      </c>
      <c r="D393" s="4"/>
      <c r="E393" s="4"/>
      <c r="F393" s="4"/>
      <c r="G393" s="4"/>
      <c r="H393" s="4"/>
      <c r="I393" s="4"/>
      <c r="J393" s="17">
        <f>IF(Tabela8[[#This Row],[Tipo]]="jcp",Tabela8[[#This Row],[Provento p/Ação]]*85%,Tabela8[[#This Row],[Provento p/Ação]])</f>
        <v>0</v>
      </c>
      <c r="K393" s="143" t="str">
        <f>IF([Lucro p/Ação]&lt;&gt;0,SUMPRODUCT(N([Papel]=Tabela8[[#This Row],[Papel]]),N([Exercício]=Tabela8[[#This Row],[Exercício]]),[Líquido p/Ação]),"")</f>
        <v/>
      </c>
      <c r="L393" s="42" t="str">
        <f>IF(Tabela8[[#This Row],[Lucro p/Ação]]="","",IF(Tabela8[[#This Row],[Lucro p/Ação]]&gt;0,Tabela8[[#This Row],[Total Exercício]]/Tabela8[[#This Row],[Lucro p/Ação]],0))</f>
        <v/>
      </c>
      <c r="M39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3" s="14" t="str">
        <f>IF(Tabela8[[#This Row],[Média Lucro p/Ação]]&lt;&gt;"",Tabela8[[#This Row],[Média Pago]]/Tabela8[[#This Row],[Média Lucro p/Ação]],"")</f>
        <v/>
      </c>
      <c r="P3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3" s="7">
        <f>SUMPRODUCT(N(Tabela1[Código]=Tabela8[[#This Row],[Papel]]),Tabela1[Fechamento])</f>
        <v>0</v>
      </c>
      <c r="R393" s="7">
        <f>SUMPRODUCT(N(Tabela17[Código]=Tabela8[[#This Row],[Papel]]),Tabela17[Fechamento])</f>
        <v>0</v>
      </c>
      <c r="S393" s="7">
        <f>SUMPRODUCT(N(Tabela176[Código]=Tabela8[[#This Row],[Papel]]),Tabela176[Fechamento])</f>
        <v>0</v>
      </c>
      <c r="T393" s="7">
        <f>SUMPRODUCT(N(Tabela1768[Código]=Tabela8[[#This Row],[Papel]]),Tabela1768[Fechamento])</f>
        <v>0</v>
      </c>
      <c r="U393" s="7">
        <f>SUMPRODUCT(N(Tabela17683[Código]=Tabela8[[#This Row],[Papel]]),Tabela17683[Fechamento])</f>
        <v>8.07</v>
      </c>
      <c r="V393" s="17">
        <f>IF(MAX(Tabela8[[#This Row],[Cotação 1]]:Tabela8[[#This Row],[Cotação 5]])=0,"",MAX(Tabela8[[#This Row],[Cotação 1]]:Tabela8[[#This Row],[Cotação 5]]))</f>
        <v>8.07</v>
      </c>
      <c r="W39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3" s="17" t="str">
        <f>IF(AND([Ref]=5,[Cotação]&gt;0,[Cotação]&lt;&gt;""),[Total Exercício]/[Cotação],IF([Ref]&lt;4,0,""))</f>
        <v/>
      </c>
      <c r="Y393" s="17">
        <f>IF([Tipo]="div",1,0)</f>
        <v>0</v>
      </c>
      <c r="Z393" s="17">
        <f>IF([Tipo]="jcp",1,0)</f>
        <v>0</v>
      </c>
    </row>
    <row r="394" spans="1:26" hidden="1">
      <c r="A394" s="3" t="s">
        <v>1276</v>
      </c>
      <c r="B394" s="58" t="s">
        <v>1253</v>
      </c>
      <c r="C394" s="16">
        <v>3</v>
      </c>
      <c r="D394" s="4"/>
      <c r="E394" s="4"/>
      <c r="F394" s="4"/>
      <c r="G394" s="4"/>
      <c r="H394" s="4"/>
      <c r="I394" s="4"/>
      <c r="J394" s="17">
        <f>IF(Tabela8[[#This Row],[Tipo]]="jcp",Tabela8[[#This Row],[Provento p/Ação]]*85%,Tabela8[[#This Row],[Provento p/Ação]])</f>
        <v>0</v>
      </c>
      <c r="K394" s="143" t="str">
        <f>IF([Lucro p/Ação]&lt;&gt;0,SUMPRODUCT(N([Papel]=Tabela8[[#This Row],[Papel]]),N([Exercício]=Tabela8[[#This Row],[Exercício]]),[Líquido p/Ação]),"")</f>
        <v/>
      </c>
      <c r="L394" s="42" t="str">
        <f>IF(Tabela8[[#This Row],[Lucro p/Ação]]="","",IF(Tabela8[[#This Row],[Lucro p/Ação]]&gt;0,Tabela8[[#This Row],[Total Exercício]]/Tabela8[[#This Row],[Lucro p/Ação]],0))</f>
        <v/>
      </c>
      <c r="M39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4" s="14" t="str">
        <f>IF(Tabela8[[#This Row],[Média Lucro p/Ação]]&lt;&gt;"",Tabela8[[#This Row],[Média Pago]]/Tabela8[[#This Row],[Média Lucro p/Ação]],"")</f>
        <v/>
      </c>
      <c r="P39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4" s="7">
        <f>SUMPRODUCT(N(Tabela1[Código]=Tabela8[[#This Row],[Papel]]),Tabela1[Fechamento])</f>
        <v>0</v>
      </c>
      <c r="R394" s="7">
        <f>SUMPRODUCT(N(Tabela17[Código]=Tabela8[[#This Row],[Papel]]),Tabela17[Fechamento])</f>
        <v>0</v>
      </c>
      <c r="S394" s="7">
        <f>SUMPRODUCT(N(Tabela176[Código]=Tabela8[[#This Row],[Papel]]),Tabela176[Fechamento])</f>
        <v>0</v>
      </c>
      <c r="T394" s="7">
        <f>SUMPRODUCT(N(Tabela1768[Código]=Tabela8[[#This Row],[Papel]]),Tabela1768[Fechamento])</f>
        <v>0</v>
      </c>
      <c r="U394" s="7">
        <f>SUMPRODUCT(N(Tabela17683[Código]=Tabela8[[#This Row],[Papel]]),Tabela17683[Fechamento])</f>
        <v>7.0000000000000007E-2</v>
      </c>
      <c r="V394" s="17">
        <f>IF(MAX(Tabela8[[#This Row],[Cotação 1]]:Tabela8[[#This Row],[Cotação 5]])=0,"",MAX(Tabela8[[#This Row],[Cotação 1]]:Tabela8[[#This Row],[Cotação 5]]))</f>
        <v>7.0000000000000007E-2</v>
      </c>
      <c r="W39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4" s="17">
        <f>IF(AND([Ref]=5,[Cotação]&gt;0,[Cotação]&lt;&gt;""),[Total Exercício]/[Cotação],IF([Ref]&lt;4,0,""))</f>
        <v>0</v>
      </c>
      <c r="Y394" s="17">
        <f>IF([Tipo]="div",1,0)</f>
        <v>0</v>
      </c>
      <c r="Z394" s="17">
        <f>IF([Tipo]="jcp",1,0)</f>
        <v>0</v>
      </c>
    </row>
    <row r="395" spans="1:26" hidden="1">
      <c r="A395" s="3" t="s">
        <v>1276</v>
      </c>
      <c r="B395" s="58" t="s">
        <v>1254</v>
      </c>
      <c r="C395" s="16">
        <v>3</v>
      </c>
      <c r="D395" s="4"/>
      <c r="E395" s="4"/>
      <c r="F395" s="4"/>
      <c r="G395" s="4"/>
      <c r="H395" s="4"/>
      <c r="I395" s="4"/>
      <c r="J395" s="17">
        <f>IF(Tabela8[[#This Row],[Tipo]]="jcp",Tabela8[[#This Row],[Provento p/Ação]]*85%,Tabela8[[#This Row],[Provento p/Ação]])</f>
        <v>0</v>
      </c>
      <c r="K395" s="143" t="str">
        <f>IF([Lucro p/Ação]&lt;&gt;0,SUMPRODUCT(N([Papel]=Tabela8[[#This Row],[Papel]]),N([Exercício]=Tabela8[[#This Row],[Exercício]]),[Líquido p/Ação]),"")</f>
        <v/>
      </c>
      <c r="L395" s="42" t="str">
        <f>IF(Tabela8[[#This Row],[Lucro p/Ação]]="","",IF(Tabela8[[#This Row],[Lucro p/Ação]]&gt;0,Tabela8[[#This Row],[Total Exercício]]/Tabela8[[#This Row],[Lucro p/Ação]],0))</f>
        <v/>
      </c>
      <c r="M3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5" s="14" t="str">
        <f>IF(Tabela8[[#This Row],[Média Lucro p/Ação]]&lt;&gt;"",Tabela8[[#This Row],[Média Pago]]/Tabela8[[#This Row],[Média Lucro p/Ação]],"")</f>
        <v/>
      </c>
      <c r="P3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5" s="7">
        <f>SUMPRODUCT(N(Tabela1[Código]=Tabela8[[#This Row],[Papel]]),Tabela1[Fechamento])</f>
        <v>0</v>
      </c>
      <c r="R395" s="7">
        <f>SUMPRODUCT(N(Tabela17[Código]=Tabela8[[#This Row],[Papel]]),Tabela17[Fechamento])</f>
        <v>0</v>
      </c>
      <c r="S395" s="7">
        <f>SUMPRODUCT(N(Tabela176[Código]=Tabela8[[#This Row],[Papel]]),Tabela176[Fechamento])</f>
        <v>0</v>
      </c>
      <c r="T395" s="7">
        <f>SUMPRODUCT(N(Tabela1768[Código]=Tabela8[[#This Row],[Papel]]),Tabela1768[Fechamento])</f>
        <v>0</v>
      </c>
      <c r="U395" s="7">
        <f>SUMPRODUCT(N(Tabela17683[Código]=Tabela8[[#This Row],[Papel]]),Tabela17683[Fechamento])</f>
        <v>0.06</v>
      </c>
      <c r="V395" s="17">
        <f>IF(MAX(Tabela8[[#This Row],[Cotação 1]]:Tabela8[[#This Row],[Cotação 5]])=0,"",MAX(Tabela8[[#This Row],[Cotação 1]]:Tabela8[[#This Row],[Cotação 5]]))</f>
        <v>0.06</v>
      </c>
      <c r="W3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5" s="17">
        <f>IF(AND([Ref]=5,[Cotação]&gt;0,[Cotação]&lt;&gt;""),[Total Exercício]/[Cotação],IF([Ref]&lt;4,0,""))</f>
        <v>0</v>
      </c>
      <c r="Y395" s="17">
        <f>IF([Tipo]="div",1,0)</f>
        <v>0</v>
      </c>
      <c r="Z395" s="17">
        <f>IF([Tipo]="jcp",1,0)</f>
        <v>0</v>
      </c>
    </row>
    <row r="396" spans="1:26" hidden="1">
      <c r="A396" s="3" t="s">
        <v>1019</v>
      </c>
      <c r="B396" s="57" t="s">
        <v>1047</v>
      </c>
      <c r="C396" s="16">
        <v>3</v>
      </c>
      <c r="D396" s="4"/>
      <c r="E396" s="4"/>
      <c r="F396" s="4"/>
      <c r="G396" s="4"/>
      <c r="H396" s="4"/>
      <c r="I396" s="4"/>
      <c r="J396" s="17">
        <f>IF(Tabela8[[#This Row],[Tipo]]="jcp",Tabela8[[#This Row],[Provento p/Ação]]*85%,Tabela8[[#This Row],[Provento p/Ação]])</f>
        <v>0</v>
      </c>
      <c r="K396" s="143" t="str">
        <f>IF([Lucro p/Ação]&lt;&gt;0,SUMPRODUCT(N([Papel]=Tabela8[[#This Row],[Papel]]),N([Exercício]=Tabela8[[#This Row],[Exercício]]),[Líquido p/Ação]),"")</f>
        <v/>
      </c>
      <c r="L396" s="42" t="str">
        <f>IF(Tabela8[[#This Row],[Lucro p/Ação]]="","",IF(Tabela8[[#This Row],[Lucro p/Ação]]&gt;0,Tabela8[[#This Row],[Total Exercício]]/Tabela8[[#This Row],[Lucro p/Ação]],0))</f>
        <v/>
      </c>
      <c r="M3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6" s="14" t="str">
        <f>IF(Tabela8[[#This Row],[Média Lucro p/Ação]]&lt;&gt;"",Tabela8[[#This Row],[Média Pago]]/Tabela8[[#This Row],[Média Lucro p/Ação]],"")</f>
        <v/>
      </c>
      <c r="P3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6" s="7">
        <f>SUMPRODUCT(N(Tabela1[Código]=Tabela8[[#This Row],[Papel]]),Tabela1[Fechamento])</f>
        <v>0</v>
      </c>
      <c r="R396" s="7">
        <f>SUMPRODUCT(N(Tabela17[Código]=Tabela8[[#This Row],[Papel]]),Tabela17[Fechamento])</f>
        <v>0</v>
      </c>
      <c r="S396" s="7">
        <f>SUMPRODUCT(N(Tabela176[Código]=Tabela8[[#This Row],[Papel]]),Tabela176[Fechamento])</f>
        <v>0</v>
      </c>
      <c r="T396" s="7">
        <f>SUMPRODUCT(N(Tabela1768[Código]=Tabela8[[#This Row],[Papel]]),Tabela1768[Fechamento])</f>
        <v>9.9600000000000009</v>
      </c>
      <c r="U396" s="7">
        <f>SUMPRODUCT(N(Tabela17683[Código]=Tabela8[[#This Row],[Papel]]),Tabela17683[Fechamento])</f>
        <v>0</v>
      </c>
      <c r="V396" s="17">
        <f>IF(MAX(Tabela8[[#This Row],[Cotação 1]]:Tabela8[[#This Row],[Cotação 5]])=0,"",MAX(Tabela8[[#This Row],[Cotação 1]]:Tabela8[[#This Row],[Cotação 5]]))</f>
        <v>9.9600000000000009</v>
      </c>
      <c r="W3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6" s="17">
        <f>IF(AND([Ref]=5,[Cotação]&gt;0,[Cotação]&lt;&gt;""),[Total Exercício]/[Cotação],IF([Ref]&lt;4,0,""))</f>
        <v>0</v>
      </c>
      <c r="Y396" s="17">
        <f>IF([Tipo]="div",1,0)</f>
        <v>0</v>
      </c>
      <c r="Z396" s="17">
        <f>IF([Tipo]="jcp",1,0)</f>
        <v>0</v>
      </c>
    </row>
    <row r="397" spans="1:26" hidden="1">
      <c r="A397" s="4" t="s">
        <v>12</v>
      </c>
      <c r="B397" s="60" t="s">
        <v>65</v>
      </c>
      <c r="C397" s="15">
        <v>3</v>
      </c>
      <c r="D397" s="14"/>
      <c r="E397" s="4"/>
      <c r="F397" s="4"/>
      <c r="G397" s="4"/>
      <c r="H397" s="4"/>
      <c r="I397" s="4"/>
      <c r="J397" s="133">
        <f>IF(Tabela8[[#This Row],[Tipo]]="jcp",Tabela8[[#This Row],[Provento p/Ação]]*85%,Tabela8[[#This Row],[Provento p/Ação]])</f>
        <v>0</v>
      </c>
      <c r="K397" s="143" t="str">
        <f>IF([Lucro p/Ação]&lt;&gt;0,SUMPRODUCT(N([Papel]=Tabela8[[#This Row],[Papel]]),N([Exercício]=Tabela8[[#This Row],[Exercício]]),[Líquido p/Ação]),"")</f>
        <v/>
      </c>
      <c r="L397" s="42" t="str">
        <f>IF(Tabela8[[#This Row],[Lucro p/Ação]]="","",IF(Tabela8[[#This Row],[Lucro p/Ação]]&gt;0,Tabela8[[#This Row],[Total Exercício]]/Tabela8[[#This Row],[Lucro p/Ação]],0))</f>
        <v/>
      </c>
      <c r="M3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7" s="14" t="str">
        <f>IF(Tabela8[[#This Row],[Média Lucro p/Ação]]&lt;&gt;"",Tabela8[[#This Row],[Média Pago]]/Tabela8[[#This Row],[Média Lucro p/Ação]],"")</f>
        <v/>
      </c>
      <c r="P3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7" s="5">
        <f>SUMPRODUCT(N(Tabela1[Código]=Tabela8[[#This Row],[Papel]]),Tabela1[Fechamento])</f>
        <v>5.13</v>
      </c>
      <c r="R397" s="5">
        <f>SUMPRODUCT(N(Tabela17[Código]=Tabela8[[#This Row],[Papel]]),Tabela17[Fechamento])</f>
        <v>0</v>
      </c>
      <c r="S397" s="7">
        <f>SUMPRODUCT(N(Tabela176[Código]=Tabela8[[#This Row],[Papel]]),Tabela176[Fechamento])</f>
        <v>0</v>
      </c>
      <c r="T397" s="7">
        <f>SUMPRODUCT(N(Tabela1768[Código]=Tabela8[[#This Row],[Papel]]),Tabela1768[Fechamento])</f>
        <v>0</v>
      </c>
      <c r="U397" s="7">
        <f>SUMPRODUCT(N(Tabela17683[Código]=Tabela8[[#This Row],[Papel]]),Tabela17683[Fechamento])</f>
        <v>0</v>
      </c>
      <c r="V397" s="17">
        <f>IF(MAX(Tabela8[[#This Row],[Cotação 1]]:Tabela8[[#This Row],[Cotação 5]])=0,"",MAX(Tabela8[[#This Row],[Cotação 1]]:Tabela8[[#This Row],[Cotação 5]]))</f>
        <v>5.13</v>
      </c>
      <c r="W3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7" s="17">
        <f>IF(AND([Ref]=5,[Cotação]&gt;0,[Cotação]&lt;&gt;""),[Total Exercício]/[Cotação],IF([Ref]&lt;4,0,""))</f>
        <v>0</v>
      </c>
      <c r="Y397" s="17">
        <f>IF([Tipo]="div",1,0)</f>
        <v>0</v>
      </c>
      <c r="Z397" s="17">
        <f>IF([Tipo]="jcp",1,0)</f>
        <v>0</v>
      </c>
    </row>
    <row r="398" spans="1:26" hidden="1">
      <c r="A398" s="4" t="s">
        <v>12</v>
      </c>
      <c r="B398" s="115" t="s">
        <v>489</v>
      </c>
      <c r="C398" s="15">
        <v>3</v>
      </c>
      <c r="D398" s="14"/>
      <c r="E398" s="4"/>
      <c r="F398" s="4"/>
      <c r="G398" s="4"/>
      <c r="H398" s="4"/>
      <c r="I398" s="4"/>
      <c r="J398" s="133">
        <f>IF(Tabela8[[#This Row],[Tipo]]="jcp",Tabela8[[#This Row],[Provento p/Ação]]*85%,Tabela8[[#This Row],[Provento p/Ação]])</f>
        <v>0</v>
      </c>
      <c r="K398" s="143" t="str">
        <f>IF([Lucro p/Ação]&lt;&gt;0,SUMPRODUCT(N([Papel]=Tabela8[[#This Row],[Papel]]),N([Exercício]=Tabela8[[#This Row],[Exercício]]),[Líquido p/Ação]),"")</f>
        <v/>
      </c>
      <c r="L398" s="42" t="str">
        <f>IF(Tabela8[[#This Row],[Lucro p/Ação]]="","",IF(Tabela8[[#This Row],[Lucro p/Ação]]&gt;0,Tabela8[[#This Row],[Total Exercício]]/Tabela8[[#This Row],[Lucro p/Ação]],0))</f>
        <v/>
      </c>
      <c r="M3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8" s="14" t="str">
        <f>IF(Tabela8[[#This Row],[Média Lucro p/Ação]]&lt;&gt;"",Tabela8[[#This Row],[Média Pago]]/Tabela8[[#This Row],[Média Lucro p/Ação]],"")</f>
        <v/>
      </c>
      <c r="P3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8" s="17">
        <f>SUMPRODUCT(N(Tabela1[Código]=Tabela8[[#This Row],[Papel]]),Tabela1[Fechamento])</f>
        <v>0</v>
      </c>
      <c r="R398" s="17">
        <f>SUMPRODUCT(N(Tabela17[Código]=Tabela8[[#This Row],[Papel]]),Tabela17[Fechamento])</f>
        <v>0.8</v>
      </c>
      <c r="S398" s="7">
        <f>SUMPRODUCT(N(Tabela176[Código]=Tabela8[[#This Row],[Papel]]),Tabela176[Fechamento])</f>
        <v>0</v>
      </c>
      <c r="T398" s="7">
        <f>SUMPRODUCT(N(Tabela1768[Código]=Tabela8[[#This Row],[Papel]]),Tabela1768[Fechamento])</f>
        <v>0</v>
      </c>
      <c r="U398" s="7">
        <f>SUMPRODUCT(N(Tabela17683[Código]=Tabela8[[#This Row],[Papel]]),Tabela17683[Fechamento])</f>
        <v>0</v>
      </c>
      <c r="V398" s="17">
        <f>IF(MAX(Tabela8[[#This Row],[Cotação 1]]:Tabela8[[#This Row],[Cotação 5]])=0,"",MAX(Tabela8[[#This Row],[Cotação 1]]:Tabela8[[#This Row],[Cotação 5]]))</f>
        <v>0.8</v>
      </c>
      <c r="W3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8" s="17">
        <f>IF(AND([Ref]=5,[Cotação]&gt;0,[Cotação]&lt;&gt;""),[Total Exercício]/[Cotação],IF([Ref]&lt;4,0,""))</f>
        <v>0</v>
      </c>
      <c r="Y398" s="17">
        <f>IF([Tipo]="div",1,0)</f>
        <v>0</v>
      </c>
      <c r="Z398" s="17">
        <f>IF([Tipo]="jcp",1,0)</f>
        <v>0</v>
      </c>
    </row>
    <row r="399" spans="1:26" hidden="1">
      <c r="A399" s="4" t="s">
        <v>12</v>
      </c>
      <c r="B399" s="115" t="s">
        <v>490</v>
      </c>
      <c r="C399" s="15">
        <v>3</v>
      </c>
      <c r="D399" s="14"/>
      <c r="E399" s="4"/>
      <c r="F399" s="4"/>
      <c r="G399" s="4"/>
      <c r="H399" s="4"/>
      <c r="I399" s="4"/>
      <c r="J399" s="133">
        <f>IF(Tabela8[[#This Row],[Tipo]]="jcp",Tabela8[[#This Row],[Provento p/Ação]]*85%,Tabela8[[#This Row],[Provento p/Ação]])</f>
        <v>0</v>
      </c>
      <c r="K399" s="143" t="str">
        <f>IF([Lucro p/Ação]&lt;&gt;0,SUMPRODUCT(N([Papel]=Tabela8[[#This Row],[Papel]]),N([Exercício]=Tabela8[[#This Row],[Exercício]]),[Líquido p/Ação]),"")</f>
        <v/>
      </c>
      <c r="L399" s="42" t="str">
        <f>IF(Tabela8[[#This Row],[Lucro p/Ação]]="","",IF(Tabela8[[#This Row],[Lucro p/Ação]]&gt;0,Tabela8[[#This Row],[Total Exercício]]/Tabela8[[#This Row],[Lucro p/Ação]],0))</f>
        <v/>
      </c>
      <c r="M3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3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399" s="14" t="str">
        <f>IF(Tabela8[[#This Row],[Média Lucro p/Ação]]&lt;&gt;"",Tabela8[[#This Row],[Média Pago]]/Tabela8[[#This Row],[Média Lucro p/Ação]],"")</f>
        <v/>
      </c>
      <c r="P3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399" s="17">
        <f>SUMPRODUCT(N(Tabela1[Código]=Tabela8[[#This Row],[Papel]]),Tabela1[Fechamento])</f>
        <v>0</v>
      </c>
      <c r="R399" s="17">
        <f>SUMPRODUCT(N(Tabela17[Código]=Tabela8[[#This Row],[Papel]]),Tabela17[Fechamento])</f>
        <v>0.81</v>
      </c>
      <c r="S399" s="7">
        <f>SUMPRODUCT(N(Tabela176[Código]=Tabela8[[#This Row],[Papel]]),Tabela176[Fechamento])</f>
        <v>0</v>
      </c>
      <c r="T399" s="7">
        <f>SUMPRODUCT(N(Tabela1768[Código]=Tabela8[[#This Row],[Papel]]),Tabela1768[Fechamento])</f>
        <v>0</v>
      </c>
      <c r="U399" s="7">
        <f>SUMPRODUCT(N(Tabela17683[Código]=Tabela8[[#This Row],[Papel]]),Tabela17683[Fechamento])</f>
        <v>0</v>
      </c>
      <c r="V399" s="17">
        <f>IF(MAX(Tabela8[[#This Row],[Cotação 1]]:Tabela8[[#This Row],[Cotação 5]])=0,"",MAX(Tabela8[[#This Row],[Cotação 1]]:Tabela8[[#This Row],[Cotação 5]]))</f>
        <v>0.81</v>
      </c>
      <c r="W3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399" s="17">
        <f>IF(AND([Ref]=5,[Cotação]&gt;0,[Cotação]&lt;&gt;""),[Total Exercício]/[Cotação],IF([Ref]&lt;4,0,""))</f>
        <v>0</v>
      </c>
      <c r="Y399" s="17">
        <f>IF([Tipo]="div",1,0)</f>
        <v>0</v>
      </c>
      <c r="Z399" s="17">
        <f>IF([Tipo]="jcp",1,0)</f>
        <v>0</v>
      </c>
    </row>
    <row r="400" spans="1:26" hidden="1">
      <c r="A400" s="3" t="s">
        <v>304</v>
      </c>
      <c r="B400" s="58" t="s">
        <v>991</v>
      </c>
      <c r="C400" s="16">
        <v>3</v>
      </c>
      <c r="D400" s="4"/>
      <c r="E400" s="4"/>
      <c r="F400" s="4"/>
      <c r="G400" s="4"/>
      <c r="H400" s="4"/>
      <c r="I400" s="4"/>
      <c r="J400" s="17">
        <f>IF(Tabela8[[#This Row],[Tipo]]="jcp",Tabela8[[#This Row],[Provento p/Ação]]*85%,Tabela8[[#This Row],[Provento p/Ação]])</f>
        <v>0</v>
      </c>
      <c r="K400" s="143" t="str">
        <f>IF([Lucro p/Ação]&lt;&gt;0,SUMPRODUCT(N([Papel]=Tabela8[[#This Row],[Papel]]),N([Exercício]=Tabela8[[#This Row],[Exercício]]),[Líquido p/Ação]),"")</f>
        <v/>
      </c>
      <c r="L400" s="42" t="str">
        <f>IF(Tabela8[[#This Row],[Lucro p/Ação]]="","",IF(Tabela8[[#This Row],[Lucro p/Ação]]&gt;0,Tabela8[[#This Row],[Total Exercício]]/Tabela8[[#This Row],[Lucro p/Ação]],0))</f>
        <v/>
      </c>
      <c r="M4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0" s="14" t="str">
        <f>IF(Tabela8[[#This Row],[Média Lucro p/Ação]]&lt;&gt;"",Tabela8[[#This Row],[Média Pago]]/Tabela8[[#This Row],[Média Lucro p/Ação]],"")</f>
        <v/>
      </c>
      <c r="P4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0" s="7">
        <f>SUMPRODUCT(N(Tabela1[Código]=Tabela8[[#This Row],[Papel]]),Tabela1[Fechamento])</f>
        <v>0</v>
      </c>
      <c r="R400" s="7">
        <f>SUMPRODUCT(N(Tabela17[Código]=Tabela8[[#This Row],[Papel]]),Tabela17[Fechamento])</f>
        <v>0</v>
      </c>
      <c r="S400" s="7">
        <f>SUMPRODUCT(N(Tabela176[Código]=Tabela8[[#This Row],[Papel]]),Tabela176[Fechamento])</f>
        <v>0</v>
      </c>
      <c r="T400" s="7">
        <f>SUMPRODUCT(N(Tabela1768[Código]=Tabela8[[#This Row],[Papel]]),Tabela1768[Fechamento])</f>
        <v>31.62</v>
      </c>
      <c r="U400" s="7">
        <f>SUMPRODUCT(N(Tabela17683[Código]=Tabela8[[#This Row],[Papel]]),Tabela17683[Fechamento])</f>
        <v>0</v>
      </c>
      <c r="V400" s="17">
        <f>IF(MAX(Tabela8[[#This Row],[Cotação 1]]:Tabela8[[#This Row],[Cotação 5]])=0,"",MAX(Tabela8[[#This Row],[Cotação 1]]:Tabela8[[#This Row],[Cotação 5]]))</f>
        <v>31.62</v>
      </c>
      <c r="W4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0" s="17">
        <f>IF(AND([Ref]=5,[Cotação]&gt;0,[Cotação]&lt;&gt;""),[Total Exercício]/[Cotação],IF([Ref]&lt;4,0,""))</f>
        <v>0</v>
      </c>
      <c r="Y400" s="17">
        <f>IF([Tipo]="div",1,0)</f>
        <v>0</v>
      </c>
      <c r="Z400" s="17">
        <f>IF([Tipo]="jcp",1,0)</f>
        <v>0</v>
      </c>
    </row>
    <row r="401" spans="1:26" hidden="1">
      <c r="A401" s="4" t="s">
        <v>40</v>
      </c>
      <c r="B401" s="57" t="s">
        <v>639</v>
      </c>
      <c r="C401" s="15">
        <v>3</v>
      </c>
      <c r="D401" s="4"/>
      <c r="E401" s="4"/>
      <c r="F401" s="4"/>
      <c r="G401" s="4"/>
      <c r="H401" s="4"/>
      <c r="I401" s="4"/>
      <c r="J401" s="17">
        <f>IF(Tabela8[[#This Row],[Tipo]]="jcp",Tabela8[[#This Row],[Provento p/Ação]]*85%,Tabela8[[#This Row],[Provento p/Ação]])</f>
        <v>0</v>
      </c>
      <c r="K401" s="143" t="str">
        <f>IF([Lucro p/Ação]&lt;&gt;0,SUMPRODUCT(N([Papel]=Tabela8[[#This Row],[Papel]]),N([Exercício]=Tabela8[[#This Row],[Exercício]]),[Líquido p/Ação]),"")</f>
        <v/>
      </c>
      <c r="L401" s="42" t="str">
        <f>IF(Tabela8[[#This Row],[Lucro p/Ação]]="","",IF(Tabela8[[#This Row],[Lucro p/Ação]]&gt;0,Tabela8[[#This Row],[Total Exercício]]/Tabela8[[#This Row],[Lucro p/Ação]],0))</f>
        <v/>
      </c>
      <c r="M4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1" s="14" t="str">
        <f>IF(Tabela8[[#This Row],[Média Lucro p/Ação]]&lt;&gt;"",Tabela8[[#This Row],[Média Pago]]/Tabela8[[#This Row],[Média Lucro p/Ação]],"")</f>
        <v/>
      </c>
      <c r="P4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1" s="17">
        <f>SUMPRODUCT(N(Tabela1[Código]=Tabela8[[#This Row],[Papel]]),Tabela1[Fechamento])</f>
        <v>0</v>
      </c>
      <c r="R401" s="17">
        <f>SUMPRODUCT(N(Tabela17[Código]=Tabela8[[#This Row],[Papel]]),Tabela17[Fechamento])</f>
        <v>0</v>
      </c>
      <c r="S401" s="17">
        <f>SUMPRODUCT(N(Tabela176[Código]=Tabela8[[#This Row],[Papel]]),Tabela176[Fechamento])</f>
        <v>0.08</v>
      </c>
      <c r="T401" s="17">
        <f>SUMPRODUCT(N(Tabela1768[Código]=Tabela8[[#This Row],[Papel]]),Tabela1768[Fechamento])</f>
        <v>0</v>
      </c>
      <c r="U401" s="7">
        <f>SUMPRODUCT(N(Tabela17683[Código]=Tabela8[[#This Row],[Papel]]),Tabela17683[Fechamento])</f>
        <v>0</v>
      </c>
      <c r="V401" s="17">
        <f>IF(MAX(Tabela8[[#This Row],[Cotação 1]]:Tabela8[[#This Row],[Cotação 5]])=0,"",MAX(Tabela8[[#This Row],[Cotação 1]]:Tabela8[[#This Row],[Cotação 5]]))</f>
        <v>0.08</v>
      </c>
      <c r="W4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1" s="17">
        <f>IF(AND([Ref]=5,[Cotação]&gt;0,[Cotação]&lt;&gt;""),[Total Exercício]/[Cotação],IF([Ref]&lt;4,0,""))</f>
        <v>0</v>
      </c>
      <c r="Y401" s="17">
        <f>IF([Tipo]="div",1,0)</f>
        <v>0</v>
      </c>
      <c r="Z401" s="17">
        <f>IF([Tipo]="jcp",1,0)</f>
        <v>0</v>
      </c>
    </row>
    <row r="402" spans="1:26" hidden="1">
      <c r="A402" s="3" t="s">
        <v>829</v>
      </c>
      <c r="B402" s="58" t="s">
        <v>831</v>
      </c>
      <c r="C402" s="16">
        <v>3</v>
      </c>
      <c r="D402" s="4"/>
      <c r="E402" s="4"/>
      <c r="F402" s="4"/>
      <c r="G402" s="4"/>
      <c r="H402" s="4"/>
      <c r="I402" s="4"/>
      <c r="J402" s="17">
        <f>IF(Tabela8[[#This Row],[Tipo]]="jcp",Tabela8[[#This Row],[Provento p/Ação]]*85%,Tabela8[[#This Row],[Provento p/Ação]])</f>
        <v>0</v>
      </c>
      <c r="K402" s="143" t="str">
        <f>IF([Lucro p/Ação]&lt;&gt;0,SUMPRODUCT(N([Papel]=Tabela8[[#This Row],[Papel]]),N([Exercício]=Tabela8[[#This Row],[Exercício]]),[Líquido p/Ação]),"")</f>
        <v/>
      </c>
      <c r="L402" s="42" t="str">
        <f>IF(Tabela8[[#This Row],[Lucro p/Ação]]="","",IF(Tabela8[[#This Row],[Lucro p/Ação]]&gt;0,Tabela8[[#This Row],[Total Exercício]]/Tabela8[[#This Row],[Lucro p/Ação]],0))</f>
        <v/>
      </c>
      <c r="M4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2" s="14" t="str">
        <f>IF(Tabela8[[#This Row],[Média Lucro p/Ação]]&lt;&gt;"",Tabela8[[#This Row],[Média Pago]]/Tabela8[[#This Row],[Média Lucro p/Ação]],"")</f>
        <v/>
      </c>
      <c r="P4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2" s="7">
        <f>SUMPRODUCT(N(Tabela1[Código]=Tabela8[[#This Row],[Papel]]),Tabela1[Fechamento])</f>
        <v>0</v>
      </c>
      <c r="R402" s="7">
        <f>SUMPRODUCT(N(Tabela17[Código]=Tabela8[[#This Row],[Papel]]),Tabela17[Fechamento])</f>
        <v>0</v>
      </c>
      <c r="S402" s="7">
        <f>SUMPRODUCT(N(Tabela176[Código]=Tabela8[[#This Row],[Papel]]),Tabela176[Fechamento])</f>
        <v>0</v>
      </c>
      <c r="T402" s="7">
        <f>SUMPRODUCT(N(Tabela1768[Código]=Tabela8[[#This Row],[Papel]]),Tabela1768[Fechamento])</f>
        <v>0.16</v>
      </c>
      <c r="U402" s="7">
        <f>SUMPRODUCT(N(Tabela17683[Código]=Tabela8[[#This Row],[Papel]]),Tabela17683[Fechamento])</f>
        <v>0</v>
      </c>
      <c r="V402" s="17">
        <f>IF(MAX(Tabela8[[#This Row],[Cotação 1]]:Tabela8[[#This Row],[Cotação 5]])=0,"",MAX(Tabela8[[#This Row],[Cotação 1]]:Tabela8[[#This Row],[Cotação 5]]))</f>
        <v>0.16</v>
      </c>
      <c r="W4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2" s="17">
        <f>IF(AND([Ref]=5,[Cotação]&gt;0,[Cotação]&lt;&gt;""),[Total Exercício]/[Cotação],IF([Ref]&lt;4,0,""))</f>
        <v>0</v>
      </c>
      <c r="Y402" s="17">
        <f>IF([Tipo]="div",1,0)</f>
        <v>0</v>
      </c>
      <c r="Z402" s="17">
        <f>IF([Tipo]="jcp",1,0)</f>
        <v>0</v>
      </c>
    </row>
    <row r="403" spans="1:26" hidden="1">
      <c r="A403" s="4" t="s">
        <v>12</v>
      </c>
      <c r="B403" s="139" t="s">
        <v>493</v>
      </c>
      <c r="C403" s="16">
        <v>4</v>
      </c>
      <c r="D403" s="14"/>
      <c r="E403" s="4"/>
      <c r="F403" s="4"/>
      <c r="G403" s="4"/>
      <c r="H403" s="4"/>
      <c r="I403" s="4"/>
      <c r="J403" s="133">
        <f>IF(Tabela8[[#This Row],[Tipo]]="jcp",Tabela8[[#This Row],[Provento p/Ação]]*85%,Tabela8[[#This Row],[Provento p/Ação]])</f>
        <v>0</v>
      </c>
      <c r="K403" s="143" t="str">
        <f>IF([Lucro p/Ação]&lt;&gt;0,SUMPRODUCT(N([Papel]=Tabela8[[#This Row],[Papel]]),N([Exercício]=Tabela8[[#This Row],[Exercício]]),[Líquido p/Ação]),"")</f>
        <v/>
      </c>
      <c r="L403" s="42" t="str">
        <f>IF(Tabela8[[#This Row],[Lucro p/Ação]]="","",IF(Tabela8[[#This Row],[Lucro p/Ação]]&gt;0,Tabela8[[#This Row],[Total Exercício]]/Tabela8[[#This Row],[Lucro p/Ação]],0))</f>
        <v/>
      </c>
      <c r="M4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3" s="14" t="str">
        <f>IF(Tabela8[[#This Row],[Média Lucro p/Ação]]&lt;&gt;"",Tabela8[[#This Row],[Média Pago]]/Tabela8[[#This Row],[Média Lucro p/Ação]],"")</f>
        <v/>
      </c>
      <c r="P4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3" s="7">
        <f>SUMPRODUCT(N(Tabela1[Código]=Tabela8[[#This Row],[Papel]]),Tabela1[Fechamento])</f>
        <v>0</v>
      </c>
      <c r="R403" s="7">
        <f>SUMPRODUCT(N(Tabela17[Código]=Tabela8[[#This Row],[Papel]]),Tabela17[Fechamento])</f>
        <v>40.380000000000003</v>
      </c>
      <c r="S403" s="7">
        <f>SUMPRODUCT(N(Tabela176[Código]=Tabela8[[#This Row],[Papel]]),Tabela176[Fechamento])</f>
        <v>0</v>
      </c>
      <c r="T403" s="7">
        <f>SUMPRODUCT(N(Tabela1768[Código]=Tabela8[[#This Row],[Papel]]),Tabela1768[Fechamento])</f>
        <v>0</v>
      </c>
      <c r="U403" s="7">
        <f>SUMPRODUCT(N(Tabela17683[Código]=Tabela8[[#This Row],[Papel]]),Tabela17683[Fechamento])</f>
        <v>0</v>
      </c>
      <c r="V403" s="17">
        <f>IF(MAX(Tabela8[[#This Row],[Cotação 1]]:Tabela8[[#This Row],[Cotação 5]])=0,"",MAX(Tabela8[[#This Row],[Cotação 1]]:Tabela8[[#This Row],[Cotação 5]]))</f>
        <v>40.380000000000003</v>
      </c>
      <c r="W4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3" s="17" t="str">
        <f>IF(AND([Ref]=5,[Cotação]&gt;0,[Cotação]&lt;&gt;""),[Total Exercício]/[Cotação],IF([Ref]&lt;4,0,""))</f>
        <v/>
      </c>
      <c r="Y403" s="17">
        <f>IF([Tipo]="div",1,0)</f>
        <v>0</v>
      </c>
      <c r="Z403" s="17">
        <f>IF([Tipo]="jcp",1,0)</f>
        <v>0</v>
      </c>
    </row>
    <row r="404" spans="1:26" hidden="1">
      <c r="A404" s="4" t="s">
        <v>12</v>
      </c>
      <c r="B404" s="131" t="s">
        <v>494</v>
      </c>
      <c r="C404" s="15">
        <v>4</v>
      </c>
      <c r="D404" s="14"/>
      <c r="E404" s="4"/>
      <c r="F404" s="4"/>
      <c r="G404" s="4"/>
      <c r="H404" s="4"/>
      <c r="I404" s="4"/>
      <c r="J404" s="133">
        <f>IF(Tabela8[[#This Row],[Tipo]]="jcp",Tabela8[[#This Row],[Provento p/Ação]]*85%,Tabela8[[#This Row],[Provento p/Ação]])</f>
        <v>0</v>
      </c>
      <c r="K404" s="143" t="str">
        <f>IF([Lucro p/Ação]&lt;&gt;0,SUMPRODUCT(N([Papel]=Tabela8[[#This Row],[Papel]]),N([Exercício]=Tabela8[[#This Row],[Exercício]]),[Líquido p/Ação]),"")</f>
        <v/>
      </c>
      <c r="L404" s="42" t="str">
        <f>IF(Tabela8[[#This Row],[Lucro p/Ação]]="","",IF(Tabela8[[#This Row],[Lucro p/Ação]]&gt;0,Tabela8[[#This Row],[Total Exercício]]/Tabela8[[#This Row],[Lucro p/Ação]],0))</f>
        <v/>
      </c>
      <c r="M4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4" s="14" t="str">
        <f>IF(Tabela8[[#This Row],[Média Lucro p/Ação]]&lt;&gt;"",Tabela8[[#This Row],[Média Pago]]/Tabela8[[#This Row],[Média Lucro p/Ação]],"")</f>
        <v/>
      </c>
      <c r="P4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4" s="17">
        <f>SUMPRODUCT(N(Tabela1[Código]=Tabela8[[#This Row],[Papel]]),Tabela1[Fechamento])</f>
        <v>0</v>
      </c>
      <c r="R404" s="17">
        <f>SUMPRODUCT(N(Tabela17[Código]=Tabela8[[#This Row],[Papel]]),Tabela17[Fechamento])</f>
        <v>202.04</v>
      </c>
      <c r="S404" s="7">
        <f>SUMPRODUCT(N(Tabela176[Código]=Tabela8[[#This Row],[Papel]]),Tabela176[Fechamento])</f>
        <v>0</v>
      </c>
      <c r="T404" s="7">
        <f>SUMPRODUCT(N(Tabela1768[Código]=Tabela8[[#This Row],[Papel]]),Tabela1768[Fechamento])</f>
        <v>0</v>
      </c>
      <c r="U404" s="7">
        <f>SUMPRODUCT(N(Tabela17683[Código]=Tabela8[[#This Row],[Papel]]),Tabela17683[Fechamento])</f>
        <v>0</v>
      </c>
      <c r="V404" s="17">
        <f>IF(MAX(Tabela8[[#This Row],[Cotação 1]]:Tabela8[[#This Row],[Cotação 5]])=0,"",MAX(Tabela8[[#This Row],[Cotação 1]]:Tabela8[[#This Row],[Cotação 5]]))</f>
        <v>202.04</v>
      </c>
      <c r="W4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4" s="17" t="str">
        <f>IF(AND([Ref]=5,[Cotação]&gt;0,[Cotação]&lt;&gt;""),[Total Exercício]/[Cotação],IF([Ref]&lt;4,0,""))</f>
        <v/>
      </c>
      <c r="Y404" s="17">
        <f>IF([Tipo]="div",1,0)</f>
        <v>0</v>
      </c>
      <c r="Z404" s="17">
        <f>IF([Tipo]="jcp",1,0)</f>
        <v>0</v>
      </c>
    </row>
    <row r="405" spans="1:26" hidden="1">
      <c r="A405" s="4" t="s">
        <v>12</v>
      </c>
      <c r="B405" s="131" t="s">
        <v>495</v>
      </c>
      <c r="C405" s="15">
        <v>4</v>
      </c>
      <c r="D405" s="14"/>
      <c r="E405" s="4"/>
      <c r="F405" s="4"/>
      <c r="G405" s="4"/>
      <c r="H405" s="4"/>
      <c r="I405" s="4"/>
      <c r="J405" s="133">
        <f>IF(Tabela8[[#This Row],[Tipo]]="jcp",Tabela8[[#This Row],[Provento p/Ação]]*85%,Tabela8[[#This Row],[Provento p/Ação]])</f>
        <v>0</v>
      </c>
      <c r="K405" s="143" t="str">
        <f>IF([Lucro p/Ação]&lt;&gt;0,SUMPRODUCT(N([Papel]=Tabela8[[#This Row],[Papel]]),N([Exercício]=Tabela8[[#This Row],[Exercício]]),[Líquido p/Ação]),"")</f>
        <v/>
      </c>
      <c r="L405" s="42" t="str">
        <f>IF(Tabela8[[#This Row],[Lucro p/Ação]]="","",IF(Tabela8[[#This Row],[Lucro p/Ação]]&gt;0,Tabela8[[#This Row],[Total Exercício]]/Tabela8[[#This Row],[Lucro p/Ação]],0))</f>
        <v/>
      </c>
      <c r="M4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5" s="14" t="str">
        <f>IF(Tabela8[[#This Row],[Média Lucro p/Ação]]&lt;&gt;"",Tabela8[[#This Row],[Média Pago]]/Tabela8[[#This Row],[Média Lucro p/Ação]],"")</f>
        <v/>
      </c>
      <c r="P4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5" s="17">
        <f>SUMPRODUCT(N(Tabela1[Código]=Tabela8[[#This Row],[Papel]]),Tabela1[Fechamento])</f>
        <v>0</v>
      </c>
      <c r="R405" s="17">
        <f>SUMPRODUCT(N(Tabela17[Código]=Tabela8[[#This Row],[Papel]]),Tabela17[Fechamento])</f>
        <v>0</v>
      </c>
      <c r="S405" s="7">
        <f>SUMPRODUCT(N(Tabela176[Código]=Tabela8[[#This Row],[Papel]]),Tabela176[Fechamento])</f>
        <v>0</v>
      </c>
      <c r="T405" s="7">
        <f>SUMPRODUCT(N(Tabela1768[Código]=Tabela8[[#This Row],[Papel]]),Tabela1768[Fechamento])</f>
        <v>0</v>
      </c>
      <c r="U405" s="7">
        <f>SUMPRODUCT(N(Tabela17683[Código]=Tabela8[[#This Row],[Papel]]),Tabela17683[Fechamento])</f>
        <v>0</v>
      </c>
      <c r="V405" s="17" t="str">
        <f>IF(MAX(Tabela8[[#This Row],[Cotação 1]]:Tabela8[[#This Row],[Cotação 5]])=0,"",MAX(Tabela8[[#This Row],[Cotação 1]]:Tabela8[[#This Row],[Cotação 5]]))</f>
        <v/>
      </c>
      <c r="W4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5" s="17" t="str">
        <f>IF(AND([Ref]=5,[Cotação]&gt;0,[Cotação]&lt;&gt;""),[Total Exercício]/[Cotação],IF([Ref]&lt;4,0,""))</f>
        <v/>
      </c>
      <c r="Y405" s="17">
        <f>IF([Tipo]="div",1,0)</f>
        <v>0</v>
      </c>
      <c r="Z405" s="17">
        <f>IF([Tipo]="jcp",1,0)</f>
        <v>0</v>
      </c>
    </row>
    <row r="406" spans="1:26" hidden="1">
      <c r="A406" s="3" t="s">
        <v>1225</v>
      </c>
      <c r="B406" s="57" t="s">
        <v>1212</v>
      </c>
      <c r="C406" s="16">
        <v>4</v>
      </c>
      <c r="D406" s="4"/>
      <c r="E406" s="4"/>
      <c r="F406" s="4"/>
      <c r="G406" s="4"/>
      <c r="H406" s="4"/>
      <c r="I406" s="4"/>
      <c r="J406" s="17">
        <f>IF(Tabela8[[#This Row],[Tipo]]="jcp",Tabela8[[#This Row],[Provento p/Ação]]*85%,Tabela8[[#This Row],[Provento p/Ação]])</f>
        <v>0</v>
      </c>
      <c r="K406" s="143" t="str">
        <f>IF([Lucro p/Ação]&lt;&gt;0,SUMPRODUCT(N([Papel]=Tabela8[[#This Row],[Papel]]),N([Exercício]=Tabela8[[#This Row],[Exercício]]),[Líquido p/Ação]),"")</f>
        <v/>
      </c>
      <c r="L406" s="42" t="str">
        <f>IF(Tabela8[[#This Row],[Lucro p/Ação]]="","",IF(Tabela8[[#This Row],[Lucro p/Ação]]&gt;0,Tabela8[[#This Row],[Total Exercício]]/Tabela8[[#This Row],[Lucro p/Ação]],0))</f>
        <v/>
      </c>
      <c r="M4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6" s="14" t="str">
        <f>IF(Tabela8[[#This Row],[Média Lucro p/Ação]]&lt;&gt;"",Tabela8[[#This Row],[Média Pago]]/Tabela8[[#This Row],[Média Lucro p/Ação]],"")</f>
        <v/>
      </c>
      <c r="P4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6" s="7">
        <f>SUMPRODUCT(N(Tabela1[Código]=Tabela8[[#This Row],[Papel]]),Tabela1[Fechamento])</f>
        <v>0</v>
      </c>
      <c r="R406" s="7">
        <f>SUMPRODUCT(N(Tabela17[Código]=Tabela8[[#This Row],[Papel]]),Tabela17[Fechamento])</f>
        <v>0</v>
      </c>
      <c r="S406" s="7">
        <f>SUMPRODUCT(N(Tabela176[Código]=Tabela8[[#This Row],[Papel]]),Tabela176[Fechamento])</f>
        <v>0</v>
      </c>
      <c r="T406" s="7">
        <f>SUMPRODUCT(N(Tabela1768[Código]=Tabela8[[#This Row],[Papel]]),Tabela1768[Fechamento])</f>
        <v>0</v>
      </c>
      <c r="U406" s="7">
        <f>SUMPRODUCT(N(Tabela17683[Código]=Tabela8[[#This Row],[Papel]]),Tabela17683[Fechamento])</f>
        <v>5.15</v>
      </c>
      <c r="V406" s="17">
        <f>IF(MAX(Tabela8[[#This Row],[Cotação 1]]:Tabela8[[#This Row],[Cotação 5]])=0,"",MAX(Tabela8[[#This Row],[Cotação 1]]:Tabela8[[#This Row],[Cotação 5]]))</f>
        <v>5.15</v>
      </c>
      <c r="W4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6" s="17" t="str">
        <f>IF(AND([Ref]=5,[Cotação]&gt;0,[Cotação]&lt;&gt;""),[Total Exercício]/[Cotação],IF([Ref]&lt;4,0,""))</f>
        <v/>
      </c>
      <c r="Y406" s="17">
        <f>IF([Tipo]="div",1,0)</f>
        <v>0</v>
      </c>
      <c r="Z406" s="17">
        <f>IF([Tipo]="jcp",1,0)</f>
        <v>0</v>
      </c>
    </row>
    <row r="407" spans="1:26" hidden="1">
      <c r="A407" s="4" t="s">
        <v>14</v>
      </c>
      <c r="B407" s="57" t="s">
        <v>186</v>
      </c>
      <c r="C407" s="15">
        <v>3</v>
      </c>
      <c r="D407" s="4"/>
      <c r="E407" s="4"/>
      <c r="F407" s="4"/>
      <c r="G407" s="4"/>
      <c r="H407" s="4"/>
      <c r="I407" s="4"/>
      <c r="J407" s="17">
        <f>IF(Tabela8[[#This Row],[Tipo]]="jcp",Tabela8[[#This Row],[Provento p/Ação]]*85%,Tabela8[[#This Row],[Provento p/Ação]])</f>
        <v>0</v>
      </c>
      <c r="K407" s="143" t="str">
        <f>IF([Lucro p/Ação]&lt;&gt;0,SUMPRODUCT(N([Papel]=Tabela8[[#This Row],[Papel]]),N([Exercício]=Tabela8[[#This Row],[Exercício]]),[Líquido p/Ação]),"")</f>
        <v/>
      </c>
      <c r="L407" s="42" t="str">
        <f>IF(Tabela8[[#This Row],[Lucro p/Ação]]="","",IF(Tabela8[[#This Row],[Lucro p/Ação]]&gt;0,Tabela8[[#This Row],[Total Exercício]]/Tabela8[[#This Row],[Lucro p/Ação]],0))</f>
        <v/>
      </c>
      <c r="M4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7" s="14" t="str">
        <f>IF(Tabela8[[#This Row],[Média Lucro p/Ação]]&lt;&gt;"",Tabela8[[#This Row],[Média Pago]]/Tabela8[[#This Row],[Média Lucro p/Ação]],"")</f>
        <v/>
      </c>
      <c r="P4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7" s="5">
        <f>SUMPRODUCT(N(Tabela1[Código]=Tabela8[[#This Row],[Papel]]),Tabela1[Fechamento])</f>
        <v>3.03</v>
      </c>
      <c r="R407" s="5">
        <f>SUMPRODUCT(N(Tabela17[Código]=Tabela8[[#This Row],[Papel]]),Tabela17[Fechamento])</f>
        <v>0</v>
      </c>
      <c r="S407" s="7">
        <f>SUMPRODUCT(N(Tabela176[Código]=Tabela8[[#This Row],[Papel]]),Tabela176[Fechamento])</f>
        <v>0</v>
      </c>
      <c r="T407" s="7">
        <f>SUMPRODUCT(N(Tabela1768[Código]=Tabela8[[#This Row],[Papel]]),Tabela1768[Fechamento])</f>
        <v>0</v>
      </c>
      <c r="U407" s="7">
        <f>SUMPRODUCT(N(Tabela17683[Código]=Tabela8[[#This Row],[Papel]]),Tabela17683[Fechamento])</f>
        <v>0</v>
      </c>
      <c r="V407" s="17">
        <f>IF(MAX(Tabela8[[#This Row],[Cotação 1]]:Tabela8[[#This Row],[Cotação 5]])=0,"",MAX(Tabela8[[#This Row],[Cotação 1]]:Tabela8[[#This Row],[Cotação 5]]))</f>
        <v>3.03</v>
      </c>
      <c r="W4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7" s="17">
        <f>IF(AND([Ref]=5,[Cotação]&gt;0,[Cotação]&lt;&gt;""),[Total Exercício]/[Cotação],IF([Ref]&lt;4,0,""))</f>
        <v>0</v>
      </c>
      <c r="Y407" s="17">
        <f>IF([Tipo]="div",1,0)</f>
        <v>0</v>
      </c>
      <c r="Z407" s="17">
        <f>IF([Tipo]="jcp",1,0)</f>
        <v>0</v>
      </c>
    </row>
    <row r="408" spans="1:26" hidden="1">
      <c r="A408" s="4" t="s">
        <v>14</v>
      </c>
      <c r="B408" s="57" t="s">
        <v>76</v>
      </c>
      <c r="C408" s="15">
        <v>3</v>
      </c>
      <c r="D408" s="4"/>
      <c r="E408" s="4"/>
      <c r="F408" s="4"/>
      <c r="G408" s="4"/>
      <c r="H408" s="4"/>
      <c r="I408" s="4"/>
      <c r="J408" s="17">
        <f>IF(Tabela8[[#This Row],[Tipo]]="jcp",Tabela8[[#This Row],[Provento p/Ação]]*85%,Tabela8[[#This Row],[Provento p/Ação]])</f>
        <v>0</v>
      </c>
      <c r="K408" s="143" t="str">
        <f>IF([Lucro p/Ação]&lt;&gt;0,SUMPRODUCT(N([Papel]=Tabela8[[#This Row],[Papel]]),N([Exercício]=Tabela8[[#This Row],[Exercício]]),[Líquido p/Ação]),"")</f>
        <v/>
      </c>
      <c r="L408" s="42" t="str">
        <f>IF(Tabela8[[#This Row],[Lucro p/Ação]]="","",IF(Tabela8[[#This Row],[Lucro p/Ação]]&gt;0,Tabela8[[#This Row],[Total Exercício]]/Tabela8[[#This Row],[Lucro p/Ação]],0))</f>
        <v/>
      </c>
      <c r="M4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8" s="14" t="str">
        <f>IF(Tabela8[[#This Row],[Média Lucro p/Ação]]&lt;&gt;"",Tabela8[[#This Row],[Média Pago]]/Tabela8[[#This Row],[Média Lucro p/Ação]],"")</f>
        <v/>
      </c>
      <c r="P4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8" s="5">
        <f>SUMPRODUCT(N(Tabela1[Código]=Tabela8[[#This Row],[Papel]]),Tabela1[Fechamento])</f>
        <v>5.25</v>
      </c>
      <c r="R408" s="5">
        <f>SUMPRODUCT(N(Tabela17[Código]=Tabela8[[#This Row],[Papel]]),Tabela17[Fechamento])</f>
        <v>0</v>
      </c>
      <c r="S408" s="7">
        <f>SUMPRODUCT(N(Tabela176[Código]=Tabela8[[#This Row],[Papel]]),Tabela176[Fechamento])</f>
        <v>0</v>
      </c>
      <c r="T408" s="7">
        <f>SUMPRODUCT(N(Tabela1768[Código]=Tabela8[[#This Row],[Papel]]),Tabela1768[Fechamento])</f>
        <v>0</v>
      </c>
      <c r="U408" s="7">
        <f>SUMPRODUCT(N(Tabela17683[Código]=Tabela8[[#This Row],[Papel]]),Tabela17683[Fechamento])</f>
        <v>0</v>
      </c>
      <c r="V408" s="17">
        <f>IF(MAX(Tabela8[[#This Row],[Cotação 1]]:Tabela8[[#This Row],[Cotação 5]])=0,"",MAX(Tabela8[[#This Row],[Cotação 1]]:Tabela8[[#This Row],[Cotação 5]]))</f>
        <v>5.25</v>
      </c>
      <c r="W4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8" s="17">
        <f>IF(AND([Ref]=5,[Cotação]&gt;0,[Cotação]&lt;&gt;""),[Total Exercício]/[Cotação],IF([Ref]&lt;4,0,""))</f>
        <v>0</v>
      </c>
      <c r="Y408" s="17">
        <f>IF([Tipo]="div",1,0)</f>
        <v>0</v>
      </c>
      <c r="Z408" s="17">
        <f>IF([Tipo]="jcp",1,0)</f>
        <v>0</v>
      </c>
    </row>
    <row r="409" spans="1:26" hidden="1">
      <c r="A409" s="4" t="s">
        <v>14</v>
      </c>
      <c r="B409" s="57" t="s">
        <v>187</v>
      </c>
      <c r="C409" s="15">
        <v>3</v>
      </c>
      <c r="D409" s="4"/>
      <c r="E409" s="4"/>
      <c r="F409" s="4"/>
      <c r="G409" s="4"/>
      <c r="H409" s="4"/>
      <c r="I409" s="4"/>
      <c r="J409" s="17">
        <f>IF(Tabela8[[#This Row],[Tipo]]="jcp",Tabela8[[#This Row],[Provento p/Ação]]*85%,Tabela8[[#This Row],[Provento p/Ação]])</f>
        <v>0</v>
      </c>
      <c r="K409" s="143" t="str">
        <f>IF([Lucro p/Ação]&lt;&gt;0,SUMPRODUCT(N([Papel]=Tabela8[[#This Row],[Papel]]),N([Exercício]=Tabela8[[#This Row],[Exercício]]),[Líquido p/Ação]),"")</f>
        <v/>
      </c>
      <c r="L409" s="42" t="str">
        <f>IF(Tabela8[[#This Row],[Lucro p/Ação]]="","",IF(Tabela8[[#This Row],[Lucro p/Ação]]&gt;0,Tabela8[[#This Row],[Total Exercício]]/Tabela8[[#This Row],[Lucro p/Ação]],0))</f>
        <v/>
      </c>
      <c r="M4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09" s="14" t="str">
        <f>IF(Tabela8[[#This Row],[Média Lucro p/Ação]]&lt;&gt;"",Tabela8[[#This Row],[Média Pago]]/Tabela8[[#This Row],[Média Lucro p/Ação]],"")</f>
        <v/>
      </c>
      <c r="P4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09" s="5">
        <f>SUMPRODUCT(N(Tabela1[Código]=Tabela8[[#This Row],[Papel]]),Tabela1[Fechamento])</f>
        <v>2.29</v>
      </c>
      <c r="R409" s="5">
        <f>SUMPRODUCT(N(Tabela17[Código]=Tabela8[[#This Row],[Papel]]),Tabela17[Fechamento])</f>
        <v>0</v>
      </c>
      <c r="S409" s="7">
        <f>SUMPRODUCT(N(Tabela176[Código]=Tabela8[[#This Row],[Papel]]),Tabela176[Fechamento])</f>
        <v>0</v>
      </c>
      <c r="T409" s="7">
        <f>SUMPRODUCT(N(Tabela1768[Código]=Tabela8[[#This Row],[Papel]]),Tabela1768[Fechamento])</f>
        <v>0</v>
      </c>
      <c r="U409" s="7">
        <f>SUMPRODUCT(N(Tabela17683[Código]=Tabela8[[#This Row],[Papel]]),Tabela17683[Fechamento])</f>
        <v>0</v>
      </c>
      <c r="V409" s="17">
        <f>IF(MAX(Tabela8[[#This Row],[Cotação 1]]:Tabela8[[#This Row],[Cotação 5]])=0,"",MAX(Tabela8[[#This Row],[Cotação 1]]:Tabela8[[#This Row],[Cotação 5]]))</f>
        <v>2.29</v>
      </c>
      <c r="W4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09" s="17">
        <f>IF(AND([Ref]=5,[Cotação]&gt;0,[Cotação]&lt;&gt;""),[Total Exercício]/[Cotação],IF([Ref]&lt;4,0,""))</f>
        <v>0</v>
      </c>
      <c r="Y409" s="17">
        <f>IF([Tipo]="div",1,0)</f>
        <v>0</v>
      </c>
      <c r="Z409" s="17">
        <f>IF([Tipo]="jcp",1,0)</f>
        <v>0</v>
      </c>
    </row>
    <row r="410" spans="1:26" hidden="1">
      <c r="A410" s="4" t="s">
        <v>236</v>
      </c>
      <c r="B410" s="115" t="s">
        <v>578</v>
      </c>
      <c r="C410" s="15">
        <v>2</v>
      </c>
      <c r="D410" s="4"/>
      <c r="E410" s="4"/>
      <c r="F410" s="4"/>
      <c r="G410" s="4"/>
      <c r="H410" s="4"/>
      <c r="I410" s="4"/>
      <c r="J410" s="17">
        <f>IF(Tabela8[[#This Row],[Tipo]]="jcp",Tabela8[[#This Row],[Provento p/Ação]]*85%,Tabela8[[#This Row],[Provento p/Ação]])</f>
        <v>0</v>
      </c>
      <c r="K410" s="143" t="str">
        <f>IF([Lucro p/Ação]&lt;&gt;0,SUMPRODUCT(N([Papel]=Tabela8[[#This Row],[Papel]]),N([Exercício]=Tabela8[[#This Row],[Exercício]]),[Líquido p/Ação]),"")</f>
        <v/>
      </c>
      <c r="L410" s="42" t="str">
        <f>IF(Tabela8[[#This Row],[Lucro p/Ação]]="","",IF(Tabela8[[#This Row],[Lucro p/Ação]]&gt;0,Tabela8[[#This Row],[Total Exercício]]/Tabela8[[#This Row],[Lucro p/Ação]],0))</f>
        <v/>
      </c>
      <c r="M4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0" s="14" t="str">
        <f>IF(Tabela8[[#This Row],[Média Lucro p/Ação]]&lt;&gt;"",Tabela8[[#This Row],[Média Pago]]/Tabela8[[#This Row],[Média Lucro p/Ação]],"")</f>
        <v/>
      </c>
      <c r="P4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0" s="17">
        <f>SUMPRODUCT(N(Tabela1[Código]=Tabela8[[#This Row],[Papel]]),Tabela1[Fechamento])</f>
        <v>0</v>
      </c>
      <c r="R410" s="17">
        <f>SUMPRODUCT(N(Tabela17[Código]=Tabela8[[#This Row],[Papel]]),Tabela17[Fechamento])</f>
        <v>0</v>
      </c>
      <c r="S410" s="17">
        <f>SUMPRODUCT(N(Tabela176[Código]=Tabela8[[#This Row],[Papel]]),Tabela176[Fechamento])</f>
        <v>0.27</v>
      </c>
      <c r="T410" s="17">
        <f>SUMPRODUCT(N(Tabela1768[Código]=Tabela8[[#This Row],[Papel]]),Tabela1768[Fechamento])</f>
        <v>0</v>
      </c>
      <c r="U410" s="7">
        <f>SUMPRODUCT(N(Tabela17683[Código]=Tabela8[[#This Row],[Papel]]),Tabela17683[Fechamento])</f>
        <v>0</v>
      </c>
      <c r="V410" s="17">
        <f>IF(MAX(Tabela8[[#This Row],[Cotação 1]]:Tabela8[[#This Row],[Cotação 5]])=0,"",MAX(Tabela8[[#This Row],[Cotação 1]]:Tabela8[[#This Row],[Cotação 5]]))</f>
        <v>0.27</v>
      </c>
      <c r="W4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0" s="17">
        <f>IF(AND([Ref]=5,[Cotação]&gt;0,[Cotação]&lt;&gt;""),[Total Exercício]/[Cotação],IF([Ref]&lt;4,0,""))</f>
        <v>0</v>
      </c>
      <c r="Y410" s="17">
        <f>IF([Tipo]="div",1,0)</f>
        <v>0</v>
      </c>
      <c r="Z410" s="17">
        <f>IF([Tipo]="jcp",1,0)</f>
        <v>0</v>
      </c>
    </row>
    <row r="411" spans="1:26" hidden="1">
      <c r="A411" s="4" t="s">
        <v>236</v>
      </c>
      <c r="B411" s="115" t="s">
        <v>579</v>
      </c>
      <c r="C411" s="15">
        <v>2</v>
      </c>
      <c r="D411" s="4"/>
      <c r="E411" s="4"/>
      <c r="F411" s="4"/>
      <c r="G411" s="4"/>
      <c r="H411" s="4"/>
      <c r="I411" s="4"/>
      <c r="J411" s="17">
        <f>IF(Tabela8[[#This Row],[Tipo]]="jcp",Tabela8[[#This Row],[Provento p/Ação]]*85%,Tabela8[[#This Row],[Provento p/Ação]])</f>
        <v>0</v>
      </c>
      <c r="K411" s="143" t="str">
        <f>IF([Lucro p/Ação]&lt;&gt;0,SUMPRODUCT(N([Papel]=Tabela8[[#This Row],[Papel]]),N([Exercício]=Tabela8[[#This Row],[Exercício]]),[Líquido p/Ação]),"")</f>
        <v/>
      </c>
      <c r="L411" s="42" t="str">
        <f>IF(Tabela8[[#This Row],[Lucro p/Ação]]="","",IF(Tabela8[[#This Row],[Lucro p/Ação]]&gt;0,Tabela8[[#This Row],[Total Exercício]]/Tabela8[[#This Row],[Lucro p/Ação]],0))</f>
        <v/>
      </c>
      <c r="M4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1" s="14" t="str">
        <f>IF(Tabela8[[#This Row],[Média Lucro p/Ação]]&lt;&gt;"",Tabela8[[#This Row],[Média Pago]]/Tabela8[[#This Row],[Média Lucro p/Ação]],"")</f>
        <v/>
      </c>
      <c r="P4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1" s="17">
        <f>SUMPRODUCT(N(Tabela1[Código]=Tabela8[[#This Row],[Papel]]),Tabela1[Fechamento])</f>
        <v>0</v>
      </c>
      <c r="R411" s="17">
        <f>SUMPRODUCT(N(Tabela17[Código]=Tabela8[[#This Row],[Papel]]),Tabela17[Fechamento])</f>
        <v>0</v>
      </c>
      <c r="S411" s="17">
        <f>SUMPRODUCT(N(Tabela176[Código]=Tabela8[[#This Row],[Papel]]),Tabela176[Fechamento])</f>
        <v>0.27</v>
      </c>
      <c r="T411" s="17">
        <f>SUMPRODUCT(N(Tabela1768[Código]=Tabela8[[#This Row],[Papel]]),Tabela1768[Fechamento])</f>
        <v>0</v>
      </c>
      <c r="U411" s="7">
        <f>SUMPRODUCT(N(Tabela17683[Código]=Tabela8[[#This Row],[Papel]]),Tabela17683[Fechamento])</f>
        <v>0</v>
      </c>
      <c r="V411" s="17">
        <f>IF(MAX(Tabela8[[#This Row],[Cotação 1]]:Tabela8[[#This Row],[Cotação 5]])=0,"",MAX(Tabela8[[#This Row],[Cotação 1]]:Tabela8[[#This Row],[Cotação 5]]))</f>
        <v>0.27</v>
      </c>
      <c r="W4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1" s="17">
        <f>IF(AND([Ref]=5,[Cotação]&gt;0,[Cotação]&lt;&gt;""),[Total Exercício]/[Cotação],IF([Ref]&lt;4,0,""))</f>
        <v>0</v>
      </c>
      <c r="Y411" s="17">
        <f>IF([Tipo]="div",1,0)</f>
        <v>0</v>
      </c>
      <c r="Z411" s="17">
        <f>IF([Tipo]="jcp",1,0)</f>
        <v>0</v>
      </c>
    </row>
    <row r="412" spans="1:26" hidden="1">
      <c r="A412" s="3" t="s">
        <v>1019</v>
      </c>
      <c r="B412" s="57" t="s">
        <v>1048</v>
      </c>
      <c r="C412" s="16">
        <v>3</v>
      </c>
      <c r="D412" s="4"/>
      <c r="E412" s="4"/>
      <c r="F412" s="4"/>
      <c r="G412" s="4"/>
      <c r="H412" s="4"/>
      <c r="I412" s="4"/>
      <c r="J412" s="17">
        <f>IF(Tabela8[[#This Row],[Tipo]]="jcp",Tabela8[[#This Row],[Provento p/Ação]]*85%,Tabela8[[#This Row],[Provento p/Ação]])</f>
        <v>0</v>
      </c>
      <c r="K412" s="143" t="str">
        <f>IF([Lucro p/Ação]&lt;&gt;0,SUMPRODUCT(N([Papel]=Tabela8[[#This Row],[Papel]]),N([Exercício]=Tabela8[[#This Row],[Exercício]]),[Líquido p/Ação]),"")</f>
        <v/>
      </c>
      <c r="L412" s="42" t="str">
        <f>IF(Tabela8[[#This Row],[Lucro p/Ação]]="","",IF(Tabela8[[#This Row],[Lucro p/Ação]]&gt;0,Tabela8[[#This Row],[Total Exercício]]/Tabela8[[#This Row],[Lucro p/Ação]],0))</f>
        <v/>
      </c>
      <c r="M4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2" s="14" t="str">
        <f>IF(Tabela8[[#This Row],[Média Lucro p/Ação]]&lt;&gt;"",Tabela8[[#This Row],[Média Pago]]/Tabela8[[#This Row],[Média Lucro p/Ação]],"")</f>
        <v/>
      </c>
      <c r="P4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2" s="7">
        <f>SUMPRODUCT(N(Tabela1[Código]=Tabela8[[#This Row],[Papel]]),Tabela1[Fechamento])</f>
        <v>0</v>
      </c>
      <c r="R412" s="7">
        <f>SUMPRODUCT(N(Tabela17[Código]=Tabela8[[#This Row],[Papel]]),Tabela17[Fechamento])</f>
        <v>0</v>
      </c>
      <c r="S412" s="7">
        <f>SUMPRODUCT(N(Tabela176[Código]=Tabela8[[#This Row],[Papel]]),Tabela176[Fechamento])</f>
        <v>0</v>
      </c>
      <c r="T412" s="7">
        <f>SUMPRODUCT(N(Tabela1768[Código]=Tabela8[[#This Row],[Papel]]),Tabela1768[Fechamento])</f>
        <v>1.49</v>
      </c>
      <c r="U412" s="7">
        <f>SUMPRODUCT(N(Tabela17683[Código]=Tabela8[[#This Row],[Papel]]),Tabela17683[Fechamento])</f>
        <v>0</v>
      </c>
      <c r="V412" s="17">
        <f>IF(MAX(Tabela8[[#This Row],[Cotação 1]]:Tabela8[[#This Row],[Cotação 5]])=0,"",MAX(Tabela8[[#This Row],[Cotação 1]]:Tabela8[[#This Row],[Cotação 5]]))</f>
        <v>1.49</v>
      </c>
      <c r="W4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2" s="17">
        <f>IF(AND([Ref]=5,[Cotação]&gt;0,[Cotação]&lt;&gt;""),[Total Exercício]/[Cotação],IF([Ref]&lt;4,0,""))</f>
        <v>0</v>
      </c>
      <c r="Y412" s="17">
        <f>IF([Tipo]="div",1,0)</f>
        <v>0</v>
      </c>
      <c r="Z412" s="17">
        <f>IF([Tipo]="jcp",1,0)</f>
        <v>0</v>
      </c>
    </row>
    <row r="413" spans="1:26" hidden="1">
      <c r="A413" s="3" t="s">
        <v>1276</v>
      </c>
      <c r="B413" s="57" t="s">
        <v>1248</v>
      </c>
      <c r="C413" s="16">
        <v>3</v>
      </c>
      <c r="D413" s="4"/>
      <c r="E413" s="4"/>
      <c r="F413" s="4"/>
      <c r="G413" s="4"/>
      <c r="H413" s="4"/>
      <c r="I413" s="4"/>
      <c r="J413" s="17">
        <f>IF(Tabela8[[#This Row],[Tipo]]="jcp",Tabela8[[#This Row],[Provento p/Ação]]*85%,Tabela8[[#This Row],[Provento p/Ação]])</f>
        <v>0</v>
      </c>
      <c r="K413" s="143" t="str">
        <f>IF([Lucro p/Ação]&lt;&gt;0,SUMPRODUCT(N([Papel]=Tabela8[[#This Row],[Papel]]),N([Exercício]=Tabela8[[#This Row],[Exercício]]),[Líquido p/Ação]),"")</f>
        <v/>
      </c>
      <c r="L413" s="42" t="str">
        <f>IF(Tabela8[[#This Row],[Lucro p/Ação]]="","",IF(Tabela8[[#This Row],[Lucro p/Ação]]&gt;0,Tabela8[[#This Row],[Total Exercício]]/Tabela8[[#This Row],[Lucro p/Ação]],0))</f>
        <v/>
      </c>
      <c r="M4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3" s="14" t="str">
        <f>IF(Tabela8[[#This Row],[Média Lucro p/Ação]]&lt;&gt;"",Tabela8[[#This Row],[Média Pago]]/Tabela8[[#This Row],[Média Lucro p/Ação]],"")</f>
        <v/>
      </c>
      <c r="P4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3" s="7">
        <f>SUMPRODUCT(N(Tabela1[Código]=Tabela8[[#This Row],[Papel]]),Tabela1[Fechamento])</f>
        <v>0</v>
      </c>
      <c r="R413" s="7">
        <f>SUMPRODUCT(N(Tabela17[Código]=Tabela8[[#This Row],[Papel]]),Tabela17[Fechamento])</f>
        <v>0</v>
      </c>
      <c r="S413" s="7">
        <f>SUMPRODUCT(N(Tabela176[Código]=Tabela8[[#This Row],[Papel]]),Tabela176[Fechamento])</f>
        <v>0</v>
      </c>
      <c r="T413" s="7">
        <f>SUMPRODUCT(N(Tabela1768[Código]=Tabela8[[#This Row],[Papel]]),Tabela1768[Fechamento])</f>
        <v>0</v>
      </c>
      <c r="U413" s="7">
        <f>SUMPRODUCT(N(Tabela17683[Código]=Tabela8[[#This Row],[Papel]]),Tabela17683[Fechamento])</f>
        <v>0</v>
      </c>
      <c r="V413" s="17" t="str">
        <f>IF(MAX(Tabela8[[#This Row],[Cotação 1]]:Tabela8[[#This Row],[Cotação 5]])=0,"",MAX(Tabela8[[#This Row],[Cotação 1]]:Tabela8[[#This Row],[Cotação 5]]))</f>
        <v/>
      </c>
      <c r="W4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3" s="17">
        <f>IF(AND([Ref]=5,[Cotação]&gt;0,[Cotação]&lt;&gt;""),[Total Exercício]/[Cotação],IF([Ref]&lt;4,0,""))</f>
        <v>0</v>
      </c>
      <c r="Y413" s="17">
        <f>IF([Tipo]="div",1,0)</f>
        <v>0</v>
      </c>
      <c r="Z413" s="17">
        <f>IF([Tipo]="jcp",1,0)</f>
        <v>0</v>
      </c>
    </row>
    <row r="414" spans="1:26" hidden="1">
      <c r="A414" s="3" t="s">
        <v>1276</v>
      </c>
      <c r="B414" s="57" t="s">
        <v>1249</v>
      </c>
      <c r="C414" s="16">
        <v>3</v>
      </c>
      <c r="D414" s="4"/>
      <c r="E414" s="4"/>
      <c r="F414" s="4"/>
      <c r="G414" s="4"/>
      <c r="H414" s="4"/>
      <c r="I414" s="4"/>
      <c r="J414" s="17">
        <f>IF(Tabela8[[#This Row],[Tipo]]="jcp",Tabela8[[#This Row],[Provento p/Ação]]*85%,Tabela8[[#This Row],[Provento p/Ação]])</f>
        <v>0</v>
      </c>
      <c r="K414" s="143" t="str">
        <f>IF([Lucro p/Ação]&lt;&gt;0,SUMPRODUCT(N([Papel]=Tabela8[[#This Row],[Papel]]),N([Exercício]=Tabela8[[#This Row],[Exercício]]),[Líquido p/Ação]),"")</f>
        <v/>
      </c>
      <c r="L414" s="42" t="str">
        <f>IF(Tabela8[[#This Row],[Lucro p/Ação]]="","",IF(Tabela8[[#This Row],[Lucro p/Ação]]&gt;0,Tabela8[[#This Row],[Total Exercício]]/Tabela8[[#This Row],[Lucro p/Ação]],0))</f>
        <v/>
      </c>
      <c r="M4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4" s="14" t="str">
        <f>IF(Tabela8[[#This Row],[Média Lucro p/Ação]]&lt;&gt;"",Tabela8[[#This Row],[Média Pago]]/Tabela8[[#This Row],[Média Lucro p/Ação]],"")</f>
        <v/>
      </c>
      <c r="P4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4" s="7">
        <f>SUMPRODUCT(N(Tabela1[Código]=Tabela8[[#This Row],[Papel]]),Tabela1[Fechamento])</f>
        <v>0</v>
      </c>
      <c r="R414" s="7">
        <f>SUMPRODUCT(N(Tabela17[Código]=Tabela8[[#This Row],[Papel]]),Tabela17[Fechamento])</f>
        <v>0</v>
      </c>
      <c r="S414" s="7">
        <f>SUMPRODUCT(N(Tabela176[Código]=Tabela8[[#This Row],[Papel]]),Tabela176[Fechamento])</f>
        <v>0</v>
      </c>
      <c r="T414" s="7">
        <f>SUMPRODUCT(N(Tabela1768[Código]=Tabela8[[#This Row],[Papel]]),Tabela1768[Fechamento])</f>
        <v>0</v>
      </c>
      <c r="U414" s="7">
        <f>SUMPRODUCT(N(Tabela17683[Código]=Tabela8[[#This Row],[Papel]]),Tabela17683[Fechamento])</f>
        <v>29.95</v>
      </c>
      <c r="V414" s="17">
        <f>IF(MAX(Tabela8[[#This Row],[Cotação 1]]:Tabela8[[#This Row],[Cotação 5]])=0,"",MAX(Tabela8[[#This Row],[Cotação 1]]:Tabela8[[#This Row],[Cotação 5]]))</f>
        <v>29.95</v>
      </c>
      <c r="W4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4" s="17">
        <f>IF(AND([Ref]=5,[Cotação]&gt;0,[Cotação]&lt;&gt;""),[Total Exercício]/[Cotação],IF([Ref]&lt;4,0,""))</f>
        <v>0</v>
      </c>
      <c r="Y414" s="17">
        <f>IF([Tipo]="div",1,0)</f>
        <v>0</v>
      </c>
      <c r="Z414" s="17">
        <f>IF([Tipo]="jcp",1,0)</f>
        <v>0</v>
      </c>
    </row>
    <row r="415" spans="1:26" hidden="1">
      <c r="A415" s="4" t="s">
        <v>14</v>
      </c>
      <c r="B415" s="57" t="s">
        <v>547</v>
      </c>
      <c r="C415" s="15">
        <v>4</v>
      </c>
      <c r="D415" s="4"/>
      <c r="E415" s="4"/>
      <c r="F415" s="4"/>
      <c r="G415" s="4"/>
      <c r="H415" s="4"/>
      <c r="I415" s="4"/>
      <c r="J415" s="17">
        <f>IF(Tabela8[[#This Row],[Tipo]]="jcp",Tabela8[[#This Row],[Provento p/Ação]]*85%,Tabela8[[#This Row],[Provento p/Ação]])</f>
        <v>0</v>
      </c>
      <c r="K415" s="143" t="str">
        <f>IF([Lucro p/Ação]&lt;&gt;0,SUMPRODUCT(N([Papel]=Tabela8[[#This Row],[Papel]]),N([Exercício]=Tabela8[[#This Row],[Exercício]]),[Líquido p/Ação]),"")</f>
        <v/>
      </c>
      <c r="L415" s="42" t="str">
        <f>IF(Tabela8[[#This Row],[Lucro p/Ação]]="","",IF(Tabela8[[#This Row],[Lucro p/Ação]]&gt;0,Tabela8[[#This Row],[Total Exercício]]/Tabela8[[#This Row],[Lucro p/Ação]],0))</f>
        <v/>
      </c>
      <c r="M4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5" s="14" t="str">
        <f>IF(Tabela8[[#This Row],[Média Lucro p/Ação]]&lt;&gt;"",Tabela8[[#This Row],[Média Pago]]/Tabela8[[#This Row],[Média Lucro p/Ação]],"")</f>
        <v/>
      </c>
      <c r="P4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5" s="17">
        <f>SUMPRODUCT(N(Tabela1[Código]=Tabela8[[#This Row],[Papel]]),Tabela1[Fechamento])</f>
        <v>0</v>
      </c>
      <c r="R415" s="17">
        <f>SUMPRODUCT(N(Tabela17[Código]=Tabela8[[#This Row],[Papel]]),Tabela17[Fechamento])</f>
        <v>0</v>
      </c>
      <c r="S415" s="17">
        <f>SUMPRODUCT(N(Tabela176[Código]=Tabela8[[#This Row],[Papel]]),Tabela176[Fechamento])</f>
        <v>11.76</v>
      </c>
      <c r="T415" s="17">
        <f>SUMPRODUCT(N(Tabela1768[Código]=Tabela8[[#This Row],[Papel]]),Tabela1768[Fechamento])</f>
        <v>0</v>
      </c>
      <c r="U415" s="7">
        <f>SUMPRODUCT(N(Tabela17683[Código]=Tabela8[[#This Row],[Papel]]),Tabela17683[Fechamento])</f>
        <v>0</v>
      </c>
      <c r="V415" s="17">
        <f>IF(MAX(Tabela8[[#This Row],[Cotação 1]]:Tabela8[[#This Row],[Cotação 5]])=0,"",MAX(Tabela8[[#This Row],[Cotação 1]]:Tabela8[[#This Row],[Cotação 5]]))</f>
        <v>11.76</v>
      </c>
      <c r="W4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5" s="17" t="str">
        <f>IF(AND([Ref]=5,[Cotação]&gt;0,[Cotação]&lt;&gt;""),[Total Exercício]/[Cotação],IF([Ref]&lt;4,0,""))</f>
        <v/>
      </c>
      <c r="Y415" s="17">
        <f>IF([Tipo]="div",1,0)</f>
        <v>0</v>
      </c>
      <c r="Z415" s="17">
        <f>IF([Tipo]="jcp",1,0)</f>
        <v>0</v>
      </c>
    </row>
    <row r="416" spans="1:26" hidden="1">
      <c r="A416" s="4" t="s">
        <v>14</v>
      </c>
      <c r="B416" s="57" t="s">
        <v>548</v>
      </c>
      <c r="C416" s="15">
        <v>4</v>
      </c>
      <c r="D416" s="4"/>
      <c r="E416" s="4"/>
      <c r="F416" s="4"/>
      <c r="G416" s="4"/>
      <c r="H416" s="4"/>
      <c r="I416" s="4"/>
      <c r="J416" s="17">
        <f>IF(Tabela8[[#This Row],[Tipo]]="jcp",Tabela8[[#This Row],[Provento p/Ação]]*85%,Tabela8[[#This Row],[Provento p/Ação]])</f>
        <v>0</v>
      </c>
      <c r="K416" s="143" t="str">
        <f>IF([Lucro p/Ação]&lt;&gt;0,SUMPRODUCT(N([Papel]=Tabela8[[#This Row],[Papel]]),N([Exercício]=Tabela8[[#This Row],[Exercício]]),[Líquido p/Ação]),"")</f>
        <v/>
      </c>
      <c r="L416" s="42" t="str">
        <f>IF(Tabela8[[#This Row],[Lucro p/Ação]]="","",IF(Tabela8[[#This Row],[Lucro p/Ação]]&gt;0,Tabela8[[#This Row],[Total Exercício]]/Tabela8[[#This Row],[Lucro p/Ação]],0))</f>
        <v/>
      </c>
      <c r="M41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6" s="14" t="str">
        <f>IF(Tabela8[[#This Row],[Média Lucro p/Ação]]&lt;&gt;"",Tabela8[[#This Row],[Média Pago]]/Tabela8[[#This Row],[Média Lucro p/Ação]],"")</f>
        <v/>
      </c>
      <c r="P4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6" s="17">
        <f>SUMPRODUCT(N(Tabela1[Código]=Tabela8[[#This Row],[Papel]]),Tabela1[Fechamento])</f>
        <v>0</v>
      </c>
      <c r="R416" s="17">
        <f>SUMPRODUCT(N(Tabela17[Código]=Tabela8[[#This Row],[Papel]]),Tabela17[Fechamento])</f>
        <v>0</v>
      </c>
      <c r="S416" s="17">
        <f>SUMPRODUCT(N(Tabela176[Código]=Tabela8[[#This Row],[Papel]]),Tabela176[Fechamento])</f>
        <v>0.11</v>
      </c>
      <c r="T416" s="17">
        <f>SUMPRODUCT(N(Tabela1768[Código]=Tabela8[[#This Row],[Papel]]),Tabela1768[Fechamento])</f>
        <v>0</v>
      </c>
      <c r="U416" s="7">
        <f>SUMPRODUCT(N(Tabela17683[Código]=Tabela8[[#This Row],[Papel]]),Tabela17683[Fechamento])</f>
        <v>0</v>
      </c>
      <c r="V416" s="17">
        <f>IF(MAX(Tabela8[[#This Row],[Cotação 1]]:Tabela8[[#This Row],[Cotação 5]])=0,"",MAX(Tabela8[[#This Row],[Cotação 1]]:Tabela8[[#This Row],[Cotação 5]]))</f>
        <v>0.11</v>
      </c>
      <c r="W41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6" s="17" t="str">
        <f>IF(AND([Ref]=5,[Cotação]&gt;0,[Cotação]&lt;&gt;""),[Total Exercício]/[Cotação],IF([Ref]&lt;4,0,""))</f>
        <v/>
      </c>
      <c r="Y416" s="17">
        <f>IF([Tipo]="div",1,0)</f>
        <v>0</v>
      </c>
      <c r="Z416" s="17">
        <f>IF([Tipo]="jcp",1,0)</f>
        <v>0</v>
      </c>
    </row>
    <row r="417" spans="1:26" hidden="1">
      <c r="A417" s="4" t="s">
        <v>14</v>
      </c>
      <c r="B417" s="57" t="s">
        <v>549</v>
      </c>
      <c r="C417" s="15">
        <v>4</v>
      </c>
      <c r="D417" s="4"/>
      <c r="E417" s="4"/>
      <c r="F417" s="4"/>
      <c r="G417" s="4"/>
      <c r="H417" s="4"/>
      <c r="I417" s="4"/>
      <c r="J417" s="17">
        <f>IF(Tabela8[[#This Row],[Tipo]]="jcp",Tabela8[[#This Row],[Provento p/Ação]]*85%,Tabela8[[#This Row],[Provento p/Ação]])</f>
        <v>0</v>
      </c>
      <c r="K417" s="143" t="str">
        <f>IF([Lucro p/Ação]&lt;&gt;0,SUMPRODUCT(N([Papel]=Tabela8[[#This Row],[Papel]]),N([Exercício]=Tabela8[[#This Row],[Exercício]]),[Líquido p/Ação]),"")</f>
        <v/>
      </c>
      <c r="L417" s="42" t="str">
        <f>IF(Tabela8[[#This Row],[Lucro p/Ação]]="","",IF(Tabela8[[#This Row],[Lucro p/Ação]]&gt;0,Tabela8[[#This Row],[Total Exercício]]/Tabela8[[#This Row],[Lucro p/Ação]],0))</f>
        <v/>
      </c>
      <c r="M41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7" s="14" t="str">
        <f>IF(Tabela8[[#This Row],[Média Lucro p/Ação]]&lt;&gt;"",Tabela8[[#This Row],[Média Pago]]/Tabela8[[#This Row],[Média Lucro p/Ação]],"")</f>
        <v/>
      </c>
      <c r="P4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7" s="17">
        <f>SUMPRODUCT(N(Tabela1[Código]=Tabela8[[#This Row],[Papel]]),Tabela1[Fechamento])</f>
        <v>0</v>
      </c>
      <c r="R417" s="17">
        <f>SUMPRODUCT(N(Tabela17[Código]=Tabela8[[#This Row],[Papel]]),Tabela17[Fechamento])</f>
        <v>0</v>
      </c>
      <c r="S417" s="17">
        <f>SUMPRODUCT(N(Tabela176[Código]=Tabela8[[#This Row],[Papel]]),Tabela176[Fechamento])</f>
        <v>0.12</v>
      </c>
      <c r="T417" s="17">
        <f>SUMPRODUCT(N(Tabela1768[Código]=Tabela8[[#This Row],[Papel]]),Tabela1768[Fechamento])</f>
        <v>0</v>
      </c>
      <c r="U417" s="7">
        <f>SUMPRODUCT(N(Tabela17683[Código]=Tabela8[[#This Row],[Papel]]),Tabela17683[Fechamento])</f>
        <v>0</v>
      </c>
      <c r="V417" s="17">
        <f>IF(MAX(Tabela8[[#This Row],[Cotação 1]]:Tabela8[[#This Row],[Cotação 5]])=0,"",MAX(Tabela8[[#This Row],[Cotação 1]]:Tabela8[[#This Row],[Cotação 5]]))</f>
        <v>0.12</v>
      </c>
      <c r="W41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7" s="17" t="str">
        <f>IF(AND([Ref]=5,[Cotação]&gt;0,[Cotação]&lt;&gt;""),[Total Exercício]/[Cotação],IF([Ref]&lt;4,0,""))</f>
        <v/>
      </c>
      <c r="Y417" s="17">
        <f>IF([Tipo]="div",1,0)</f>
        <v>0</v>
      </c>
      <c r="Z417" s="17">
        <f>IF([Tipo]="jcp",1,0)</f>
        <v>0</v>
      </c>
    </row>
    <row r="418" spans="1:26" hidden="1">
      <c r="A418" s="4" t="s">
        <v>37</v>
      </c>
      <c r="B418" s="57" t="s">
        <v>177</v>
      </c>
      <c r="C418" s="15">
        <v>4</v>
      </c>
      <c r="D418" s="4"/>
      <c r="E418" s="4"/>
      <c r="F418" s="4"/>
      <c r="G418" s="4"/>
      <c r="H418" s="4"/>
      <c r="I418" s="4"/>
      <c r="J418" s="17">
        <f>IF(Tabela8[[#This Row],[Tipo]]="jcp",Tabela8[[#This Row],[Provento p/Ação]]*85%,Tabela8[[#This Row],[Provento p/Ação]])</f>
        <v>0</v>
      </c>
      <c r="K418" s="143" t="str">
        <f>IF([Lucro p/Ação]&lt;&gt;0,SUMPRODUCT(N([Papel]=Tabela8[[#This Row],[Papel]]),N([Exercício]=Tabela8[[#This Row],[Exercício]]),[Líquido p/Ação]),"")</f>
        <v/>
      </c>
      <c r="L418" s="42" t="str">
        <f>IF(Tabela8[[#This Row],[Lucro p/Ação]]="","",IF(Tabela8[[#This Row],[Lucro p/Ação]]&gt;0,Tabela8[[#This Row],[Total Exercício]]/Tabela8[[#This Row],[Lucro p/Ação]],0))</f>
        <v/>
      </c>
      <c r="M41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8" s="14" t="str">
        <f>IF(Tabela8[[#This Row],[Média Lucro p/Ação]]&lt;&gt;"",Tabela8[[#This Row],[Média Pago]]/Tabela8[[#This Row],[Média Lucro p/Ação]],"")</f>
        <v/>
      </c>
      <c r="P41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8" s="5">
        <f>SUMPRODUCT(N(Tabela1[Código]=Tabela8[[#This Row],[Papel]]),Tabela1[Fechamento])</f>
        <v>8.19</v>
      </c>
      <c r="R418" s="5">
        <f>SUMPRODUCT(N(Tabela17[Código]=Tabela8[[#This Row],[Papel]]),Tabela17[Fechamento])</f>
        <v>0</v>
      </c>
      <c r="S418" s="7">
        <f>SUMPRODUCT(N(Tabela176[Código]=Tabela8[[#This Row],[Papel]]),Tabela176[Fechamento])</f>
        <v>0</v>
      </c>
      <c r="T418" s="7">
        <f>SUMPRODUCT(N(Tabela1768[Código]=Tabela8[[#This Row],[Papel]]),Tabela1768[Fechamento])</f>
        <v>0</v>
      </c>
      <c r="U418" s="7">
        <f>SUMPRODUCT(N(Tabela17683[Código]=Tabela8[[#This Row],[Papel]]),Tabela17683[Fechamento])</f>
        <v>0</v>
      </c>
      <c r="V418" s="17">
        <f>IF(MAX(Tabela8[[#This Row],[Cotação 1]]:Tabela8[[#This Row],[Cotação 5]])=0,"",MAX(Tabela8[[#This Row],[Cotação 1]]:Tabela8[[#This Row],[Cotação 5]]))</f>
        <v>8.19</v>
      </c>
      <c r="W41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8" s="17" t="str">
        <f>IF(AND([Ref]=5,[Cotação]&gt;0,[Cotação]&lt;&gt;""),[Total Exercício]/[Cotação],IF([Ref]&lt;4,0,""))</f>
        <v/>
      </c>
      <c r="Y418" s="17">
        <f>IF([Tipo]="div",1,0)</f>
        <v>0</v>
      </c>
      <c r="Z418" s="17">
        <f>IF([Tipo]="jcp",1,0)</f>
        <v>0</v>
      </c>
    </row>
    <row r="419" spans="1:26" hidden="1">
      <c r="A419" s="4" t="s">
        <v>37</v>
      </c>
      <c r="B419" s="57" t="s">
        <v>66</v>
      </c>
      <c r="C419" s="15">
        <v>4</v>
      </c>
      <c r="D419" s="4"/>
      <c r="E419" s="4"/>
      <c r="F419" s="4"/>
      <c r="G419" s="4"/>
      <c r="H419" s="4"/>
      <c r="I419" s="4"/>
      <c r="J419" s="17">
        <f>IF(Tabela8[[#This Row],[Tipo]]="jcp",Tabela8[[#This Row],[Provento p/Ação]]*85%,Tabela8[[#This Row],[Provento p/Ação]])</f>
        <v>0</v>
      </c>
      <c r="K419" s="143" t="str">
        <f>IF([Lucro p/Ação]&lt;&gt;0,SUMPRODUCT(N([Papel]=Tabela8[[#This Row],[Papel]]),N([Exercício]=Tabela8[[#This Row],[Exercício]]),[Líquido p/Ação]),"")</f>
        <v/>
      </c>
      <c r="L419" s="42" t="str">
        <f>IF(Tabela8[[#This Row],[Lucro p/Ação]]="","",IF(Tabela8[[#This Row],[Lucro p/Ação]]&gt;0,Tabela8[[#This Row],[Total Exercício]]/Tabela8[[#This Row],[Lucro p/Ação]],0))</f>
        <v/>
      </c>
      <c r="M41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1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19" s="14" t="str">
        <f>IF(Tabela8[[#This Row],[Média Lucro p/Ação]]&lt;&gt;"",Tabela8[[#This Row],[Média Pago]]/Tabela8[[#This Row],[Média Lucro p/Ação]],"")</f>
        <v/>
      </c>
      <c r="P41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19" s="5">
        <f>SUMPRODUCT(N(Tabela1[Código]=Tabela8[[#This Row],[Papel]]),Tabela1[Fechamento])</f>
        <v>5.39</v>
      </c>
      <c r="R419" s="5">
        <f>SUMPRODUCT(N(Tabela17[Código]=Tabela8[[#This Row],[Papel]]),Tabela17[Fechamento])</f>
        <v>0</v>
      </c>
      <c r="S419" s="7">
        <f>SUMPRODUCT(N(Tabela176[Código]=Tabela8[[#This Row],[Papel]]),Tabela176[Fechamento])</f>
        <v>0</v>
      </c>
      <c r="T419" s="7">
        <f>SUMPRODUCT(N(Tabela1768[Código]=Tabela8[[#This Row],[Papel]]),Tabela1768[Fechamento])</f>
        <v>0</v>
      </c>
      <c r="U419" s="7">
        <f>SUMPRODUCT(N(Tabela17683[Código]=Tabela8[[#This Row],[Papel]]),Tabela17683[Fechamento])</f>
        <v>0</v>
      </c>
      <c r="V419" s="17">
        <f>IF(MAX(Tabela8[[#This Row],[Cotação 1]]:Tabela8[[#This Row],[Cotação 5]])=0,"",MAX(Tabela8[[#This Row],[Cotação 1]]:Tabela8[[#This Row],[Cotação 5]]))</f>
        <v>5.39</v>
      </c>
      <c r="W41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19" s="17" t="str">
        <f>IF(AND([Ref]=5,[Cotação]&gt;0,[Cotação]&lt;&gt;""),[Total Exercício]/[Cotação],IF([Ref]&lt;4,0,""))</f>
        <v/>
      </c>
      <c r="Y419" s="17">
        <f>IF([Tipo]="div",1,0)</f>
        <v>0</v>
      </c>
      <c r="Z419" s="17">
        <f>IF([Tipo]="jcp",1,0)</f>
        <v>0</v>
      </c>
    </row>
    <row r="420" spans="1:26" hidden="1">
      <c r="A420" s="4" t="s">
        <v>37</v>
      </c>
      <c r="B420" s="57" t="s">
        <v>36</v>
      </c>
      <c r="C420" s="15">
        <v>3</v>
      </c>
      <c r="D420" s="4"/>
      <c r="E420" s="4"/>
      <c r="F420" s="4"/>
      <c r="G420" s="4"/>
      <c r="H420" s="4"/>
      <c r="I420" s="4"/>
      <c r="J420" s="17">
        <f>IF(Tabela8[[#This Row],[Tipo]]="jcp",Tabela8[[#This Row],[Provento p/Ação]]*85%,Tabela8[[#This Row],[Provento p/Ação]])</f>
        <v>0</v>
      </c>
      <c r="K420" s="143" t="str">
        <f>IF([Lucro p/Ação]&lt;&gt;0,SUMPRODUCT(N([Papel]=Tabela8[[#This Row],[Papel]]),N([Exercício]=Tabela8[[#This Row],[Exercício]]),[Líquido p/Ação]),"")</f>
        <v/>
      </c>
      <c r="L420" s="42" t="str">
        <f>IF(Tabela8[[#This Row],[Lucro p/Ação]]="","",IF(Tabela8[[#This Row],[Lucro p/Ação]]&gt;0,Tabela8[[#This Row],[Total Exercício]]/Tabela8[[#This Row],[Lucro p/Ação]],0))</f>
        <v/>
      </c>
      <c r="M42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0" s="14" t="str">
        <f>IF(Tabela8[[#This Row],[Média Lucro p/Ação]]&lt;&gt;"",Tabela8[[#This Row],[Média Pago]]/Tabela8[[#This Row],[Média Lucro p/Ação]],"")</f>
        <v/>
      </c>
      <c r="P42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0" s="5">
        <f>SUMPRODUCT(N(Tabela1[Código]=Tabela8[[#This Row],[Papel]]),Tabela1[Fechamento])</f>
        <v>21.05</v>
      </c>
      <c r="R420" s="5">
        <f>SUMPRODUCT(N(Tabela17[Código]=Tabela8[[#This Row],[Papel]]),Tabela17[Fechamento])</f>
        <v>0</v>
      </c>
      <c r="S420" s="7">
        <f>SUMPRODUCT(N(Tabela176[Código]=Tabela8[[#This Row],[Papel]]),Tabela176[Fechamento])</f>
        <v>0</v>
      </c>
      <c r="T420" s="7">
        <f>SUMPRODUCT(N(Tabela1768[Código]=Tabela8[[#This Row],[Papel]]),Tabela1768[Fechamento])</f>
        <v>0</v>
      </c>
      <c r="U420" s="7">
        <f>SUMPRODUCT(N(Tabela17683[Código]=Tabela8[[#This Row],[Papel]]),Tabela17683[Fechamento])</f>
        <v>0</v>
      </c>
      <c r="V420" s="17">
        <f>IF(MAX(Tabela8[[#This Row],[Cotação 1]]:Tabela8[[#This Row],[Cotação 5]])=0,"",MAX(Tabela8[[#This Row],[Cotação 1]]:Tabela8[[#This Row],[Cotação 5]]))</f>
        <v>21.05</v>
      </c>
      <c r="W42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0" s="17">
        <f>IF(AND([Ref]=5,[Cotação]&gt;0,[Cotação]&lt;&gt;""),[Total Exercício]/[Cotação],IF([Ref]&lt;4,0,""))</f>
        <v>0</v>
      </c>
      <c r="Y420" s="17">
        <f>IF([Tipo]="div",1,0)</f>
        <v>0</v>
      </c>
      <c r="Z420" s="17">
        <f>IF([Tipo]="jcp",1,0)</f>
        <v>0</v>
      </c>
    </row>
    <row r="421" spans="1:26" hidden="1">
      <c r="A421" s="3" t="s">
        <v>335</v>
      </c>
      <c r="B421" s="57" t="s">
        <v>349</v>
      </c>
      <c r="C421" s="16">
        <v>4</v>
      </c>
      <c r="D421" s="4"/>
      <c r="E421" s="4"/>
      <c r="F421" s="4"/>
      <c r="G421" s="4"/>
      <c r="H421" s="4"/>
      <c r="I421" s="4"/>
      <c r="J421" s="17">
        <f>IF(Tabela8[[#This Row],[Tipo]]="jcp",Tabela8[[#This Row],[Provento p/Ação]]*85%,Tabela8[[#This Row],[Provento p/Ação]])</f>
        <v>0</v>
      </c>
      <c r="K421" s="143" t="str">
        <f>IF([Lucro p/Ação]&lt;&gt;0,SUMPRODUCT(N([Papel]=Tabela8[[#This Row],[Papel]]),N([Exercício]=Tabela8[[#This Row],[Exercício]]),[Líquido p/Ação]),"")</f>
        <v/>
      </c>
      <c r="L421" s="42" t="str">
        <f>IF(Tabela8[[#This Row],[Lucro p/Ação]]="","",IF(Tabela8[[#This Row],[Lucro p/Ação]]&gt;0,Tabela8[[#This Row],[Total Exercício]]/Tabela8[[#This Row],[Lucro p/Ação]],0))</f>
        <v/>
      </c>
      <c r="M42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1" s="14" t="str">
        <f>IF(Tabela8[[#This Row],[Média Lucro p/Ação]]&lt;&gt;"",Tabela8[[#This Row],[Média Pago]]/Tabela8[[#This Row],[Média Lucro p/Ação]],"")</f>
        <v/>
      </c>
      <c r="P4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1" s="47">
        <f>SUMPRODUCT(N(Tabela1[Código]=Tabela8[[#This Row],[Papel]]),Tabela1[Fechamento])</f>
        <v>0</v>
      </c>
      <c r="R421" s="54">
        <f>SUMPRODUCT(N(Tabela17[Código]=Tabela8[[#This Row],[Papel]]),Tabela17[Fechamento])</f>
        <v>35.81</v>
      </c>
      <c r="S421" s="7">
        <f>SUMPRODUCT(N(Tabela176[Código]=Tabela8[[#This Row],[Papel]]),Tabela176[Fechamento])</f>
        <v>0</v>
      </c>
      <c r="T421" s="7">
        <f>SUMPRODUCT(N(Tabela1768[Código]=Tabela8[[#This Row],[Papel]]),Tabela1768[Fechamento])</f>
        <v>0</v>
      </c>
      <c r="U421" s="7">
        <f>SUMPRODUCT(N(Tabela17683[Código]=Tabela8[[#This Row],[Papel]]),Tabela17683[Fechamento])</f>
        <v>0</v>
      </c>
      <c r="V421" s="17">
        <f>IF(MAX(Tabela8[[#This Row],[Cotação 1]]:Tabela8[[#This Row],[Cotação 5]])=0,"",MAX(Tabela8[[#This Row],[Cotação 1]]:Tabela8[[#This Row],[Cotação 5]]))</f>
        <v>35.81</v>
      </c>
      <c r="W42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1" s="17" t="str">
        <f>IF(AND([Ref]=5,[Cotação]&gt;0,[Cotação]&lt;&gt;""),[Total Exercício]/[Cotação],IF([Ref]&lt;4,0,""))</f>
        <v/>
      </c>
      <c r="Y421" s="17">
        <f>IF([Tipo]="div",1,0)</f>
        <v>0</v>
      </c>
      <c r="Z421" s="17">
        <f>IF([Tipo]="jcp",1,0)</f>
        <v>0</v>
      </c>
    </row>
    <row r="422" spans="1:26" hidden="1">
      <c r="A422" s="4" t="s">
        <v>14</v>
      </c>
      <c r="B422" s="57" t="s">
        <v>554</v>
      </c>
      <c r="C422" s="15">
        <v>3</v>
      </c>
      <c r="D422" s="4"/>
      <c r="E422" s="4"/>
      <c r="F422" s="4"/>
      <c r="G422" s="4"/>
      <c r="H422" s="4"/>
      <c r="I422" s="4"/>
      <c r="J422" s="17">
        <f>IF(Tabela8[[#This Row],[Tipo]]="jcp",Tabela8[[#This Row],[Provento p/Ação]]*85%,Tabela8[[#This Row],[Provento p/Ação]])</f>
        <v>0</v>
      </c>
      <c r="K422" s="143" t="str">
        <f>IF([Lucro p/Ação]&lt;&gt;0,SUMPRODUCT(N([Papel]=Tabela8[[#This Row],[Papel]]),N([Exercício]=Tabela8[[#This Row],[Exercício]]),[Líquido p/Ação]),"")</f>
        <v/>
      </c>
      <c r="L422" s="42" t="str">
        <f>IF(Tabela8[[#This Row],[Lucro p/Ação]]="","",IF(Tabela8[[#This Row],[Lucro p/Ação]]&gt;0,Tabela8[[#This Row],[Total Exercício]]/Tabela8[[#This Row],[Lucro p/Ação]],0))</f>
        <v/>
      </c>
      <c r="M42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2" s="14" t="str">
        <f>IF(Tabela8[[#This Row],[Média Lucro p/Ação]]&lt;&gt;"",Tabela8[[#This Row],[Média Pago]]/Tabela8[[#This Row],[Média Lucro p/Ação]],"")</f>
        <v/>
      </c>
      <c r="P42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2" s="17">
        <f>SUMPRODUCT(N(Tabela1[Código]=Tabela8[[#This Row],[Papel]]),Tabela1[Fechamento])</f>
        <v>0</v>
      </c>
      <c r="R422" s="17">
        <f>SUMPRODUCT(N(Tabela17[Código]=Tabela8[[#This Row],[Papel]]),Tabela17[Fechamento])</f>
        <v>0</v>
      </c>
      <c r="S422" s="17">
        <f>SUMPRODUCT(N(Tabela176[Código]=Tabela8[[#This Row],[Papel]]),Tabela176[Fechamento])</f>
        <v>0</v>
      </c>
      <c r="T422" s="17">
        <f>SUMPRODUCT(N(Tabela1768[Código]=Tabela8[[#This Row],[Papel]]),Tabela1768[Fechamento])</f>
        <v>0</v>
      </c>
      <c r="U422" s="7">
        <f>SUMPRODUCT(N(Tabela17683[Código]=Tabela8[[#This Row],[Papel]]),Tabela17683[Fechamento])</f>
        <v>0</v>
      </c>
      <c r="V422" s="17" t="str">
        <f>IF(MAX(Tabela8[[#This Row],[Cotação 1]]:Tabela8[[#This Row],[Cotação 5]])=0,"",MAX(Tabela8[[#This Row],[Cotação 1]]:Tabela8[[#This Row],[Cotação 5]]))</f>
        <v/>
      </c>
      <c r="W42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2" s="17">
        <f>IF(AND([Ref]=5,[Cotação]&gt;0,[Cotação]&lt;&gt;""),[Total Exercício]/[Cotação],IF([Ref]&lt;4,0,""))</f>
        <v>0</v>
      </c>
      <c r="Y422" s="17">
        <f>IF([Tipo]="div",1,0)</f>
        <v>0</v>
      </c>
      <c r="Z422" s="17">
        <f>IF([Tipo]="jcp",1,0)</f>
        <v>0</v>
      </c>
    </row>
    <row r="423" spans="1:26" hidden="1">
      <c r="A423" s="4" t="s">
        <v>14</v>
      </c>
      <c r="B423" s="57" t="s">
        <v>75</v>
      </c>
      <c r="C423" s="15">
        <v>3</v>
      </c>
      <c r="D423" s="4"/>
      <c r="E423" s="4"/>
      <c r="F423" s="4"/>
      <c r="G423" s="4"/>
      <c r="H423" s="4"/>
      <c r="I423" s="4"/>
      <c r="J423" s="17">
        <f>IF(Tabela8[[#This Row],[Tipo]]="jcp",Tabela8[[#This Row],[Provento p/Ação]]*85%,Tabela8[[#This Row],[Provento p/Ação]])</f>
        <v>0</v>
      </c>
      <c r="K423" s="143" t="str">
        <f>IF([Lucro p/Ação]&lt;&gt;0,SUMPRODUCT(N([Papel]=Tabela8[[#This Row],[Papel]]),N([Exercício]=Tabela8[[#This Row],[Exercício]]),[Líquido p/Ação]),"")</f>
        <v/>
      </c>
      <c r="L423" s="42" t="str">
        <f>IF(Tabela8[[#This Row],[Lucro p/Ação]]="","",IF(Tabela8[[#This Row],[Lucro p/Ação]]&gt;0,Tabela8[[#This Row],[Total Exercício]]/Tabela8[[#This Row],[Lucro p/Ação]],0))</f>
        <v/>
      </c>
      <c r="M42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3" s="14" t="str">
        <f>IF(Tabela8[[#This Row],[Média Lucro p/Ação]]&lt;&gt;"",Tabela8[[#This Row],[Média Pago]]/Tabela8[[#This Row],[Média Lucro p/Ação]],"")</f>
        <v/>
      </c>
      <c r="P42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3" s="5">
        <f>SUMPRODUCT(N(Tabela1[Código]=Tabela8[[#This Row],[Papel]]),Tabela1[Fechamento])</f>
        <v>2.95</v>
      </c>
      <c r="R423" s="5">
        <f>SUMPRODUCT(N(Tabela17[Código]=Tabela8[[#This Row],[Papel]]),Tabela17[Fechamento])</f>
        <v>0</v>
      </c>
      <c r="S423" s="7">
        <f>SUMPRODUCT(N(Tabela176[Código]=Tabela8[[#This Row],[Papel]]),Tabela176[Fechamento])</f>
        <v>0</v>
      </c>
      <c r="T423" s="7">
        <f>SUMPRODUCT(N(Tabela1768[Código]=Tabela8[[#This Row],[Papel]]),Tabela1768[Fechamento])</f>
        <v>0</v>
      </c>
      <c r="U423" s="7">
        <f>SUMPRODUCT(N(Tabela17683[Código]=Tabela8[[#This Row],[Papel]]),Tabela17683[Fechamento])</f>
        <v>0</v>
      </c>
      <c r="V423" s="17">
        <f>IF(MAX(Tabela8[[#This Row],[Cotação 1]]:Tabela8[[#This Row],[Cotação 5]])=0,"",MAX(Tabela8[[#This Row],[Cotação 1]]:Tabela8[[#This Row],[Cotação 5]]))</f>
        <v>2.95</v>
      </c>
      <c r="W42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3" s="17">
        <f>IF(AND([Ref]=5,[Cotação]&gt;0,[Cotação]&lt;&gt;""),[Total Exercício]/[Cotação],IF([Ref]&lt;4,0,""))</f>
        <v>0</v>
      </c>
      <c r="Y423" s="17">
        <f>IF([Tipo]="div",1,0)</f>
        <v>0</v>
      </c>
      <c r="Z423" s="17">
        <f>IF([Tipo]="jcp",1,0)</f>
        <v>0</v>
      </c>
    </row>
    <row r="424" spans="1:26" hidden="1">
      <c r="A424" s="3" t="s">
        <v>1184</v>
      </c>
      <c r="B424" s="57" t="s">
        <v>1179</v>
      </c>
      <c r="C424" s="16">
        <v>3</v>
      </c>
      <c r="D424" s="4"/>
      <c r="E424" s="4"/>
      <c r="F424" s="4"/>
      <c r="G424" s="4"/>
      <c r="H424" s="4"/>
      <c r="I424" s="4"/>
      <c r="J424" s="17">
        <f>IF(Tabela8[[#This Row],[Tipo]]="jcp",Tabela8[[#This Row],[Provento p/Ação]]*85%,Tabela8[[#This Row],[Provento p/Ação]])</f>
        <v>0</v>
      </c>
      <c r="K424" s="143" t="str">
        <f>IF([Lucro p/Ação]&lt;&gt;0,SUMPRODUCT(N([Papel]=Tabela8[[#This Row],[Papel]]),N([Exercício]=Tabela8[[#This Row],[Exercício]]),[Líquido p/Ação]),"")</f>
        <v/>
      </c>
      <c r="L424" s="42" t="str">
        <f>IF(Tabela8[[#This Row],[Lucro p/Ação]]="","",IF(Tabela8[[#This Row],[Lucro p/Ação]]&gt;0,Tabela8[[#This Row],[Total Exercício]]/Tabela8[[#This Row],[Lucro p/Ação]],0))</f>
        <v/>
      </c>
      <c r="M42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4" s="14" t="str">
        <f>IF(Tabela8[[#This Row],[Média Lucro p/Ação]]&lt;&gt;"",Tabela8[[#This Row],[Média Pago]]/Tabela8[[#This Row],[Média Lucro p/Ação]],"")</f>
        <v/>
      </c>
      <c r="P42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4" s="7">
        <f>SUMPRODUCT(N(Tabela1[Código]=Tabela8[[#This Row],[Papel]]),Tabela1[Fechamento])</f>
        <v>0</v>
      </c>
      <c r="R424" s="7">
        <f>SUMPRODUCT(N(Tabela17[Código]=Tabela8[[#This Row],[Papel]]),Tabela17[Fechamento])</f>
        <v>0</v>
      </c>
      <c r="S424" s="7">
        <f>SUMPRODUCT(N(Tabela176[Código]=Tabela8[[#This Row],[Papel]]),Tabela176[Fechamento])</f>
        <v>0</v>
      </c>
      <c r="T424" s="7">
        <f>SUMPRODUCT(N(Tabela1768[Código]=Tabela8[[#This Row],[Papel]]),Tabela1768[Fechamento])</f>
        <v>0</v>
      </c>
      <c r="U424" s="7">
        <f>SUMPRODUCT(N(Tabela17683[Código]=Tabela8[[#This Row],[Papel]]),Tabela17683[Fechamento])</f>
        <v>74</v>
      </c>
      <c r="V424" s="17">
        <f>IF(MAX(Tabela8[[#This Row],[Cotação 1]]:Tabela8[[#This Row],[Cotação 5]])=0,"",MAX(Tabela8[[#This Row],[Cotação 1]]:Tabela8[[#This Row],[Cotação 5]]))</f>
        <v>74</v>
      </c>
      <c r="W42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4" s="17">
        <f>IF(AND([Ref]=5,[Cotação]&gt;0,[Cotação]&lt;&gt;""),[Total Exercício]/[Cotação],IF([Ref]&lt;4,0,""))</f>
        <v>0</v>
      </c>
      <c r="Y424" s="17">
        <f>IF([Tipo]="div",1,0)</f>
        <v>0</v>
      </c>
      <c r="Z424" s="17">
        <f>IF([Tipo]="jcp",1,0)</f>
        <v>0</v>
      </c>
    </row>
    <row r="425" spans="1:26" hidden="1">
      <c r="A425" s="3" t="s">
        <v>1184</v>
      </c>
      <c r="B425" s="57" t="s">
        <v>1180</v>
      </c>
      <c r="C425" s="16">
        <v>3</v>
      </c>
      <c r="D425" s="4"/>
      <c r="E425" s="4"/>
      <c r="F425" s="4"/>
      <c r="G425" s="4"/>
      <c r="H425" s="4"/>
      <c r="I425" s="4"/>
      <c r="J425" s="17">
        <f>IF(Tabela8[[#This Row],[Tipo]]="jcp",Tabela8[[#This Row],[Provento p/Ação]]*85%,Tabela8[[#This Row],[Provento p/Ação]])</f>
        <v>0</v>
      </c>
      <c r="K425" s="143" t="str">
        <f>IF([Lucro p/Ação]&lt;&gt;0,SUMPRODUCT(N([Papel]=Tabela8[[#This Row],[Papel]]),N([Exercício]=Tabela8[[#This Row],[Exercício]]),[Líquido p/Ação]),"")</f>
        <v/>
      </c>
      <c r="L425" s="42" t="str">
        <f>IF(Tabela8[[#This Row],[Lucro p/Ação]]="","",IF(Tabela8[[#This Row],[Lucro p/Ação]]&gt;0,Tabela8[[#This Row],[Total Exercício]]/Tabela8[[#This Row],[Lucro p/Ação]],0))</f>
        <v/>
      </c>
      <c r="M42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5" s="14" t="str">
        <f>IF(Tabela8[[#This Row],[Média Lucro p/Ação]]&lt;&gt;"",Tabela8[[#This Row],[Média Pago]]/Tabela8[[#This Row],[Média Lucro p/Ação]],"")</f>
        <v/>
      </c>
      <c r="P42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5" s="7">
        <f>SUMPRODUCT(N(Tabela1[Código]=Tabela8[[#This Row],[Papel]]),Tabela1[Fechamento])</f>
        <v>0</v>
      </c>
      <c r="R425" s="7">
        <f>SUMPRODUCT(N(Tabela17[Código]=Tabela8[[#This Row],[Papel]]),Tabela17[Fechamento])</f>
        <v>0</v>
      </c>
      <c r="S425" s="7">
        <f>SUMPRODUCT(N(Tabela176[Código]=Tabela8[[#This Row],[Papel]]),Tabela176[Fechamento])</f>
        <v>0</v>
      </c>
      <c r="T425" s="7">
        <f>SUMPRODUCT(N(Tabela1768[Código]=Tabela8[[#This Row],[Papel]]),Tabela1768[Fechamento])</f>
        <v>0</v>
      </c>
      <c r="U425" s="7">
        <f>SUMPRODUCT(N(Tabela17683[Código]=Tabela8[[#This Row],[Papel]]),Tabela17683[Fechamento])</f>
        <v>83.97</v>
      </c>
      <c r="V425" s="17">
        <f>IF(MAX(Tabela8[[#This Row],[Cotação 1]]:Tabela8[[#This Row],[Cotação 5]])=0,"",MAX(Tabela8[[#This Row],[Cotação 1]]:Tabela8[[#This Row],[Cotação 5]]))</f>
        <v>83.97</v>
      </c>
      <c r="W42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5" s="17">
        <f>IF(AND([Ref]=5,[Cotação]&gt;0,[Cotação]&lt;&gt;""),[Total Exercício]/[Cotação],IF([Ref]&lt;4,0,""))</f>
        <v>0</v>
      </c>
      <c r="Y425" s="17">
        <f>IF([Tipo]="div",1,0)</f>
        <v>0</v>
      </c>
      <c r="Z425" s="17">
        <f>IF([Tipo]="jcp",1,0)</f>
        <v>0</v>
      </c>
    </row>
    <row r="426" spans="1:26" hidden="1">
      <c r="A426" s="3" t="s">
        <v>1019</v>
      </c>
      <c r="B426" s="57" t="s">
        <v>1049</v>
      </c>
      <c r="C426" s="16">
        <v>3</v>
      </c>
      <c r="D426" s="4"/>
      <c r="E426" s="4"/>
      <c r="F426" s="4"/>
      <c r="G426" s="4"/>
      <c r="H426" s="4"/>
      <c r="I426" s="4"/>
      <c r="J426" s="17">
        <f>IF(Tabela8[[#This Row],[Tipo]]="jcp",Tabela8[[#This Row],[Provento p/Ação]]*85%,Tabela8[[#This Row],[Provento p/Ação]])</f>
        <v>0</v>
      </c>
      <c r="K426" s="143" t="str">
        <f>IF([Lucro p/Ação]&lt;&gt;0,SUMPRODUCT(N([Papel]=Tabela8[[#This Row],[Papel]]),N([Exercício]=Tabela8[[#This Row],[Exercício]]),[Líquido p/Ação]),"")</f>
        <v/>
      </c>
      <c r="L426" s="42" t="str">
        <f>IF(Tabela8[[#This Row],[Lucro p/Ação]]="","",IF(Tabela8[[#This Row],[Lucro p/Ação]]&gt;0,Tabela8[[#This Row],[Total Exercício]]/Tabela8[[#This Row],[Lucro p/Ação]],0))</f>
        <v/>
      </c>
      <c r="M42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6" s="14" t="str">
        <f>IF(Tabela8[[#This Row],[Média Lucro p/Ação]]&lt;&gt;"",Tabela8[[#This Row],[Média Pago]]/Tabela8[[#This Row],[Média Lucro p/Ação]],"")</f>
        <v/>
      </c>
      <c r="P42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6" s="7">
        <f>SUMPRODUCT(N(Tabela1[Código]=Tabela8[[#This Row],[Papel]]),Tabela1[Fechamento])</f>
        <v>0</v>
      </c>
      <c r="R426" s="7">
        <f>SUMPRODUCT(N(Tabela17[Código]=Tabela8[[#This Row],[Papel]]),Tabela17[Fechamento])</f>
        <v>0</v>
      </c>
      <c r="S426" s="7">
        <f>SUMPRODUCT(N(Tabela176[Código]=Tabela8[[#This Row],[Papel]]),Tabela176[Fechamento])</f>
        <v>0</v>
      </c>
      <c r="T426" s="7">
        <f>SUMPRODUCT(N(Tabela1768[Código]=Tabela8[[#This Row],[Papel]]),Tabela1768[Fechamento])</f>
        <v>5</v>
      </c>
      <c r="U426" s="7">
        <f>SUMPRODUCT(N(Tabela17683[Código]=Tabela8[[#This Row],[Papel]]),Tabela17683[Fechamento])</f>
        <v>0</v>
      </c>
      <c r="V426" s="17">
        <f>IF(MAX(Tabela8[[#This Row],[Cotação 1]]:Tabela8[[#This Row],[Cotação 5]])=0,"",MAX(Tabela8[[#This Row],[Cotação 1]]:Tabela8[[#This Row],[Cotação 5]]))</f>
        <v>5</v>
      </c>
      <c r="W42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6" s="17">
        <f>IF(AND([Ref]=5,[Cotação]&gt;0,[Cotação]&lt;&gt;""),[Total Exercício]/[Cotação],IF([Ref]&lt;4,0,""))</f>
        <v>0</v>
      </c>
      <c r="Y426" s="17">
        <f>IF([Tipo]="div",1,0)</f>
        <v>0</v>
      </c>
      <c r="Z426" s="17">
        <f>IF([Tipo]="jcp",1,0)</f>
        <v>0</v>
      </c>
    </row>
    <row r="427" spans="1:26" hidden="1">
      <c r="A427" s="3" t="s">
        <v>1019</v>
      </c>
      <c r="B427" s="57" t="s">
        <v>1050</v>
      </c>
      <c r="C427" s="16">
        <v>3</v>
      </c>
      <c r="D427" s="4"/>
      <c r="E427" s="4"/>
      <c r="F427" s="4"/>
      <c r="G427" s="4"/>
      <c r="H427" s="4"/>
      <c r="I427" s="4"/>
      <c r="J427" s="17">
        <f>IF(Tabela8[[#This Row],[Tipo]]="jcp",Tabela8[[#This Row],[Provento p/Ação]]*85%,Tabela8[[#This Row],[Provento p/Ação]])</f>
        <v>0</v>
      </c>
      <c r="K427" s="143" t="str">
        <f>IF([Lucro p/Ação]&lt;&gt;0,SUMPRODUCT(N([Papel]=Tabela8[[#This Row],[Papel]]),N([Exercício]=Tabela8[[#This Row],[Exercício]]),[Líquido p/Ação]),"")</f>
        <v/>
      </c>
      <c r="L427" s="42" t="str">
        <f>IF(Tabela8[[#This Row],[Lucro p/Ação]]="","",IF(Tabela8[[#This Row],[Lucro p/Ação]]&gt;0,Tabela8[[#This Row],[Total Exercício]]/Tabela8[[#This Row],[Lucro p/Ação]],0))</f>
        <v/>
      </c>
      <c r="M42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7" s="14" t="str">
        <f>IF(Tabela8[[#This Row],[Média Lucro p/Ação]]&lt;&gt;"",Tabela8[[#This Row],[Média Pago]]/Tabela8[[#This Row],[Média Lucro p/Ação]],"")</f>
        <v/>
      </c>
      <c r="P42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7" s="7">
        <f>SUMPRODUCT(N(Tabela1[Código]=Tabela8[[#This Row],[Papel]]),Tabela1[Fechamento])</f>
        <v>0</v>
      </c>
      <c r="R427" s="7">
        <f>SUMPRODUCT(N(Tabela17[Código]=Tabela8[[#This Row],[Papel]]),Tabela17[Fechamento])</f>
        <v>0</v>
      </c>
      <c r="S427" s="7">
        <f>SUMPRODUCT(N(Tabela176[Código]=Tabela8[[#This Row],[Papel]]),Tabela176[Fechamento])</f>
        <v>0</v>
      </c>
      <c r="T427" s="7">
        <f>SUMPRODUCT(N(Tabela1768[Código]=Tabela8[[#This Row],[Papel]]),Tabela1768[Fechamento])</f>
        <v>0.6</v>
      </c>
      <c r="U427" s="7">
        <f>SUMPRODUCT(N(Tabela17683[Código]=Tabela8[[#This Row],[Papel]]),Tabela17683[Fechamento])</f>
        <v>0</v>
      </c>
      <c r="V427" s="17">
        <f>IF(MAX(Tabela8[[#This Row],[Cotação 1]]:Tabela8[[#This Row],[Cotação 5]])=0,"",MAX(Tabela8[[#This Row],[Cotação 1]]:Tabela8[[#This Row],[Cotação 5]]))</f>
        <v>0.6</v>
      </c>
      <c r="W42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7" s="17">
        <f>IF(AND([Ref]=5,[Cotação]&gt;0,[Cotação]&lt;&gt;""),[Total Exercício]/[Cotação],IF([Ref]&lt;4,0,""))</f>
        <v>0</v>
      </c>
      <c r="Y427" s="17">
        <f>IF([Tipo]="div",1,0)</f>
        <v>0</v>
      </c>
      <c r="Z427" s="17">
        <f>IF([Tipo]="jcp",1,0)</f>
        <v>0</v>
      </c>
    </row>
    <row r="428" spans="1:26" hidden="1">
      <c r="A428" s="3" t="s">
        <v>876</v>
      </c>
      <c r="B428" s="58" t="s">
        <v>942</v>
      </c>
      <c r="C428" s="16">
        <v>3</v>
      </c>
      <c r="D428" s="4"/>
      <c r="E428" s="4"/>
      <c r="F428" s="4"/>
      <c r="G428" s="4"/>
      <c r="H428" s="4"/>
      <c r="I428" s="4"/>
      <c r="J428" s="17">
        <f>IF(Tabela8[[#This Row],[Tipo]]="jcp",Tabela8[[#This Row],[Provento p/Ação]]*85%,Tabela8[[#This Row],[Provento p/Ação]])</f>
        <v>0</v>
      </c>
      <c r="K428" s="143" t="str">
        <f>IF([Lucro p/Ação]&lt;&gt;0,SUMPRODUCT(N([Papel]=Tabela8[[#This Row],[Papel]]),N([Exercício]=Tabela8[[#This Row],[Exercício]]),[Líquido p/Ação]),"")</f>
        <v/>
      </c>
      <c r="L428" s="42" t="str">
        <f>IF(Tabela8[[#This Row],[Lucro p/Ação]]="","",IF(Tabela8[[#This Row],[Lucro p/Ação]]&gt;0,Tabela8[[#This Row],[Total Exercício]]/Tabela8[[#This Row],[Lucro p/Ação]],0))</f>
        <v/>
      </c>
      <c r="M42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8" s="14" t="str">
        <f>IF(Tabela8[[#This Row],[Média Lucro p/Ação]]&lt;&gt;"",Tabela8[[#This Row],[Média Pago]]/Tabela8[[#This Row],[Média Lucro p/Ação]],"")</f>
        <v/>
      </c>
      <c r="P42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8" s="7">
        <f>SUMPRODUCT(N(Tabela1[Código]=Tabela8[[#This Row],[Papel]]),Tabela1[Fechamento])</f>
        <v>0</v>
      </c>
      <c r="R428" s="7">
        <f>SUMPRODUCT(N(Tabela17[Código]=Tabela8[[#This Row],[Papel]]),Tabela17[Fechamento])</f>
        <v>0</v>
      </c>
      <c r="S428" s="7">
        <f>SUMPRODUCT(N(Tabela176[Código]=Tabela8[[#This Row],[Papel]]),Tabela176[Fechamento])</f>
        <v>0</v>
      </c>
      <c r="T428" s="7">
        <f>SUMPRODUCT(N(Tabela1768[Código]=Tabela8[[#This Row],[Papel]]),Tabela1768[Fechamento])</f>
        <v>1.4</v>
      </c>
      <c r="U428" s="7">
        <f>SUMPRODUCT(N(Tabela17683[Código]=Tabela8[[#This Row],[Papel]]),Tabela17683[Fechamento])</f>
        <v>0</v>
      </c>
      <c r="V428" s="17">
        <f>IF(MAX(Tabela8[[#This Row],[Cotação 1]]:Tabela8[[#This Row],[Cotação 5]])=0,"",MAX(Tabela8[[#This Row],[Cotação 1]]:Tabela8[[#This Row],[Cotação 5]]))</f>
        <v>1.4</v>
      </c>
      <c r="W42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8" s="17">
        <f>IF(AND([Ref]=5,[Cotação]&gt;0,[Cotação]&lt;&gt;""),[Total Exercício]/[Cotação],IF([Ref]&lt;4,0,""))</f>
        <v>0</v>
      </c>
      <c r="Y428" s="17">
        <f>IF([Tipo]="div",1,0)</f>
        <v>0</v>
      </c>
      <c r="Z428" s="17">
        <f>IF([Tipo]="jcp",1,0)</f>
        <v>0</v>
      </c>
    </row>
    <row r="429" spans="1:26" hidden="1">
      <c r="A429" s="3" t="s">
        <v>846</v>
      </c>
      <c r="B429" s="58" t="s">
        <v>847</v>
      </c>
      <c r="C429" s="16">
        <v>4</v>
      </c>
      <c r="D429" s="4"/>
      <c r="E429" s="4"/>
      <c r="F429" s="4"/>
      <c r="G429" s="4"/>
      <c r="H429" s="4"/>
      <c r="I429" s="4"/>
      <c r="J429" s="17">
        <f>IF(Tabela8[[#This Row],[Tipo]]="jcp",Tabela8[[#This Row],[Provento p/Ação]]*85%,Tabela8[[#This Row],[Provento p/Ação]])</f>
        <v>0</v>
      </c>
      <c r="K429" s="143" t="str">
        <f>IF([Lucro p/Ação]&lt;&gt;0,SUMPRODUCT(N([Papel]=Tabela8[[#This Row],[Papel]]),N([Exercício]=Tabela8[[#This Row],[Exercício]]),[Líquido p/Ação]),"")</f>
        <v/>
      </c>
      <c r="L429" s="42" t="str">
        <f>IF(Tabela8[[#This Row],[Lucro p/Ação]]="","",IF(Tabela8[[#This Row],[Lucro p/Ação]]&gt;0,Tabela8[[#This Row],[Total Exercício]]/Tabela8[[#This Row],[Lucro p/Ação]],0))</f>
        <v/>
      </c>
      <c r="M42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2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29" s="14" t="str">
        <f>IF(Tabela8[[#This Row],[Média Lucro p/Ação]]&lt;&gt;"",Tabela8[[#This Row],[Média Pago]]/Tabela8[[#This Row],[Média Lucro p/Ação]],"")</f>
        <v/>
      </c>
      <c r="P42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29" s="7">
        <f>SUMPRODUCT(N(Tabela1[Código]=Tabela8[[#This Row],[Papel]]),Tabela1[Fechamento])</f>
        <v>0</v>
      </c>
      <c r="R429" s="7">
        <f>SUMPRODUCT(N(Tabela17[Código]=Tabela8[[#This Row],[Papel]]),Tabela17[Fechamento])</f>
        <v>0</v>
      </c>
      <c r="S429" s="7">
        <f>SUMPRODUCT(N(Tabela176[Código]=Tabela8[[#This Row],[Papel]]),Tabela176[Fechamento])</f>
        <v>0</v>
      </c>
      <c r="T429" s="7">
        <f>SUMPRODUCT(N(Tabela1768[Código]=Tabela8[[#This Row],[Papel]]),Tabela1768[Fechamento])</f>
        <v>4.4000000000000004</v>
      </c>
      <c r="U429" s="7">
        <f>SUMPRODUCT(N(Tabela17683[Código]=Tabela8[[#This Row],[Papel]]),Tabela17683[Fechamento])</f>
        <v>0</v>
      </c>
      <c r="V429" s="17">
        <f>IF(MAX(Tabela8[[#This Row],[Cotação 1]]:Tabela8[[#This Row],[Cotação 5]])=0,"",MAX(Tabela8[[#This Row],[Cotação 1]]:Tabela8[[#This Row],[Cotação 5]]))</f>
        <v>4.4000000000000004</v>
      </c>
      <c r="W42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29" s="17" t="str">
        <f>IF(AND([Ref]=5,[Cotação]&gt;0,[Cotação]&lt;&gt;""),[Total Exercício]/[Cotação],IF([Ref]&lt;4,0,""))</f>
        <v/>
      </c>
      <c r="Y429" s="17">
        <f>IF([Tipo]="div",1,0)</f>
        <v>0</v>
      </c>
      <c r="Z429" s="17">
        <f>IF([Tipo]="jcp",1,0)</f>
        <v>0</v>
      </c>
    </row>
    <row r="430" spans="1:26" hidden="1">
      <c r="A430" s="3" t="s">
        <v>1226</v>
      </c>
      <c r="B430" s="57" t="s">
        <v>1227</v>
      </c>
      <c r="C430" s="16">
        <v>4</v>
      </c>
      <c r="D430" s="4"/>
      <c r="E430" s="4"/>
      <c r="F430" s="4"/>
      <c r="G430" s="4"/>
      <c r="H430" s="4"/>
      <c r="I430" s="4"/>
      <c r="J430" s="17">
        <f>IF(Tabela8[[#This Row],[Tipo]]="jcp",Tabela8[[#This Row],[Provento p/Ação]]*85%,Tabela8[[#This Row],[Provento p/Ação]])</f>
        <v>0</v>
      </c>
      <c r="K430" s="143" t="str">
        <f>IF([Lucro p/Ação]&lt;&gt;0,SUMPRODUCT(N([Papel]=Tabela8[[#This Row],[Papel]]),N([Exercício]=Tabela8[[#This Row],[Exercício]]),[Líquido p/Ação]),"")</f>
        <v/>
      </c>
      <c r="L430" s="42" t="str">
        <f>IF(Tabela8[[#This Row],[Lucro p/Ação]]="","",IF(Tabela8[[#This Row],[Lucro p/Ação]]&gt;0,Tabela8[[#This Row],[Total Exercício]]/Tabela8[[#This Row],[Lucro p/Ação]],0))</f>
        <v/>
      </c>
      <c r="M43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0" s="14" t="str">
        <f>IF(Tabela8[[#This Row],[Média Lucro p/Ação]]&lt;&gt;"",Tabela8[[#This Row],[Média Pago]]/Tabela8[[#This Row],[Média Lucro p/Ação]],"")</f>
        <v/>
      </c>
      <c r="P43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0" s="7">
        <f>SUMPRODUCT(N(Tabela1[Código]=Tabela8[[#This Row],[Papel]]),Tabela1[Fechamento])</f>
        <v>0</v>
      </c>
      <c r="R430" s="7">
        <f>SUMPRODUCT(N(Tabela17[Código]=Tabela8[[#This Row],[Papel]]),Tabela17[Fechamento])</f>
        <v>0</v>
      </c>
      <c r="S430" s="7">
        <f>SUMPRODUCT(N(Tabela176[Código]=Tabela8[[#This Row],[Papel]]),Tabela176[Fechamento])</f>
        <v>0</v>
      </c>
      <c r="T430" s="7">
        <f>SUMPRODUCT(N(Tabela1768[Código]=Tabela8[[#This Row],[Papel]]),Tabela1768[Fechamento])</f>
        <v>0</v>
      </c>
      <c r="U430" s="7">
        <f>SUMPRODUCT(N(Tabela17683[Código]=Tabela8[[#This Row],[Papel]]),Tabela17683[Fechamento])</f>
        <v>0</v>
      </c>
      <c r="V430" s="17" t="str">
        <f>IF(MAX(Tabela8[[#This Row],[Cotação 1]]:Tabela8[[#This Row],[Cotação 5]])=0,"",MAX(Tabela8[[#This Row],[Cotação 1]]:Tabela8[[#This Row],[Cotação 5]]))</f>
        <v/>
      </c>
      <c r="W43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0" s="17" t="str">
        <f>IF(AND([Ref]=5,[Cotação]&gt;0,[Cotação]&lt;&gt;""),[Total Exercício]/[Cotação],IF([Ref]&lt;4,0,""))</f>
        <v/>
      </c>
      <c r="Y430" s="17">
        <f>IF([Tipo]="div",1,0)</f>
        <v>0</v>
      </c>
      <c r="Z430" s="17">
        <f>IF([Tipo]="jcp",1,0)</f>
        <v>0</v>
      </c>
    </row>
    <row r="431" spans="1:26" hidden="1">
      <c r="A431" s="3" t="s">
        <v>1226</v>
      </c>
      <c r="B431" s="57" t="s">
        <v>1228</v>
      </c>
      <c r="C431" s="16">
        <v>4</v>
      </c>
      <c r="D431" s="4"/>
      <c r="E431" s="4"/>
      <c r="F431" s="4"/>
      <c r="G431" s="4"/>
      <c r="H431" s="4"/>
      <c r="I431" s="4"/>
      <c r="J431" s="17">
        <f>IF(Tabela8[[#This Row],[Tipo]]="jcp",Tabela8[[#This Row],[Provento p/Ação]]*85%,Tabela8[[#This Row],[Provento p/Ação]])</f>
        <v>0</v>
      </c>
      <c r="K431" s="143" t="str">
        <f>IF([Lucro p/Ação]&lt;&gt;0,SUMPRODUCT(N([Papel]=Tabela8[[#This Row],[Papel]]),N([Exercício]=Tabela8[[#This Row],[Exercício]]),[Líquido p/Ação]),"")</f>
        <v/>
      </c>
      <c r="L431" s="42" t="str">
        <f>IF(Tabela8[[#This Row],[Lucro p/Ação]]="","",IF(Tabela8[[#This Row],[Lucro p/Ação]]&gt;0,Tabela8[[#This Row],[Total Exercício]]/Tabela8[[#This Row],[Lucro p/Ação]],0))</f>
        <v/>
      </c>
      <c r="M43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1" s="14" t="str">
        <f>IF(Tabela8[[#This Row],[Média Lucro p/Ação]]&lt;&gt;"",Tabela8[[#This Row],[Média Pago]]/Tabela8[[#This Row],[Média Lucro p/Ação]],"")</f>
        <v/>
      </c>
      <c r="P43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1" s="7">
        <f>SUMPRODUCT(N(Tabela1[Código]=Tabela8[[#This Row],[Papel]]),Tabela1[Fechamento])</f>
        <v>0</v>
      </c>
      <c r="R431" s="7">
        <f>SUMPRODUCT(N(Tabela17[Código]=Tabela8[[#This Row],[Papel]]),Tabela17[Fechamento])</f>
        <v>0</v>
      </c>
      <c r="S431" s="7">
        <f>SUMPRODUCT(N(Tabela176[Código]=Tabela8[[#This Row],[Papel]]),Tabela176[Fechamento])</f>
        <v>0</v>
      </c>
      <c r="T431" s="7">
        <f>SUMPRODUCT(N(Tabela1768[Código]=Tabela8[[#This Row],[Papel]]),Tabela1768[Fechamento])</f>
        <v>0</v>
      </c>
      <c r="U431" s="7">
        <f>SUMPRODUCT(N(Tabela17683[Código]=Tabela8[[#This Row],[Papel]]),Tabela17683[Fechamento])</f>
        <v>10.050000000000001</v>
      </c>
      <c r="V431" s="17">
        <f>IF(MAX(Tabela8[[#This Row],[Cotação 1]]:Tabela8[[#This Row],[Cotação 5]])=0,"",MAX(Tabela8[[#This Row],[Cotação 1]]:Tabela8[[#This Row],[Cotação 5]]))</f>
        <v>10.050000000000001</v>
      </c>
      <c r="W43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1" s="17" t="str">
        <f>IF(AND([Ref]=5,[Cotação]&gt;0,[Cotação]&lt;&gt;""),[Total Exercício]/[Cotação],IF([Ref]&lt;4,0,""))</f>
        <v/>
      </c>
      <c r="Y431" s="17">
        <f>IF([Tipo]="div",1,0)</f>
        <v>0</v>
      </c>
      <c r="Z431" s="17">
        <f>IF([Tipo]="jcp",1,0)</f>
        <v>0</v>
      </c>
    </row>
    <row r="432" spans="1:26" hidden="1">
      <c r="A432" s="3" t="s">
        <v>829</v>
      </c>
      <c r="B432" s="58" t="s">
        <v>833</v>
      </c>
      <c r="C432" s="16">
        <v>4</v>
      </c>
      <c r="D432" s="4"/>
      <c r="E432" s="4"/>
      <c r="F432" s="4"/>
      <c r="G432" s="4"/>
      <c r="H432" s="4"/>
      <c r="I432" s="4"/>
      <c r="J432" s="17">
        <f>IF(Tabela8[[#This Row],[Tipo]]="jcp",Tabela8[[#This Row],[Provento p/Ação]]*85%,Tabela8[[#This Row],[Provento p/Ação]])</f>
        <v>0</v>
      </c>
      <c r="K432" s="143" t="str">
        <f>IF([Lucro p/Ação]&lt;&gt;0,SUMPRODUCT(N([Papel]=Tabela8[[#This Row],[Papel]]),N([Exercício]=Tabela8[[#This Row],[Exercício]]),[Líquido p/Ação]),"")</f>
        <v/>
      </c>
      <c r="L432" s="42" t="str">
        <f>IF(Tabela8[[#This Row],[Lucro p/Ação]]="","",IF(Tabela8[[#This Row],[Lucro p/Ação]]&gt;0,Tabela8[[#This Row],[Total Exercício]]/Tabela8[[#This Row],[Lucro p/Ação]],0))</f>
        <v/>
      </c>
      <c r="M43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2" s="14" t="str">
        <f>IF(Tabela8[[#This Row],[Média Lucro p/Ação]]&lt;&gt;"",Tabela8[[#This Row],[Média Pago]]/Tabela8[[#This Row],[Média Lucro p/Ação]],"")</f>
        <v/>
      </c>
      <c r="P43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2" s="7">
        <f>SUMPRODUCT(N(Tabela1[Código]=Tabela8[[#This Row],[Papel]]),Tabela1[Fechamento])</f>
        <v>0</v>
      </c>
      <c r="R432" s="7">
        <f>SUMPRODUCT(N(Tabela17[Código]=Tabela8[[#This Row],[Papel]]),Tabela17[Fechamento])</f>
        <v>0</v>
      </c>
      <c r="S432" s="7">
        <f>SUMPRODUCT(N(Tabela176[Código]=Tabela8[[#This Row],[Papel]]),Tabela176[Fechamento])</f>
        <v>0</v>
      </c>
      <c r="T432" s="7">
        <f>SUMPRODUCT(N(Tabela1768[Código]=Tabela8[[#This Row],[Papel]]),Tabela1768[Fechamento])</f>
        <v>17.09</v>
      </c>
      <c r="U432" s="7">
        <f>SUMPRODUCT(N(Tabela17683[Código]=Tabela8[[#This Row],[Papel]]),Tabela17683[Fechamento])</f>
        <v>0</v>
      </c>
      <c r="V432" s="17">
        <f>IF(MAX(Tabela8[[#This Row],[Cotação 1]]:Tabela8[[#This Row],[Cotação 5]])=0,"",MAX(Tabela8[[#This Row],[Cotação 1]]:Tabela8[[#This Row],[Cotação 5]]))</f>
        <v>17.09</v>
      </c>
      <c r="W43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2" s="17" t="str">
        <f>IF(AND([Ref]=5,[Cotação]&gt;0,[Cotação]&lt;&gt;""),[Total Exercício]/[Cotação],IF([Ref]&lt;4,0,""))</f>
        <v/>
      </c>
      <c r="Y432" s="17">
        <f>IF([Tipo]="div",1,0)</f>
        <v>0</v>
      </c>
      <c r="Z432" s="17">
        <f>IF([Tipo]="jcp",1,0)</f>
        <v>0</v>
      </c>
    </row>
    <row r="433" spans="1:26" hidden="1">
      <c r="A433" s="3" t="s">
        <v>974</v>
      </c>
      <c r="B433" s="58" t="s">
        <v>981</v>
      </c>
      <c r="C433" s="16">
        <v>3</v>
      </c>
      <c r="D433" s="4"/>
      <c r="E433" s="4"/>
      <c r="F433" s="4"/>
      <c r="G433" s="4"/>
      <c r="H433" s="4"/>
      <c r="I433" s="4"/>
      <c r="J433" s="17">
        <f>IF(Tabela8[[#This Row],[Tipo]]="jcp",Tabela8[[#This Row],[Provento p/Ação]]*85%,Tabela8[[#This Row],[Provento p/Ação]])</f>
        <v>0</v>
      </c>
      <c r="K433" s="143" t="str">
        <f>IF([Lucro p/Ação]&lt;&gt;0,SUMPRODUCT(N([Papel]=Tabela8[[#This Row],[Papel]]),N([Exercício]=Tabela8[[#This Row],[Exercício]]),[Líquido p/Ação]),"")</f>
        <v/>
      </c>
      <c r="L433" s="42" t="str">
        <f>IF(Tabela8[[#This Row],[Lucro p/Ação]]="","",IF(Tabela8[[#This Row],[Lucro p/Ação]]&gt;0,Tabela8[[#This Row],[Total Exercício]]/Tabela8[[#This Row],[Lucro p/Ação]],0))</f>
        <v/>
      </c>
      <c r="M43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3" s="14" t="str">
        <f>IF(Tabela8[[#This Row],[Média Lucro p/Ação]]&lt;&gt;"",Tabela8[[#This Row],[Média Pago]]/Tabela8[[#This Row],[Média Lucro p/Ação]],"")</f>
        <v/>
      </c>
      <c r="P43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3" s="7">
        <f>SUMPRODUCT(N(Tabela1[Código]=Tabela8[[#This Row],[Papel]]),Tabela1[Fechamento])</f>
        <v>0</v>
      </c>
      <c r="R433" s="7">
        <f>SUMPRODUCT(N(Tabela17[Código]=Tabela8[[#This Row],[Papel]]),Tabela17[Fechamento])</f>
        <v>0</v>
      </c>
      <c r="S433" s="7">
        <f>SUMPRODUCT(N(Tabela176[Código]=Tabela8[[#This Row],[Papel]]),Tabela176[Fechamento])</f>
        <v>0</v>
      </c>
      <c r="T433" s="7">
        <f>SUMPRODUCT(N(Tabela1768[Código]=Tabela8[[#This Row],[Papel]]),Tabela1768[Fechamento])</f>
        <v>24</v>
      </c>
      <c r="U433" s="7">
        <f>SUMPRODUCT(N(Tabela17683[Código]=Tabela8[[#This Row],[Papel]]),Tabela17683[Fechamento])</f>
        <v>0</v>
      </c>
      <c r="V433" s="17">
        <f>IF(MAX(Tabela8[[#This Row],[Cotação 1]]:Tabela8[[#This Row],[Cotação 5]])=0,"",MAX(Tabela8[[#This Row],[Cotação 1]]:Tabela8[[#This Row],[Cotação 5]]))</f>
        <v>24</v>
      </c>
      <c r="W43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3" s="17">
        <f>IF(AND([Ref]=5,[Cotação]&gt;0,[Cotação]&lt;&gt;""),[Total Exercício]/[Cotação],IF([Ref]&lt;4,0,""))</f>
        <v>0</v>
      </c>
      <c r="Y433" s="17">
        <f>IF([Tipo]="div",1,0)</f>
        <v>0</v>
      </c>
      <c r="Z433" s="17">
        <f>IF([Tipo]="jcp",1,0)</f>
        <v>0</v>
      </c>
    </row>
    <row r="434" spans="1:26" hidden="1">
      <c r="A434" s="3" t="s">
        <v>974</v>
      </c>
      <c r="B434" s="58" t="s">
        <v>982</v>
      </c>
      <c r="C434" s="16">
        <v>3</v>
      </c>
      <c r="D434" s="4"/>
      <c r="E434" s="4"/>
      <c r="F434" s="4"/>
      <c r="G434" s="4"/>
      <c r="H434" s="4"/>
      <c r="I434" s="4"/>
      <c r="J434" s="17">
        <f>IF(Tabela8[[#This Row],[Tipo]]="jcp",Tabela8[[#This Row],[Provento p/Ação]]*85%,Tabela8[[#This Row],[Provento p/Ação]])</f>
        <v>0</v>
      </c>
      <c r="K434" s="143" t="str">
        <f>IF([Lucro p/Ação]&lt;&gt;0,SUMPRODUCT(N([Papel]=Tabela8[[#This Row],[Papel]]),N([Exercício]=Tabela8[[#This Row],[Exercício]]),[Líquido p/Ação]),"")</f>
        <v/>
      </c>
      <c r="L434" s="42" t="str">
        <f>IF(Tabela8[[#This Row],[Lucro p/Ação]]="","",IF(Tabela8[[#This Row],[Lucro p/Ação]]&gt;0,Tabela8[[#This Row],[Total Exercício]]/Tabela8[[#This Row],[Lucro p/Ação]],0))</f>
        <v/>
      </c>
      <c r="M43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4" s="14" t="str">
        <f>IF(Tabela8[[#This Row],[Média Lucro p/Ação]]&lt;&gt;"",Tabela8[[#This Row],[Média Pago]]/Tabela8[[#This Row],[Média Lucro p/Ação]],"")</f>
        <v/>
      </c>
      <c r="P43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4" s="7">
        <f>SUMPRODUCT(N(Tabela1[Código]=Tabela8[[#This Row],[Papel]]),Tabela1[Fechamento])</f>
        <v>0</v>
      </c>
      <c r="R434" s="7">
        <f>SUMPRODUCT(N(Tabela17[Código]=Tabela8[[#This Row],[Papel]]),Tabela17[Fechamento])</f>
        <v>0</v>
      </c>
      <c r="S434" s="7">
        <f>SUMPRODUCT(N(Tabela176[Código]=Tabela8[[#This Row],[Papel]]),Tabela176[Fechamento])</f>
        <v>0</v>
      </c>
      <c r="T434" s="7">
        <f>SUMPRODUCT(N(Tabela1768[Código]=Tabela8[[#This Row],[Papel]]),Tabela1768[Fechamento])</f>
        <v>19.5</v>
      </c>
      <c r="U434" s="7">
        <f>SUMPRODUCT(N(Tabela17683[Código]=Tabela8[[#This Row],[Papel]]),Tabela17683[Fechamento])</f>
        <v>0</v>
      </c>
      <c r="V434" s="17">
        <f>IF(MAX(Tabela8[[#This Row],[Cotação 1]]:Tabela8[[#This Row],[Cotação 5]])=0,"",MAX(Tabela8[[#This Row],[Cotação 1]]:Tabela8[[#This Row],[Cotação 5]]))</f>
        <v>19.5</v>
      </c>
      <c r="W43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4" s="17">
        <f>IF(AND([Ref]=5,[Cotação]&gt;0,[Cotação]&lt;&gt;""),[Total Exercício]/[Cotação],IF([Ref]&lt;4,0,""))</f>
        <v>0</v>
      </c>
      <c r="Y434" s="17">
        <f>IF([Tipo]="div",1,0)</f>
        <v>0</v>
      </c>
      <c r="Z434" s="17">
        <f>IF([Tipo]="jcp",1,0)</f>
        <v>0</v>
      </c>
    </row>
    <row r="435" spans="1:26" hidden="1">
      <c r="A435" s="3" t="s">
        <v>259</v>
      </c>
      <c r="B435" s="58" t="s">
        <v>262</v>
      </c>
      <c r="C435" s="16">
        <v>3</v>
      </c>
      <c r="D435" s="4"/>
      <c r="E435" s="4"/>
      <c r="F435" s="4"/>
      <c r="G435" s="4"/>
      <c r="H435" s="4"/>
      <c r="I435" s="4"/>
      <c r="J435" s="17">
        <f>IF(Tabela8[[#This Row],[Tipo]]="jcp",Tabela8[[#This Row],[Provento p/Ação]]*85%,Tabela8[[#This Row],[Provento p/Ação]])</f>
        <v>0</v>
      </c>
      <c r="K435" s="143" t="str">
        <f>IF([Lucro p/Ação]&lt;&gt;0,SUMPRODUCT(N([Papel]=Tabela8[[#This Row],[Papel]]),N([Exercício]=Tabela8[[#This Row],[Exercício]]),[Líquido p/Ação]),"")</f>
        <v/>
      </c>
      <c r="L435" s="42" t="str">
        <f>IF(Tabela8[[#This Row],[Lucro p/Ação]]="","",IF(Tabela8[[#This Row],[Lucro p/Ação]]&gt;0,Tabela8[[#This Row],[Total Exercício]]/Tabela8[[#This Row],[Lucro p/Ação]],0))</f>
        <v/>
      </c>
      <c r="M43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5" s="14" t="str">
        <f>IF(Tabela8[[#This Row],[Média Lucro p/Ação]]&lt;&gt;"",Tabela8[[#This Row],[Média Pago]]/Tabela8[[#This Row],[Média Lucro p/Ação]],"")</f>
        <v/>
      </c>
      <c r="P43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5" s="47">
        <f>SUMPRODUCT(N(Tabela1[Código]=Tabela8[[#This Row],[Papel]]),Tabela1[Fechamento])</f>
        <v>0</v>
      </c>
      <c r="R435" s="54">
        <f>SUMPRODUCT(N(Tabela17[Código]=Tabela8[[#This Row],[Papel]]),Tabela17[Fechamento])</f>
        <v>29.76</v>
      </c>
      <c r="S435" s="7">
        <f>SUMPRODUCT(N(Tabela176[Código]=Tabela8[[#This Row],[Papel]]),Tabela176[Fechamento])</f>
        <v>0</v>
      </c>
      <c r="T435" s="7">
        <f>SUMPRODUCT(N(Tabela1768[Código]=Tabela8[[#This Row],[Papel]]),Tabela1768[Fechamento])</f>
        <v>29.76</v>
      </c>
      <c r="U435" s="7">
        <f>SUMPRODUCT(N(Tabela17683[Código]=Tabela8[[#This Row],[Papel]]),Tabela17683[Fechamento])</f>
        <v>0</v>
      </c>
      <c r="V435" s="17">
        <f>IF(MAX(Tabela8[[#This Row],[Cotação 1]]:Tabela8[[#This Row],[Cotação 5]])=0,"",MAX(Tabela8[[#This Row],[Cotação 1]]:Tabela8[[#This Row],[Cotação 5]]))</f>
        <v>29.76</v>
      </c>
      <c r="W43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5" s="17">
        <f>IF(AND([Ref]=5,[Cotação]&gt;0,[Cotação]&lt;&gt;""),[Total Exercício]/[Cotação],IF([Ref]&lt;4,0,""))</f>
        <v>0</v>
      </c>
      <c r="Y435" s="17">
        <f>IF([Tipo]="div",1,0)</f>
        <v>0</v>
      </c>
      <c r="Z435" s="17">
        <f>IF([Tipo]="jcp",1,0)</f>
        <v>0</v>
      </c>
    </row>
    <row r="436" spans="1:26" hidden="1">
      <c r="A436" s="4" t="s">
        <v>559</v>
      </c>
      <c r="B436" s="57" t="s">
        <v>566</v>
      </c>
      <c r="C436" s="15">
        <v>3</v>
      </c>
      <c r="D436" s="4"/>
      <c r="E436" s="4"/>
      <c r="F436" s="4"/>
      <c r="G436" s="4"/>
      <c r="H436" s="4"/>
      <c r="I436" s="4"/>
      <c r="J436" s="17">
        <f>IF(Tabela8[[#This Row],[Tipo]]="jcp",Tabela8[[#This Row],[Provento p/Ação]]*85%,Tabela8[[#This Row],[Provento p/Ação]])</f>
        <v>0</v>
      </c>
      <c r="K436" s="143" t="str">
        <f>IF([Lucro p/Ação]&lt;&gt;0,SUMPRODUCT(N([Papel]=Tabela8[[#This Row],[Papel]]),N([Exercício]=Tabela8[[#This Row],[Exercício]]),[Líquido p/Ação]),"")</f>
        <v/>
      </c>
      <c r="L436" s="42" t="str">
        <f>IF(Tabela8[[#This Row],[Lucro p/Ação]]="","",IF(Tabela8[[#This Row],[Lucro p/Ação]]&gt;0,Tabela8[[#This Row],[Total Exercício]]/Tabela8[[#This Row],[Lucro p/Ação]],0))</f>
        <v/>
      </c>
      <c r="M43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6" s="14" t="str">
        <f>IF(Tabela8[[#This Row],[Média Lucro p/Ação]]&lt;&gt;"",Tabela8[[#This Row],[Média Pago]]/Tabela8[[#This Row],[Média Lucro p/Ação]],"")</f>
        <v/>
      </c>
      <c r="P43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6" s="17">
        <f>SUMPRODUCT(N(Tabela1[Código]=Tabela8[[#This Row],[Papel]]),Tabela1[Fechamento])</f>
        <v>0</v>
      </c>
      <c r="R436" s="17">
        <f>SUMPRODUCT(N(Tabela17[Código]=Tabela8[[#This Row],[Papel]]),Tabela17[Fechamento])</f>
        <v>0</v>
      </c>
      <c r="S436" s="17">
        <f>SUMPRODUCT(N(Tabela176[Código]=Tabela8[[#This Row],[Papel]]),Tabela176[Fechamento])</f>
        <v>10.4</v>
      </c>
      <c r="T436" s="17">
        <f>SUMPRODUCT(N(Tabela1768[Código]=Tabela8[[#This Row],[Papel]]),Tabela1768[Fechamento])</f>
        <v>0</v>
      </c>
      <c r="U436" s="7">
        <f>SUMPRODUCT(N(Tabela17683[Código]=Tabela8[[#This Row],[Papel]]),Tabela17683[Fechamento])</f>
        <v>0</v>
      </c>
      <c r="V436" s="17">
        <f>IF(MAX(Tabela8[[#This Row],[Cotação 1]]:Tabela8[[#This Row],[Cotação 5]])=0,"",MAX(Tabela8[[#This Row],[Cotação 1]]:Tabela8[[#This Row],[Cotação 5]]))</f>
        <v>10.4</v>
      </c>
      <c r="W43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6" s="17">
        <f>IF(AND([Ref]=5,[Cotação]&gt;0,[Cotação]&lt;&gt;""),[Total Exercício]/[Cotação],IF([Ref]&lt;4,0,""))</f>
        <v>0</v>
      </c>
      <c r="Y436" s="17">
        <f>IF([Tipo]="div",1,0)</f>
        <v>0</v>
      </c>
      <c r="Z436" s="17">
        <f>IF([Tipo]="jcp",1,0)</f>
        <v>0</v>
      </c>
    </row>
    <row r="437" spans="1:26" hidden="1">
      <c r="A437" s="4" t="s">
        <v>314</v>
      </c>
      <c r="B437" s="115" t="s">
        <v>649</v>
      </c>
      <c r="C437" s="15">
        <v>3</v>
      </c>
      <c r="D437" s="4"/>
      <c r="E437" s="4"/>
      <c r="F437" s="4"/>
      <c r="G437" s="4"/>
      <c r="H437" s="4"/>
      <c r="I437" s="4"/>
      <c r="J437" s="17">
        <f>IF(Tabela8[[#This Row],[Tipo]]="jcp",Tabela8[[#This Row],[Provento p/Ação]]*85%,Tabela8[[#This Row],[Provento p/Ação]])</f>
        <v>0</v>
      </c>
      <c r="K437" s="143" t="str">
        <f>IF([Lucro p/Ação]&lt;&gt;0,SUMPRODUCT(N([Papel]=Tabela8[[#This Row],[Papel]]),N([Exercício]=Tabela8[[#This Row],[Exercício]]),[Líquido p/Ação]),"")</f>
        <v/>
      </c>
      <c r="L437" s="42" t="str">
        <f>IF(Tabela8[[#This Row],[Lucro p/Ação]]="","",IF(Tabela8[[#This Row],[Lucro p/Ação]]&gt;0,Tabela8[[#This Row],[Total Exercício]]/Tabela8[[#This Row],[Lucro p/Ação]],0))</f>
        <v/>
      </c>
      <c r="M43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7" s="14" t="str">
        <f>IF(Tabela8[[#This Row],[Média Lucro p/Ação]]&lt;&gt;"",Tabela8[[#This Row],[Média Pago]]/Tabela8[[#This Row],[Média Lucro p/Ação]],"")</f>
        <v/>
      </c>
      <c r="P43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7" s="17">
        <f>SUMPRODUCT(N(Tabela1[Código]=Tabela8[[#This Row],[Papel]]),Tabela1[Fechamento])</f>
        <v>0</v>
      </c>
      <c r="R437" s="17">
        <f>SUMPRODUCT(N(Tabela17[Código]=Tabela8[[#This Row],[Papel]]),Tabela17[Fechamento])</f>
        <v>0</v>
      </c>
      <c r="S437" s="17">
        <f>SUMPRODUCT(N(Tabela176[Código]=Tabela8[[#This Row],[Papel]]),Tabela176[Fechamento])</f>
        <v>2</v>
      </c>
      <c r="T437" s="17">
        <f>SUMPRODUCT(N(Tabela1768[Código]=Tabela8[[#This Row],[Papel]]),Tabela1768[Fechamento])</f>
        <v>0</v>
      </c>
      <c r="U437" s="7">
        <f>SUMPRODUCT(N(Tabela17683[Código]=Tabela8[[#This Row],[Papel]]),Tabela17683[Fechamento])</f>
        <v>0</v>
      </c>
      <c r="V437" s="17">
        <f>IF(MAX(Tabela8[[#This Row],[Cotação 1]]:Tabela8[[#This Row],[Cotação 5]])=0,"",MAX(Tabela8[[#This Row],[Cotação 1]]:Tabela8[[#This Row],[Cotação 5]]))</f>
        <v>2</v>
      </c>
      <c r="W43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7" s="17">
        <f>IF(AND([Ref]=5,[Cotação]&gt;0,[Cotação]&lt;&gt;""),[Total Exercício]/[Cotação],IF([Ref]&lt;4,0,""))</f>
        <v>0</v>
      </c>
      <c r="Y437" s="17">
        <f>IF([Tipo]="div",1,0)</f>
        <v>0</v>
      </c>
      <c r="Z437" s="17">
        <f>IF([Tipo]="jcp",1,0)</f>
        <v>0</v>
      </c>
    </row>
    <row r="438" spans="1:26" hidden="1">
      <c r="A438" s="4" t="s">
        <v>314</v>
      </c>
      <c r="B438" s="115" t="s">
        <v>650</v>
      </c>
      <c r="C438" s="15">
        <v>3</v>
      </c>
      <c r="D438" s="4"/>
      <c r="E438" s="4"/>
      <c r="F438" s="4"/>
      <c r="G438" s="4"/>
      <c r="H438" s="4"/>
      <c r="I438" s="4"/>
      <c r="J438" s="17">
        <f>IF(Tabela8[[#This Row],[Tipo]]="jcp",Tabela8[[#This Row],[Provento p/Ação]]*85%,Tabela8[[#This Row],[Provento p/Ação]])</f>
        <v>0</v>
      </c>
      <c r="K438" s="143" t="str">
        <f>IF([Lucro p/Ação]&lt;&gt;0,SUMPRODUCT(N([Papel]=Tabela8[[#This Row],[Papel]]),N([Exercício]=Tabela8[[#This Row],[Exercício]]),[Líquido p/Ação]),"")</f>
        <v/>
      </c>
      <c r="L438" s="42" t="str">
        <f>IF(Tabela8[[#This Row],[Lucro p/Ação]]="","",IF(Tabela8[[#This Row],[Lucro p/Ação]]&gt;0,Tabela8[[#This Row],[Total Exercício]]/Tabela8[[#This Row],[Lucro p/Ação]],0))</f>
        <v/>
      </c>
      <c r="M43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8" s="14" t="str">
        <f>IF(Tabela8[[#This Row],[Média Lucro p/Ação]]&lt;&gt;"",Tabela8[[#This Row],[Média Pago]]/Tabela8[[#This Row],[Média Lucro p/Ação]],"")</f>
        <v/>
      </c>
      <c r="P43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8" s="17">
        <f>SUMPRODUCT(N(Tabela1[Código]=Tabela8[[#This Row],[Papel]]),Tabela1[Fechamento])</f>
        <v>0</v>
      </c>
      <c r="R438" s="17">
        <f>SUMPRODUCT(N(Tabela17[Código]=Tabela8[[#This Row],[Papel]]),Tabela17[Fechamento])</f>
        <v>0</v>
      </c>
      <c r="S438" s="17">
        <f>SUMPRODUCT(N(Tabela176[Código]=Tabela8[[#This Row],[Papel]]),Tabela176[Fechamento])</f>
        <v>0.81</v>
      </c>
      <c r="T438" s="17">
        <f>SUMPRODUCT(N(Tabela1768[Código]=Tabela8[[#This Row],[Papel]]),Tabela1768[Fechamento])</f>
        <v>0</v>
      </c>
      <c r="U438" s="7">
        <f>SUMPRODUCT(N(Tabela17683[Código]=Tabela8[[#This Row],[Papel]]),Tabela17683[Fechamento])</f>
        <v>0</v>
      </c>
      <c r="V438" s="17">
        <f>IF(MAX(Tabela8[[#This Row],[Cotação 1]]:Tabela8[[#This Row],[Cotação 5]])=0,"",MAX(Tabela8[[#This Row],[Cotação 1]]:Tabela8[[#This Row],[Cotação 5]]))</f>
        <v>0.81</v>
      </c>
      <c r="W43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8" s="17">
        <f>IF(AND([Ref]=5,[Cotação]&gt;0,[Cotação]&lt;&gt;""),[Total Exercício]/[Cotação],IF([Ref]&lt;4,0,""))</f>
        <v>0</v>
      </c>
      <c r="Y438" s="17">
        <f>IF([Tipo]="div",1,0)</f>
        <v>0</v>
      </c>
      <c r="Z438" s="17">
        <f>IF([Tipo]="jcp",1,0)</f>
        <v>0</v>
      </c>
    </row>
    <row r="439" spans="1:26" hidden="1">
      <c r="A439" s="4" t="s">
        <v>314</v>
      </c>
      <c r="B439" s="115" t="s">
        <v>651</v>
      </c>
      <c r="C439" s="15">
        <v>3</v>
      </c>
      <c r="D439" s="4"/>
      <c r="E439" s="4"/>
      <c r="F439" s="4"/>
      <c r="G439" s="4"/>
      <c r="H439" s="4"/>
      <c r="I439" s="4"/>
      <c r="J439" s="17">
        <f>IF(Tabela8[[#This Row],[Tipo]]="jcp",Tabela8[[#This Row],[Provento p/Ação]]*85%,Tabela8[[#This Row],[Provento p/Ação]])</f>
        <v>0</v>
      </c>
      <c r="K439" s="143" t="str">
        <f>IF([Lucro p/Ação]&lt;&gt;0,SUMPRODUCT(N([Papel]=Tabela8[[#This Row],[Papel]]),N([Exercício]=Tabela8[[#This Row],[Exercício]]),[Líquido p/Ação]),"")</f>
        <v/>
      </c>
      <c r="L439" s="42" t="str">
        <f>IF(Tabela8[[#This Row],[Lucro p/Ação]]="","",IF(Tabela8[[#This Row],[Lucro p/Ação]]&gt;0,Tabela8[[#This Row],[Total Exercício]]/Tabela8[[#This Row],[Lucro p/Ação]],0))</f>
        <v/>
      </c>
      <c r="M43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3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39" s="14" t="str">
        <f>IF(Tabela8[[#This Row],[Média Lucro p/Ação]]&lt;&gt;"",Tabela8[[#This Row],[Média Pago]]/Tabela8[[#This Row],[Média Lucro p/Ação]],"")</f>
        <v/>
      </c>
      <c r="P43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39" s="17">
        <f>SUMPRODUCT(N(Tabela1[Código]=Tabela8[[#This Row],[Papel]]),Tabela1[Fechamento])</f>
        <v>0</v>
      </c>
      <c r="R439" s="17">
        <f>SUMPRODUCT(N(Tabela17[Código]=Tabela8[[#This Row],[Papel]]),Tabela17[Fechamento])</f>
        <v>0</v>
      </c>
      <c r="S439" s="17">
        <f>SUMPRODUCT(N(Tabela176[Código]=Tabela8[[#This Row],[Papel]]),Tabela176[Fechamento])</f>
        <v>3</v>
      </c>
      <c r="T439" s="17">
        <f>SUMPRODUCT(N(Tabela1768[Código]=Tabela8[[#This Row],[Papel]]),Tabela1768[Fechamento])</f>
        <v>0</v>
      </c>
      <c r="U439" s="7">
        <f>SUMPRODUCT(N(Tabela17683[Código]=Tabela8[[#This Row],[Papel]]),Tabela17683[Fechamento])</f>
        <v>0</v>
      </c>
      <c r="V439" s="17">
        <f>IF(MAX(Tabela8[[#This Row],[Cotação 1]]:Tabela8[[#This Row],[Cotação 5]])=0,"",MAX(Tabela8[[#This Row],[Cotação 1]]:Tabela8[[#This Row],[Cotação 5]]))</f>
        <v>3</v>
      </c>
      <c r="W43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39" s="17">
        <f>IF(AND([Ref]=5,[Cotação]&gt;0,[Cotação]&lt;&gt;""),[Total Exercício]/[Cotação],IF([Ref]&lt;4,0,""))</f>
        <v>0</v>
      </c>
      <c r="Y439" s="17">
        <f>IF([Tipo]="div",1,0)</f>
        <v>0</v>
      </c>
      <c r="Z439" s="17">
        <f>IF([Tipo]="jcp",1,0)</f>
        <v>0</v>
      </c>
    </row>
    <row r="440" spans="1:26" hidden="1">
      <c r="A440" s="3" t="s">
        <v>1099</v>
      </c>
      <c r="B440" s="57" t="s">
        <v>1087</v>
      </c>
      <c r="C440" s="16">
        <v>3</v>
      </c>
      <c r="D440" s="4"/>
      <c r="E440" s="4"/>
      <c r="F440" s="4"/>
      <c r="G440" s="4"/>
      <c r="H440" s="4"/>
      <c r="I440" s="4"/>
      <c r="J440" s="17">
        <f>IF(Tabela8[[#This Row],[Tipo]]="jcp",Tabela8[[#This Row],[Provento p/Ação]]*85%,Tabela8[[#This Row],[Provento p/Ação]])</f>
        <v>0</v>
      </c>
      <c r="K440" s="143" t="str">
        <f>IF([Lucro p/Ação]&lt;&gt;0,SUMPRODUCT(N([Papel]=Tabela8[[#This Row],[Papel]]),N([Exercício]=Tabela8[[#This Row],[Exercício]]),[Líquido p/Ação]),"")</f>
        <v/>
      </c>
      <c r="L440" s="42" t="str">
        <f>IF(Tabela8[[#This Row],[Lucro p/Ação]]="","",IF(Tabela8[[#This Row],[Lucro p/Ação]]&gt;0,Tabela8[[#This Row],[Total Exercício]]/Tabela8[[#This Row],[Lucro p/Ação]],0))</f>
        <v/>
      </c>
      <c r="M44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0" s="14" t="str">
        <f>IF(Tabela8[[#This Row],[Média Lucro p/Ação]]&lt;&gt;"",Tabela8[[#This Row],[Média Pago]]/Tabela8[[#This Row],[Média Lucro p/Ação]],"")</f>
        <v/>
      </c>
      <c r="P44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0" s="7">
        <f>SUMPRODUCT(N(Tabela1[Código]=Tabela8[[#This Row],[Papel]]),Tabela1[Fechamento])</f>
        <v>0</v>
      </c>
      <c r="R440" s="7">
        <f>SUMPRODUCT(N(Tabela17[Código]=Tabela8[[#This Row],[Papel]]),Tabela17[Fechamento])</f>
        <v>0</v>
      </c>
      <c r="S440" s="7">
        <f>SUMPRODUCT(N(Tabela176[Código]=Tabela8[[#This Row],[Papel]]),Tabela176[Fechamento])</f>
        <v>0</v>
      </c>
      <c r="T440" s="7">
        <f>SUMPRODUCT(N(Tabela1768[Código]=Tabela8[[#This Row],[Papel]]),Tabela1768[Fechamento])</f>
        <v>0</v>
      </c>
      <c r="U440" s="7">
        <f>SUMPRODUCT(N(Tabela17683[Código]=Tabela8[[#This Row],[Papel]]),Tabela17683[Fechamento])</f>
        <v>42</v>
      </c>
      <c r="V440" s="17">
        <f>IF(MAX(Tabela8[[#This Row],[Cotação 1]]:Tabela8[[#This Row],[Cotação 5]])=0,"",MAX(Tabela8[[#This Row],[Cotação 1]]:Tabela8[[#This Row],[Cotação 5]]))</f>
        <v>42</v>
      </c>
      <c r="W44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0" s="17">
        <f>IF(AND([Ref]=5,[Cotação]&gt;0,[Cotação]&lt;&gt;""),[Total Exercício]/[Cotação],IF([Ref]&lt;4,0,""))</f>
        <v>0</v>
      </c>
      <c r="Y440" s="17">
        <f>IF([Tipo]="div",1,0)</f>
        <v>0</v>
      </c>
      <c r="Z440" s="17">
        <f>IF([Tipo]="jcp",1,0)</f>
        <v>0</v>
      </c>
    </row>
    <row r="441" spans="1:26" hidden="1">
      <c r="A441" s="3" t="s">
        <v>1099</v>
      </c>
      <c r="B441" s="57" t="s">
        <v>1088</v>
      </c>
      <c r="C441" s="16">
        <v>3</v>
      </c>
      <c r="D441" s="4"/>
      <c r="E441" s="4"/>
      <c r="F441" s="4"/>
      <c r="G441" s="4"/>
      <c r="H441" s="4"/>
      <c r="I441" s="4"/>
      <c r="J441" s="17">
        <f>IF(Tabela8[[#This Row],[Tipo]]="jcp",Tabela8[[#This Row],[Provento p/Ação]]*85%,Tabela8[[#This Row],[Provento p/Ação]])</f>
        <v>0</v>
      </c>
      <c r="K441" s="143" t="str">
        <f>IF([Lucro p/Ação]&lt;&gt;0,SUMPRODUCT(N([Papel]=Tabela8[[#This Row],[Papel]]),N([Exercício]=Tabela8[[#This Row],[Exercício]]),[Líquido p/Ação]),"")</f>
        <v/>
      </c>
      <c r="L441" s="42" t="str">
        <f>IF(Tabela8[[#This Row],[Lucro p/Ação]]="","",IF(Tabela8[[#This Row],[Lucro p/Ação]]&gt;0,Tabela8[[#This Row],[Total Exercício]]/Tabela8[[#This Row],[Lucro p/Ação]],0))</f>
        <v/>
      </c>
      <c r="M44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1" s="14" t="str">
        <f>IF(Tabela8[[#This Row],[Média Lucro p/Ação]]&lt;&gt;"",Tabela8[[#This Row],[Média Pago]]/Tabela8[[#This Row],[Média Lucro p/Ação]],"")</f>
        <v/>
      </c>
      <c r="P44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1" s="7">
        <f>SUMPRODUCT(N(Tabela1[Código]=Tabela8[[#This Row],[Papel]]),Tabela1[Fechamento])</f>
        <v>0</v>
      </c>
      <c r="R441" s="7">
        <f>SUMPRODUCT(N(Tabela17[Código]=Tabela8[[#This Row],[Papel]]),Tabela17[Fechamento])</f>
        <v>0</v>
      </c>
      <c r="S441" s="7">
        <f>SUMPRODUCT(N(Tabela176[Código]=Tabela8[[#This Row],[Papel]]),Tabela176[Fechamento])</f>
        <v>0</v>
      </c>
      <c r="T441" s="7">
        <f>SUMPRODUCT(N(Tabela1768[Código]=Tabela8[[#This Row],[Papel]]),Tabela1768[Fechamento])</f>
        <v>0</v>
      </c>
      <c r="U441" s="7">
        <f>SUMPRODUCT(N(Tabela17683[Código]=Tabela8[[#This Row],[Papel]]),Tabela17683[Fechamento])</f>
        <v>41</v>
      </c>
      <c r="V441" s="17">
        <f>IF(MAX(Tabela8[[#This Row],[Cotação 1]]:Tabela8[[#This Row],[Cotação 5]])=0,"",MAX(Tabela8[[#This Row],[Cotação 1]]:Tabela8[[#This Row],[Cotação 5]]))</f>
        <v>41</v>
      </c>
      <c r="W44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1" s="17">
        <f>IF(AND([Ref]=5,[Cotação]&gt;0,[Cotação]&lt;&gt;""),[Total Exercício]/[Cotação],IF([Ref]&lt;4,0,""))</f>
        <v>0</v>
      </c>
      <c r="Y441" s="17">
        <f>IF([Tipo]="div",1,0)</f>
        <v>0</v>
      </c>
      <c r="Z441" s="17">
        <f>IF([Tipo]="jcp",1,0)</f>
        <v>0</v>
      </c>
    </row>
    <row r="442" spans="1:26" hidden="1">
      <c r="A442" s="3" t="s">
        <v>1099</v>
      </c>
      <c r="B442" s="57" t="s">
        <v>1089</v>
      </c>
      <c r="C442" s="16">
        <v>3</v>
      </c>
      <c r="D442" s="4"/>
      <c r="E442" s="4"/>
      <c r="F442" s="4"/>
      <c r="G442" s="4"/>
      <c r="H442" s="4"/>
      <c r="I442" s="4"/>
      <c r="J442" s="17">
        <f>IF(Tabela8[[#This Row],[Tipo]]="jcp",Tabela8[[#This Row],[Provento p/Ação]]*85%,Tabela8[[#This Row],[Provento p/Ação]])</f>
        <v>0</v>
      </c>
      <c r="K442" s="143" t="str">
        <f>IF([Lucro p/Ação]&lt;&gt;0,SUMPRODUCT(N([Papel]=Tabela8[[#This Row],[Papel]]),N([Exercício]=Tabela8[[#This Row],[Exercício]]),[Líquido p/Ação]),"")</f>
        <v/>
      </c>
      <c r="L442" s="42" t="str">
        <f>IF(Tabela8[[#This Row],[Lucro p/Ação]]="","",IF(Tabela8[[#This Row],[Lucro p/Ação]]&gt;0,Tabela8[[#This Row],[Total Exercício]]/Tabela8[[#This Row],[Lucro p/Ação]],0))</f>
        <v/>
      </c>
      <c r="M44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2" s="14" t="str">
        <f>IF(Tabela8[[#This Row],[Média Lucro p/Ação]]&lt;&gt;"",Tabela8[[#This Row],[Média Pago]]/Tabela8[[#This Row],[Média Lucro p/Ação]],"")</f>
        <v/>
      </c>
      <c r="P44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2" s="7">
        <f>SUMPRODUCT(N(Tabela1[Código]=Tabela8[[#This Row],[Papel]]),Tabela1[Fechamento])</f>
        <v>0</v>
      </c>
      <c r="R442" s="7">
        <f>SUMPRODUCT(N(Tabela17[Código]=Tabela8[[#This Row],[Papel]]),Tabela17[Fechamento])</f>
        <v>0</v>
      </c>
      <c r="S442" s="7">
        <f>SUMPRODUCT(N(Tabela176[Código]=Tabela8[[#This Row],[Papel]]),Tabela176[Fechamento])</f>
        <v>0</v>
      </c>
      <c r="T442" s="7">
        <f>SUMPRODUCT(N(Tabela1768[Código]=Tabela8[[#This Row],[Papel]]),Tabela1768[Fechamento])</f>
        <v>0</v>
      </c>
      <c r="U442" s="7">
        <f>SUMPRODUCT(N(Tabela17683[Código]=Tabela8[[#This Row],[Papel]]),Tabela17683[Fechamento])</f>
        <v>44</v>
      </c>
      <c r="V442" s="17">
        <f>IF(MAX(Tabela8[[#This Row],[Cotação 1]]:Tabela8[[#This Row],[Cotação 5]])=0,"",MAX(Tabela8[[#This Row],[Cotação 1]]:Tabela8[[#This Row],[Cotação 5]]))</f>
        <v>44</v>
      </c>
      <c r="W44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2" s="17">
        <f>IF(AND([Ref]=5,[Cotação]&gt;0,[Cotação]&lt;&gt;""),[Total Exercício]/[Cotação],IF([Ref]&lt;4,0,""))</f>
        <v>0</v>
      </c>
      <c r="Y442" s="17">
        <f>IF([Tipo]="div",1,0)</f>
        <v>0</v>
      </c>
      <c r="Z442" s="17">
        <f>IF([Tipo]="jcp",1,0)</f>
        <v>0</v>
      </c>
    </row>
    <row r="443" spans="1:26" hidden="1">
      <c r="A443" s="3" t="s">
        <v>855</v>
      </c>
      <c r="B443" s="58" t="s">
        <v>1013</v>
      </c>
      <c r="C443" s="16">
        <v>3</v>
      </c>
      <c r="D443" s="4"/>
      <c r="E443" s="4"/>
      <c r="F443" s="4"/>
      <c r="G443" s="4"/>
      <c r="H443" s="4"/>
      <c r="I443" s="4"/>
      <c r="J443" s="17">
        <f>IF(Tabela8[[#This Row],[Tipo]]="jcp",Tabela8[[#This Row],[Provento p/Ação]]*85%,Tabela8[[#This Row],[Provento p/Ação]])</f>
        <v>0</v>
      </c>
      <c r="K443" s="143" t="str">
        <f>IF([Lucro p/Ação]&lt;&gt;0,SUMPRODUCT(N([Papel]=Tabela8[[#This Row],[Papel]]),N([Exercício]=Tabela8[[#This Row],[Exercício]]),[Líquido p/Ação]),"")</f>
        <v/>
      </c>
      <c r="L443" s="42" t="str">
        <f>IF(Tabela8[[#This Row],[Lucro p/Ação]]="","",IF(Tabela8[[#This Row],[Lucro p/Ação]]&gt;0,Tabela8[[#This Row],[Total Exercício]]/Tabela8[[#This Row],[Lucro p/Ação]],0))</f>
        <v/>
      </c>
      <c r="M44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3" s="14" t="str">
        <f>IF(Tabela8[[#This Row],[Média Lucro p/Ação]]&lt;&gt;"",Tabela8[[#This Row],[Média Pago]]/Tabela8[[#This Row],[Média Lucro p/Ação]],"")</f>
        <v/>
      </c>
      <c r="P44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3" s="7">
        <f>SUMPRODUCT(N(Tabela1[Código]=Tabela8[[#This Row],[Papel]]),Tabela1[Fechamento])</f>
        <v>0</v>
      </c>
      <c r="R443" s="7">
        <f>SUMPRODUCT(N(Tabela17[Código]=Tabela8[[#This Row],[Papel]]),Tabela17[Fechamento])</f>
        <v>0</v>
      </c>
      <c r="S443" s="7">
        <f>SUMPRODUCT(N(Tabela176[Código]=Tabela8[[#This Row],[Papel]]),Tabela176[Fechamento])</f>
        <v>0</v>
      </c>
      <c r="T443" s="7">
        <f>SUMPRODUCT(N(Tabela1768[Código]=Tabela8[[#This Row],[Papel]]),Tabela1768[Fechamento])</f>
        <v>0.36</v>
      </c>
      <c r="U443" s="7">
        <f>SUMPRODUCT(N(Tabela17683[Código]=Tabela8[[#This Row],[Papel]]),Tabela17683[Fechamento])</f>
        <v>0</v>
      </c>
      <c r="V443" s="17">
        <f>IF(MAX(Tabela8[[#This Row],[Cotação 1]]:Tabela8[[#This Row],[Cotação 5]])=0,"",MAX(Tabela8[[#This Row],[Cotação 1]]:Tabela8[[#This Row],[Cotação 5]]))</f>
        <v>0.36</v>
      </c>
      <c r="W44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3" s="17">
        <f>IF(AND([Ref]=5,[Cotação]&gt;0,[Cotação]&lt;&gt;""),[Total Exercício]/[Cotação],IF([Ref]&lt;4,0,""))</f>
        <v>0</v>
      </c>
      <c r="Y443" s="17">
        <f>IF([Tipo]="div",1,0)</f>
        <v>0</v>
      </c>
      <c r="Z443" s="17">
        <f>IF([Tipo]="jcp",1,0)</f>
        <v>0</v>
      </c>
    </row>
    <row r="444" spans="1:26" hidden="1">
      <c r="A444" s="3" t="s">
        <v>855</v>
      </c>
      <c r="B444" s="58" t="s">
        <v>1014</v>
      </c>
      <c r="C444" s="16">
        <v>3</v>
      </c>
      <c r="D444" s="4"/>
      <c r="E444" s="4"/>
      <c r="F444" s="4"/>
      <c r="G444" s="4"/>
      <c r="H444" s="4"/>
      <c r="I444" s="4"/>
      <c r="J444" s="17">
        <f>IF(Tabela8[[#This Row],[Tipo]]="jcp",Tabela8[[#This Row],[Provento p/Ação]]*85%,Tabela8[[#This Row],[Provento p/Ação]])</f>
        <v>0</v>
      </c>
      <c r="K444" s="143" t="str">
        <f>IF([Lucro p/Ação]&lt;&gt;0,SUMPRODUCT(N([Papel]=Tabela8[[#This Row],[Papel]]),N([Exercício]=Tabela8[[#This Row],[Exercício]]),[Líquido p/Ação]),"")</f>
        <v/>
      </c>
      <c r="L444" s="42" t="str">
        <f>IF(Tabela8[[#This Row],[Lucro p/Ação]]="","",IF(Tabela8[[#This Row],[Lucro p/Ação]]&gt;0,Tabela8[[#This Row],[Total Exercício]]/Tabela8[[#This Row],[Lucro p/Ação]],0))</f>
        <v/>
      </c>
      <c r="M44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4" s="14" t="str">
        <f>IF(Tabela8[[#This Row],[Média Lucro p/Ação]]&lt;&gt;"",Tabela8[[#This Row],[Média Pago]]/Tabela8[[#This Row],[Média Lucro p/Ação]],"")</f>
        <v/>
      </c>
      <c r="P44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4" s="7">
        <f>SUMPRODUCT(N(Tabela1[Código]=Tabela8[[#This Row],[Papel]]),Tabela1[Fechamento])</f>
        <v>0</v>
      </c>
      <c r="R444" s="7">
        <f>SUMPRODUCT(N(Tabela17[Código]=Tabela8[[#This Row],[Papel]]),Tabela17[Fechamento])</f>
        <v>0</v>
      </c>
      <c r="S444" s="7">
        <f>SUMPRODUCT(N(Tabela176[Código]=Tabela8[[#This Row],[Papel]]),Tabela176[Fechamento])</f>
        <v>0</v>
      </c>
      <c r="T444" s="7">
        <f>SUMPRODUCT(N(Tabela1768[Código]=Tabela8[[#This Row],[Papel]]),Tabela1768[Fechamento])</f>
        <v>0.42</v>
      </c>
      <c r="U444" s="7">
        <f>SUMPRODUCT(N(Tabela17683[Código]=Tabela8[[#This Row],[Papel]]),Tabela17683[Fechamento])</f>
        <v>0</v>
      </c>
      <c r="V444" s="17">
        <f>IF(MAX(Tabela8[[#This Row],[Cotação 1]]:Tabela8[[#This Row],[Cotação 5]])=0,"",MAX(Tabela8[[#This Row],[Cotação 1]]:Tabela8[[#This Row],[Cotação 5]]))</f>
        <v>0.42</v>
      </c>
      <c r="W44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4" s="17">
        <f>IF(AND([Ref]=5,[Cotação]&gt;0,[Cotação]&lt;&gt;""),[Total Exercício]/[Cotação],IF([Ref]&lt;4,0,""))</f>
        <v>0</v>
      </c>
      <c r="Y444" s="17">
        <f>IF([Tipo]="div",1,0)</f>
        <v>0</v>
      </c>
      <c r="Z444" s="17">
        <f>IF([Tipo]="jcp",1,0)</f>
        <v>0</v>
      </c>
    </row>
    <row r="445" spans="1:26" hidden="1">
      <c r="A445" s="3" t="s">
        <v>855</v>
      </c>
      <c r="B445" s="58" t="s">
        <v>1015</v>
      </c>
      <c r="C445" s="16">
        <v>3</v>
      </c>
      <c r="D445" s="4"/>
      <c r="E445" s="4"/>
      <c r="F445" s="4"/>
      <c r="G445" s="4"/>
      <c r="H445" s="4"/>
      <c r="I445" s="4"/>
      <c r="J445" s="17">
        <f>IF(Tabela8[[#This Row],[Tipo]]="jcp",Tabela8[[#This Row],[Provento p/Ação]]*85%,Tabela8[[#This Row],[Provento p/Ação]])</f>
        <v>0</v>
      </c>
      <c r="K445" s="143" t="str">
        <f>IF([Lucro p/Ação]&lt;&gt;0,SUMPRODUCT(N([Papel]=Tabela8[[#This Row],[Papel]]),N([Exercício]=Tabela8[[#This Row],[Exercício]]),[Líquido p/Ação]),"")</f>
        <v/>
      </c>
      <c r="L445" s="42" t="str">
        <f>IF(Tabela8[[#This Row],[Lucro p/Ação]]="","",IF(Tabela8[[#This Row],[Lucro p/Ação]]&gt;0,Tabela8[[#This Row],[Total Exercício]]/Tabela8[[#This Row],[Lucro p/Ação]],0))</f>
        <v/>
      </c>
      <c r="M44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5" s="14" t="str">
        <f>IF(Tabela8[[#This Row],[Média Lucro p/Ação]]&lt;&gt;"",Tabela8[[#This Row],[Média Pago]]/Tabela8[[#This Row],[Média Lucro p/Ação]],"")</f>
        <v/>
      </c>
      <c r="P44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5" s="7">
        <f>SUMPRODUCT(N(Tabela1[Código]=Tabela8[[#This Row],[Papel]]),Tabela1[Fechamento])</f>
        <v>0</v>
      </c>
      <c r="R445" s="7">
        <f>SUMPRODUCT(N(Tabela17[Código]=Tabela8[[#This Row],[Papel]]),Tabela17[Fechamento])</f>
        <v>0</v>
      </c>
      <c r="S445" s="7">
        <f>SUMPRODUCT(N(Tabela176[Código]=Tabela8[[#This Row],[Papel]]),Tabela176[Fechamento])</f>
        <v>0</v>
      </c>
      <c r="T445" s="7">
        <f>SUMPRODUCT(N(Tabela1768[Código]=Tabela8[[#This Row],[Papel]]),Tabela1768[Fechamento])</f>
        <v>0.34</v>
      </c>
      <c r="U445" s="7">
        <f>SUMPRODUCT(N(Tabela17683[Código]=Tabela8[[#This Row],[Papel]]),Tabela17683[Fechamento])</f>
        <v>0</v>
      </c>
      <c r="V445" s="17">
        <f>IF(MAX(Tabela8[[#This Row],[Cotação 1]]:Tabela8[[#This Row],[Cotação 5]])=0,"",MAX(Tabela8[[#This Row],[Cotação 1]]:Tabela8[[#This Row],[Cotação 5]]))</f>
        <v>0.34</v>
      </c>
      <c r="W44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5" s="17">
        <f>IF(AND([Ref]=5,[Cotação]&gt;0,[Cotação]&lt;&gt;""),[Total Exercício]/[Cotação],IF([Ref]&lt;4,0,""))</f>
        <v>0</v>
      </c>
      <c r="Y445" s="17">
        <f>IF([Tipo]="div",1,0)</f>
        <v>0</v>
      </c>
      <c r="Z445" s="17">
        <f>IF([Tipo]="jcp",1,0)</f>
        <v>0</v>
      </c>
    </row>
    <row r="446" spans="1:26" hidden="1">
      <c r="A446" s="3" t="s">
        <v>335</v>
      </c>
      <c r="B446" s="57" t="s">
        <v>348</v>
      </c>
      <c r="C446" s="16">
        <v>4</v>
      </c>
      <c r="D446" s="4"/>
      <c r="E446" s="4"/>
      <c r="F446" s="4"/>
      <c r="G446" s="4"/>
      <c r="H446" s="4"/>
      <c r="I446" s="4"/>
      <c r="J446" s="17">
        <f>IF(Tabela8[[#This Row],[Tipo]]="jcp",Tabela8[[#This Row],[Provento p/Ação]]*85%,Tabela8[[#This Row],[Provento p/Ação]])</f>
        <v>0</v>
      </c>
      <c r="K446" s="143" t="str">
        <f>IF([Lucro p/Ação]&lt;&gt;0,SUMPRODUCT(N([Papel]=Tabela8[[#This Row],[Papel]]),N([Exercício]=Tabela8[[#This Row],[Exercício]]),[Líquido p/Ação]),"")</f>
        <v/>
      </c>
      <c r="L446" s="42" t="str">
        <f>IF(Tabela8[[#This Row],[Lucro p/Ação]]="","",IF(Tabela8[[#This Row],[Lucro p/Ação]]&gt;0,Tabela8[[#This Row],[Total Exercício]]/Tabela8[[#This Row],[Lucro p/Ação]],0))</f>
        <v/>
      </c>
      <c r="M44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6" s="14" t="str">
        <f>IF(Tabela8[[#This Row],[Média Lucro p/Ação]]&lt;&gt;"",Tabela8[[#This Row],[Média Pago]]/Tabela8[[#This Row],[Média Lucro p/Ação]],"")</f>
        <v/>
      </c>
      <c r="P44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6" s="47">
        <f>SUMPRODUCT(N(Tabela1[Código]=Tabela8[[#This Row],[Papel]]),Tabela1[Fechamento])</f>
        <v>0</v>
      </c>
      <c r="R446" s="54">
        <f>SUMPRODUCT(N(Tabela17[Código]=Tabela8[[#This Row],[Papel]]),Tabela17[Fechamento])</f>
        <v>17.93</v>
      </c>
      <c r="S446" s="7">
        <f>SUMPRODUCT(N(Tabela176[Código]=Tabela8[[#This Row],[Papel]]),Tabela176[Fechamento])</f>
        <v>0</v>
      </c>
      <c r="T446" s="7">
        <f>SUMPRODUCT(N(Tabela1768[Código]=Tabela8[[#This Row],[Papel]]),Tabela1768[Fechamento])</f>
        <v>0</v>
      </c>
      <c r="U446" s="7">
        <f>SUMPRODUCT(N(Tabela17683[Código]=Tabela8[[#This Row],[Papel]]),Tabela17683[Fechamento])</f>
        <v>0</v>
      </c>
      <c r="V446" s="17">
        <f>IF(MAX(Tabela8[[#This Row],[Cotação 1]]:Tabela8[[#This Row],[Cotação 5]])=0,"",MAX(Tabela8[[#This Row],[Cotação 1]]:Tabela8[[#This Row],[Cotação 5]]))</f>
        <v>17.93</v>
      </c>
      <c r="W44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6" s="17" t="str">
        <f>IF(AND([Ref]=5,[Cotação]&gt;0,[Cotação]&lt;&gt;""),[Total Exercício]/[Cotação],IF([Ref]&lt;4,0,""))</f>
        <v/>
      </c>
      <c r="Y446" s="17">
        <f>IF([Tipo]="div",1,0)</f>
        <v>0</v>
      </c>
      <c r="Z446" s="17">
        <f>IF([Tipo]="jcp",1,0)</f>
        <v>0</v>
      </c>
    </row>
    <row r="447" spans="1:26" hidden="1">
      <c r="A447" s="3" t="s">
        <v>1141</v>
      </c>
      <c r="B447" s="57" t="s">
        <v>1145</v>
      </c>
      <c r="C447" s="16">
        <v>4</v>
      </c>
      <c r="D447" s="4"/>
      <c r="E447" s="4"/>
      <c r="F447" s="4"/>
      <c r="G447" s="4"/>
      <c r="H447" s="4"/>
      <c r="I447" s="4"/>
      <c r="J447" s="17">
        <f>IF(Tabela8[[#This Row],[Tipo]]="jcp",Tabela8[[#This Row],[Provento p/Ação]]*85%,Tabela8[[#This Row],[Provento p/Ação]])</f>
        <v>0</v>
      </c>
      <c r="K447" s="143" t="str">
        <f>IF([Lucro p/Ação]&lt;&gt;0,SUMPRODUCT(N([Papel]=Tabela8[[#This Row],[Papel]]),N([Exercício]=Tabela8[[#This Row],[Exercício]]),[Líquido p/Ação]),"")</f>
        <v/>
      </c>
      <c r="L447" s="42" t="str">
        <f>IF(Tabela8[[#This Row],[Lucro p/Ação]]="","",IF(Tabela8[[#This Row],[Lucro p/Ação]]&gt;0,Tabela8[[#This Row],[Total Exercício]]/Tabela8[[#This Row],[Lucro p/Ação]],0))</f>
        <v/>
      </c>
      <c r="M44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7" s="14" t="str">
        <f>IF(Tabela8[[#This Row],[Média Lucro p/Ação]]&lt;&gt;"",Tabela8[[#This Row],[Média Pago]]/Tabela8[[#This Row],[Média Lucro p/Ação]],"")</f>
        <v/>
      </c>
      <c r="P44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7" s="7">
        <f>SUMPRODUCT(N(Tabela1[Código]=Tabela8[[#This Row],[Papel]]),Tabela1[Fechamento])</f>
        <v>0</v>
      </c>
      <c r="R447" s="7">
        <f>SUMPRODUCT(N(Tabela17[Código]=Tabela8[[#This Row],[Papel]]),Tabela17[Fechamento])</f>
        <v>0</v>
      </c>
      <c r="S447" s="7">
        <f>SUMPRODUCT(N(Tabela176[Código]=Tabela8[[#This Row],[Papel]]),Tabela176[Fechamento])</f>
        <v>0</v>
      </c>
      <c r="T447" s="7">
        <f>SUMPRODUCT(N(Tabela1768[Código]=Tabela8[[#This Row],[Papel]]),Tabela1768[Fechamento])</f>
        <v>0</v>
      </c>
      <c r="U447" s="7">
        <f>SUMPRODUCT(N(Tabela17683[Código]=Tabela8[[#This Row],[Papel]]),Tabela17683[Fechamento])</f>
        <v>16.54</v>
      </c>
      <c r="V447" s="17">
        <f>IF(MAX(Tabela8[[#This Row],[Cotação 1]]:Tabela8[[#This Row],[Cotação 5]])=0,"",MAX(Tabela8[[#This Row],[Cotação 1]]:Tabela8[[#This Row],[Cotação 5]]))</f>
        <v>16.54</v>
      </c>
      <c r="W44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7" s="17" t="str">
        <f>IF(AND([Ref]=5,[Cotação]&gt;0,[Cotação]&lt;&gt;""),[Total Exercício]/[Cotação],IF([Ref]&lt;4,0,""))</f>
        <v/>
      </c>
      <c r="Y447" s="17">
        <f>IF([Tipo]="div",1,0)</f>
        <v>0</v>
      </c>
      <c r="Z447" s="17">
        <f>IF([Tipo]="jcp",1,0)</f>
        <v>0</v>
      </c>
    </row>
    <row r="448" spans="1:26" hidden="1">
      <c r="A448" s="3" t="s">
        <v>1141</v>
      </c>
      <c r="B448" s="57" t="s">
        <v>1146</v>
      </c>
      <c r="C448" s="16">
        <v>4</v>
      </c>
      <c r="D448" s="4"/>
      <c r="E448" s="4"/>
      <c r="F448" s="4"/>
      <c r="G448" s="4"/>
      <c r="H448" s="4"/>
      <c r="I448" s="4"/>
      <c r="J448" s="17">
        <f>IF(Tabela8[[#This Row],[Tipo]]="jcp",Tabela8[[#This Row],[Provento p/Ação]]*85%,Tabela8[[#This Row],[Provento p/Ação]])</f>
        <v>0</v>
      </c>
      <c r="K448" s="143" t="str">
        <f>IF([Lucro p/Ação]&lt;&gt;0,SUMPRODUCT(N([Papel]=Tabela8[[#This Row],[Papel]]),N([Exercício]=Tabela8[[#This Row],[Exercício]]),[Líquido p/Ação]),"")</f>
        <v/>
      </c>
      <c r="L448" s="42" t="str">
        <f>IF(Tabela8[[#This Row],[Lucro p/Ação]]="","",IF(Tabela8[[#This Row],[Lucro p/Ação]]&gt;0,Tabela8[[#This Row],[Total Exercício]]/Tabela8[[#This Row],[Lucro p/Ação]],0))</f>
        <v/>
      </c>
      <c r="M44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8" s="14" t="str">
        <f>IF(Tabela8[[#This Row],[Média Lucro p/Ação]]&lt;&gt;"",Tabela8[[#This Row],[Média Pago]]/Tabela8[[#This Row],[Média Lucro p/Ação]],"")</f>
        <v/>
      </c>
      <c r="P44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8" s="7">
        <f>SUMPRODUCT(N(Tabela1[Código]=Tabela8[[#This Row],[Papel]]),Tabela1[Fechamento])</f>
        <v>0</v>
      </c>
      <c r="R448" s="7">
        <f>SUMPRODUCT(N(Tabela17[Código]=Tabela8[[#This Row],[Papel]]),Tabela17[Fechamento])</f>
        <v>0</v>
      </c>
      <c r="S448" s="7">
        <f>SUMPRODUCT(N(Tabela176[Código]=Tabela8[[#This Row],[Papel]]),Tabela176[Fechamento])</f>
        <v>0</v>
      </c>
      <c r="T448" s="7">
        <f>SUMPRODUCT(N(Tabela1768[Código]=Tabela8[[#This Row],[Papel]]),Tabela1768[Fechamento])</f>
        <v>0</v>
      </c>
      <c r="U448" s="7">
        <f>SUMPRODUCT(N(Tabela17683[Código]=Tabela8[[#This Row],[Papel]]),Tabela17683[Fechamento])</f>
        <v>0</v>
      </c>
      <c r="V448" s="17" t="str">
        <f>IF(MAX(Tabela8[[#This Row],[Cotação 1]]:Tabela8[[#This Row],[Cotação 5]])=0,"",MAX(Tabela8[[#This Row],[Cotação 1]]:Tabela8[[#This Row],[Cotação 5]]))</f>
        <v/>
      </c>
      <c r="W44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8" s="17" t="str">
        <f>IF(AND([Ref]=5,[Cotação]&gt;0,[Cotação]&lt;&gt;""),[Total Exercício]/[Cotação],IF([Ref]&lt;4,0,""))</f>
        <v/>
      </c>
      <c r="Y448" s="17">
        <f>IF([Tipo]="div",1,0)</f>
        <v>0</v>
      </c>
      <c r="Z448" s="17">
        <f>IF([Tipo]="jcp",1,0)</f>
        <v>0</v>
      </c>
    </row>
    <row r="449" spans="1:26" hidden="1">
      <c r="A449" s="3" t="s">
        <v>1141</v>
      </c>
      <c r="B449" s="57" t="s">
        <v>1147</v>
      </c>
      <c r="C449" s="16">
        <v>4</v>
      </c>
      <c r="D449" s="4"/>
      <c r="E449" s="4"/>
      <c r="F449" s="4"/>
      <c r="G449" s="4"/>
      <c r="H449" s="4"/>
      <c r="I449" s="4"/>
      <c r="J449" s="17">
        <f>IF(Tabela8[[#This Row],[Tipo]]="jcp",Tabela8[[#This Row],[Provento p/Ação]]*85%,Tabela8[[#This Row],[Provento p/Ação]])</f>
        <v>0</v>
      </c>
      <c r="K449" s="143" t="str">
        <f>IF([Lucro p/Ação]&lt;&gt;0,SUMPRODUCT(N([Papel]=Tabela8[[#This Row],[Papel]]),N([Exercício]=Tabela8[[#This Row],[Exercício]]),[Líquido p/Ação]),"")</f>
        <v/>
      </c>
      <c r="L449" s="42" t="str">
        <f>IF(Tabela8[[#This Row],[Lucro p/Ação]]="","",IF(Tabela8[[#This Row],[Lucro p/Ação]]&gt;0,Tabela8[[#This Row],[Total Exercício]]/Tabela8[[#This Row],[Lucro p/Ação]],0))</f>
        <v/>
      </c>
      <c r="M44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4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49" s="14" t="str">
        <f>IF(Tabela8[[#This Row],[Média Lucro p/Ação]]&lt;&gt;"",Tabela8[[#This Row],[Média Pago]]/Tabela8[[#This Row],[Média Lucro p/Ação]],"")</f>
        <v/>
      </c>
      <c r="P44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49" s="7">
        <f>SUMPRODUCT(N(Tabela1[Código]=Tabela8[[#This Row],[Papel]]),Tabela1[Fechamento])</f>
        <v>0</v>
      </c>
      <c r="R449" s="7">
        <f>SUMPRODUCT(N(Tabela17[Código]=Tabela8[[#This Row],[Papel]]),Tabela17[Fechamento])</f>
        <v>0</v>
      </c>
      <c r="S449" s="7">
        <f>SUMPRODUCT(N(Tabela176[Código]=Tabela8[[#This Row],[Papel]]),Tabela176[Fechamento])</f>
        <v>0</v>
      </c>
      <c r="T449" s="7">
        <f>SUMPRODUCT(N(Tabela1768[Código]=Tabela8[[#This Row],[Papel]]),Tabela1768[Fechamento])</f>
        <v>0</v>
      </c>
      <c r="U449" s="7">
        <f>SUMPRODUCT(N(Tabela17683[Código]=Tabela8[[#This Row],[Papel]]),Tabela17683[Fechamento])</f>
        <v>0</v>
      </c>
      <c r="V449" s="17" t="str">
        <f>IF(MAX(Tabela8[[#This Row],[Cotação 1]]:Tabela8[[#This Row],[Cotação 5]])=0,"",MAX(Tabela8[[#This Row],[Cotação 1]]:Tabela8[[#This Row],[Cotação 5]]))</f>
        <v/>
      </c>
      <c r="W44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49" s="17" t="str">
        <f>IF(AND([Ref]=5,[Cotação]&gt;0,[Cotação]&lt;&gt;""),[Total Exercício]/[Cotação],IF([Ref]&lt;4,0,""))</f>
        <v/>
      </c>
      <c r="Y449" s="17">
        <f>IF([Tipo]="div",1,0)</f>
        <v>0</v>
      </c>
      <c r="Z449" s="17">
        <f>IF([Tipo]="jcp",1,0)</f>
        <v>0</v>
      </c>
    </row>
    <row r="450" spans="1:26" hidden="1">
      <c r="A450" s="4" t="s">
        <v>26</v>
      </c>
      <c r="B450" s="57" t="s">
        <v>57</v>
      </c>
      <c r="C450" s="16">
        <v>4</v>
      </c>
      <c r="D450" s="4"/>
      <c r="E450" s="4"/>
      <c r="F450" s="4"/>
      <c r="G450" s="4"/>
      <c r="H450" s="4"/>
      <c r="I450" s="4"/>
      <c r="J450" s="17">
        <f>IF(Tabela8[[#This Row],[Tipo]]="jcp",Tabela8[[#This Row],[Provento p/Ação]]*85%,Tabela8[[#This Row],[Provento p/Ação]])</f>
        <v>0</v>
      </c>
      <c r="K450" s="143" t="str">
        <f>IF([Lucro p/Ação]&lt;&gt;0,SUMPRODUCT(N([Papel]=Tabela8[[#This Row],[Papel]]),N([Exercício]=Tabela8[[#This Row],[Exercício]]),[Líquido p/Ação]),"")</f>
        <v/>
      </c>
      <c r="L450" s="42" t="str">
        <f>IF(Tabela8[[#This Row],[Lucro p/Ação]]="","",IF(Tabela8[[#This Row],[Lucro p/Ação]]&gt;0,Tabela8[[#This Row],[Total Exercício]]/Tabela8[[#This Row],[Lucro p/Ação]],0))</f>
        <v/>
      </c>
      <c r="M45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0" s="14" t="str">
        <f>IF(Tabela8[[#This Row],[Média Lucro p/Ação]]&lt;&gt;"",Tabela8[[#This Row],[Média Pago]]/Tabela8[[#This Row],[Média Lucro p/Ação]],"")</f>
        <v/>
      </c>
      <c r="P45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0" s="47">
        <f>SUMPRODUCT(N(Tabela1[Código]=Tabela8[[#This Row],[Papel]]),Tabela1[Fechamento])</f>
        <v>0</v>
      </c>
      <c r="R450" s="54">
        <f>SUMPRODUCT(N(Tabela17[Código]=Tabela8[[#This Row],[Papel]]),Tabela17[Fechamento])</f>
        <v>14.69</v>
      </c>
      <c r="S450" s="7">
        <f>SUMPRODUCT(N(Tabela176[Código]=Tabela8[[#This Row],[Papel]]),Tabela176[Fechamento])</f>
        <v>0</v>
      </c>
      <c r="T450" s="7">
        <f>SUMPRODUCT(N(Tabela1768[Código]=Tabela8[[#This Row],[Papel]]),Tabela1768[Fechamento])</f>
        <v>0</v>
      </c>
      <c r="U450" s="7">
        <f>SUMPRODUCT(N(Tabela17683[Código]=Tabela8[[#This Row],[Papel]]),Tabela17683[Fechamento])</f>
        <v>0</v>
      </c>
      <c r="V450" s="17">
        <f>IF(MAX(Tabela8[[#This Row],[Cotação 1]]:Tabela8[[#This Row],[Cotação 5]])=0,"",MAX(Tabela8[[#This Row],[Cotação 1]]:Tabela8[[#This Row],[Cotação 5]]))</f>
        <v>14.69</v>
      </c>
      <c r="W45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0" s="17" t="str">
        <f>IF(AND([Ref]=5,[Cotação]&gt;0,[Cotação]&lt;&gt;""),[Total Exercício]/[Cotação],IF([Ref]&lt;4,0,""))</f>
        <v/>
      </c>
      <c r="Y450" s="17">
        <f>IF([Tipo]="div",1,0)</f>
        <v>0</v>
      </c>
      <c r="Z450" s="17">
        <f>IF([Tipo]="jcp",1,0)</f>
        <v>0</v>
      </c>
    </row>
    <row r="451" spans="1:26" hidden="1">
      <c r="A451" s="4" t="s">
        <v>26</v>
      </c>
      <c r="B451" s="57" t="s">
        <v>682</v>
      </c>
      <c r="C451" s="16">
        <v>4</v>
      </c>
      <c r="D451" s="4"/>
      <c r="E451" s="4"/>
      <c r="F451" s="4"/>
      <c r="G451" s="4"/>
      <c r="H451" s="4"/>
      <c r="I451" s="4"/>
      <c r="J451" s="17">
        <f>IF(Tabela8[[#This Row],[Tipo]]="jcp",Tabela8[[#This Row],[Provento p/Ação]]*85%,Tabela8[[#This Row],[Provento p/Ação]])</f>
        <v>0</v>
      </c>
      <c r="K451" s="143" t="str">
        <f>IF([Lucro p/Ação]&lt;&gt;0,SUMPRODUCT(N([Papel]=Tabela8[[#This Row],[Papel]]),N([Exercício]=Tabela8[[#This Row],[Exercício]]),[Líquido p/Ação]),"")</f>
        <v/>
      </c>
      <c r="L451" s="42" t="str">
        <f>IF(Tabela8[[#This Row],[Lucro p/Ação]]="","",IF(Tabela8[[#This Row],[Lucro p/Ação]]&gt;0,Tabela8[[#This Row],[Total Exercício]]/Tabela8[[#This Row],[Lucro p/Ação]],0))</f>
        <v/>
      </c>
      <c r="M45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1" s="14" t="str">
        <f>IF(Tabela8[[#This Row],[Média Lucro p/Ação]]&lt;&gt;"",Tabela8[[#This Row],[Média Pago]]/Tabela8[[#This Row],[Média Lucro p/Ação]],"")</f>
        <v/>
      </c>
      <c r="P45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1" s="47">
        <f>SUMPRODUCT(N(Tabela1[Código]=Tabela8[[#This Row],[Papel]]),Tabela1[Fechamento])</f>
        <v>0</v>
      </c>
      <c r="R451" s="54">
        <f>SUMPRODUCT(N(Tabela17[Código]=Tabela8[[#This Row],[Papel]]),Tabela17[Fechamento])</f>
        <v>0</v>
      </c>
      <c r="S451" s="7">
        <f>SUMPRODUCT(N(Tabela176[Código]=Tabela8[[#This Row],[Papel]]),Tabela176[Fechamento])</f>
        <v>0</v>
      </c>
      <c r="T451" s="7">
        <f>SUMPRODUCT(N(Tabela1768[Código]=Tabela8[[#This Row],[Papel]]),Tabela1768[Fechamento])</f>
        <v>0</v>
      </c>
      <c r="U451" s="7">
        <f>SUMPRODUCT(N(Tabela17683[Código]=Tabela8[[#This Row],[Papel]]),Tabela17683[Fechamento])</f>
        <v>0</v>
      </c>
      <c r="V451" s="17" t="str">
        <f>IF(MAX(Tabela8[[#This Row],[Cotação 1]]:Tabela8[[#This Row],[Cotação 5]])=0,"",MAX(Tabela8[[#This Row],[Cotação 1]]:Tabela8[[#This Row],[Cotação 5]]))</f>
        <v/>
      </c>
      <c r="W45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1" s="17" t="str">
        <f>IF(AND([Ref]=5,[Cotação]&gt;0,[Cotação]&lt;&gt;""),[Total Exercício]/[Cotação],IF([Ref]&lt;4,0,""))</f>
        <v/>
      </c>
      <c r="Y451" s="17">
        <f>IF([Tipo]="div",1,0)</f>
        <v>0</v>
      </c>
      <c r="Z451" s="17">
        <f>IF([Tipo]="jcp",1,0)</f>
        <v>0</v>
      </c>
    </row>
    <row r="452" spans="1:26" hidden="1">
      <c r="A452" s="4" t="s">
        <v>26</v>
      </c>
      <c r="B452" s="57" t="s">
        <v>683</v>
      </c>
      <c r="C452" s="15">
        <v>4</v>
      </c>
      <c r="D452" s="4"/>
      <c r="E452" s="4"/>
      <c r="F452" s="4"/>
      <c r="G452" s="4"/>
      <c r="H452" s="4"/>
      <c r="I452" s="4"/>
      <c r="J452" s="17">
        <f>IF(Tabela8[[#This Row],[Tipo]]="jcp",Tabela8[[#This Row],[Provento p/Ação]]*85%,Tabela8[[#This Row],[Provento p/Ação]])</f>
        <v>0</v>
      </c>
      <c r="K452" s="143" t="str">
        <f>IF([Lucro p/Ação]&lt;&gt;0,SUMPRODUCT(N([Papel]=Tabela8[[#This Row],[Papel]]),N([Exercício]=Tabela8[[#This Row],[Exercício]]),[Líquido p/Ação]),"")</f>
        <v/>
      </c>
      <c r="L452" s="42" t="str">
        <f>IF(Tabela8[[#This Row],[Lucro p/Ação]]="","",IF(Tabela8[[#This Row],[Lucro p/Ação]]&gt;0,Tabela8[[#This Row],[Total Exercício]]/Tabela8[[#This Row],[Lucro p/Ação]],0))</f>
        <v/>
      </c>
      <c r="M45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2" s="14" t="str">
        <f>IF(Tabela8[[#This Row],[Média Lucro p/Ação]]&lt;&gt;"",Tabela8[[#This Row],[Média Pago]]/Tabela8[[#This Row],[Média Lucro p/Ação]],"")</f>
        <v/>
      </c>
      <c r="P45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2" s="13">
        <f>SUMPRODUCT(N(Tabela1[Código]=Tabela8[[#This Row],[Papel]]),Tabela1[Fechamento])</f>
        <v>0</v>
      </c>
      <c r="R452" s="13">
        <f>SUMPRODUCT(N(Tabela17[Código]=Tabela8[[#This Row],[Papel]]),Tabela17[Fechamento])</f>
        <v>0</v>
      </c>
      <c r="S452" s="7">
        <f>SUMPRODUCT(N(Tabela176[Código]=Tabela8[[#This Row],[Papel]]),Tabela176[Fechamento])</f>
        <v>0</v>
      </c>
      <c r="T452" s="7">
        <f>SUMPRODUCT(N(Tabela1768[Código]=Tabela8[[#This Row],[Papel]]),Tabela1768[Fechamento])</f>
        <v>0</v>
      </c>
      <c r="U452" s="7">
        <f>SUMPRODUCT(N(Tabela17683[Código]=Tabela8[[#This Row],[Papel]]),Tabela17683[Fechamento])</f>
        <v>0</v>
      </c>
      <c r="V452" s="17" t="str">
        <f>IF(MAX(Tabela8[[#This Row],[Cotação 1]]:Tabela8[[#This Row],[Cotação 5]])=0,"",MAX(Tabela8[[#This Row],[Cotação 1]]:Tabela8[[#This Row],[Cotação 5]]))</f>
        <v/>
      </c>
      <c r="W45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2" s="17" t="str">
        <f>IF(AND([Ref]=5,[Cotação]&gt;0,[Cotação]&lt;&gt;""),[Total Exercício]/[Cotação],IF([Ref]&lt;4,0,""))</f>
        <v/>
      </c>
      <c r="Y452" s="17">
        <f>IF([Tipo]="div",1,0)</f>
        <v>0</v>
      </c>
      <c r="Z452" s="17">
        <f>IF([Tipo]="jcp",1,0)</f>
        <v>0</v>
      </c>
    </row>
    <row r="453" spans="1:26" hidden="1">
      <c r="A453" s="3" t="s">
        <v>1085</v>
      </c>
      <c r="B453" s="57" t="s">
        <v>1068</v>
      </c>
      <c r="C453" s="16">
        <v>3</v>
      </c>
      <c r="D453" s="4"/>
      <c r="E453" s="4"/>
      <c r="F453" s="4"/>
      <c r="G453" s="4"/>
      <c r="H453" s="4"/>
      <c r="I453" s="4"/>
      <c r="J453" s="17">
        <f>IF(Tabela8[[#This Row],[Tipo]]="jcp",Tabela8[[#This Row],[Provento p/Ação]]*85%,Tabela8[[#This Row],[Provento p/Ação]])</f>
        <v>0</v>
      </c>
      <c r="K453" s="143" t="str">
        <f>IF([Lucro p/Ação]&lt;&gt;0,SUMPRODUCT(N([Papel]=Tabela8[[#This Row],[Papel]]),N([Exercício]=Tabela8[[#This Row],[Exercício]]),[Líquido p/Ação]),"")</f>
        <v/>
      </c>
      <c r="L453" s="42" t="str">
        <f>IF(Tabela8[[#This Row],[Lucro p/Ação]]="","",IF(Tabela8[[#This Row],[Lucro p/Ação]]&gt;0,Tabela8[[#This Row],[Total Exercício]]/Tabela8[[#This Row],[Lucro p/Ação]],0))</f>
        <v/>
      </c>
      <c r="M45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3" s="14" t="str">
        <f>IF(Tabela8[[#This Row],[Média Lucro p/Ação]]&lt;&gt;"",Tabela8[[#This Row],[Média Pago]]/Tabela8[[#This Row],[Média Lucro p/Ação]],"")</f>
        <v/>
      </c>
      <c r="P45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3" s="7">
        <f>SUMPRODUCT(N(Tabela1[Código]=Tabela8[[#This Row],[Papel]]),Tabela1[Fechamento])</f>
        <v>0</v>
      </c>
      <c r="R453" s="7">
        <f>SUMPRODUCT(N(Tabela17[Código]=Tabela8[[#This Row],[Papel]]),Tabela17[Fechamento])</f>
        <v>0</v>
      </c>
      <c r="S453" s="7">
        <f>SUMPRODUCT(N(Tabela176[Código]=Tabela8[[#This Row],[Papel]]),Tabela176[Fechamento])</f>
        <v>0</v>
      </c>
      <c r="T453" s="7">
        <f>SUMPRODUCT(N(Tabela1768[Código]=Tabela8[[#This Row],[Papel]]),Tabela1768[Fechamento])</f>
        <v>0</v>
      </c>
      <c r="U453" s="7">
        <f>SUMPRODUCT(N(Tabela17683[Código]=Tabela8[[#This Row],[Papel]]),Tabela17683[Fechamento])</f>
        <v>1.1499999999999999</v>
      </c>
      <c r="V453" s="17">
        <f>IF(MAX(Tabela8[[#This Row],[Cotação 1]]:Tabela8[[#This Row],[Cotação 5]])=0,"",MAX(Tabela8[[#This Row],[Cotação 1]]:Tabela8[[#This Row],[Cotação 5]]))</f>
        <v>1.1499999999999999</v>
      </c>
      <c r="W45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3" s="17">
        <f>IF(AND([Ref]=5,[Cotação]&gt;0,[Cotação]&lt;&gt;""),[Total Exercício]/[Cotação],IF([Ref]&lt;4,0,""))</f>
        <v>0</v>
      </c>
      <c r="Y453" s="17">
        <f>IF([Tipo]="div",1,0)</f>
        <v>0</v>
      </c>
      <c r="Z453" s="17">
        <f>IF([Tipo]="jcp",1,0)</f>
        <v>0</v>
      </c>
    </row>
    <row r="454" spans="1:26" hidden="1">
      <c r="A454" s="3" t="s">
        <v>1085</v>
      </c>
      <c r="B454" s="57" t="s">
        <v>1069</v>
      </c>
      <c r="C454" s="16">
        <v>3</v>
      </c>
      <c r="D454" s="4"/>
      <c r="E454" s="4"/>
      <c r="F454" s="4"/>
      <c r="G454" s="4"/>
      <c r="H454" s="4"/>
      <c r="I454" s="4"/>
      <c r="J454" s="17">
        <f>IF(Tabela8[[#This Row],[Tipo]]="jcp",Tabela8[[#This Row],[Provento p/Ação]]*85%,Tabela8[[#This Row],[Provento p/Ação]])</f>
        <v>0</v>
      </c>
      <c r="K454" s="143" t="str">
        <f>IF([Lucro p/Ação]&lt;&gt;0,SUMPRODUCT(N([Papel]=Tabela8[[#This Row],[Papel]]),N([Exercício]=Tabela8[[#This Row],[Exercício]]),[Líquido p/Ação]),"")</f>
        <v/>
      </c>
      <c r="L454" s="42" t="str">
        <f>IF(Tabela8[[#This Row],[Lucro p/Ação]]="","",IF(Tabela8[[#This Row],[Lucro p/Ação]]&gt;0,Tabela8[[#This Row],[Total Exercício]]/Tabela8[[#This Row],[Lucro p/Ação]],0))</f>
        <v/>
      </c>
      <c r="M45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4" s="14" t="str">
        <f>IF(Tabela8[[#This Row],[Média Lucro p/Ação]]&lt;&gt;"",Tabela8[[#This Row],[Média Pago]]/Tabela8[[#This Row],[Média Lucro p/Ação]],"")</f>
        <v/>
      </c>
      <c r="P45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4" s="7">
        <f>SUMPRODUCT(N(Tabela1[Código]=Tabela8[[#This Row],[Papel]]),Tabela1[Fechamento])</f>
        <v>0</v>
      </c>
      <c r="R454" s="7">
        <f>SUMPRODUCT(N(Tabela17[Código]=Tabela8[[#This Row],[Papel]]),Tabela17[Fechamento])</f>
        <v>0</v>
      </c>
      <c r="S454" s="7">
        <f>SUMPRODUCT(N(Tabela176[Código]=Tabela8[[#This Row],[Papel]]),Tabela176[Fechamento])</f>
        <v>0</v>
      </c>
      <c r="T454" s="7">
        <f>SUMPRODUCT(N(Tabela1768[Código]=Tabela8[[#This Row],[Papel]]),Tabela1768[Fechamento])</f>
        <v>0</v>
      </c>
      <c r="U454" s="7">
        <f>SUMPRODUCT(N(Tabela17683[Código]=Tabela8[[#This Row],[Papel]]),Tabela17683[Fechamento])</f>
        <v>1</v>
      </c>
      <c r="V454" s="17">
        <f>IF(MAX(Tabela8[[#This Row],[Cotação 1]]:Tabela8[[#This Row],[Cotação 5]])=0,"",MAX(Tabela8[[#This Row],[Cotação 1]]:Tabela8[[#This Row],[Cotação 5]]))</f>
        <v>1</v>
      </c>
      <c r="W45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4" s="17">
        <f>IF(AND([Ref]=5,[Cotação]&gt;0,[Cotação]&lt;&gt;""),[Total Exercício]/[Cotação],IF([Ref]&lt;4,0,""))</f>
        <v>0</v>
      </c>
      <c r="Y454" s="17">
        <f>IF([Tipo]="div",1,0)</f>
        <v>0</v>
      </c>
      <c r="Z454" s="17">
        <f>IF([Tipo]="jcp",1,0)</f>
        <v>0</v>
      </c>
    </row>
    <row r="455" spans="1:26" hidden="1">
      <c r="A455" s="4" t="s">
        <v>19</v>
      </c>
      <c r="B455" s="57" t="s">
        <v>667</v>
      </c>
      <c r="C455" s="15">
        <v>4</v>
      </c>
      <c r="D455" s="4"/>
      <c r="E455" s="4"/>
      <c r="F455" s="4"/>
      <c r="G455" s="4"/>
      <c r="H455" s="4"/>
      <c r="I455" s="4"/>
      <c r="J455" s="17">
        <f>IF(Tabela8[[#This Row],[Tipo]]="jcp",Tabela8[[#This Row],[Provento p/Ação]]*85%,Tabela8[[#This Row],[Provento p/Ação]])</f>
        <v>0</v>
      </c>
      <c r="K455" s="143" t="str">
        <f>IF([Lucro p/Ação]&lt;&gt;0,SUMPRODUCT(N([Papel]=Tabela8[[#This Row],[Papel]]),N([Exercício]=Tabela8[[#This Row],[Exercício]]),[Líquido p/Ação]),"")</f>
        <v/>
      </c>
      <c r="L455" s="42" t="str">
        <f>IF(Tabela8[[#This Row],[Lucro p/Ação]]="","",IF(Tabela8[[#This Row],[Lucro p/Ação]]&gt;0,Tabela8[[#This Row],[Total Exercício]]/Tabela8[[#This Row],[Lucro p/Ação]],0))</f>
        <v/>
      </c>
      <c r="M45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5" s="14" t="str">
        <f>IF(Tabela8[[#This Row],[Média Lucro p/Ação]]&lt;&gt;"",Tabela8[[#This Row],[Média Pago]]/Tabela8[[#This Row],[Média Lucro p/Ação]],"")</f>
        <v/>
      </c>
      <c r="P45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5" s="13">
        <f>SUMPRODUCT(N(Tabela1[Código]=Tabela8[[#This Row],[Papel]]),Tabela1[Fechamento])</f>
        <v>0</v>
      </c>
      <c r="R455" s="13">
        <f>SUMPRODUCT(N(Tabela17[Código]=Tabela8[[#This Row],[Papel]]),Tabela17[Fechamento])</f>
        <v>0</v>
      </c>
      <c r="S455" s="7">
        <f>SUMPRODUCT(N(Tabela176[Código]=Tabela8[[#This Row],[Papel]]),Tabela176[Fechamento])</f>
        <v>4</v>
      </c>
      <c r="T455" s="7">
        <f>SUMPRODUCT(N(Tabela1768[Código]=Tabela8[[#This Row],[Papel]]),Tabela1768[Fechamento])</f>
        <v>0</v>
      </c>
      <c r="U455" s="7">
        <f>SUMPRODUCT(N(Tabela17683[Código]=Tabela8[[#This Row],[Papel]]),Tabela17683[Fechamento])</f>
        <v>0</v>
      </c>
      <c r="V455" s="17">
        <f>IF(MAX(Tabela8[[#This Row],[Cotação 1]]:Tabela8[[#This Row],[Cotação 5]])=0,"",MAX(Tabela8[[#This Row],[Cotação 1]]:Tabela8[[#This Row],[Cotação 5]]))</f>
        <v>4</v>
      </c>
      <c r="W45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5" s="17" t="str">
        <f>IF(AND([Ref]=5,[Cotação]&gt;0,[Cotação]&lt;&gt;""),[Total Exercício]/[Cotação],IF([Ref]&lt;4,0,""))</f>
        <v/>
      </c>
      <c r="Y455" s="17">
        <f>IF([Tipo]="div",1,0)</f>
        <v>0</v>
      </c>
      <c r="Z455" s="17">
        <f>IF([Tipo]="jcp",1,0)</f>
        <v>0</v>
      </c>
    </row>
    <row r="456" spans="1:26" hidden="1">
      <c r="A456" s="4" t="s">
        <v>19</v>
      </c>
      <c r="B456" s="57" t="s">
        <v>18</v>
      </c>
      <c r="C456" s="15">
        <v>3</v>
      </c>
      <c r="D456" s="4"/>
      <c r="E456" s="4"/>
      <c r="F456" s="4"/>
      <c r="G456" s="4"/>
      <c r="H456" s="4"/>
      <c r="I456" s="4"/>
      <c r="J456" s="17">
        <f>IF(Tabela8[[#This Row],[Tipo]]="jcp",Tabela8[[#This Row],[Provento p/Ação]]*85%,Tabela8[[#This Row],[Provento p/Ação]])</f>
        <v>0</v>
      </c>
      <c r="K456" s="143" t="str">
        <f>IF([Lucro p/Ação]&lt;&gt;0,SUMPRODUCT(N([Papel]=Tabela8[[#This Row],[Papel]]),N([Exercício]=Tabela8[[#This Row],[Exercício]]),[Líquido p/Ação]),"")</f>
        <v/>
      </c>
      <c r="L456" s="42" t="str">
        <f>IF(Tabela8[[#This Row],[Lucro p/Ação]]="","",IF(Tabela8[[#This Row],[Lucro p/Ação]]&gt;0,Tabela8[[#This Row],[Total Exercício]]/Tabela8[[#This Row],[Lucro p/Ação]],0))</f>
        <v/>
      </c>
      <c r="M4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6" s="14" t="str">
        <f>IF(Tabela8[[#This Row],[Média Lucro p/Ação]]&lt;&gt;"",Tabela8[[#This Row],[Média Pago]]/Tabela8[[#This Row],[Média Lucro p/Ação]],"")</f>
        <v/>
      </c>
      <c r="P4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6" s="5">
        <f>SUMPRODUCT(N(Tabela1[Código]=Tabela8[[#This Row],[Papel]]),Tabela1[Fechamento])</f>
        <v>8.92</v>
      </c>
      <c r="R456" s="5">
        <f>SUMPRODUCT(N(Tabela17[Código]=Tabela8[[#This Row],[Papel]]),Tabela17[Fechamento])</f>
        <v>0</v>
      </c>
      <c r="S456" s="7">
        <f>SUMPRODUCT(N(Tabela176[Código]=Tabela8[[#This Row],[Papel]]),Tabela176[Fechamento])</f>
        <v>0</v>
      </c>
      <c r="T456" s="7">
        <f>SUMPRODUCT(N(Tabela1768[Código]=Tabela8[[#This Row],[Papel]]),Tabela1768[Fechamento])</f>
        <v>0</v>
      </c>
      <c r="U456" s="7">
        <f>SUMPRODUCT(N(Tabela17683[Código]=Tabela8[[#This Row],[Papel]]),Tabela17683[Fechamento])</f>
        <v>0</v>
      </c>
      <c r="V456" s="17">
        <f>IF(MAX(Tabela8[[#This Row],[Cotação 1]]:Tabela8[[#This Row],[Cotação 5]])=0,"",MAX(Tabela8[[#This Row],[Cotação 1]]:Tabela8[[#This Row],[Cotação 5]]))</f>
        <v>8.92</v>
      </c>
      <c r="W45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6" s="17">
        <f>IF(AND([Ref]=5,[Cotação]&gt;0,[Cotação]&lt;&gt;""),[Total Exercício]/[Cotação],IF([Ref]&lt;4,0,""))</f>
        <v>0</v>
      </c>
      <c r="Y456" s="17">
        <f>IF([Tipo]="div",1,0)</f>
        <v>0</v>
      </c>
      <c r="Z456" s="17">
        <f>IF([Tipo]="jcp",1,0)</f>
        <v>0</v>
      </c>
    </row>
    <row r="457" spans="1:26" hidden="1">
      <c r="A457" s="4" t="s">
        <v>19</v>
      </c>
      <c r="B457" s="57" t="s">
        <v>183</v>
      </c>
      <c r="C457" s="15">
        <v>3</v>
      </c>
      <c r="D457" s="4"/>
      <c r="E457" s="4"/>
      <c r="F457" s="4"/>
      <c r="G457" s="4"/>
      <c r="H457" s="4"/>
      <c r="I457" s="4"/>
      <c r="J457" s="17">
        <f>IF(Tabela8[[#This Row],[Tipo]]="jcp",Tabela8[[#This Row],[Provento p/Ação]]*85%,Tabela8[[#This Row],[Provento p/Ação]])</f>
        <v>0</v>
      </c>
      <c r="K457" s="143" t="str">
        <f>IF([Lucro p/Ação]&lt;&gt;0,SUMPRODUCT(N([Papel]=Tabela8[[#This Row],[Papel]]),N([Exercício]=Tabela8[[#This Row],[Exercício]]),[Líquido p/Ação]),"")</f>
        <v/>
      </c>
      <c r="L457" s="42" t="str">
        <f>IF(Tabela8[[#This Row],[Lucro p/Ação]]="","",IF(Tabela8[[#This Row],[Lucro p/Ação]]&gt;0,Tabela8[[#This Row],[Total Exercício]]/Tabela8[[#This Row],[Lucro p/Ação]],0))</f>
        <v/>
      </c>
      <c r="M4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7" s="14" t="str">
        <f>IF(Tabela8[[#This Row],[Média Lucro p/Ação]]&lt;&gt;"",Tabela8[[#This Row],[Média Pago]]/Tabela8[[#This Row],[Média Lucro p/Ação]],"")</f>
        <v/>
      </c>
      <c r="P4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7" s="5">
        <f>SUMPRODUCT(N(Tabela1[Código]=Tabela8[[#This Row],[Papel]]),Tabela1[Fechamento])</f>
        <v>7.8</v>
      </c>
      <c r="R457" s="5">
        <f>SUMPRODUCT(N(Tabela17[Código]=Tabela8[[#This Row],[Papel]]),Tabela17[Fechamento])</f>
        <v>0</v>
      </c>
      <c r="S457" s="7">
        <f>SUMPRODUCT(N(Tabela176[Código]=Tabela8[[#This Row],[Papel]]),Tabela176[Fechamento])</f>
        <v>0</v>
      </c>
      <c r="T457" s="7">
        <f>SUMPRODUCT(N(Tabela1768[Código]=Tabela8[[#This Row],[Papel]]),Tabela1768[Fechamento])</f>
        <v>0</v>
      </c>
      <c r="U457" s="7">
        <f>SUMPRODUCT(N(Tabela17683[Código]=Tabela8[[#This Row],[Papel]]),Tabela17683[Fechamento])</f>
        <v>0</v>
      </c>
      <c r="V457" s="17">
        <f>IF(MAX(Tabela8[[#This Row],[Cotação 1]]:Tabela8[[#This Row],[Cotação 5]])=0,"",MAX(Tabela8[[#This Row],[Cotação 1]]:Tabela8[[#This Row],[Cotação 5]]))</f>
        <v>7.8</v>
      </c>
      <c r="W45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7" s="17">
        <f>IF(AND([Ref]=5,[Cotação]&gt;0,[Cotação]&lt;&gt;""),[Total Exercício]/[Cotação],IF([Ref]&lt;4,0,""))</f>
        <v>0</v>
      </c>
      <c r="Y457" s="17">
        <f>IF([Tipo]="div",1,0)</f>
        <v>0</v>
      </c>
      <c r="Z457" s="17">
        <f>IF([Tipo]="jcp",1,0)</f>
        <v>0</v>
      </c>
    </row>
    <row r="458" spans="1:26" hidden="1">
      <c r="A458" s="4" t="s">
        <v>12</v>
      </c>
      <c r="B458" s="131" t="s">
        <v>67</v>
      </c>
      <c r="C458" s="15">
        <v>4</v>
      </c>
      <c r="D458" s="14">
        <v>2011</v>
      </c>
      <c r="E458" s="4" t="s">
        <v>1468</v>
      </c>
      <c r="F458" s="137"/>
      <c r="G458" s="46">
        <v>40662</v>
      </c>
      <c r="H458" s="46">
        <v>40681</v>
      </c>
      <c r="I458" s="133">
        <v>2.4469400000000001</v>
      </c>
      <c r="J458" s="133">
        <f>IF(Tabela8[[#This Row],[Tipo]]="jcp",Tabela8[[#This Row],[Provento p/Ação]]*85%,Tabela8[[#This Row],[Provento p/Ação]])</f>
        <v>2.4469400000000001</v>
      </c>
      <c r="K458" s="143" t="str">
        <f>IF([Lucro p/Ação]&lt;&gt;0,SUMPRODUCT(N([Papel]=Tabela8[[#This Row],[Papel]]),N([Exercício]=Tabela8[[#This Row],[Exercício]]),[Líquido p/Ação]),"")</f>
        <v/>
      </c>
      <c r="L458" s="19" t="str">
        <f>IF(Tabela8[[#This Row],[Lucro p/Ação]]="","",IF(Tabela8[[#This Row],[Lucro p/Ação]]&gt;0,Tabela8[[#This Row],[Total Exercício]]/Tabela8[[#This Row],[Lucro p/Ação]],0))</f>
        <v/>
      </c>
      <c r="M45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8" s="19" t="str">
        <f>IF(Tabela8[[#This Row],[Média Lucro p/Ação]]&lt;&gt;"",Tabela8[[#This Row],[Média Pago]]/Tabela8[[#This Row],[Média Lucro p/Ação]],"")</f>
        <v/>
      </c>
      <c r="P45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8" s="7">
        <f>SUMPRODUCT(N(Tabela1[Código]=Tabela8[[#This Row],[Papel]]),Tabela1[Fechamento])</f>
        <v>7.13</v>
      </c>
      <c r="R458" s="7">
        <f>SUMPRODUCT(N(Tabela17[Código]=Tabela8[[#This Row],[Papel]]),Tabela17[Fechamento])</f>
        <v>0</v>
      </c>
      <c r="S458" s="7">
        <f>SUMPRODUCT(N(Tabela176[Código]=Tabela8[[#This Row],[Papel]]),Tabela176[Fechamento])</f>
        <v>0</v>
      </c>
      <c r="T458" s="7">
        <f>SUMPRODUCT(N(Tabela1768[Código]=Tabela8[[#This Row],[Papel]]),Tabela1768[Fechamento])</f>
        <v>0</v>
      </c>
      <c r="U458" s="7">
        <f>SUMPRODUCT(N(Tabela17683[Código]=Tabela8[[#This Row],[Papel]]),Tabela17683[Fechamento])</f>
        <v>0</v>
      </c>
      <c r="V458" s="17">
        <f>IF(MAX(Tabela8[[#This Row],[Cotação 1]]:Tabela8[[#This Row],[Cotação 5]])=0,"",MAX(Tabela8[[#This Row],[Cotação 1]]:Tabela8[[#This Row],[Cotação 5]]))</f>
        <v>7.13</v>
      </c>
      <c r="W4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8" s="19" t="str">
        <f>IF(AND([Ref]=5,[Cotação]&gt;0,[Cotação]&lt;&gt;""),[Total Exercício]/[Cotação],IF([Ref]&lt;4,0,""))</f>
        <v/>
      </c>
      <c r="Y458" s="17">
        <f>IF([Tipo]="div",1,0)</f>
        <v>1</v>
      </c>
      <c r="Z458" s="17">
        <f>IF([Tipo]="jcp",1,0)</f>
        <v>0</v>
      </c>
    </row>
    <row r="459" spans="1:26" hidden="1">
      <c r="A459" s="4" t="s">
        <v>12</v>
      </c>
      <c r="B459" s="131" t="s">
        <v>67</v>
      </c>
      <c r="C459" s="15">
        <v>4</v>
      </c>
      <c r="D459" s="14">
        <v>2011</v>
      </c>
      <c r="E459" s="4" t="s">
        <v>1468</v>
      </c>
      <c r="F459" s="137"/>
      <c r="G459" s="46">
        <v>40765</v>
      </c>
      <c r="H459" s="46">
        <v>40809</v>
      </c>
      <c r="I459" s="133">
        <v>1.3465</v>
      </c>
      <c r="J459" s="133">
        <f>IF(Tabela8[[#This Row],[Tipo]]="jcp",Tabela8[[#This Row],[Provento p/Ação]]*85%,Tabela8[[#This Row],[Provento p/Ação]])</f>
        <v>1.3465</v>
      </c>
      <c r="K459" s="143" t="str">
        <f>IF([Lucro p/Ação]&lt;&gt;0,SUMPRODUCT(N([Papel]=Tabela8[[#This Row],[Papel]]),N([Exercício]=Tabela8[[#This Row],[Exercício]]),[Líquido p/Ação]),"")</f>
        <v/>
      </c>
      <c r="L459" s="19" t="str">
        <f>IF(Tabela8[[#This Row],[Lucro p/Ação]]="","",IF(Tabela8[[#This Row],[Lucro p/Ação]]&gt;0,Tabela8[[#This Row],[Total Exercício]]/Tabela8[[#This Row],[Lucro p/Ação]],0))</f>
        <v/>
      </c>
      <c r="M4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5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59" s="19" t="str">
        <f>IF(Tabela8[[#This Row],[Média Lucro p/Ação]]&lt;&gt;"",Tabela8[[#This Row],[Média Pago]]/Tabela8[[#This Row],[Média Lucro p/Ação]],"")</f>
        <v/>
      </c>
      <c r="P45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59" s="7">
        <f>SUMPRODUCT(N(Tabela1[Código]=Tabela8[[#This Row],[Papel]]),Tabela1[Fechamento])</f>
        <v>7.13</v>
      </c>
      <c r="R459" s="7">
        <f>SUMPRODUCT(N(Tabela17[Código]=Tabela8[[#This Row],[Papel]]),Tabela17[Fechamento])</f>
        <v>0</v>
      </c>
      <c r="S459" s="7">
        <f>SUMPRODUCT(N(Tabela176[Código]=Tabela8[[#This Row],[Papel]]),Tabela176[Fechamento])</f>
        <v>0</v>
      </c>
      <c r="T459" s="7">
        <f>SUMPRODUCT(N(Tabela1768[Código]=Tabela8[[#This Row],[Papel]]),Tabela1768[Fechamento])</f>
        <v>0</v>
      </c>
      <c r="U459" s="7">
        <f>SUMPRODUCT(N(Tabela17683[Código]=Tabela8[[#This Row],[Papel]]),Tabela17683[Fechamento])</f>
        <v>0</v>
      </c>
      <c r="V459" s="17">
        <f>IF(MAX(Tabela8[[#This Row],[Cotação 1]]:Tabela8[[#This Row],[Cotação 5]])=0,"",MAX(Tabela8[[#This Row],[Cotação 1]]:Tabela8[[#This Row],[Cotação 5]]))</f>
        <v>7.13</v>
      </c>
      <c r="W4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59" s="19" t="str">
        <f>IF(AND([Ref]=5,[Cotação]&gt;0,[Cotação]&lt;&gt;""),[Total Exercício]/[Cotação],IF([Ref]&lt;4,0,""))</f>
        <v/>
      </c>
      <c r="Y459" s="17">
        <f>IF([Tipo]="div",1,0)</f>
        <v>1</v>
      </c>
      <c r="Z459" s="17">
        <f>IF([Tipo]="jcp",1,0)</f>
        <v>0</v>
      </c>
    </row>
    <row r="460" spans="1:26" hidden="1">
      <c r="A460" s="4" t="s">
        <v>12</v>
      </c>
      <c r="B460" s="131" t="s">
        <v>67</v>
      </c>
      <c r="C460" s="15">
        <v>5</v>
      </c>
      <c r="D460" s="14">
        <v>2011</v>
      </c>
      <c r="E460" s="4" t="s">
        <v>1475</v>
      </c>
      <c r="F460" s="137">
        <v>4.5958399999999999</v>
      </c>
      <c r="G460" s="46">
        <v>40883</v>
      </c>
      <c r="H460" s="46">
        <v>41045</v>
      </c>
      <c r="I460" s="133">
        <v>0.22078</v>
      </c>
      <c r="J460" s="133">
        <f>IF(Tabela8[[#This Row],[Tipo]]="jcp",Tabela8[[#This Row],[Provento p/Ação]]*85%,Tabela8[[#This Row],[Provento p/Ação]])</f>
        <v>0.187663</v>
      </c>
      <c r="K460" s="143">
        <f>IF([Lucro p/Ação]&lt;&gt;0,SUMPRODUCT(N([Papel]=Tabela8[[#This Row],[Papel]]),N([Exercício]=Tabela8[[#This Row],[Exercício]]),[Líquido p/Ação]),"")</f>
        <v>5.6366630000000004</v>
      </c>
      <c r="L460" s="19">
        <f>IF(Tabela8[[#This Row],[Lucro p/Ação]]="","",IF(Tabela8[[#This Row],[Lucro p/Ação]]&gt;0,Tabela8[[#This Row],[Total Exercício]]/Tabela8[[#This Row],[Lucro p/Ação]],0))</f>
        <v>1.2264706778303858</v>
      </c>
      <c r="M46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-0.30466150340599873</v>
      </c>
      <c r="N46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1.3273988636363638</v>
      </c>
      <c r="O460" s="19">
        <f>IF(Tabela8[[#This Row],[Média Lucro p/Ação]]&lt;&gt;"",Tabela8[[#This Row],[Média Pago]]/Tabela8[[#This Row],[Média Lucro p/Ação]],"")</f>
        <v>-4.3569628876525384</v>
      </c>
      <c r="P46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0" s="7">
        <f>SUMPRODUCT(N(Tabela1[Código]=Tabela8[[#This Row],[Papel]]),Tabela1[Fechamento])</f>
        <v>7.13</v>
      </c>
      <c r="R460" s="7">
        <f>SUMPRODUCT(N(Tabela17[Código]=Tabela8[[#This Row],[Papel]]),Tabela17[Fechamento])</f>
        <v>0</v>
      </c>
      <c r="S460" s="7">
        <f>SUMPRODUCT(N(Tabela176[Código]=Tabela8[[#This Row],[Papel]]),Tabela176[Fechamento])</f>
        <v>0</v>
      </c>
      <c r="T460" s="7">
        <f>SUMPRODUCT(N(Tabela1768[Código]=Tabela8[[#This Row],[Papel]]),Tabela1768[Fechamento])</f>
        <v>0</v>
      </c>
      <c r="U460" s="7">
        <f>SUMPRODUCT(N(Tabela17683[Código]=Tabela8[[#This Row],[Papel]]),Tabela17683[Fechamento])</f>
        <v>0</v>
      </c>
      <c r="V460" s="17">
        <f>IF(MAX(Tabela8[[#This Row],[Cotação 1]]:Tabela8[[#This Row],[Cotação 5]])=0,"",MAX(Tabela8[[#This Row],[Cotação 1]]:Tabela8[[#This Row],[Cotação 5]]))</f>
        <v>7.13</v>
      </c>
      <c r="W4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0" s="19">
        <f>IF(AND([Ref]=5,[Cotação]&gt;0,[Cotação]&lt;&gt;""),[Total Exercício]/[Cotação],IF([Ref]&lt;4,0,""))</f>
        <v>0.79055582047685846</v>
      </c>
      <c r="Y460" s="17">
        <f>IF([Tipo]="div",1,0)</f>
        <v>0</v>
      </c>
      <c r="Z460" s="17">
        <f>IF([Tipo]="jcp",1,0)</f>
        <v>1</v>
      </c>
    </row>
    <row r="461" spans="1:26" hidden="1">
      <c r="A461" s="4" t="s">
        <v>12</v>
      </c>
      <c r="B461" s="3" t="s">
        <v>171</v>
      </c>
      <c r="C461" s="15">
        <v>4</v>
      </c>
      <c r="D461" s="14">
        <v>2010</v>
      </c>
      <c r="E461" s="4" t="s">
        <v>1468</v>
      </c>
      <c r="F461" s="4"/>
      <c r="G461" s="46">
        <v>40402</v>
      </c>
      <c r="H461" s="46">
        <v>40466</v>
      </c>
      <c r="I461" s="4">
        <v>0.43830000000000002</v>
      </c>
      <c r="J461" s="133">
        <f>IF(Tabela8[[#This Row],[Tipo]]="jcp",Tabela8[[#This Row],[Provento p/Ação]]*85%,Tabela8[[#This Row],[Provento p/Ação]])</f>
        <v>0.43830000000000002</v>
      </c>
      <c r="K461" s="143" t="str">
        <f>IF([Lucro p/Ação]&lt;&gt;0,SUMPRODUCT(N([Papel]=Tabela8[[#This Row],[Papel]]),N([Exercício]=Tabela8[[#This Row],[Exercício]]),[Líquido p/Ação]),"")</f>
        <v/>
      </c>
      <c r="L461" s="42" t="str">
        <f>IF(Tabela8[[#This Row],[Lucro p/Ação]]="","",IF(Tabela8[[#This Row],[Lucro p/Ação]]&gt;0,Tabela8[[#This Row],[Total Exercício]]/Tabela8[[#This Row],[Lucro p/Ação]],0))</f>
        <v/>
      </c>
      <c r="M46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1" s="14" t="str">
        <f>IF(Tabela8[[#This Row],[Média Lucro p/Ação]]&lt;&gt;"",Tabela8[[#This Row],[Média Pago]]/Tabela8[[#This Row],[Média Lucro p/Ação]],"")</f>
        <v/>
      </c>
      <c r="P46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1" s="5">
        <f>SUMPRODUCT(N(Tabela1[Código]=Tabela8[[#This Row],[Papel]]),Tabela1[Fechamento])</f>
        <v>32.65</v>
      </c>
      <c r="R461" s="5">
        <f>SUMPRODUCT(N(Tabela17[Código]=Tabela8[[#This Row],[Papel]]),Tabela17[Fechamento])</f>
        <v>0</v>
      </c>
      <c r="S461" s="7">
        <f>SUMPRODUCT(N(Tabela176[Código]=Tabela8[[#This Row],[Papel]]),Tabela176[Fechamento])</f>
        <v>0</v>
      </c>
      <c r="T461" s="7">
        <f>SUMPRODUCT(N(Tabela1768[Código]=Tabela8[[#This Row],[Papel]]),Tabela1768[Fechamento])</f>
        <v>0</v>
      </c>
      <c r="U461" s="7">
        <f>SUMPRODUCT(N(Tabela17683[Código]=Tabela8[[#This Row],[Papel]]),Tabela17683[Fechamento])</f>
        <v>0</v>
      </c>
      <c r="V461" s="17">
        <f>IF(MAX(Tabela8[[#This Row],[Cotação 1]]:Tabela8[[#This Row],[Cotação 5]])=0,"",MAX(Tabela8[[#This Row],[Cotação 1]]:Tabela8[[#This Row],[Cotação 5]]))</f>
        <v>32.65</v>
      </c>
      <c r="W46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1" s="17" t="str">
        <f>IF(AND([Ref]=5,[Cotação]&gt;0,[Cotação]&lt;&gt;""),[Total Exercício]/[Cotação],IF([Ref]&lt;4,0,""))</f>
        <v/>
      </c>
      <c r="Y461" s="17">
        <f>IF([Tipo]="div",1,0)</f>
        <v>1</v>
      </c>
      <c r="Z461" s="17">
        <f>IF([Tipo]="jcp",1,0)</f>
        <v>0</v>
      </c>
    </row>
    <row r="462" spans="1:26" hidden="1">
      <c r="A462" s="3" t="s">
        <v>1099</v>
      </c>
      <c r="B462" s="114" t="s">
        <v>1090</v>
      </c>
      <c r="C462" s="16">
        <v>3</v>
      </c>
      <c r="D462" s="4"/>
      <c r="E462" s="4"/>
      <c r="F462" s="4"/>
      <c r="G462" s="4"/>
      <c r="H462" s="4"/>
      <c r="I462" s="4"/>
      <c r="J462" s="17">
        <f>IF(Tabela8[[#This Row],[Tipo]]="jcp",Tabela8[[#This Row],[Provento p/Ação]]*85%,Tabela8[[#This Row],[Provento p/Ação]])</f>
        <v>0</v>
      </c>
      <c r="K462" s="143" t="str">
        <f>IF([Lucro p/Ação]&lt;&gt;0,SUMPRODUCT(N([Papel]=Tabela8[[#This Row],[Papel]]),N([Exercício]=Tabela8[[#This Row],[Exercício]]),[Líquido p/Ação]),"")</f>
        <v/>
      </c>
      <c r="L462" s="42" t="str">
        <f>IF(Tabela8[[#This Row],[Lucro p/Ação]]="","",IF(Tabela8[[#This Row],[Lucro p/Ação]]&gt;0,Tabela8[[#This Row],[Total Exercício]]/Tabela8[[#This Row],[Lucro p/Ação]],0))</f>
        <v/>
      </c>
      <c r="M46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2" s="14" t="str">
        <f>IF(Tabela8[[#This Row],[Média Lucro p/Ação]]&lt;&gt;"",Tabela8[[#This Row],[Média Pago]]/Tabela8[[#This Row],[Média Lucro p/Ação]],"")</f>
        <v/>
      </c>
      <c r="P46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2" s="7">
        <f>SUMPRODUCT(N(Tabela1[Código]=Tabela8[[#This Row],[Papel]]),Tabela1[Fechamento])</f>
        <v>0</v>
      </c>
      <c r="R462" s="7">
        <f>SUMPRODUCT(N(Tabela17[Código]=Tabela8[[#This Row],[Papel]]),Tabela17[Fechamento])</f>
        <v>0</v>
      </c>
      <c r="S462" s="7">
        <f>SUMPRODUCT(N(Tabela176[Código]=Tabela8[[#This Row],[Papel]]),Tabela176[Fechamento])</f>
        <v>0</v>
      </c>
      <c r="T462" s="7">
        <f>SUMPRODUCT(N(Tabela1768[Código]=Tabela8[[#This Row],[Papel]]),Tabela1768[Fechamento])</f>
        <v>0</v>
      </c>
      <c r="U462" s="7">
        <f>SUMPRODUCT(N(Tabela17683[Código]=Tabela8[[#This Row],[Papel]]),Tabela17683[Fechamento])</f>
        <v>0.08</v>
      </c>
      <c r="V462" s="17">
        <f>IF(MAX(Tabela8[[#This Row],[Cotação 1]]:Tabela8[[#This Row],[Cotação 5]])=0,"",MAX(Tabela8[[#This Row],[Cotação 1]]:Tabela8[[#This Row],[Cotação 5]]))</f>
        <v>0.08</v>
      </c>
      <c r="W46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2" s="17">
        <f>IF(AND([Ref]=5,[Cotação]&gt;0,[Cotação]&lt;&gt;""),[Total Exercício]/[Cotação],IF([Ref]&lt;4,0,""))</f>
        <v>0</v>
      </c>
      <c r="Y462" s="17">
        <f>IF([Tipo]="div",1,0)</f>
        <v>0</v>
      </c>
      <c r="Z462" s="17">
        <f>IF([Tipo]="jcp",1,0)</f>
        <v>0</v>
      </c>
    </row>
    <row r="463" spans="1:26" hidden="1">
      <c r="A463" s="3" t="s">
        <v>1099</v>
      </c>
      <c r="B463" s="114" t="s">
        <v>1091</v>
      </c>
      <c r="C463" s="16">
        <v>3</v>
      </c>
      <c r="D463" s="4"/>
      <c r="E463" s="4"/>
      <c r="F463" s="4"/>
      <c r="G463" s="4"/>
      <c r="H463" s="4"/>
      <c r="I463" s="4"/>
      <c r="J463" s="17">
        <f>IF(Tabela8[[#This Row],[Tipo]]="jcp",Tabela8[[#This Row],[Provento p/Ação]]*85%,Tabela8[[#This Row],[Provento p/Ação]])</f>
        <v>0</v>
      </c>
      <c r="K463" s="143" t="str">
        <f>IF([Lucro p/Ação]&lt;&gt;0,SUMPRODUCT(N([Papel]=Tabela8[[#This Row],[Papel]]),N([Exercício]=Tabela8[[#This Row],[Exercício]]),[Líquido p/Ação]),"")</f>
        <v/>
      </c>
      <c r="L463" s="42" t="str">
        <f>IF(Tabela8[[#This Row],[Lucro p/Ação]]="","",IF(Tabela8[[#This Row],[Lucro p/Ação]]&gt;0,Tabela8[[#This Row],[Total Exercício]]/Tabela8[[#This Row],[Lucro p/Ação]],0))</f>
        <v/>
      </c>
      <c r="M46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3" s="14" t="str">
        <f>IF(Tabela8[[#This Row],[Média Lucro p/Ação]]&lt;&gt;"",Tabela8[[#This Row],[Média Pago]]/Tabela8[[#This Row],[Média Lucro p/Ação]],"")</f>
        <v/>
      </c>
      <c r="P46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3" s="7">
        <f>SUMPRODUCT(N(Tabela1[Código]=Tabela8[[#This Row],[Papel]]),Tabela1[Fechamento])</f>
        <v>0</v>
      </c>
      <c r="R463" s="7">
        <f>SUMPRODUCT(N(Tabela17[Código]=Tabela8[[#This Row],[Papel]]),Tabela17[Fechamento])</f>
        <v>0</v>
      </c>
      <c r="S463" s="7">
        <f>SUMPRODUCT(N(Tabela176[Código]=Tabela8[[#This Row],[Papel]]),Tabela176[Fechamento])</f>
        <v>0</v>
      </c>
      <c r="T463" s="7">
        <f>SUMPRODUCT(N(Tabela1768[Código]=Tabela8[[#This Row],[Papel]]),Tabela1768[Fechamento])</f>
        <v>0</v>
      </c>
      <c r="U463" s="7">
        <f>SUMPRODUCT(N(Tabela17683[Código]=Tabela8[[#This Row],[Papel]]),Tabela17683[Fechamento])</f>
        <v>0.06</v>
      </c>
      <c r="V463" s="17">
        <f>IF(MAX(Tabela8[[#This Row],[Cotação 1]]:Tabela8[[#This Row],[Cotação 5]])=0,"",MAX(Tabela8[[#This Row],[Cotação 1]]:Tabela8[[#This Row],[Cotação 5]]))</f>
        <v>0.06</v>
      </c>
      <c r="W46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3" s="17">
        <f>IF(AND([Ref]=5,[Cotação]&gt;0,[Cotação]&lt;&gt;""),[Total Exercício]/[Cotação],IF([Ref]&lt;4,0,""))</f>
        <v>0</v>
      </c>
      <c r="Y463" s="17">
        <f>IF([Tipo]="div",1,0)</f>
        <v>0</v>
      </c>
      <c r="Z463" s="17">
        <f>IF([Tipo]="jcp",1,0)</f>
        <v>0</v>
      </c>
    </row>
    <row r="464" spans="1:26" hidden="1">
      <c r="A464" s="3" t="s">
        <v>1019</v>
      </c>
      <c r="B464" s="57" t="s">
        <v>1051</v>
      </c>
      <c r="C464" s="16">
        <v>4</v>
      </c>
      <c r="D464" s="4"/>
      <c r="E464" s="4"/>
      <c r="F464" s="4"/>
      <c r="G464" s="4"/>
      <c r="H464" s="4"/>
      <c r="I464" s="4"/>
      <c r="J464" s="17">
        <f>IF(Tabela8[[#This Row],[Tipo]]="jcp",Tabela8[[#This Row],[Provento p/Ação]]*85%,Tabela8[[#This Row],[Provento p/Ação]])</f>
        <v>0</v>
      </c>
      <c r="K464" s="143" t="str">
        <f>IF([Lucro p/Ação]&lt;&gt;0,SUMPRODUCT(N([Papel]=Tabela8[[#This Row],[Papel]]),N([Exercício]=Tabela8[[#This Row],[Exercício]]),[Líquido p/Ação]),"")</f>
        <v/>
      </c>
      <c r="L464" s="42" t="str">
        <f>IF(Tabela8[[#This Row],[Lucro p/Ação]]="","",IF(Tabela8[[#This Row],[Lucro p/Ação]]&gt;0,Tabela8[[#This Row],[Total Exercício]]/Tabela8[[#This Row],[Lucro p/Ação]],0))</f>
        <v/>
      </c>
      <c r="M46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4" s="14" t="str">
        <f>IF(Tabela8[[#This Row],[Média Lucro p/Ação]]&lt;&gt;"",Tabela8[[#This Row],[Média Pago]]/Tabela8[[#This Row],[Média Lucro p/Ação]],"")</f>
        <v/>
      </c>
      <c r="P46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4" s="7">
        <f>SUMPRODUCT(N(Tabela1[Código]=Tabela8[[#This Row],[Papel]]),Tabela1[Fechamento])</f>
        <v>0</v>
      </c>
      <c r="R464" s="7">
        <f>SUMPRODUCT(N(Tabela17[Código]=Tabela8[[#This Row],[Papel]]),Tabela17[Fechamento])</f>
        <v>0</v>
      </c>
      <c r="S464" s="7">
        <f>SUMPRODUCT(N(Tabela176[Código]=Tabela8[[#This Row],[Papel]]),Tabela176[Fechamento])</f>
        <v>0</v>
      </c>
      <c r="T464" s="7">
        <f>SUMPRODUCT(N(Tabela1768[Código]=Tabela8[[#This Row],[Papel]]),Tabela1768[Fechamento])</f>
        <v>7.15</v>
      </c>
      <c r="U464" s="7">
        <f>SUMPRODUCT(N(Tabela17683[Código]=Tabela8[[#This Row],[Papel]]),Tabela17683[Fechamento])</f>
        <v>0</v>
      </c>
      <c r="V464" s="17">
        <f>IF(MAX(Tabela8[[#This Row],[Cotação 1]]:Tabela8[[#This Row],[Cotação 5]])=0,"",MAX(Tabela8[[#This Row],[Cotação 1]]:Tabela8[[#This Row],[Cotação 5]]))</f>
        <v>7.15</v>
      </c>
      <c r="W46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4" s="17" t="str">
        <f>IF(AND([Ref]=5,[Cotação]&gt;0,[Cotação]&lt;&gt;""),[Total Exercício]/[Cotação],IF([Ref]&lt;4,0,""))</f>
        <v/>
      </c>
      <c r="Y464" s="17">
        <f>IF([Tipo]="div",1,0)</f>
        <v>0</v>
      </c>
      <c r="Z464" s="17">
        <f>IF([Tipo]="jcp",1,0)</f>
        <v>0</v>
      </c>
    </row>
    <row r="465" spans="1:26" hidden="1">
      <c r="A465" s="3" t="s">
        <v>964</v>
      </c>
      <c r="B465" s="58" t="s">
        <v>966</v>
      </c>
      <c r="C465" s="16">
        <v>3</v>
      </c>
      <c r="D465" s="4"/>
      <c r="E465" s="4"/>
      <c r="F465" s="4"/>
      <c r="G465" s="4"/>
      <c r="H465" s="4"/>
      <c r="I465" s="4"/>
      <c r="J465" s="17">
        <f>IF(Tabela8[[#This Row],[Tipo]]="jcp",Tabela8[[#This Row],[Provento p/Ação]]*85%,Tabela8[[#This Row],[Provento p/Ação]])</f>
        <v>0</v>
      </c>
      <c r="K465" s="143" t="str">
        <f>IF([Lucro p/Ação]&lt;&gt;0,SUMPRODUCT(N([Papel]=Tabela8[[#This Row],[Papel]]),N([Exercício]=Tabela8[[#This Row],[Exercício]]),[Líquido p/Ação]),"")</f>
        <v/>
      </c>
      <c r="L465" s="42" t="str">
        <f>IF(Tabela8[[#This Row],[Lucro p/Ação]]="","",IF(Tabela8[[#This Row],[Lucro p/Ação]]&gt;0,Tabela8[[#This Row],[Total Exercício]]/Tabela8[[#This Row],[Lucro p/Ação]],0))</f>
        <v/>
      </c>
      <c r="M46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5" s="14" t="str">
        <f>IF(Tabela8[[#This Row],[Média Lucro p/Ação]]&lt;&gt;"",Tabela8[[#This Row],[Média Pago]]/Tabela8[[#This Row],[Média Lucro p/Ação]],"")</f>
        <v/>
      </c>
      <c r="P46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5" s="7">
        <f>SUMPRODUCT(N(Tabela1[Código]=Tabela8[[#This Row],[Papel]]),Tabela1[Fechamento])</f>
        <v>0</v>
      </c>
      <c r="R465" s="7">
        <f>SUMPRODUCT(N(Tabela17[Código]=Tabela8[[#This Row],[Papel]]),Tabela17[Fechamento])</f>
        <v>0</v>
      </c>
      <c r="S465" s="7">
        <f>SUMPRODUCT(N(Tabela176[Código]=Tabela8[[#This Row],[Papel]]),Tabela176[Fechamento])</f>
        <v>0</v>
      </c>
      <c r="T465" s="7">
        <f>SUMPRODUCT(N(Tabela1768[Código]=Tabela8[[#This Row],[Papel]]),Tabela1768[Fechamento])</f>
        <v>14.98</v>
      </c>
      <c r="U465" s="7">
        <f>SUMPRODUCT(N(Tabela17683[Código]=Tabela8[[#This Row],[Papel]]),Tabela17683[Fechamento])</f>
        <v>0</v>
      </c>
      <c r="V465" s="17">
        <f>IF(MAX(Tabela8[[#This Row],[Cotação 1]]:Tabela8[[#This Row],[Cotação 5]])=0,"",MAX(Tabela8[[#This Row],[Cotação 1]]:Tabela8[[#This Row],[Cotação 5]]))</f>
        <v>14.98</v>
      </c>
      <c r="W46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5" s="17">
        <f>IF(AND([Ref]=5,[Cotação]&gt;0,[Cotação]&lt;&gt;""),[Total Exercício]/[Cotação],IF([Ref]&lt;4,0,""))</f>
        <v>0</v>
      </c>
      <c r="Y465" s="17">
        <f>IF([Tipo]="div",1,0)</f>
        <v>0</v>
      </c>
      <c r="Z465" s="17">
        <f>IF([Tipo]="jcp",1,0)</f>
        <v>0</v>
      </c>
    </row>
    <row r="466" spans="1:26" hidden="1">
      <c r="A466" s="4" t="s">
        <v>559</v>
      </c>
      <c r="B466" s="57" t="s">
        <v>561</v>
      </c>
      <c r="C466" s="15">
        <v>3</v>
      </c>
      <c r="D466" s="4"/>
      <c r="E466" s="4"/>
      <c r="F466" s="4"/>
      <c r="G466" s="4"/>
      <c r="H466" s="4"/>
      <c r="I466" s="4"/>
      <c r="J466" s="17">
        <f>IF(Tabela8[[#This Row],[Tipo]]="jcp",Tabela8[[#This Row],[Provento p/Ação]]*85%,Tabela8[[#This Row],[Provento p/Ação]])</f>
        <v>0</v>
      </c>
      <c r="K466" s="143" t="str">
        <f>IF([Lucro p/Ação]&lt;&gt;0,SUMPRODUCT(N([Papel]=Tabela8[[#This Row],[Papel]]),N([Exercício]=Tabela8[[#This Row],[Exercício]]),[Líquido p/Ação]),"")</f>
        <v/>
      </c>
      <c r="L466" s="42" t="str">
        <f>IF(Tabela8[[#This Row],[Lucro p/Ação]]="","",IF(Tabela8[[#This Row],[Lucro p/Ação]]&gt;0,Tabela8[[#This Row],[Total Exercício]]/Tabela8[[#This Row],[Lucro p/Ação]],0))</f>
        <v/>
      </c>
      <c r="M46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6" s="14" t="str">
        <f>IF(Tabela8[[#This Row],[Média Lucro p/Ação]]&lt;&gt;"",Tabela8[[#This Row],[Média Pago]]/Tabela8[[#This Row],[Média Lucro p/Ação]],"")</f>
        <v/>
      </c>
      <c r="P46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6" s="17">
        <f>SUMPRODUCT(N(Tabela1[Código]=Tabela8[[#This Row],[Papel]]),Tabela1[Fechamento])</f>
        <v>0</v>
      </c>
      <c r="R466" s="17">
        <f>SUMPRODUCT(N(Tabela17[Código]=Tabela8[[#This Row],[Papel]]),Tabela17[Fechamento])</f>
        <v>0</v>
      </c>
      <c r="S466" s="17">
        <f>SUMPRODUCT(N(Tabela176[Código]=Tabela8[[#This Row],[Papel]]),Tabela176[Fechamento])</f>
        <v>4.4000000000000004</v>
      </c>
      <c r="T466" s="17">
        <f>SUMPRODUCT(N(Tabela1768[Código]=Tabela8[[#This Row],[Papel]]),Tabela1768[Fechamento])</f>
        <v>0</v>
      </c>
      <c r="U466" s="7">
        <f>SUMPRODUCT(N(Tabela17683[Código]=Tabela8[[#This Row],[Papel]]),Tabela17683[Fechamento])</f>
        <v>0</v>
      </c>
      <c r="V466" s="17">
        <f>IF(MAX(Tabela8[[#This Row],[Cotação 1]]:Tabela8[[#This Row],[Cotação 5]])=0,"",MAX(Tabela8[[#This Row],[Cotação 1]]:Tabela8[[#This Row],[Cotação 5]]))</f>
        <v>4.4000000000000004</v>
      </c>
      <c r="W46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6" s="17">
        <f>IF(AND([Ref]=5,[Cotação]&gt;0,[Cotação]&lt;&gt;""),[Total Exercício]/[Cotação],IF([Ref]&lt;4,0,""))</f>
        <v>0</v>
      </c>
      <c r="Y466" s="17">
        <f>IF([Tipo]="div",1,0)</f>
        <v>0</v>
      </c>
      <c r="Z466" s="17">
        <f>IF([Tipo]="jcp",1,0)</f>
        <v>0</v>
      </c>
    </row>
    <row r="467" spans="1:26" hidden="1">
      <c r="A467" s="4" t="s">
        <v>559</v>
      </c>
      <c r="B467" s="57" t="s">
        <v>562</v>
      </c>
      <c r="C467" s="15">
        <v>3</v>
      </c>
      <c r="D467" s="4"/>
      <c r="E467" s="4"/>
      <c r="F467" s="4"/>
      <c r="G467" s="4"/>
      <c r="H467" s="4"/>
      <c r="I467" s="4"/>
      <c r="J467" s="17">
        <f>IF(Tabela8[[#This Row],[Tipo]]="jcp",Tabela8[[#This Row],[Provento p/Ação]]*85%,Tabela8[[#This Row],[Provento p/Ação]])</f>
        <v>0</v>
      </c>
      <c r="K467" s="143" t="str">
        <f>IF([Lucro p/Ação]&lt;&gt;0,SUMPRODUCT(N([Papel]=Tabela8[[#This Row],[Papel]]),N([Exercício]=Tabela8[[#This Row],[Exercício]]),[Líquido p/Ação]),"")</f>
        <v/>
      </c>
      <c r="L467" s="42" t="str">
        <f>IF(Tabela8[[#This Row],[Lucro p/Ação]]="","",IF(Tabela8[[#This Row],[Lucro p/Ação]]&gt;0,Tabela8[[#This Row],[Total Exercício]]/Tabela8[[#This Row],[Lucro p/Ação]],0))</f>
        <v/>
      </c>
      <c r="M46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7" s="14" t="str">
        <f>IF(Tabela8[[#This Row],[Média Lucro p/Ação]]&lt;&gt;"",Tabela8[[#This Row],[Média Pago]]/Tabela8[[#This Row],[Média Lucro p/Ação]],"")</f>
        <v/>
      </c>
      <c r="P46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7" s="17">
        <f>SUMPRODUCT(N(Tabela1[Código]=Tabela8[[#This Row],[Papel]]),Tabela1[Fechamento])</f>
        <v>0</v>
      </c>
      <c r="R467" s="17">
        <f>SUMPRODUCT(N(Tabela17[Código]=Tabela8[[#This Row],[Papel]]),Tabela17[Fechamento])</f>
        <v>0</v>
      </c>
      <c r="S467" s="17">
        <f>SUMPRODUCT(N(Tabela176[Código]=Tabela8[[#This Row],[Papel]]),Tabela176[Fechamento])</f>
        <v>2.3199999999999998</v>
      </c>
      <c r="T467" s="17">
        <f>SUMPRODUCT(N(Tabela1768[Código]=Tabela8[[#This Row],[Papel]]),Tabela1768[Fechamento])</f>
        <v>0</v>
      </c>
      <c r="U467" s="7">
        <f>SUMPRODUCT(N(Tabela17683[Código]=Tabela8[[#This Row],[Papel]]),Tabela17683[Fechamento])</f>
        <v>0</v>
      </c>
      <c r="V467" s="17">
        <f>IF(MAX(Tabela8[[#This Row],[Cotação 1]]:Tabela8[[#This Row],[Cotação 5]])=0,"",MAX(Tabela8[[#This Row],[Cotação 1]]:Tabela8[[#This Row],[Cotação 5]]))</f>
        <v>2.3199999999999998</v>
      </c>
      <c r="W46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7" s="17">
        <f>IF(AND([Ref]=5,[Cotação]&gt;0,[Cotação]&lt;&gt;""),[Total Exercício]/[Cotação],IF([Ref]&lt;4,0,""))</f>
        <v>0</v>
      </c>
      <c r="Y467" s="17">
        <f>IF([Tipo]="div",1,0)</f>
        <v>0</v>
      </c>
      <c r="Z467" s="17">
        <f>IF([Tipo]="jcp",1,0)</f>
        <v>0</v>
      </c>
    </row>
    <row r="468" spans="1:26" hidden="1">
      <c r="A468" s="4" t="s">
        <v>719</v>
      </c>
      <c r="B468" s="57" t="s">
        <v>718</v>
      </c>
      <c r="C468" s="15">
        <v>3</v>
      </c>
      <c r="D468" s="4"/>
      <c r="E468" s="4"/>
      <c r="F468" s="4"/>
      <c r="G468" s="4"/>
      <c r="H468" s="4"/>
      <c r="I468" s="4"/>
      <c r="J468" s="17">
        <f>IF(Tabela8[[#This Row],[Tipo]]="jcp",Tabela8[[#This Row],[Provento p/Ação]]*85%,Tabela8[[#This Row],[Provento p/Ação]])</f>
        <v>0</v>
      </c>
      <c r="K468" s="143" t="str">
        <f>IF([Lucro p/Ação]&lt;&gt;0,SUMPRODUCT(N([Papel]=Tabela8[[#This Row],[Papel]]),N([Exercício]=Tabela8[[#This Row],[Exercício]]),[Líquido p/Ação]),"")</f>
        <v/>
      </c>
      <c r="L468" s="42" t="str">
        <f>IF(Tabela8[[#This Row],[Lucro p/Ação]]="","",IF(Tabela8[[#This Row],[Lucro p/Ação]]&gt;0,Tabela8[[#This Row],[Total Exercício]]/Tabela8[[#This Row],[Lucro p/Ação]],0))</f>
        <v/>
      </c>
      <c r="M46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8" s="14" t="str">
        <f>IF(Tabela8[[#This Row],[Média Lucro p/Ação]]&lt;&gt;"",Tabela8[[#This Row],[Média Pago]]/Tabela8[[#This Row],[Média Lucro p/Ação]],"")</f>
        <v/>
      </c>
      <c r="P46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8" s="17">
        <f>SUMPRODUCT(N(Tabela1[Código]=Tabela8[[#This Row],[Papel]]),Tabela1[Fechamento])</f>
        <v>0</v>
      </c>
      <c r="R468" s="17">
        <f>SUMPRODUCT(N(Tabela17[Código]=Tabela8[[#This Row],[Papel]]),Tabela17[Fechamento])</f>
        <v>0</v>
      </c>
      <c r="S468" s="17">
        <f>SUMPRODUCT(N(Tabela176[Código]=Tabela8[[#This Row],[Papel]]),Tabela176[Fechamento])</f>
        <v>3.7</v>
      </c>
      <c r="T468" s="17">
        <f>SUMPRODUCT(N(Tabela1768[Código]=Tabela8[[#This Row],[Papel]]),Tabela1768[Fechamento])</f>
        <v>0</v>
      </c>
      <c r="U468" s="7">
        <f>SUMPRODUCT(N(Tabela17683[Código]=Tabela8[[#This Row],[Papel]]),Tabela17683[Fechamento])</f>
        <v>0</v>
      </c>
      <c r="V468" s="17">
        <f>IF(MAX(Tabela8[[#This Row],[Cotação 1]]:Tabela8[[#This Row],[Cotação 5]])=0,"",MAX(Tabela8[[#This Row],[Cotação 1]]:Tabela8[[#This Row],[Cotação 5]]))</f>
        <v>3.7</v>
      </c>
      <c r="W46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8" s="17">
        <f>IF(AND([Ref]=5,[Cotação]&gt;0,[Cotação]&lt;&gt;""),[Total Exercício]/[Cotação],IF([Ref]&lt;4,0,""))</f>
        <v>0</v>
      </c>
      <c r="Y468" s="17">
        <f>IF([Tipo]="div",1,0)</f>
        <v>0</v>
      </c>
      <c r="Z468" s="17">
        <f>IF([Tipo]="jcp",1,0)</f>
        <v>0</v>
      </c>
    </row>
    <row r="469" spans="1:26" hidden="1">
      <c r="A469" s="3" t="s">
        <v>876</v>
      </c>
      <c r="B469" s="58" t="s">
        <v>944</v>
      </c>
      <c r="C469" s="16">
        <v>3</v>
      </c>
      <c r="D469" s="4"/>
      <c r="E469" s="4"/>
      <c r="F469" s="4"/>
      <c r="G469" s="4"/>
      <c r="H469" s="4"/>
      <c r="I469" s="4"/>
      <c r="J469" s="17">
        <f>IF(Tabela8[[#This Row],[Tipo]]="jcp",Tabela8[[#This Row],[Provento p/Ação]]*85%,Tabela8[[#This Row],[Provento p/Ação]])</f>
        <v>0</v>
      </c>
      <c r="K469" s="143" t="str">
        <f>IF([Lucro p/Ação]&lt;&gt;0,SUMPRODUCT(N([Papel]=Tabela8[[#This Row],[Papel]]),N([Exercício]=Tabela8[[#This Row],[Exercício]]),[Líquido p/Ação]),"")</f>
        <v/>
      </c>
      <c r="L469" s="42" t="str">
        <f>IF(Tabela8[[#This Row],[Lucro p/Ação]]="","",IF(Tabela8[[#This Row],[Lucro p/Ação]]&gt;0,Tabela8[[#This Row],[Total Exercício]]/Tabela8[[#This Row],[Lucro p/Ação]],0))</f>
        <v/>
      </c>
      <c r="M46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6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69" s="14" t="str">
        <f>IF(Tabela8[[#This Row],[Média Lucro p/Ação]]&lt;&gt;"",Tabela8[[#This Row],[Média Pago]]/Tabela8[[#This Row],[Média Lucro p/Ação]],"")</f>
        <v/>
      </c>
      <c r="P46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69" s="7">
        <f>SUMPRODUCT(N(Tabela1[Código]=Tabela8[[#This Row],[Papel]]),Tabela1[Fechamento])</f>
        <v>0</v>
      </c>
      <c r="R469" s="7">
        <f>SUMPRODUCT(N(Tabela17[Código]=Tabela8[[#This Row],[Papel]]),Tabela17[Fechamento])</f>
        <v>0</v>
      </c>
      <c r="S469" s="7">
        <f>SUMPRODUCT(N(Tabela176[Código]=Tabela8[[#This Row],[Papel]]),Tabela176[Fechamento])</f>
        <v>0</v>
      </c>
      <c r="T469" s="7">
        <f>SUMPRODUCT(N(Tabela1768[Código]=Tabela8[[#This Row],[Papel]]),Tabela1768[Fechamento])</f>
        <v>0</v>
      </c>
      <c r="U469" s="7">
        <f>SUMPRODUCT(N(Tabela17683[Código]=Tabela8[[#This Row],[Papel]]),Tabela17683[Fechamento])</f>
        <v>0</v>
      </c>
      <c r="V469" s="17" t="str">
        <f>IF(MAX(Tabela8[[#This Row],[Cotação 1]]:Tabela8[[#This Row],[Cotação 5]])=0,"",MAX(Tabela8[[#This Row],[Cotação 1]]:Tabela8[[#This Row],[Cotação 5]]))</f>
        <v/>
      </c>
      <c r="W46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69" s="17">
        <f>IF(AND([Ref]=5,[Cotação]&gt;0,[Cotação]&lt;&gt;""),[Total Exercício]/[Cotação],IF([Ref]&lt;4,0,""))</f>
        <v>0</v>
      </c>
      <c r="Y469" s="17">
        <f>IF([Tipo]="div",1,0)</f>
        <v>0</v>
      </c>
      <c r="Z469" s="17">
        <f>IF([Tipo]="jcp",1,0)</f>
        <v>0</v>
      </c>
    </row>
    <row r="470" spans="1:26" hidden="1">
      <c r="A470" s="3" t="s">
        <v>876</v>
      </c>
      <c r="B470" s="58" t="s">
        <v>945</v>
      </c>
      <c r="C470" s="16">
        <v>3</v>
      </c>
      <c r="D470" s="4"/>
      <c r="E470" s="4"/>
      <c r="F470" s="4"/>
      <c r="G470" s="4"/>
      <c r="H470" s="4"/>
      <c r="I470" s="4"/>
      <c r="J470" s="17">
        <f>IF(Tabela8[[#This Row],[Tipo]]="jcp",Tabela8[[#This Row],[Provento p/Ação]]*85%,Tabela8[[#This Row],[Provento p/Ação]])</f>
        <v>0</v>
      </c>
      <c r="K470" s="143" t="str">
        <f>IF([Lucro p/Ação]&lt;&gt;0,SUMPRODUCT(N([Papel]=Tabela8[[#This Row],[Papel]]),N([Exercício]=Tabela8[[#This Row],[Exercício]]),[Líquido p/Ação]),"")</f>
        <v/>
      </c>
      <c r="L470" s="42" t="str">
        <f>IF(Tabela8[[#This Row],[Lucro p/Ação]]="","",IF(Tabela8[[#This Row],[Lucro p/Ação]]&gt;0,Tabela8[[#This Row],[Total Exercício]]/Tabela8[[#This Row],[Lucro p/Ação]],0))</f>
        <v/>
      </c>
      <c r="M47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0" s="14" t="str">
        <f>IF(Tabela8[[#This Row],[Média Lucro p/Ação]]&lt;&gt;"",Tabela8[[#This Row],[Média Pago]]/Tabela8[[#This Row],[Média Lucro p/Ação]],"")</f>
        <v/>
      </c>
      <c r="P47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0" s="7">
        <f>SUMPRODUCT(N(Tabela1[Código]=Tabela8[[#This Row],[Papel]]),Tabela1[Fechamento])</f>
        <v>0</v>
      </c>
      <c r="R470" s="7">
        <f>SUMPRODUCT(N(Tabela17[Código]=Tabela8[[#This Row],[Papel]]),Tabela17[Fechamento])</f>
        <v>0</v>
      </c>
      <c r="S470" s="7">
        <f>SUMPRODUCT(N(Tabela176[Código]=Tabela8[[#This Row],[Papel]]),Tabela176[Fechamento])</f>
        <v>0</v>
      </c>
      <c r="T470" s="7">
        <f>SUMPRODUCT(N(Tabela1768[Código]=Tabela8[[#This Row],[Papel]]),Tabela1768[Fechamento])</f>
        <v>0.54</v>
      </c>
      <c r="U470" s="7">
        <f>SUMPRODUCT(N(Tabela17683[Código]=Tabela8[[#This Row],[Papel]]),Tabela17683[Fechamento])</f>
        <v>0</v>
      </c>
      <c r="V470" s="17">
        <f>IF(MAX(Tabela8[[#This Row],[Cotação 1]]:Tabela8[[#This Row],[Cotação 5]])=0,"",MAX(Tabela8[[#This Row],[Cotação 1]]:Tabela8[[#This Row],[Cotação 5]]))</f>
        <v>0.54</v>
      </c>
      <c r="W47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0" s="17">
        <f>IF(AND([Ref]=5,[Cotação]&gt;0,[Cotação]&lt;&gt;""),[Total Exercício]/[Cotação],IF([Ref]&lt;4,0,""))</f>
        <v>0</v>
      </c>
      <c r="Y470" s="17">
        <f>IF([Tipo]="div",1,0)</f>
        <v>0</v>
      </c>
      <c r="Z470" s="17">
        <f>IF([Tipo]="jcp",1,0)</f>
        <v>0</v>
      </c>
    </row>
    <row r="471" spans="1:26" hidden="1">
      <c r="A471" s="3" t="s">
        <v>876</v>
      </c>
      <c r="B471" s="58" t="s">
        <v>946</v>
      </c>
      <c r="C471" s="16">
        <v>3</v>
      </c>
      <c r="D471" s="4"/>
      <c r="E471" s="4"/>
      <c r="F471" s="4"/>
      <c r="G471" s="4"/>
      <c r="H471" s="4"/>
      <c r="I471" s="4"/>
      <c r="J471" s="17">
        <f>IF(Tabela8[[#This Row],[Tipo]]="jcp",Tabela8[[#This Row],[Provento p/Ação]]*85%,Tabela8[[#This Row],[Provento p/Ação]])</f>
        <v>0</v>
      </c>
      <c r="K471" s="143" t="str">
        <f>IF([Lucro p/Ação]&lt;&gt;0,SUMPRODUCT(N([Papel]=Tabela8[[#This Row],[Papel]]),N([Exercício]=Tabela8[[#This Row],[Exercício]]),[Líquido p/Ação]),"")</f>
        <v/>
      </c>
      <c r="L471" s="42" t="str">
        <f>IF(Tabela8[[#This Row],[Lucro p/Ação]]="","",IF(Tabela8[[#This Row],[Lucro p/Ação]]&gt;0,Tabela8[[#This Row],[Total Exercício]]/Tabela8[[#This Row],[Lucro p/Ação]],0))</f>
        <v/>
      </c>
      <c r="M47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1" s="14" t="str">
        <f>IF(Tabela8[[#This Row],[Média Lucro p/Ação]]&lt;&gt;"",Tabela8[[#This Row],[Média Pago]]/Tabela8[[#This Row],[Média Lucro p/Ação]],"")</f>
        <v/>
      </c>
      <c r="P47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1" s="7">
        <f>SUMPRODUCT(N(Tabela1[Código]=Tabela8[[#This Row],[Papel]]),Tabela1[Fechamento])</f>
        <v>0</v>
      </c>
      <c r="R471" s="7">
        <f>SUMPRODUCT(N(Tabela17[Código]=Tabela8[[#This Row],[Papel]]),Tabela17[Fechamento])</f>
        <v>0</v>
      </c>
      <c r="S471" s="7">
        <f>SUMPRODUCT(N(Tabela176[Código]=Tabela8[[#This Row],[Papel]]),Tabela176[Fechamento])</f>
        <v>0</v>
      </c>
      <c r="T471" s="7">
        <f>SUMPRODUCT(N(Tabela1768[Código]=Tabela8[[#This Row],[Papel]]),Tabela1768[Fechamento])</f>
        <v>0</v>
      </c>
      <c r="U471" s="7">
        <f>SUMPRODUCT(N(Tabela17683[Código]=Tabela8[[#This Row],[Papel]]),Tabela17683[Fechamento])</f>
        <v>0</v>
      </c>
      <c r="V471" s="17" t="str">
        <f>IF(MAX(Tabela8[[#This Row],[Cotação 1]]:Tabela8[[#This Row],[Cotação 5]])=0,"",MAX(Tabela8[[#This Row],[Cotação 1]]:Tabela8[[#This Row],[Cotação 5]]))</f>
        <v/>
      </c>
      <c r="W47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1" s="17">
        <f>IF(AND([Ref]=5,[Cotação]&gt;0,[Cotação]&lt;&gt;""),[Total Exercício]/[Cotação],IF([Ref]&lt;4,0,""))</f>
        <v>0</v>
      </c>
      <c r="Y471" s="17">
        <f>IF([Tipo]="div",1,0)</f>
        <v>0</v>
      </c>
      <c r="Z471" s="17">
        <f>IF([Tipo]="jcp",1,0)</f>
        <v>0</v>
      </c>
    </row>
    <row r="472" spans="1:26" hidden="1">
      <c r="A472" s="3" t="s">
        <v>876</v>
      </c>
      <c r="B472" s="58" t="s">
        <v>947</v>
      </c>
      <c r="C472" s="16">
        <v>3</v>
      </c>
      <c r="D472" s="4"/>
      <c r="E472" s="4"/>
      <c r="F472" s="4"/>
      <c r="G472" s="4"/>
      <c r="H472" s="4"/>
      <c r="I472" s="4"/>
      <c r="J472" s="17">
        <f>IF(Tabela8[[#This Row],[Tipo]]="jcp",Tabela8[[#This Row],[Provento p/Ação]]*85%,Tabela8[[#This Row],[Provento p/Ação]])</f>
        <v>0</v>
      </c>
      <c r="K472" s="143" t="str">
        <f>IF([Lucro p/Ação]&lt;&gt;0,SUMPRODUCT(N([Papel]=Tabela8[[#This Row],[Papel]]),N([Exercício]=Tabela8[[#This Row],[Exercício]]),[Líquido p/Ação]),"")</f>
        <v/>
      </c>
      <c r="L472" s="42" t="str">
        <f>IF(Tabela8[[#This Row],[Lucro p/Ação]]="","",IF(Tabela8[[#This Row],[Lucro p/Ação]]&gt;0,Tabela8[[#This Row],[Total Exercício]]/Tabela8[[#This Row],[Lucro p/Ação]],0))</f>
        <v/>
      </c>
      <c r="M47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2" s="14" t="str">
        <f>IF(Tabela8[[#This Row],[Média Lucro p/Ação]]&lt;&gt;"",Tabela8[[#This Row],[Média Pago]]/Tabela8[[#This Row],[Média Lucro p/Ação]],"")</f>
        <v/>
      </c>
      <c r="P47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2" s="7">
        <f>SUMPRODUCT(N(Tabela1[Código]=Tabela8[[#This Row],[Papel]]),Tabela1[Fechamento])</f>
        <v>0</v>
      </c>
      <c r="R472" s="7">
        <f>SUMPRODUCT(N(Tabela17[Código]=Tabela8[[#This Row],[Papel]]),Tabela17[Fechamento])</f>
        <v>0</v>
      </c>
      <c r="S472" s="7">
        <f>SUMPRODUCT(N(Tabela176[Código]=Tabela8[[#This Row],[Papel]]),Tabela176[Fechamento])</f>
        <v>0</v>
      </c>
      <c r="T472" s="7">
        <f>SUMPRODUCT(N(Tabela1768[Código]=Tabela8[[#This Row],[Papel]]),Tabela1768[Fechamento])</f>
        <v>0.78</v>
      </c>
      <c r="U472" s="7">
        <f>SUMPRODUCT(N(Tabela17683[Código]=Tabela8[[#This Row],[Papel]]),Tabela17683[Fechamento])</f>
        <v>0</v>
      </c>
      <c r="V472" s="17">
        <f>IF(MAX(Tabela8[[#This Row],[Cotação 1]]:Tabela8[[#This Row],[Cotação 5]])=0,"",MAX(Tabela8[[#This Row],[Cotação 1]]:Tabela8[[#This Row],[Cotação 5]]))</f>
        <v>0.78</v>
      </c>
      <c r="W47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2" s="17">
        <f>IF(AND([Ref]=5,[Cotação]&gt;0,[Cotação]&lt;&gt;""),[Total Exercício]/[Cotação],IF([Ref]&lt;4,0,""))</f>
        <v>0</v>
      </c>
      <c r="Y472" s="17">
        <f>IF([Tipo]="div",1,0)</f>
        <v>0</v>
      </c>
      <c r="Z472" s="17">
        <f>IF([Tipo]="jcp",1,0)</f>
        <v>0</v>
      </c>
    </row>
    <row r="473" spans="1:26" hidden="1">
      <c r="A473" s="4" t="s">
        <v>250</v>
      </c>
      <c r="B473" s="57" t="s">
        <v>78</v>
      </c>
      <c r="C473" s="15">
        <v>4</v>
      </c>
      <c r="D473" s="4"/>
      <c r="E473" s="4"/>
      <c r="F473" s="4"/>
      <c r="G473" s="4"/>
      <c r="H473" s="4"/>
      <c r="I473" s="4"/>
      <c r="J473" s="17">
        <f>IF(Tabela8[[#This Row],[Tipo]]="jcp",Tabela8[[#This Row],[Provento p/Ação]]*85%,Tabela8[[#This Row],[Provento p/Ação]])</f>
        <v>0</v>
      </c>
      <c r="K473" s="143" t="str">
        <f>IF([Lucro p/Ação]&lt;&gt;0,SUMPRODUCT(N([Papel]=Tabela8[[#This Row],[Papel]]),N([Exercício]=Tabela8[[#This Row],[Exercício]]),[Líquido p/Ação]),"")</f>
        <v/>
      </c>
      <c r="L473" s="42" t="str">
        <f>IF(Tabela8[[#This Row],[Lucro p/Ação]]="","",IF(Tabela8[[#This Row],[Lucro p/Ação]]&gt;0,Tabela8[[#This Row],[Total Exercício]]/Tabela8[[#This Row],[Lucro p/Ação]],0))</f>
        <v/>
      </c>
      <c r="M47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3" s="14" t="str">
        <f>IF(Tabela8[[#This Row],[Média Lucro p/Ação]]&lt;&gt;"",Tabela8[[#This Row],[Média Pago]]/Tabela8[[#This Row],[Média Lucro p/Ação]],"")</f>
        <v/>
      </c>
      <c r="P47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3" s="13">
        <f>SUMPRODUCT(N(Tabela1[Código]=Tabela8[[#This Row],[Papel]]),Tabela1[Fechamento])</f>
        <v>0</v>
      </c>
      <c r="R473" s="13">
        <f>SUMPRODUCT(N(Tabela17[Código]=Tabela8[[#This Row],[Papel]]),Tabela17[Fechamento])</f>
        <v>1.76</v>
      </c>
      <c r="S473" s="7">
        <f>SUMPRODUCT(N(Tabela176[Código]=Tabela8[[#This Row],[Papel]]),Tabela176[Fechamento])</f>
        <v>0</v>
      </c>
      <c r="T473" s="7">
        <f>SUMPRODUCT(N(Tabela1768[Código]=Tabela8[[#This Row],[Papel]]),Tabela1768[Fechamento])</f>
        <v>0</v>
      </c>
      <c r="U473" s="7">
        <f>SUMPRODUCT(N(Tabela17683[Código]=Tabela8[[#This Row],[Papel]]),Tabela17683[Fechamento])</f>
        <v>0</v>
      </c>
      <c r="V473" s="17">
        <f>IF(MAX(Tabela8[[#This Row],[Cotação 1]]:Tabela8[[#This Row],[Cotação 5]])=0,"",MAX(Tabela8[[#This Row],[Cotação 1]]:Tabela8[[#This Row],[Cotação 5]]))</f>
        <v>1.76</v>
      </c>
      <c r="W47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3" s="17" t="str">
        <f>IF(AND([Ref]=5,[Cotação]&gt;0,[Cotação]&lt;&gt;""),[Total Exercício]/[Cotação],IF([Ref]&lt;4,0,""))</f>
        <v/>
      </c>
      <c r="Y473" s="17">
        <f>IF([Tipo]="div",1,0)</f>
        <v>0</v>
      </c>
      <c r="Z473" s="17">
        <f>IF([Tipo]="jcp",1,0)</f>
        <v>0</v>
      </c>
    </row>
    <row r="474" spans="1:26" hidden="1">
      <c r="A474" s="3" t="s">
        <v>1174</v>
      </c>
      <c r="B474" s="58" t="s">
        <v>1176</v>
      </c>
      <c r="C474" s="16">
        <v>3</v>
      </c>
      <c r="D474" s="4"/>
      <c r="E474" s="4"/>
      <c r="F474" s="4"/>
      <c r="G474" s="4"/>
      <c r="H474" s="4"/>
      <c r="I474" s="4"/>
      <c r="J474" s="17">
        <f>IF(Tabela8[[#This Row],[Tipo]]="jcp",Tabela8[[#This Row],[Provento p/Ação]]*85%,Tabela8[[#This Row],[Provento p/Ação]])</f>
        <v>0</v>
      </c>
      <c r="K474" s="143" t="str">
        <f>IF([Lucro p/Ação]&lt;&gt;0,SUMPRODUCT(N([Papel]=Tabela8[[#This Row],[Papel]]),N([Exercício]=Tabela8[[#This Row],[Exercício]]),[Líquido p/Ação]),"")</f>
        <v/>
      </c>
      <c r="L474" s="42" t="str">
        <f>IF(Tabela8[[#This Row],[Lucro p/Ação]]="","",IF(Tabela8[[#This Row],[Lucro p/Ação]]&gt;0,Tabela8[[#This Row],[Total Exercício]]/Tabela8[[#This Row],[Lucro p/Ação]],0))</f>
        <v/>
      </c>
      <c r="M47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4" s="14" t="str">
        <f>IF(Tabela8[[#This Row],[Média Lucro p/Ação]]&lt;&gt;"",Tabela8[[#This Row],[Média Pago]]/Tabela8[[#This Row],[Média Lucro p/Ação]],"")</f>
        <v/>
      </c>
      <c r="P47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4" s="7">
        <f>SUMPRODUCT(N(Tabela1[Código]=Tabela8[[#This Row],[Papel]]),Tabela1[Fechamento])</f>
        <v>0</v>
      </c>
      <c r="R474" s="7">
        <f>SUMPRODUCT(N(Tabela17[Código]=Tabela8[[#This Row],[Papel]]),Tabela17[Fechamento])</f>
        <v>0</v>
      </c>
      <c r="S474" s="7">
        <f>SUMPRODUCT(N(Tabela176[Código]=Tabela8[[#This Row],[Papel]]),Tabela176[Fechamento])</f>
        <v>0</v>
      </c>
      <c r="T474" s="7">
        <f>SUMPRODUCT(N(Tabela1768[Código]=Tabela8[[#This Row],[Papel]]),Tabela1768[Fechamento])</f>
        <v>0</v>
      </c>
      <c r="U474" s="7">
        <f>SUMPRODUCT(N(Tabela17683[Código]=Tabela8[[#This Row],[Papel]]),Tabela17683[Fechamento])</f>
        <v>17.66</v>
      </c>
      <c r="V474" s="17">
        <f>IF(MAX(Tabela8[[#This Row],[Cotação 1]]:Tabela8[[#This Row],[Cotação 5]])=0,"",MAX(Tabela8[[#This Row],[Cotação 1]]:Tabela8[[#This Row],[Cotação 5]]))</f>
        <v>17.66</v>
      </c>
      <c r="W47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4" s="17">
        <f>IF(AND([Ref]=5,[Cotação]&gt;0,[Cotação]&lt;&gt;""),[Total Exercício]/[Cotação],IF([Ref]&lt;4,0,""))</f>
        <v>0</v>
      </c>
      <c r="Y474" s="17">
        <f>IF([Tipo]="div",1,0)</f>
        <v>0</v>
      </c>
      <c r="Z474" s="17">
        <f>IF([Tipo]="jcp",1,0)</f>
        <v>0</v>
      </c>
    </row>
    <row r="475" spans="1:26" hidden="1">
      <c r="A475" s="4" t="s">
        <v>622</v>
      </c>
      <c r="B475" s="57" t="s">
        <v>619</v>
      </c>
      <c r="C475" s="15">
        <v>3</v>
      </c>
      <c r="D475" s="4"/>
      <c r="E475" s="4"/>
      <c r="F475" s="4"/>
      <c r="G475" s="4"/>
      <c r="H475" s="4"/>
      <c r="I475" s="4"/>
      <c r="J475" s="17">
        <f>IF(Tabela8[[#This Row],[Tipo]]="jcp",Tabela8[[#This Row],[Provento p/Ação]]*85%,Tabela8[[#This Row],[Provento p/Ação]])</f>
        <v>0</v>
      </c>
      <c r="K475" s="143" t="str">
        <f>IF([Lucro p/Ação]&lt;&gt;0,SUMPRODUCT(N([Papel]=Tabela8[[#This Row],[Papel]]),N([Exercício]=Tabela8[[#This Row],[Exercício]]),[Líquido p/Ação]),"")</f>
        <v/>
      </c>
      <c r="L475" s="42" t="str">
        <f>IF(Tabela8[[#This Row],[Lucro p/Ação]]="","",IF(Tabela8[[#This Row],[Lucro p/Ação]]&gt;0,Tabela8[[#This Row],[Total Exercício]]/Tabela8[[#This Row],[Lucro p/Ação]],0))</f>
        <v/>
      </c>
      <c r="M47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5" s="14" t="str">
        <f>IF(Tabela8[[#This Row],[Média Lucro p/Ação]]&lt;&gt;"",Tabela8[[#This Row],[Média Pago]]/Tabela8[[#This Row],[Média Lucro p/Ação]],"")</f>
        <v/>
      </c>
      <c r="P47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5" s="17">
        <f>SUMPRODUCT(N(Tabela1[Código]=Tabela8[[#This Row],[Papel]]),Tabela1[Fechamento])</f>
        <v>0</v>
      </c>
      <c r="R475" s="17">
        <f>SUMPRODUCT(N(Tabela17[Código]=Tabela8[[#This Row],[Papel]]),Tabela17[Fechamento])</f>
        <v>0</v>
      </c>
      <c r="S475" s="17">
        <f>SUMPRODUCT(N(Tabela176[Código]=Tabela8[[#This Row],[Papel]]),Tabela176[Fechamento])</f>
        <v>0.18</v>
      </c>
      <c r="T475" s="17">
        <f>SUMPRODUCT(N(Tabela1768[Código]=Tabela8[[#This Row],[Papel]]),Tabela1768[Fechamento])</f>
        <v>0</v>
      </c>
      <c r="U475" s="7">
        <f>SUMPRODUCT(N(Tabela17683[Código]=Tabela8[[#This Row],[Papel]]),Tabela17683[Fechamento])</f>
        <v>0</v>
      </c>
      <c r="V475" s="17">
        <f>IF(MAX(Tabela8[[#This Row],[Cotação 1]]:Tabela8[[#This Row],[Cotação 5]])=0,"",MAX(Tabela8[[#This Row],[Cotação 1]]:Tabela8[[#This Row],[Cotação 5]]))</f>
        <v>0.18</v>
      </c>
      <c r="W47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5" s="17">
        <f>IF(AND([Ref]=5,[Cotação]&gt;0,[Cotação]&lt;&gt;""),[Total Exercício]/[Cotação],IF([Ref]&lt;4,0,""))</f>
        <v>0</v>
      </c>
      <c r="Y475" s="17">
        <f>IF([Tipo]="div",1,0)</f>
        <v>0</v>
      </c>
      <c r="Z475" s="17">
        <f>IF([Tipo]="jcp",1,0)</f>
        <v>0</v>
      </c>
    </row>
    <row r="476" spans="1:26" hidden="1">
      <c r="A476" s="4" t="s">
        <v>622</v>
      </c>
      <c r="B476" s="57" t="s">
        <v>620</v>
      </c>
      <c r="C476" s="15">
        <v>3</v>
      </c>
      <c r="D476" s="4"/>
      <c r="E476" s="4"/>
      <c r="F476" s="4"/>
      <c r="G476" s="4"/>
      <c r="H476" s="4"/>
      <c r="I476" s="4"/>
      <c r="J476" s="17">
        <f>IF(Tabela8[[#This Row],[Tipo]]="jcp",Tabela8[[#This Row],[Provento p/Ação]]*85%,Tabela8[[#This Row],[Provento p/Ação]])</f>
        <v>0</v>
      </c>
      <c r="K476" s="143" t="str">
        <f>IF([Lucro p/Ação]&lt;&gt;0,SUMPRODUCT(N([Papel]=Tabela8[[#This Row],[Papel]]),N([Exercício]=Tabela8[[#This Row],[Exercício]]),[Líquido p/Ação]),"")</f>
        <v/>
      </c>
      <c r="L476" s="42" t="str">
        <f>IF(Tabela8[[#This Row],[Lucro p/Ação]]="","",IF(Tabela8[[#This Row],[Lucro p/Ação]]&gt;0,Tabela8[[#This Row],[Total Exercício]]/Tabela8[[#This Row],[Lucro p/Ação]],0))</f>
        <v/>
      </c>
      <c r="M47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6" s="14" t="str">
        <f>IF(Tabela8[[#This Row],[Média Lucro p/Ação]]&lt;&gt;"",Tabela8[[#This Row],[Média Pago]]/Tabela8[[#This Row],[Média Lucro p/Ação]],"")</f>
        <v/>
      </c>
      <c r="P47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6" s="17">
        <f>SUMPRODUCT(N(Tabela1[Código]=Tabela8[[#This Row],[Papel]]),Tabela1[Fechamento])</f>
        <v>0</v>
      </c>
      <c r="R476" s="17">
        <f>SUMPRODUCT(N(Tabela17[Código]=Tabela8[[#This Row],[Papel]]),Tabela17[Fechamento])</f>
        <v>0</v>
      </c>
      <c r="S476" s="17">
        <f>SUMPRODUCT(N(Tabela176[Código]=Tabela8[[#This Row],[Papel]]),Tabela176[Fechamento])</f>
        <v>0.24</v>
      </c>
      <c r="T476" s="17">
        <f>SUMPRODUCT(N(Tabela1768[Código]=Tabela8[[#This Row],[Papel]]),Tabela1768[Fechamento])</f>
        <v>0</v>
      </c>
      <c r="U476" s="7">
        <f>SUMPRODUCT(N(Tabela17683[Código]=Tabela8[[#This Row],[Papel]]),Tabela17683[Fechamento])</f>
        <v>0</v>
      </c>
      <c r="V476" s="17">
        <f>IF(MAX(Tabela8[[#This Row],[Cotação 1]]:Tabela8[[#This Row],[Cotação 5]])=0,"",MAX(Tabela8[[#This Row],[Cotação 1]]:Tabela8[[#This Row],[Cotação 5]]))</f>
        <v>0.24</v>
      </c>
      <c r="W47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6" s="17">
        <f>IF(AND([Ref]=5,[Cotação]&gt;0,[Cotação]&lt;&gt;""),[Total Exercício]/[Cotação],IF([Ref]&lt;4,0,""))</f>
        <v>0</v>
      </c>
      <c r="Y476" s="17">
        <f>IF([Tipo]="div",1,0)</f>
        <v>0</v>
      </c>
      <c r="Z476" s="17">
        <f>IF([Tipo]="jcp",1,0)</f>
        <v>0</v>
      </c>
    </row>
    <row r="477" spans="1:26" hidden="1">
      <c r="A477" s="4" t="s">
        <v>622</v>
      </c>
      <c r="B477" s="57" t="s">
        <v>621</v>
      </c>
      <c r="C477" s="15">
        <v>3</v>
      </c>
      <c r="D477" s="4"/>
      <c r="E477" s="4"/>
      <c r="F477" s="4"/>
      <c r="G477" s="4"/>
      <c r="H477" s="4"/>
      <c r="I477" s="4"/>
      <c r="J477" s="17">
        <f>IF(Tabela8[[#This Row],[Tipo]]="jcp",Tabela8[[#This Row],[Provento p/Ação]]*85%,Tabela8[[#This Row],[Provento p/Ação]])</f>
        <v>0</v>
      </c>
      <c r="K477" s="143" t="str">
        <f>IF([Lucro p/Ação]&lt;&gt;0,SUMPRODUCT(N([Papel]=Tabela8[[#This Row],[Papel]]),N([Exercício]=Tabela8[[#This Row],[Exercício]]),[Líquido p/Ação]),"")</f>
        <v/>
      </c>
      <c r="L477" s="42" t="str">
        <f>IF(Tabela8[[#This Row],[Lucro p/Ação]]="","",IF(Tabela8[[#This Row],[Lucro p/Ação]]&gt;0,Tabela8[[#This Row],[Total Exercício]]/Tabela8[[#This Row],[Lucro p/Ação]],0))</f>
        <v/>
      </c>
      <c r="M47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7" s="14" t="str">
        <f>IF(Tabela8[[#This Row],[Média Lucro p/Ação]]&lt;&gt;"",Tabela8[[#This Row],[Média Pago]]/Tabela8[[#This Row],[Média Lucro p/Ação]],"")</f>
        <v/>
      </c>
      <c r="P47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7" s="17">
        <f>SUMPRODUCT(N(Tabela1[Código]=Tabela8[[#This Row],[Papel]]),Tabela1[Fechamento])</f>
        <v>0</v>
      </c>
      <c r="R477" s="17">
        <f>SUMPRODUCT(N(Tabela17[Código]=Tabela8[[#This Row],[Papel]]),Tabela17[Fechamento])</f>
        <v>0</v>
      </c>
      <c r="S477" s="17">
        <f>SUMPRODUCT(N(Tabela176[Código]=Tabela8[[#This Row],[Papel]]),Tabela176[Fechamento])</f>
        <v>0.24</v>
      </c>
      <c r="T477" s="17">
        <f>SUMPRODUCT(N(Tabela1768[Código]=Tabela8[[#This Row],[Papel]]),Tabela1768[Fechamento])</f>
        <v>0</v>
      </c>
      <c r="U477" s="7">
        <f>SUMPRODUCT(N(Tabela17683[Código]=Tabela8[[#This Row],[Papel]]),Tabela17683[Fechamento])</f>
        <v>0</v>
      </c>
      <c r="V477" s="17">
        <f>IF(MAX(Tabela8[[#This Row],[Cotação 1]]:Tabela8[[#This Row],[Cotação 5]])=0,"",MAX(Tabela8[[#This Row],[Cotação 1]]:Tabela8[[#This Row],[Cotação 5]]))</f>
        <v>0.24</v>
      </c>
      <c r="W47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7" s="17">
        <f>IF(AND([Ref]=5,[Cotação]&gt;0,[Cotação]&lt;&gt;""),[Total Exercício]/[Cotação],IF([Ref]&lt;4,0,""))</f>
        <v>0</v>
      </c>
      <c r="Y477" s="17">
        <f>IF([Tipo]="div",1,0)</f>
        <v>0</v>
      </c>
      <c r="Z477" s="17">
        <f>IF([Tipo]="jcp",1,0)</f>
        <v>0</v>
      </c>
    </row>
    <row r="478" spans="1:26" hidden="1">
      <c r="A478" s="3" t="s">
        <v>277</v>
      </c>
      <c r="B478" s="58" t="s">
        <v>276</v>
      </c>
      <c r="C478" s="16">
        <v>4</v>
      </c>
      <c r="D478" s="4"/>
      <c r="E478" s="4"/>
      <c r="F478" s="4"/>
      <c r="G478" s="4"/>
      <c r="H478" s="4"/>
      <c r="I478" s="4"/>
      <c r="J478" s="17">
        <f>IF(Tabela8[[#This Row],[Tipo]]="jcp",Tabela8[[#This Row],[Provento p/Ação]]*85%,Tabela8[[#This Row],[Provento p/Ação]])</f>
        <v>0</v>
      </c>
      <c r="K478" s="143" t="str">
        <f>IF([Lucro p/Ação]&lt;&gt;0,SUMPRODUCT(N([Papel]=Tabela8[[#This Row],[Papel]]),N([Exercício]=Tabela8[[#This Row],[Exercício]]),[Líquido p/Ação]),"")</f>
        <v/>
      </c>
      <c r="L478" s="42" t="str">
        <f>IF(Tabela8[[#This Row],[Lucro p/Ação]]="","",IF(Tabela8[[#This Row],[Lucro p/Ação]]&gt;0,Tabela8[[#This Row],[Total Exercício]]/Tabela8[[#This Row],[Lucro p/Ação]],0))</f>
        <v/>
      </c>
      <c r="M47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8" s="14" t="str">
        <f>IF(Tabela8[[#This Row],[Média Lucro p/Ação]]&lt;&gt;"",Tabela8[[#This Row],[Média Pago]]/Tabela8[[#This Row],[Média Lucro p/Ação]],"")</f>
        <v/>
      </c>
      <c r="P47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8" s="47">
        <f>SUMPRODUCT(N(Tabela1[Código]=Tabela8[[#This Row],[Papel]]),Tabela1[Fechamento])</f>
        <v>0</v>
      </c>
      <c r="R478" s="54">
        <f>SUMPRODUCT(N(Tabela17[Código]=Tabela8[[#This Row],[Papel]]),Tabela17[Fechamento])</f>
        <v>11.4</v>
      </c>
      <c r="S478" s="7">
        <f>SUMPRODUCT(N(Tabela176[Código]=Tabela8[[#This Row],[Papel]]),Tabela176[Fechamento])</f>
        <v>0</v>
      </c>
      <c r="T478" s="7">
        <f>SUMPRODUCT(N(Tabela1768[Código]=Tabela8[[#This Row],[Papel]]),Tabela1768[Fechamento])</f>
        <v>0</v>
      </c>
      <c r="U478" s="7">
        <f>SUMPRODUCT(N(Tabela17683[Código]=Tabela8[[#This Row],[Papel]]),Tabela17683[Fechamento])</f>
        <v>0</v>
      </c>
      <c r="V478" s="17">
        <f>IF(MAX(Tabela8[[#This Row],[Cotação 1]]:Tabela8[[#This Row],[Cotação 5]])=0,"",MAX(Tabela8[[#This Row],[Cotação 1]]:Tabela8[[#This Row],[Cotação 5]]))</f>
        <v>11.4</v>
      </c>
      <c r="W47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8" s="17" t="str">
        <f>IF(AND([Ref]=5,[Cotação]&gt;0,[Cotação]&lt;&gt;""),[Total Exercício]/[Cotação],IF([Ref]&lt;4,0,""))</f>
        <v/>
      </c>
      <c r="Y478" s="17">
        <f>IF([Tipo]="div",1,0)</f>
        <v>0</v>
      </c>
      <c r="Z478" s="17">
        <f>IF([Tipo]="jcp",1,0)</f>
        <v>0</v>
      </c>
    </row>
    <row r="479" spans="1:26" hidden="1">
      <c r="A479" s="4" t="s">
        <v>325</v>
      </c>
      <c r="B479" s="57" t="s">
        <v>615</v>
      </c>
      <c r="C479" s="16">
        <v>3</v>
      </c>
      <c r="D479" s="4"/>
      <c r="E479" s="4"/>
      <c r="F479" s="4"/>
      <c r="G479" s="4"/>
      <c r="H479" s="4"/>
      <c r="I479" s="4"/>
      <c r="J479" s="17">
        <f>IF(Tabela8[[#This Row],[Tipo]]="jcp",Tabela8[[#This Row],[Provento p/Ação]]*85%,Tabela8[[#This Row],[Provento p/Ação]])</f>
        <v>0</v>
      </c>
      <c r="K479" s="143" t="str">
        <f>IF([Lucro p/Ação]&lt;&gt;0,SUMPRODUCT(N([Papel]=Tabela8[[#This Row],[Papel]]),N([Exercício]=Tabela8[[#This Row],[Exercício]]),[Líquido p/Ação]),"")</f>
        <v/>
      </c>
      <c r="L479" s="42" t="str">
        <f>IF(Tabela8[[#This Row],[Lucro p/Ação]]="","",IF(Tabela8[[#This Row],[Lucro p/Ação]]&gt;0,Tabela8[[#This Row],[Total Exercício]]/Tabela8[[#This Row],[Lucro p/Ação]],0))</f>
        <v/>
      </c>
      <c r="M47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7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79" s="14" t="str">
        <f>IF(Tabela8[[#This Row],[Média Lucro p/Ação]]&lt;&gt;"",Tabela8[[#This Row],[Média Pago]]/Tabela8[[#This Row],[Média Lucro p/Ação]],"")</f>
        <v/>
      </c>
      <c r="P47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79" s="47">
        <f>SUMPRODUCT(N(Tabela1[Código]=Tabela8[[#This Row],[Papel]]),Tabela1[Fechamento])</f>
        <v>0</v>
      </c>
      <c r="R479" s="54">
        <f>SUMPRODUCT(N(Tabela17[Código]=Tabela8[[#This Row],[Papel]]),Tabela17[Fechamento])</f>
        <v>0</v>
      </c>
      <c r="S479" s="7">
        <f>SUMPRODUCT(N(Tabela176[Código]=Tabela8[[#This Row],[Papel]]),Tabela176[Fechamento])</f>
        <v>0</v>
      </c>
      <c r="T479" s="7">
        <f>SUMPRODUCT(N(Tabela1768[Código]=Tabela8[[#This Row],[Papel]]),Tabela1768[Fechamento])</f>
        <v>0</v>
      </c>
      <c r="U479" s="7">
        <f>SUMPRODUCT(N(Tabela17683[Código]=Tabela8[[#This Row],[Papel]]),Tabela17683[Fechamento])</f>
        <v>0</v>
      </c>
      <c r="V479" s="17" t="str">
        <f>IF(MAX(Tabela8[[#This Row],[Cotação 1]]:Tabela8[[#This Row],[Cotação 5]])=0,"",MAX(Tabela8[[#This Row],[Cotação 1]]:Tabela8[[#This Row],[Cotação 5]]))</f>
        <v/>
      </c>
      <c r="W47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79" s="17">
        <f>IF(AND([Ref]=5,[Cotação]&gt;0,[Cotação]&lt;&gt;""),[Total Exercício]/[Cotação],IF([Ref]&lt;4,0,""))</f>
        <v>0</v>
      </c>
      <c r="Y479" s="17">
        <f>IF([Tipo]="div",1,0)</f>
        <v>0</v>
      </c>
      <c r="Z479" s="17">
        <f>IF([Tipo]="jcp",1,0)</f>
        <v>0</v>
      </c>
    </row>
    <row r="480" spans="1:26" hidden="1">
      <c r="A480" s="4" t="s">
        <v>325</v>
      </c>
      <c r="B480" s="57" t="s">
        <v>327</v>
      </c>
      <c r="C480" s="15">
        <v>3</v>
      </c>
      <c r="D480" s="4"/>
      <c r="E480" s="4"/>
      <c r="F480" s="4"/>
      <c r="G480" s="4"/>
      <c r="H480" s="4"/>
      <c r="I480" s="4"/>
      <c r="J480" s="17">
        <f>IF(Tabela8[[#This Row],[Tipo]]="jcp",Tabela8[[#This Row],[Provento p/Ação]]*85%,Tabela8[[#This Row],[Provento p/Ação]])</f>
        <v>0</v>
      </c>
      <c r="K480" s="143" t="str">
        <f>IF([Lucro p/Ação]&lt;&gt;0,SUMPRODUCT(N([Papel]=Tabela8[[#This Row],[Papel]]),N([Exercício]=Tabela8[[#This Row],[Exercício]]),[Líquido p/Ação]),"")</f>
        <v/>
      </c>
      <c r="L480" s="42" t="str">
        <f>IF(Tabela8[[#This Row],[Lucro p/Ação]]="","",IF(Tabela8[[#This Row],[Lucro p/Ação]]&gt;0,Tabela8[[#This Row],[Total Exercício]]/Tabela8[[#This Row],[Lucro p/Ação]],0))</f>
        <v/>
      </c>
      <c r="M48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0" s="14" t="str">
        <f>IF(Tabela8[[#This Row],[Média Lucro p/Ação]]&lt;&gt;"",Tabela8[[#This Row],[Média Pago]]/Tabela8[[#This Row],[Média Lucro p/Ação]],"")</f>
        <v/>
      </c>
      <c r="P48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0" s="13">
        <f>SUMPRODUCT(N(Tabela1[Código]=Tabela8[[#This Row],[Papel]]),Tabela1[Fechamento])</f>
        <v>0</v>
      </c>
      <c r="R480" s="55">
        <f>SUMPRODUCT(N(Tabela17[Código]=Tabela8[[#This Row],[Papel]]),Tabela17[Fechamento])</f>
        <v>92</v>
      </c>
      <c r="S480" s="7">
        <f>SUMPRODUCT(N(Tabela176[Código]=Tabela8[[#This Row],[Papel]]),Tabela176[Fechamento])</f>
        <v>0</v>
      </c>
      <c r="T480" s="7">
        <f>SUMPRODUCT(N(Tabela1768[Código]=Tabela8[[#This Row],[Papel]]),Tabela1768[Fechamento])</f>
        <v>0</v>
      </c>
      <c r="U480" s="7">
        <f>SUMPRODUCT(N(Tabela17683[Código]=Tabela8[[#This Row],[Papel]]),Tabela17683[Fechamento])</f>
        <v>0</v>
      </c>
      <c r="V480" s="17">
        <f>IF(MAX(Tabela8[[#This Row],[Cotação 1]]:Tabela8[[#This Row],[Cotação 5]])=0,"",MAX(Tabela8[[#This Row],[Cotação 1]]:Tabela8[[#This Row],[Cotação 5]]))</f>
        <v>92</v>
      </c>
      <c r="W48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0" s="17">
        <f>IF(AND([Ref]=5,[Cotação]&gt;0,[Cotação]&lt;&gt;""),[Total Exercício]/[Cotação],IF([Ref]&lt;4,0,""))</f>
        <v>0</v>
      </c>
      <c r="Y480" s="17">
        <f>IF([Tipo]="div",1,0)</f>
        <v>0</v>
      </c>
      <c r="Z480" s="17">
        <f>IF([Tipo]="jcp",1,0)</f>
        <v>0</v>
      </c>
    </row>
    <row r="481" spans="1:26" hidden="1">
      <c r="A481" s="4" t="s">
        <v>559</v>
      </c>
      <c r="B481" s="57" t="s">
        <v>568</v>
      </c>
      <c r="C481" s="15">
        <v>4</v>
      </c>
      <c r="D481" s="4"/>
      <c r="E481" s="4"/>
      <c r="F481" s="4"/>
      <c r="G481" s="4"/>
      <c r="H481" s="4"/>
      <c r="I481" s="4"/>
      <c r="J481" s="17">
        <f>IF(Tabela8[[#This Row],[Tipo]]="jcp",Tabela8[[#This Row],[Provento p/Ação]]*85%,Tabela8[[#This Row],[Provento p/Ação]])</f>
        <v>0</v>
      </c>
      <c r="K481" s="143" t="str">
        <f>IF([Lucro p/Ação]&lt;&gt;0,SUMPRODUCT(N([Papel]=Tabela8[[#This Row],[Papel]]),N([Exercício]=Tabela8[[#This Row],[Exercício]]),[Líquido p/Ação]),"")</f>
        <v/>
      </c>
      <c r="L481" s="42" t="str">
        <f>IF(Tabela8[[#This Row],[Lucro p/Ação]]="","",IF(Tabela8[[#This Row],[Lucro p/Ação]]&gt;0,Tabela8[[#This Row],[Total Exercício]]/Tabela8[[#This Row],[Lucro p/Ação]],0))</f>
        <v/>
      </c>
      <c r="M48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1" s="14" t="str">
        <f>IF(Tabela8[[#This Row],[Média Lucro p/Ação]]&lt;&gt;"",Tabela8[[#This Row],[Média Pago]]/Tabela8[[#This Row],[Média Lucro p/Ação]],"")</f>
        <v/>
      </c>
      <c r="P48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1" s="17">
        <f>SUMPRODUCT(N(Tabela1[Código]=Tabela8[[#This Row],[Papel]]),Tabela1[Fechamento])</f>
        <v>0</v>
      </c>
      <c r="R481" s="17">
        <f>SUMPRODUCT(N(Tabela17[Código]=Tabela8[[#This Row],[Papel]]),Tabela17[Fechamento])</f>
        <v>0</v>
      </c>
      <c r="S481" s="17">
        <f>SUMPRODUCT(N(Tabela176[Código]=Tabela8[[#This Row],[Papel]]),Tabela176[Fechamento])</f>
        <v>34.04</v>
      </c>
      <c r="T481" s="17">
        <f>SUMPRODUCT(N(Tabela1768[Código]=Tabela8[[#This Row],[Papel]]),Tabela1768[Fechamento])</f>
        <v>0</v>
      </c>
      <c r="U481" s="7">
        <f>SUMPRODUCT(N(Tabela17683[Código]=Tabela8[[#This Row],[Papel]]),Tabela17683[Fechamento])</f>
        <v>0</v>
      </c>
      <c r="V481" s="17">
        <f>IF(MAX(Tabela8[[#This Row],[Cotação 1]]:Tabela8[[#This Row],[Cotação 5]])=0,"",MAX(Tabela8[[#This Row],[Cotação 1]]:Tabela8[[#This Row],[Cotação 5]]))</f>
        <v>34.04</v>
      </c>
      <c r="W48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1" s="17" t="str">
        <f>IF(AND([Ref]=5,[Cotação]&gt;0,[Cotação]&lt;&gt;""),[Total Exercício]/[Cotação],IF([Ref]&lt;4,0,""))</f>
        <v/>
      </c>
      <c r="Y481" s="17">
        <f>IF([Tipo]="div",1,0)</f>
        <v>0</v>
      </c>
      <c r="Z481" s="17">
        <f>IF([Tipo]="jcp",1,0)</f>
        <v>0</v>
      </c>
    </row>
    <row r="482" spans="1:26" hidden="1">
      <c r="A482" s="3" t="s">
        <v>893</v>
      </c>
      <c r="B482" s="58" t="s">
        <v>894</v>
      </c>
      <c r="C482" s="16">
        <v>3</v>
      </c>
      <c r="D482" s="4"/>
      <c r="E482" s="4"/>
      <c r="F482" s="4"/>
      <c r="G482" s="4"/>
      <c r="H482" s="4"/>
      <c r="I482" s="4"/>
      <c r="J482" s="17">
        <f>IF(Tabela8[[#This Row],[Tipo]]="jcp",Tabela8[[#This Row],[Provento p/Ação]]*85%,Tabela8[[#This Row],[Provento p/Ação]])</f>
        <v>0</v>
      </c>
      <c r="K482" s="143" t="str">
        <f>IF([Lucro p/Ação]&lt;&gt;0,SUMPRODUCT(N([Papel]=Tabela8[[#This Row],[Papel]]),N([Exercício]=Tabela8[[#This Row],[Exercício]]),[Líquido p/Ação]),"")</f>
        <v/>
      </c>
      <c r="L482" s="42" t="str">
        <f>IF(Tabela8[[#This Row],[Lucro p/Ação]]="","",IF(Tabela8[[#This Row],[Lucro p/Ação]]&gt;0,Tabela8[[#This Row],[Total Exercício]]/Tabela8[[#This Row],[Lucro p/Ação]],0))</f>
        <v/>
      </c>
      <c r="M48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2" s="14" t="str">
        <f>IF(Tabela8[[#This Row],[Média Lucro p/Ação]]&lt;&gt;"",Tabela8[[#This Row],[Média Pago]]/Tabela8[[#This Row],[Média Lucro p/Ação]],"")</f>
        <v/>
      </c>
      <c r="P48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2" s="7">
        <f>SUMPRODUCT(N(Tabela1[Código]=Tabela8[[#This Row],[Papel]]),Tabela1[Fechamento])</f>
        <v>0</v>
      </c>
      <c r="R482" s="7">
        <f>SUMPRODUCT(N(Tabela17[Código]=Tabela8[[#This Row],[Papel]]),Tabela17[Fechamento])</f>
        <v>0</v>
      </c>
      <c r="S482" s="7">
        <f>SUMPRODUCT(N(Tabela176[Código]=Tabela8[[#This Row],[Papel]]),Tabela176[Fechamento])</f>
        <v>0</v>
      </c>
      <c r="T482" s="7">
        <f>SUMPRODUCT(N(Tabela1768[Código]=Tabela8[[#This Row],[Papel]]),Tabela1768[Fechamento])</f>
        <v>0.01</v>
      </c>
      <c r="U482" s="7">
        <f>SUMPRODUCT(N(Tabela17683[Código]=Tabela8[[#This Row],[Papel]]),Tabela17683[Fechamento])</f>
        <v>0</v>
      </c>
      <c r="V482" s="17">
        <f>IF(MAX(Tabela8[[#This Row],[Cotação 1]]:Tabela8[[#This Row],[Cotação 5]])=0,"",MAX(Tabela8[[#This Row],[Cotação 1]]:Tabela8[[#This Row],[Cotação 5]]))</f>
        <v>0.01</v>
      </c>
      <c r="W48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2" s="17">
        <f>IF(AND([Ref]=5,[Cotação]&gt;0,[Cotação]&lt;&gt;""),[Total Exercício]/[Cotação],IF([Ref]&lt;4,0,""))</f>
        <v>0</v>
      </c>
      <c r="Y482" s="17">
        <f>IF([Tipo]="div",1,0)</f>
        <v>0</v>
      </c>
      <c r="Z482" s="17">
        <f>IF([Tipo]="jcp",1,0)</f>
        <v>0</v>
      </c>
    </row>
    <row r="483" spans="1:26" hidden="1">
      <c r="A483" s="3" t="s">
        <v>893</v>
      </c>
      <c r="B483" s="58" t="s">
        <v>895</v>
      </c>
      <c r="C483" s="16">
        <v>3</v>
      </c>
      <c r="D483" s="4"/>
      <c r="E483" s="4"/>
      <c r="F483" s="4"/>
      <c r="G483" s="4"/>
      <c r="H483" s="4"/>
      <c r="I483" s="4"/>
      <c r="J483" s="17">
        <f>IF(Tabela8[[#This Row],[Tipo]]="jcp",Tabela8[[#This Row],[Provento p/Ação]]*85%,Tabela8[[#This Row],[Provento p/Ação]])</f>
        <v>0</v>
      </c>
      <c r="K483" s="143" t="str">
        <f>IF([Lucro p/Ação]&lt;&gt;0,SUMPRODUCT(N([Papel]=Tabela8[[#This Row],[Papel]]),N([Exercício]=Tabela8[[#This Row],[Exercício]]),[Líquido p/Ação]),"")</f>
        <v/>
      </c>
      <c r="L483" s="42" t="str">
        <f>IF(Tabela8[[#This Row],[Lucro p/Ação]]="","",IF(Tabela8[[#This Row],[Lucro p/Ação]]&gt;0,Tabela8[[#This Row],[Total Exercício]]/Tabela8[[#This Row],[Lucro p/Ação]],0))</f>
        <v/>
      </c>
      <c r="M48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3" s="14" t="str">
        <f>IF(Tabela8[[#This Row],[Média Lucro p/Ação]]&lt;&gt;"",Tabela8[[#This Row],[Média Pago]]/Tabela8[[#This Row],[Média Lucro p/Ação]],"")</f>
        <v/>
      </c>
      <c r="P48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3" s="7">
        <f>SUMPRODUCT(N(Tabela1[Código]=Tabela8[[#This Row],[Papel]]),Tabela1[Fechamento])</f>
        <v>0</v>
      </c>
      <c r="R483" s="7">
        <f>SUMPRODUCT(N(Tabela17[Código]=Tabela8[[#This Row],[Papel]]),Tabela17[Fechamento])</f>
        <v>0</v>
      </c>
      <c r="S483" s="7">
        <f>SUMPRODUCT(N(Tabela176[Código]=Tabela8[[#This Row],[Papel]]),Tabela176[Fechamento])</f>
        <v>0</v>
      </c>
      <c r="T483" s="7">
        <f>SUMPRODUCT(N(Tabela1768[Código]=Tabela8[[#This Row],[Papel]]),Tabela1768[Fechamento])</f>
        <v>0.02</v>
      </c>
      <c r="U483" s="7">
        <f>SUMPRODUCT(N(Tabela17683[Código]=Tabela8[[#This Row],[Papel]]),Tabela17683[Fechamento])</f>
        <v>0</v>
      </c>
      <c r="V483" s="17">
        <f>IF(MAX(Tabela8[[#This Row],[Cotação 1]]:Tabela8[[#This Row],[Cotação 5]])=0,"",MAX(Tabela8[[#This Row],[Cotação 1]]:Tabela8[[#This Row],[Cotação 5]]))</f>
        <v>0.02</v>
      </c>
      <c r="W48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3" s="17">
        <f>IF(AND([Ref]=5,[Cotação]&gt;0,[Cotação]&lt;&gt;""),[Total Exercício]/[Cotação],IF([Ref]&lt;4,0,""))</f>
        <v>0</v>
      </c>
      <c r="Y483" s="17">
        <f>IF([Tipo]="div",1,0)</f>
        <v>0</v>
      </c>
      <c r="Z483" s="17">
        <f>IF([Tipo]="jcp",1,0)</f>
        <v>0</v>
      </c>
    </row>
    <row r="484" spans="1:26" hidden="1">
      <c r="A484" s="3" t="s">
        <v>1140</v>
      </c>
      <c r="B484" s="57" t="s">
        <v>1135</v>
      </c>
      <c r="C484" s="16">
        <v>3</v>
      </c>
      <c r="D484" s="4"/>
      <c r="E484" s="4"/>
      <c r="F484" s="4"/>
      <c r="G484" s="4"/>
      <c r="H484" s="4"/>
      <c r="I484" s="4"/>
      <c r="J484" s="17">
        <f>IF(Tabela8[[#This Row],[Tipo]]="jcp",Tabela8[[#This Row],[Provento p/Ação]]*85%,Tabela8[[#This Row],[Provento p/Ação]])</f>
        <v>0</v>
      </c>
      <c r="K484" s="143" t="str">
        <f>IF([Lucro p/Ação]&lt;&gt;0,SUMPRODUCT(N([Papel]=Tabela8[[#This Row],[Papel]]),N([Exercício]=Tabela8[[#This Row],[Exercício]]),[Líquido p/Ação]),"")</f>
        <v/>
      </c>
      <c r="L484" s="42" t="str">
        <f>IF(Tabela8[[#This Row],[Lucro p/Ação]]="","",IF(Tabela8[[#This Row],[Lucro p/Ação]]&gt;0,Tabela8[[#This Row],[Total Exercício]]/Tabela8[[#This Row],[Lucro p/Ação]],0))</f>
        <v/>
      </c>
      <c r="M48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4" s="14" t="str">
        <f>IF(Tabela8[[#This Row],[Média Lucro p/Ação]]&lt;&gt;"",Tabela8[[#This Row],[Média Pago]]/Tabela8[[#This Row],[Média Lucro p/Ação]],"")</f>
        <v/>
      </c>
      <c r="P48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4" s="7">
        <f>SUMPRODUCT(N(Tabela1[Código]=Tabela8[[#This Row],[Papel]]),Tabela1[Fechamento])</f>
        <v>0</v>
      </c>
      <c r="R484" s="7">
        <f>SUMPRODUCT(N(Tabela17[Código]=Tabela8[[#This Row],[Papel]]),Tabela17[Fechamento])</f>
        <v>0</v>
      </c>
      <c r="S484" s="7">
        <f>SUMPRODUCT(N(Tabela176[Código]=Tabela8[[#This Row],[Papel]]),Tabela176[Fechamento])</f>
        <v>0</v>
      </c>
      <c r="T484" s="7">
        <f>SUMPRODUCT(N(Tabela1768[Código]=Tabela8[[#This Row],[Papel]]),Tabela1768[Fechamento])</f>
        <v>0</v>
      </c>
      <c r="U484" s="7">
        <f>SUMPRODUCT(N(Tabela17683[Código]=Tabela8[[#This Row],[Papel]]),Tabela17683[Fechamento])</f>
        <v>8.16</v>
      </c>
      <c r="V484" s="17">
        <f>IF(MAX(Tabela8[[#This Row],[Cotação 1]]:Tabela8[[#This Row],[Cotação 5]])=0,"",MAX(Tabela8[[#This Row],[Cotação 1]]:Tabela8[[#This Row],[Cotação 5]]))</f>
        <v>8.16</v>
      </c>
      <c r="W48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4" s="17">
        <f>IF(AND([Ref]=5,[Cotação]&gt;0,[Cotação]&lt;&gt;""),[Total Exercício]/[Cotação],IF([Ref]&lt;4,0,""))</f>
        <v>0</v>
      </c>
      <c r="Y484" s="17">
        <f>IF([Tipo]="div",1,0)</f>
        <v>0</v>
      </c>
      <c r="Z484" s="17">
        <f>IF([Tipo]="jcp",1,0)</f>
        <v>0</v>
      </c>
    </row>
    <row r="485" spans="1:26" hidden="1">
      <c r="A485" s="3" t="s">
        <v>1019</v>
      </c>
      <c r="B485" s="57" t="s">
        <v>1052</v>
      </c>
      <c r="C485" s="16">
        <v>4</v>
      </c>
      <c r="D485" s="4"/>
      <c r="E485" s="4"/>
      <c r="F485" s="4"/>
      <c r="G485" s="4"/>
      <c r="H485" s="4"/>
      <c r="I485" s="4"/>
      <c r="J485" s="17">
        <f>IF(Tabela8[[#This Row],[Tipo]]="jcp",Tabela8[[#This Row],[Provento p/Ação]]*85%,Tabela8[[#This Row],[Provento p/Ação]])</f>
        <v>0</v>
      </c>
      <c r="K485" s="143" t="str">
        <f>IF([Lucro p/Ação]&lt;&gt;0,SUMPRODUCT(N([Papel]=Tabela8[[#This Row],[Papel]]),N([Exercício]=Tabela8[[#This Row],[Exercício]]),[Líquido p/Ação]),"")</f>
        <v/>
      </c>
      <c r="L485" s="42" t="str">
        <f>IF(Tabela8[[#This Row],[Lucro p/Ação]]="","",IF(Tabela8[[#This Row],[Lucro p/Ação]]&gt;0,Tabela8[[#This Row],[Total Exercício]]/Tabela8[[#This Row],[Lucro p/Ação]],0))</f>
        <v/>
      </c>
      <c r="M48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5" s="14" t="str">
        <f>IF(Tabela8[[#This Row],[Média Lucro p/Ação]]&lt;&gt;"",Tabela8[[#This Row],[Média Pago]]/Tabela8[[#This Row],[Média Lucro p/Ação]],"")</f>
        <v/>
      </c>
      <c r="P48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5" s="7">
        <f>SUMPRODUCT(N(Tabela1[Código]=Tabela8[[#This Row],[Papel]]),Tabela1[Fechamento])</f>
        <v>0</v>
      </c>
      <c r="R485" s="7">
        <f>SUMPRODUCT(N(Tabela17[Código]=Tabela8[[#This Row],[Papel]]),Tabela17[Fechamento])</f>
        <v>0</v>
      </c>
      <c r="S485" s="7">
        <f>SUMPRODUCT(N(Tabela176[Código]=Tabela8[[#This Row],[Papel]]),Tabela176[Fechamento])</f>
        <v>0</v>
      </c>
      <c r="T485" s="7">
        <f>SUMPRODUCT(N(Tabela1768[Código]=Tabela8[[#This Row],[Papel]]),Tabela1768[Fechamento])</f>
        <v>3.81</v>
      </c>
      <c r="U485" s="7">
        <f>SUMPRODUCT(N(Tabela17683[Código]=Tabela8[[#This Row],[Papel]]),Tabela17683[Fechamento])</f>
        <v>0</v>
      </c>
      <c r="V485" s="17">
        <f>IF(MAX(Tabela8[[#This Row],[Cotação 1]]:Tabela8[[#This Row],[Cotação 5]])=0,"",MAX(Tabela8[[#This Row],[Cotação 1]]:Tabela8[[#This Row],[Cotação 5]]))</f>
        <v>3.81</v>
      </c>
      <c r="W48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5" s="17" t="str">
        <f>IF(AND([Ref]=5,[Cotação]&gt;0,[Cotação]&lt;&gt;""),[Total Exercício]/[Cotação],IF([Ref]&lt;4,0,""))</f>
        <v/>
      </c>
      <c r="Y485" s="17">
        <f>IF([Tipo]="div",1,0)</f>
        <v>0</v>
      </c>
      <c r="Z485" s="17">
        <f>IF([Tipo]="jcp",1,0)</f>
        <v>0</v>
      </c>
    </row>
    <row r="486" spans="1:26" hidden="1">
      <c r="A486" s="4" t="s">
        <v>12</v>
      </c>
      <c r="B486" s="138" t="s">
        <v>153</v>
      </c>
      <c r="C486" s="15">
        <v>4</v>
      </c>
      <c r="D486" s="14">
        <v>2010</v>
      </c>
      <c r="E486" s="4" t="s">
        <v>1468</v>
      </c>
      <c r="F486" s="4"/>
      <c r="G486" s="46">
        <v>40267</v>
      </c>
      <c r="H486" s="46">
        <v>40288</v>
      </c>
      <c r="I486" s="4">
        <v>0.86275000000000002</v>
      </c>
      <c r="J486" s="133">
        <f>IF(Tabela8[[#This Row],[Tipo]]="jcp",Tabela8[[#This Row],[Provento p/Ação]]*85%,Tabela8[[#This Row],[Provento p/Ação]])</f>
        <v>0.86275000000000002</v>
      </c>
      <c r="K486" s="143" t="str">
        <f>IF([Lucro p/Ação]&lt;&gt;0,SUMPRODUCT(N([Papel]=Tabela8[[#This Row],[Papel]]),N([Exercício]=Tabela8[[#This Row],[Exercício]]),[Líquido p/Ação]),"")</f>
        <v/>
      </c>
      <c r="L486" s="42" t="str">
        <f>IF(Tabela8[[#This Row],[Lucro p/Ação]]="","",IF(Tabela8[[#This Row],[Lucro p/Ação]]&gt;0,Tabela8[[#This Row],[Total Exercício]]/Tabela8[[#This Row],[Lucro p/Ação]],0))</f>
        <v/>
      </c>
      <c r="M48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6" s="19" t="str">
        <f>IF(Tabela8[[#This Row],[Média Lucro p/Ação]]&lt;&gt;"",Tabela8[[#This Row],[Média Pago]]/Tabela8[[#This Row],[Média Lucro p/Ação]],"")</f>
        <v/>
      </c>
      <c r="P48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6" s="5">
        <f>SUMPRODUCT(N(Tabela1[Código]=Tabela8[[#This Row],[Papel]]),Tabela1[Fechamento])</f>
        <v>45.7</v>
      </c>
      <c r="R486" s="5">
        <f>SUMPRODUCT(N(Tabela17[Código]=Tabela8[[#This Row],[Papel]]),Tabela17[Fechamento])</f>
        <v>0</v>
      </c>
      <c r="S486" s="7">
        <f>SUMPRODUCT(N(Tabela176[Código]=Tabela8[[#This Row],[Papel]]),Tabela176[Fechamento])</f>
        <v>0</v>
      </c>
      <c r="T486" s="7">
        <f>SUMPRODUCT(N(Tabela1768[Código]=Tabela8[[#This Row],[Papel]]),Tabela1768[Fechamento])</f>
        <v>0</v>
      </c>
      <c r="U486" s="7">
        <f>SUMPRODUCT(N(Tabela17683[Código]=Tabela8[[#This Row],[Papel]]),Tabela17683[Fechamento])</f>
        <v>0</v>
      </c>
      <c r="V486" s="17">
        <f>IF(MAX(Tabela8[[#This Row],[Cotação 1]]:Tabela8[[#This Row],[Cotação 5]])=0,"",MAX(Tabela8[[#This Row],[Cotação 1]]:Tabela8[[#This Row],[Cotação 5]]))</f>
        <v>45.7</v>
      </c>
      <c r="W48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6" s="17" t="str">
        <f>IF(AND([Ref]=5,[Cotação]&gt;0,[Cotação]&lt;&gt;""),[Total Exercício]/[Cotação],IF([Ref]&lt;4,0,""))</f>
        <v/>
      </c>
      <c r="Y486" s="17">
        <f>IF([Tipo]="div",1,0)</f>
        <v>1</v>
      </c>
      <c r="Z486" s="17">
        <f>IF([Tipo]="jcp",1,0)</f>
        <v>0</v>
      </c>
    </row>
    <row r="487" spans="1:26" hidden="1">
      <c r="A487" s="4" t="s">
        <v>12</v>
      </c>
      <c r="B487" s="138" t="s">
        <v>154</v>
      </c>
      <c r="C487" s="15">
        <v>4</v>
      </c>
      <c r="D487" s="14">
        <v>2010</v>
      </c>
      <c r="E487" s="4" t="s">
        <v>1468</v>
      </c>
      <c r="F487" s="4"/>
      <c r="G487" s="46">
        <v>40267</v>
      </c>
      <c r="H487" s="46">
        <v>40288</v>
      </c>
      <c r="I487" s="4">
        <v>0.86275000000000002</v>
      </c>
      <c r="J487" s="133">
        <f>IF(Tabela8[[#This Row],[Tipo]]="jcp",Tabela8[[#This Row],[Provento p/Ação]]*85%,Tabela8[[#This Row],[Provento p/Ação]])</f>
        <v>0.86275000000000002</v>
      </c>
      <c r="K487" s="143" t="str">
        <f>IF([Lucro p/Ação]&lt;&gt;0,SUMPRODUCT(N([Papel]=Tabela8[[#This Row],[Papel]]),N([Exercício]=Tabela8[[#This Row],[Exercício]]),[Líquido p/Ação]),"")</f>
        <v/>
      </c>
      <c r="L487" s="42" t="str">
        <f>IF(Tabela8[[#This Row],[Lucro p/Ação]]="","",IF(Tabela8[[#This Row],[Lucro p/Ação]]&gt;0,Tabela8[[#This Row],[Total Exercício]]/Tabela8[[#This Row],[Lucro p/Ação]],0))</f>
        <v/>
      </c>
      <c r="M48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7" s="19" t="str">
        <f>IF(Tabela8[[#This Row],[Média Lucro p/Ação]]&lt;&gt;"",Tabela8[[#This Row],[Média Pago]]/Tabela8[[#This Row],[Média Lucro p/Ação]],"")</f>
        <v/>
      </c>
      <c r="P48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7" s="5">
        <f>SUMPRODUCT(N(Tabela1[Código]=Tabela8[[#This Row],[Papel]]),Tabela1[Fechamento])</f>
        <v>23.59</v>
      </c>
      <c r="R487" s="5">
        <f>SUMPRODUCT(N(Tabela17[Código]=Tabela8[[#This Row],[Papel]]),Tabela17[Fechamento])</f>
        <v>0</v>
      </c>
      <c r="S487" s="7">
        <f>SUMPRODUCT(N(Tabela176[Código]=Tabela8[[#This Row],[Papel]]),Tabela176[Fechamento])</f>
        <v>0</v>
      </c>
      <c r="T487" s="7">
        <f>SUMPRODUCT(N(Tabela1768[Código]=Tabela8[[#This Row],[Papel]]),Tabela1768[Fechamento])</f>
        <v>0</v>
      </c>
      <c r="U487" s="7">
        <f>SUMPRODUCT(N(Tabela17683[Código]=Tabela8[[#This Row],[Papel]]),Tabela17683[Fechamento])</f>
        <v>0</v>
      </c>
      <c r="V487" s="17">
        <f>IF(MAX(Tabela8[[#This Row],[Cotação 1]]:Tabela8[[#This Row],[Cotação 5]])=0,"",MAX(Tabela8[[#This Row],[Cotação 1]]:Tabela8[[#This Row],[Cotação 5]]))</f>
        <v>23.59</v>
      </c>
      <c r="W48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7" s="17" t="str">
        <f>IF(AND([Ref]=5,[Cotação]&gt;0,[Cotação]&lt;&gt;""),[Total Exercício]/[Cotação],IF([Ref]&lt;4,0,""))</f>
        <v/>
      </c>
      <c r="Y487" s="17">
        <f>IF([Tipo]="div",1,0)</f>
        <v>1</v>
      </c>
      <c r="Z487" s="17">
        <f>IF([Tipo]="jcp",1,0)</f>
        <v>0</v>
      </c>
    </row>
    <row r="488" spans="1:26" hidden="1">
      <c r="A488" s="4" t="s">
        <v>362</v>
      </c>
      <c r="B488" s="57" t="s">
        <v>361</v>
      </c>
      <c r="C488" s="15">
        <v>4</v>
      </c>
      <c r="D488" s="4"/>
      <c r="E488" s="4"/>
      <c r="F488" s="4"/>
      <c r="G488" s="4"/>
      <c r="H488" s="4"/>
      <c r="I488" s="4"/>
      <c r="J488" s="17">
        <f>IF(Tabela8[[#This Row],[Tipo]]="jcp",Tabela8[[#This Row],[Provento p/Ação]]*85%,Tabela8[[#This Row],[Provento p/Ação]])</f>
        <v>0</v>
      </c>
      <c r="K488" s="143" t="str">
        <f>IF([Lucro p/Ação]&lt;&gt;0,SUMPRODUCT(N([Papel]=Tabela8[[#This Row],[Papel]]),N([Exercício]=Tabela8[[#This Row],[Exercício]]),[Líquido p/Ação]),"")</f>
        <v/>
      </c>
      <c r="L488" s="42" t="str">
        <f>IF(Tabela8[[#This Row],[Lucro p/Ação]]="","",IF(Tabela8[[#This Row],[Lucro p/Ação]]&gt;0,Tabela8[[#This Row],[Total Exercício]]/Tabela8[[#This Row],[Lucro p/Ação]],0))</f>
        <v/>
      </c>
      <c r="M48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8" s="14" t="str">
        <f>IF(Tabela8[[#This Row],[Média Lucro p/Ação]]&lt;&gt;"",Tabela8[[#This Row],[Média Pago]]/Tabela8[[#This Row],[Média Lucro p/Ação]],"")</f>
        <v/>
      </c>
      <c r="P48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8" s="13">
        <f>SUMPRODUCT(N(Tabela1[Código]=Tabela8[[#This Row],[Papel]]),Tabela1[Fechamento])</f>
        <v>0</v>
      </c>
      <c r="R488" s="55">
        <f>SUMPRODUCT(N(Tabela17[Código]=Tabela8[[#This Row],[Papel]]),Tabela17[Fechamento])</f>
        <v>12.69</v>
      </c>
      <c r="S488" s="7">
        <f>SUMPRODUCT(N(Tabela176[Código]=Tabela8[[#This Row],[Papel]]),Tabela176[Fechamento])</f>
        <v>0</v>
      </c>
      <c r="T488" s="7">
        <f>SUMPRODUCT(N(Tabela1768[Código]=Tabela8[[#This Row],[Papel]]),Tabela1768[Fechamento])</f>
        <v>0</v>
      </c>
      <c r="U488" s="7">
        <f>SUMPRODUCT(N(Tabela17683[Código]=Tabela8[[#This Row],[Papel]]),Tabela17683[Fechamento])</f>
        <v>0</v>
      </c>
      <c r="V488" s="17">
        <f>IF(MAX(Tabela8[[#This Row],[Cotação 1]]:Tabela8[[#This Row],[Cotação 5]])=0,"",MAX(Tabela8[[#This Row],[Cotação 1]]:Tabela8[[#This Row],[Cotação 5]]))</f>
        <v>12.69</v>
      </c>
      <c r="W48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8" s="17" t="str">
        <f>IF(AND([Ref]=5,[Cotação]&gt;0,[Cotação]&lt;&gt;""),[Total Exercício]/[Cotação],IF([Ref]&lt;4,0,""))</f>
        <v/>
      </c>
      <c r="Y488" s="17">
        <f>IF([Tipo]="div",1,0)</f>
        <v>0</v>
      </c>
      <c r="Z488" s="17">
        <f>IF([Tipo]="jcp",1,0)</f>
        <v>0</v>
      </c>
    </row>
    <row r="489" spans="1:26" hidden="1">
      <c r="A489" s="3" t="s">
        <v>1276</v>
      </c>
      <c r="B489" s="58" t="s">
        <v>1255</v>
      </c>
      <c r="C489" s="16">
        <v>4</v>
      </c>
      <c r="D489" s="4"/>
      <c r="E489" s="4"/>
      <c r="F489" s="4"/>
      <c r="G489" s="4"/>
      <c r="H489" s="4"/>
      <c r="I489" s="4"/>
      <c r="J489" s="17">
        <f>IF(Tabela8[[#This Row],[Tipo]]="jcp",Tabela8[[#This Row],[Provento p/Ação]]*85%,Tabela8[[#This Row],[Provento p/Ação]])</f>
        <v>0</v>
      </c>
      <c r="K489" s="143" t="str">
        <f>IF([Lucro p/Ação]&lt;&gt;0,SUMPRODUCT(N([Papel]=Tabela8[[#This Row],[Papel]]),N([Exercício]=Tabela8[[#This Row],[Exercício]]),[Líquido p/Ação]),"")</f>
        <v/>
      </c>
      <c r="L489" s="42" t="str">
        <f>IF(Tabela8[[#This Row],[Lucro p/Ação]]="","",IF(Tabela8[[#This Row],[Lucro p/Ação]]&gt;0,Tabela8[[#This Row],[Total Exercício]]/Tabela8[[#This Row],[Lucro p/Ação]],0))</f>
        <v/>
      </c>
      <c r="M48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8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89" s="14" t="str">
        <f>IF(Tabela8[[#This Row],[Média Lucro p/Ação]]&lt;&gt;"",Tabela8[[#This Row],[Média Pago]]/Tabela8[[#This Row],[Média Lucro p/Ação]],"")</f>
        <v/>
      </c>
      <c r="P4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89" s="7">
        <f>SUMPRODUCT(N(Tabela1[Código]=Tabela8[[#This Row],[Papel]]),Tabela1[Fechamento])</f>
        <v>0</v>
      </c>
      <c r="R489" s="7">
        <f>SUMPRODUCT(N(Tabela17[Código]=Tabela8[[#This Row],[Papel]]),Tabela17[Fechamento])</f>
        <v>0</v>
      </c>
      <c r="S489" s="7">
        <f>SUMPRODUCT(N(Tabela176[Código]=Tabela8[[#This Row],[Papel]]),Tabela176[Fechamento])</f>
        <v>0</v>
      </c>
      <c r="T489" s="7">
        <f>SUMPRODUCT(N(Tabela1768[Código]=Tabela8[[#This Row],[Papel]]),Tabela1768[Fechamento])</f>
        <v>0</v>
      </c>
      <c r="U489" s="7">
        <f>SUMPRODUCT(N(Tabela17683[Código]=Tabela8[[#This Row],[Papel]]),Tabela17683[Fechamento])</f>
        <v>16.760000000000002</v>
      </c>
      <c r="V489" s="17">
        <f>IF(MAX(Tabela8[[#This Row],[Cotação 1]]:Tabela8[[#This Row],[Cotação 5]])=0,"",MAX(Tabela8[[#This Row],[Cotação 1]]:Tabela8[[#This Row],[Cotação 5]]))</f>
        <v>16.760000000000002</v>
      </c>
      <c r="W48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89" s="17" t="str">
        <f>IF(AND([Ref]=5,[Cotação]&gt;0,[Cotação]&lt;&gt;""),[Total Exercício]/[Cotação],IF([Ref]&lt;4,0,""))</f>
        <v/>
      </c>
      <c r="Y489" s="17">
        <f>IF([Tipo]="div",1,0)</f>
        <v>0</v>
      </c>
      <c r="Z489" s="17">
        <f>IF([Tipo]="jcp",1,0)</f>
        <v>0</v>
      </c>
    </row>
    <row r="490" spans="1:26" hidden="1">
      <c r="A490" s="3" t="s">
        <v>852</v>
      </c>
      <c r="B490" s="58" t="s">
        <v>853</v>
      </c>
      <c r="C490" s="16">
        <v>3</v>
      </c>
      <c r="D490" s="4"/>
      <c r="E490" s="4"/>
      <c r="F490" s="4"/>
      <c r="G490" s="4"/>
      <c r="H490" s="4"/>
      <c r="I490" s="4"/>
      <c r="J490" s="17">
        <f>IF(Tabela8[[#This Row],[Tipo]]="jcp",Tabela8[[#This Row],[Provento p/Ação]]*85%,Tabela8[[#This Row],[Provento p/Ação]])</f>
        <v>0</v>
      </c>
      <c r="K490" s="143" t="str">
        <f>IF([Lucro p/Ação]&lt;&gt;0,SUMPRODUCT(N([Papel]=Tabela8[[#This Row],[Papel]]),N([Exercício]=Tabela8[[#This Row],[Exercício]]),[Líquido p/Ação]),"")</f>
        <v/>
      </c>
      <c r="L490" s="42" t="str">
        <f>IF(Tabela8[[#This Row],[Lucro p/Ação]]="","",IF(Tabela8[[#This Row],[Lucro p/Ação]]&gt;0,Tabela8[[#This Row],[Total Exercício]]/Tabela8[[#This Row],[Lucro p/Ação]],0))</f>
        <v/>
      </c>
      <c r="M49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0" s="14" t="str">
        <f>IF(Tabela8[[#This Row],[Média Lucro p/Ação]]&lt;&gt;"",Tabela8[[#This Row],[Média Pago]]/Tabela8[[#This Row],[Média Lucro p/Ação]],"")</f>
        <v/>
      </c>
      <c r="P49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0" s="7">
        <f>SUMPRODUCT(N(Tabela1[Código]=Tabela8[[#This Row],[Papel]]),Tabela1[Fechamento])</f>
        <v>0</v>
      </c>
      <c r="R490" s="7">
        <f>SUMPRODUCT(N(Tabela17[Código]=Tabela8[[#This Row],[Papel]]),Tabela17[Fechamento])</f>
        <v>0</v>
      </c>
      <c r="S490" s="7">
        <f>SUMPRODUCT(N(Tabela176[Código]=Tabela8[[#This Row],[Papel]]),Tabela176[Fechamento])</f>
        <v>0</v>
      </c>
      <c r="T490" s="7">
        <f>SUMPRODUCT(N(Tabela1768[Código]=Tabela8[[#This Row],[Papel]]),Tabela1768[Fechamento])</f>
        <v>4</v>
      </c>
      <c r="U490" s="7">
        <f>SUMPRODUCT(N(Tabela17683[Código]=Tabela8[[#This Row],[Papel]]),Tabela17683[Fechamento])</f>
        <v>0</v>
      </c>
      <c r="V490" s="17">
        <f>IF(MAX(Tabela8[[#This Row],[Cotação 1]]:Tabela8[[#This Row],[Cotação 5]])=0,"",MAX(Tabela8[[#This Row],[Cotação 1]]:Tabela8[[#This Row],[Cotação 5]]))</f>
        <v>4</v>
      </c>
      <c r="W49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0" s="17">
        <f>IF(AND([Ref]=5,[Cotação]&gt;0,[Cotação]&lt;&gt;""),[Total Exercício]/[Cotação],IF([Ref]&lt;4,0,""))</f>
        <v>0</v>
      </c>
      <c r="Y490" s="17">
        <f>IF([Tipo]="div",1,0)</f>
        <v>0</v>
      </c>
      <c r="Z490" s="17">
        <f>IF([Tipo]="jcp",1,0)</f>
        <v>0</v>
      </c>
    </row>
    <row r="491" spans="1:26" hidden="1">
      <c r="A491" s="3" t="s">
        <v>288</v>
      </c>
      <c r="B491" s="58" t="s">
        <v>295</v>
      </c>
      <c r="C491" s="16">
        <v>4</v>
      </c>
      <c r="D491" s="4"/>
      <c r="E491" s="4"/>
      <c r="F491" s="4"/>
      <c r="G491" s="4"/>
      <c r="H491" s="4"/>
      <c r="I491" s="4"/>
      <c r="J491" s="17">
        <f>IF(Tabela8[[#This Row],[Tipo]]="jcp",Tabela8[[#This Row],[Provento p/Ação]]*85%,Tabela8[[#This Row],[Provento p/Ação]])</f>
        <v>0</v>
      </c>
      <c r="K491" s="143" t="str">
        <f>IF([Lucro p/Ação]&lt;&gt;0,SUMPRODUCT(N([Papel]=Tabela8[[#This Row],[Papel]]),N([Exercício]=Tabela8[[#This Row],[Exercício]]),[Líquido p/Ação]),"")</f>
        <v/>
      </c>
      <c r="L491" s="42" t="str">
        <f>IF(Tabela8[[#This Row],[Lucro p/Ação]]="","",IF(Tabela8[[#This Row],[Lucro p/Ação]]&gt;0,Tabela8[[#This Row],[Total Exercício]]/Tabela8[[#This Row],[Lucro p/Ação]],0))</f>
        <v/>
      </c>
      <c r="M49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1" s="14" t="str">
        <f>IF(Tabela8[[#This Row],[Média Lucro p/Ação]]&lt;&gt;"",Tabela8[[#This Row],[Média Pago]]/Tabela8[[#This Row],[Média Lucro p/Ação]],"")</f>
        <v/>
      </c>
      <c r="P49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1" s="47">
        <f>SUMPRODUCT(N(Tabela1[Código]=Tabela8[[#This Row],[Papel]]),Tabela1[Fechamento])</f>
        <v>0</v>
      </c>
      <c r="R491" s="54">
        <f>SUMPRODUCT(N(Tabela17[Código]=Tabela8[[#This Row],[Papel]]),Tabela17[Fechamento])</f>
        <v>52.57</v>
      </c>
      <c r="S491" s="7">
        <f>SUMPRODUCT(N(Tabela176[Código]=Tabela8[[#This Row],[Papel]]),Tabela176[Fechamento])</f>
        <v>0</v>
      </c>
      <c r="T491" s="7">
        <f>SUMPRODUCT(N(Tabela1768[Código]=Tabela8[[#This Row],[Papel]]),Tabela1768[Fechamento])</f>
        <v>0</v>
      </c>
      <c r="U491" s="7">
        <f>SUMPRODUCT(N(Tabela17683[Código]=Tabela8[[#This Row],[Papel]]),Tabela17683[Fechamento])</f>
        <v>0</v>
      </c>
      <c r="V491" s="17">
        <f>IF(MAX(Tabela8[[#This Row],[Cotação 1]]:Tabela8[[#This Row],[Cotação 5]])=0,"",MAX(Tabela8[[#This Row],[Cotação 1]]:Tabela8[[#This Row],[Cotação 5]]))</f>
        <v>52.57</v>
      </c>
      <c r="W49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1" s="17" t="str">
        <f>IF(AND([Ref]=5,[Cotação]&gt;0,[Cotação]&lt;&gt;""),[Total Exercício]/[Cotação],IF([Ref]&lt;4,0,""))</f>
        <v/>
      </c>
      <c r="Y491" s="17">
        <f>IF([Tipo]="div",1,0)</f>
        <v>0</v>
      </c>
      <c r="Z491" s="17">
        <f>IF([Tipo]="jcp",1,0)</f>
        <v>0</v>
      </c>
    </row>
    <row r="492" spans="1:26" hidden="1">
      <c r="A492" s="24" t="s">
        <v>40</v>
      </c>
      <c r="B492" s="131" t="s">
        <v>413</v>
      </c>
      <c r="C492" s="15">
        <v>5</v>
      </c>
      <c r="D492" s="4">
        <v>2010</v>
      </c>
      <c r="E492" s="4"/>
      <c r="F492" s="133">
        <v>3.6260000000000001E-2</v>
      </c>
      <c r="G492" s="4"/>
      <c r="H492" s="4"/>
      <c r="I492" s="4"/>
      <c r="J492" s="132">
        <f>IF(Tabela8[[#This Row],[Tipo]]="jcp",Tabela8[[#This Row],[Provento p/Ação]]*85%,Tabela8[[#This Row],[Provento p/Ação]])</f>
        <v>0</v>
      </c>
      <c r="K492" s="143">
        <f>IF([Lucro p/Ação]&lt;&gt;0,SUMPRODUCT(N([Papel]=Tabela8[[#This Row],[Papel]]),N([Exercício]=Tabela8[[#This Row],[Exercício]]),[Líquido p/Ação]),"")</f>
        <v>0</v>
      </c>
      <c r="L492" s="42">
        <f>IF(Tabela8[[#This Row],[Lucro p/Ação]]="","",IF(Tabela8[[#This Row],[Lucro p/Ação]]&gt;0,Tabela8[[#This Row],[Total Exercício]]/Tabela8[[#This Row],[Lucro p/Ação]],0))</f>
        <v>0</v>
      </c>
      <c r="M492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0.12147818181818183</v>
      </c>
      <c r="N492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7.2178181818181822E-2</v>
      </c>
      <c r="O492" s="19">
        <f>IF(Tabela8[[#This Row],[Média Lucro p/Ação]]&lt;&gt;"",Tabela8[[#This Row],[Média Pago]]/Tabela8[[#This Row],[Média Lucro p/Ação]],"")</f>
        <v>0.59416580605570768</v>
      </c>
      <c r="P49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2" s="13">
        <f>SUMPRODUCT(N(Tabela1[Código]=Tabela8[[#This Row],[Papel]]),Tabela1[Fechamento])</f>
        <v>0</v>
      </c>
      <c r="R492" s="55">
        <f>SUMPRODUCT(N(Tabela17[Código]=Tabela8[[#This Row],[Papel]]),Tabela17[Fechamento])</f>
        <v>0.57999999999999996</v>
      </c>
      <c r="S492" s="7">
        <f>SUMPRODUCT(N(Tabela176[Código]=Tabela8[[#This Row],[Papel]]),Tabela176[Fechamento])</f>
        <v>0</v>
      </c>
      <c r="T492" s="7">
        <f>SUMPRODUCT(N(Tabela1768[Código]=Tabela8[[#This Row],[Papel]]),Tabela1768[Fechamento])</f>
        <v>0</v>
      </c>
      <c r="U492" s="7">
        <f>SUMPRODUCT(N(Tabela17683[Código]=Tabela8[[#This Row],[Papel]]),Tabela17683[Fechamento])</f>
        <v>0</v>
      </c>
      <c r="V492" s="17">
        <f>IF(MAX(Tabela8[[#This Row],[Cotação 1]]:Tabela8[[#This Row],[Cotação 5]])=0,"",MAX(Tabela8[[#This Row],[Cotação 1]]:Tabela8[[#This Row],[Cotação 5]]))</f>
        <v>0.57999999999999996</v>
      </c>
      <c r="W4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2" s="19">
        <f>IF(AND([Ref]=5,[Cotação]&gt;0,[Cotação]&lt;&gt;""),[Total Exercício]/[Cotação],IF([Ref]&lt;4,0,""))</f>
        <v>0</v>
      </c>
      <c r="Y492" s="14">
        <f>IF([Tipo]="div",1,0)</f>
        <v>0</v>
      </c>
      <c r="Z492" s="14">
        <f>IF([Tipo]="jcp",1,0)</f>
        <v>0</v>
      </c>
    </row>
    <row r="493" spans="1:26" hidden="1">
      <c r="A493" s="24" t="s">
        <v>40</v>
      </c>
      <c r="B493" s="131" t="s">
        <v>73</v>
      </c>
      <c r="C493" s="15">
        <v>5</v>
      </c>
      <c r="D493" s="4">
        <v>2010</v>
      </c>
      <c r="E493" s="4"/>
      <c r="F493" s="133">
        <v>3.6260000000000001E-2</v>
      </c>
      <c r="G493" s="4"/>
      <c r="H493" s="4"/>
      <c r="I493" s="4"/>
      <c r="J493" s="132">
        <f>IF(Tabela8[[#This Row],[Tipo]]="jcp",Tabela8[[#This Row],[Provento p/Ação]]*85%,Tabela8[[#This Row],[Provento p/Ação]])</f>
        <v>0</v>
      </c>
      <c r="K493" s="143">
        <f>IF([Lucro p/Ação]&lt;&gt;0,SUMPRODUCT(N([Papel]=Tabela8[[#This Row],[Papel]]),N([Exercício]=Tabela8[[#This Row],[Exercício]]),[Líquido p/Ação]),"")</f>
        <v>0</v>
      </c>
      <c r="L493" s="42">
        <f>IF(Tabela8[[#This Row],[Lucro p/Ação]]="","",IF(Tabela8[[#This Row],[Lucro p/Ação]]&gt;0,Tabela8[[#This Row],[Total Exercício]]/Tabela8[[#This Row],[Lucro p/Ação]],0))</f>
        <v>0</v>
      </c>
      <c r="M493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0.12147818181818183</v>
      </c>
      <c r="N493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9.5034545454545455E-2</v>
      </c>
      <c r="O493" s="19">
        <f>IF(Tabela8[[#This Row],[Média Lucro p/Ação]]&lt;&gt;"",Tabela8[[#This Row],[Média Pago]]/Tabela8[[#This Row],[Média Lucro p/Ação]],"")</f>
        <v>0.782317812401778</v>
      </c>
      <c r="P49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3" s="13">
        <f>SUMPRODUCT(N(Tabela1[Código]=Tabela8[[#This Row],[Papel]]),Tabela1[Fechamento])</f>
        <v>0.64</v>
      </c>
      <c r="R493" s="55">
        <f>SUMPRODUCT(N(Tabela17[Código]=Tabela8[[#This Row],[Papel]]),Tabela17[Fechamento])</f>
        <v>0</v>
      </c>
      <c r="S493" s="7">
        <f>SUMPRODUCT(N(Tabela176[Código]=Tabela8[[#This Row],[Papel]]),Tabela176[Fechamento])</f>
        <v>0</v>
      </c>
      <c r="T493" s="7">
        <f>SUMPRODUCT(N(Tabela1768[Código]=Tabela8[[#This Row],[Papel]]),Tabela1768[Fechamento])</f>
        <v>0</v>
      </c>
      <c r="U493" s="7">
        <f>SUMPRODUCT(N(Tabela17683[Código]=Tabela8[[#This Row],[Papel]]),Tabela17683[Fechamento])</f>
        <v>0</v>
      </c>
      <c r="V493" s="17">
        <f>IF(MAX(Tabela8[[#This Row],[Cotação 1]]:Tabela8[[#This Row],[Cotação 5]])=0,"",MAX(Tabela8[[#This Row],[Cotação 1]]:Tabela8[[#This Row],[Cotação 5]]))</f>
        <v>0.64</v>
      </c>
      <c r="W4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3" s="19">
        <f>IF(AND([Ref]=5,[Cotação]&gt;0,[Cotação]&lt;&gt;""),[Total Exercício]/[Cotação],IF([Ref]&lt;4,0,""))</f>
        <v>0</v>
      </c>
      <c r="Y493" s="14">
        <f>IF([Tipo]="div",1,0)</f>
        <v>0</v>
      </c>
      <c r="Z493" s="14">
        <f>IF([Tipo]="jcp",1,0)</f>
        <v>0</v>
      </c>
    </row>
    <row r="494" spans="1:26">
      <c r="A494" s="24" t="s">
        <v>40</v>
      </c>
      <c r="B494" s="135" t="s">
        <v>39</v>
      </c>
      <c r="C494" s="15">
        <v>5</v>
      </c>
      <c r="D494" s="4">
        <v>2013</v>
      </c>
      <c r="E494" s="4"/>
      <c r="F494" s="133">
        <v>0.43830000000000002</v>
      </c>
      <c r="J494" s="132">
        <f>IF(Tabela8[[#This Row],[Tipo]]="jcp",Tabela8[[#This Row],[Provento p/Ação]]*85%,Tabela8[[#This Row],[Provento p/Ação]])</f>
        <v>0</v>
      </c>
      <c r="K494" s="133">
        <f>IF([Lucro p/Ação]&lt;&gt;0,SUMPRODUCT(N([Papel]=Tabela8[[#This Row],[Papel]]),N([Exercício]=Tabela8[[#This Row],[Exercício]]),[Líquido p/Ação]),"")</f>
        <v>0</v>
      </c>
      <c r="L494" s="42">
        <f>IF(Tabela8[[#This Row],[Lucro p/Ação]]="","",IF(Tabela8[[#This Row],[Lucro p/Ação]]&gt;0,Tabela8[[#This Row],[Total Exercício]]/Tabela8[[#This Row],[Lucro p/Ação]],0))</f>
        <v>0</v>
      </c>
      <c r="M49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0.13059928571428572</v>
      </c>
      <c r="N49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5.2603285714285707E-2</v>
      </c>
      <c r="O494" s="19">
        <f>IF(Tabela8[[#This Row],[Média Lucro p/Ação]]&lt;&gt;"",Tabela8[[#This Row],[Média Pago]]/Tabela8[[#This Row],[Média Lucro p/Ação]],"")</f>
        <v>0.4027838699620977</v>
      </c>
      <c r="P4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4" s="134">
        <f>SUMPRODUCT(N(Tabela1[Código]=Tabela8[[#This Row],[Papel]]),Tabela1[Fechamento])</f>
        <v>0.41</v>
      </c>
      <c r="R494" s="17">
        <f>SUMPRODUCT(N(Tabela17[Código]=Tabela8[[#This Row],[Papel]]),Tabela17[Fechamento])</f>
        <v>0</v>
      </c>
      <c r="S494" s="17">
        <f>SUMPRODUCT(N(Tabela176[Código]=Tabela8[[#This Row],[Papel]]),Tabela176[Fechamento])</f>
        <v>0</v>
      </c>
      <c r="T494" s="17">
        <f>SUMPRODUCT(N(Tabela1768[Código]=Tabela8[[#This Row],[Papel]]),Tabela1768[Fechamento])</f>
        <v>0</v>
      </c>
      <c r="U494" s="17">
        <f>SUMPRODUCT(N(Tabela17683[Código]=Tabela8[[#This Row],[Papel]]),Tabela17683[Fechamento])</f>
        <v>0</v>
      </c>
      <c r="V494" s="17">
        <f>IF(MAX(Tabela8[[#This Row],[Cotação 1]]:Tabela8[[#This Row],[Cotação 5]])=0,"",MAX(Tabela8[[#This Row],[Cotação 1]]:Tabela8[[#This Row],[Cotação 5]]))</f>
        <v>0.41</v>
      </c>
      <c r="W4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4" s="19">
        <f>IF(AND([Ref]=5,[Cotação]&gt;0,[Cotação]&lt;&gt;""),[Total Exercício]/[Cotação],IF([Ref]&lt;4,0,""))</f>
        <v>0</v>
      </c>
      <c r="Y494" s="14">
        <f>IF([Tipo]="div",1,0)</f>
        <v>0</v>
      </c>
      <c r="Z494" s="14">
        <f>IF([Tipo]="jcp",1,0)</f>
        <v>0</v>
      </c>
    </row>
    <row r="495" spans="1:26" hidden="1">
      <c r="A495" s="4" t="s">
        <v>231</v>
      </c>
      <c r="B495" s="57" t="s">
        <v>585</v>
      </c>
      <c r="C495" s="15">
        <v>4</v>
      </c>
      <c r="D495" s="4"/>
      <c r="E495" s="4"/>
      <c r="F495" s="4"/>
      <c r="G495" s="4"/>
      <c r="H495" s="4"/>
      <c r="I495" s="4"/>
      <c r="J495" s="17">
        <f>IF(Tabela8[[#This Row],[Tipo]]="jcp",Tabela8[[#This Row],[Provento p/Ação]]*85%,Tabela8[[#This Row],[Provento p/Ação]])</f>
        <v>0</v>
      </c>
      <c r="K495" s="143" t="str">
        <f>IF([Lucro p/Ação]&lt;&gt;0,SUMPRODUCT(N([Papel]=Tabela8[[#This Row],[Papel]]),N([Exercício]=Tabela8[[#This Row],[Exercício]]),[Líquido p/Ação]),"")</f>
        <v/>
      </c>
      <c r="L495" s="42" t="str">
        <f>IF(Tabela8[[#This Row],[Lucro p/Ação]]="","",IF(Tabela8[[#This Row],[Lucro p/Ação]]&gt;0,Tabela8[[#This Row],[Total Exercício]]/Tabela8[[#This Row],[Lucro p/Ação]],0))</f>
        <v/>
      </c>
      <c r="M49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5" s="14" t="str">
        <f>IF(Tabela8[[#This Row],[Média Lucro p/Ação]]&lt;&gt;"",Tabela8[[#This Row],[Média Pago]]/Tabela8[[#This Row],[Média Lucro p/Ação]],"")</f>
        <v/>
      </c>
      <c r="P49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5" s="17">
        <f>SUMPRODUCT(N(Tabela1[Código]=Tabela8[[#This Row],[Papel]]),Tabela1[Fechamento])</f>
        <v>0</v>
      </c>
      <c r="R495" s="17">
        <f>SUMPRODUCT(N(Tabela17[Código]=Tabela8[[#This Row],[Papel]]),Tabela17[Fechamento])</f>
        <v>0</v>
      </c>
      <c r="S495" s="17">
        <f>SUMPRODUCT(N(Tabela176[Código]=Tabela8[[#This Row],[Papel]]),Tabela176[Fechamento])</f>
        <v>8.51</v>
      </c>
      <c r="T495" s="17">
        <f>SUMPRODUCT(N(Tabela1768[Código]=Tabela8[[#This Row],[Papel]]),Tabela1768[Fechamento])</f>
        <v>0</v>
      </c>
      <c r="U495" s="7">
        <f>SUMPRODUCT(N(Tabela17683[Código]=Tabela8[[#This Row],[Papel]]),Tabela17683[Fechamento])</f>
        <v>0</v>
      </c>
      <c r="V495" s="17">
        <f>IF(MAX(Tabela8[[#This Row],[Cotação 1]]:Tabela8[[#This Row],[Cotação 5]])=0,"",MAX(Tabela8[[#This Row],[Cotação 1]]:Tabela8[[#This Row],[Cotação 5]]))</f>
        <v>8.51</v>
      </c>
      <c r="W49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5" s="17" t="str">
        <f>IF(AND([Ref]=5,[Cotação]&gt;0,[Cotação]&lt;&gt;""),[Total Exercício]/[Cotação],IF([Ref]&lt;4,0,""))</f>
        <v/>
      </c>
      <c r="Y495" s="17">
        <f>IF([Tipo]="div",1,0)</f>
        <v>0</v>
      </c>
      <c r="Z495" s="17">
        <f>IF([Tipo]="jcp",1,0)</f>
        <v>0</v>
      </c>
    </row>
    <row r="496" spans="1:26" hidden="1">
      <c r="A496" s="4" t="s">
        <v>231</v>
      </c>
      <c r="B496" s="57" t="s">
        <v>586</v>
      </c>
      <c r="C496" s="15">
        <v>4</v>
      </c>
      <c r="D496" s="4"/>
      <c r="E496" s="4"/>
      <c r="F496" s="4"/>
      <c r="G496" s="4"/>
      <c r="H496" s="4"/>
      <c r="I496" s="4"/>
      <c r="J496" s="17">
        <f>IF(Tabela8[[#This Row],[Tipo]]="jcp",Tabela8[[#This Row],[Provento p/Ação]]*85%,Tabela8[[#This Row],[Provento p/Ação]])</f>
        <v>0</v>
      </c>
      <c r="K496" s="143" t="str">
        <f>IF([Lucro p/Ação]&lt;&gt;0,SUMPRODUCT(N([Papel]=Tabela8[[#This Row],[Papel]]),N([Exercício]=Tabela8[[#This Row],[Exercício]]),[Líquido p/Ação]),"")</f>
        <v/>
      </c>
      <c r="L496" s="42" t="str">
        <f>IF(Tabela8[[#This Row],[Lucro p/Ação]]="","",IF(Tabela8[[#This Row],[Lucro p/Ação]]&gt;0,Tabela8[[#This Row],[Total Exercício]]/Tabela8[[#This Row],[Lucro p/Ação]],0))</f>
        <v/>
      </c>
      <c r="M49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6" s="14" t="str">
        <f>IF(Tabela8[[#This Row],[Média Lucro p/Ação]]&lt;&gt;"",Tabela8[[#This Row],[Média Pago]]/Tabela8[[#This Row],[Média Lucro p/Ação]],"")</f>
        <v/>
      </c>
      <c r="P49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6" s="17">
        <f>SUMPRODUCT(N(Tabela1[Código]=Tabela8[[#This Row],[Papel]]),Tabela1[Fechamento])</f>
        <v>0</v>
      </c>
      <c r="R496" s="17">
        <f>SUMPRODUCT(N(Tabela17[Código]=Tabela8[[#This Row],[Papel]]),Tabela17[Fechamento])</f>
        <v>0</v>
      </c>
      <c r="S496" s="17">
        <f>SUMPRODUCT(N(Tabela176[Código]=Tabela8[[#This Row],[Papel]]),Tabela176[Fechamento])</f>
        <v>9.52</v>
      </c>
      <c r="T496" s="17">
        <f>SUMPRODUCT(N(Tabela1768[Código]=Tabela8[[#This Row],[Papel]]),Tabela1768[Fechamento])</f>
        <v>0</v>
      </c>
      <c r="U496" s="7">
        <f>SUMPRODUCT(N(Tabela17683[Código]=Tabela8[[#This Row],[Papel]]),Tabela17683[Fechamento])</f>
        <v>0</v>
      </c>
      <c r="V496" s="17">
        <f>IF(MAX(Tabela8[[#This Row],[Cotação 1]]:Tabela8[[#This Row],[Cotação 5]])=0,"",MAX(Tabela8[[#This Row],[Cotação 1]]:Tabela8[[#This Row],[Cotação 5]]))</f>
        <v>9.52</v>
      </c>
      <c r="W49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6" s="17" t="str">
        <f>IF(AND([Ref]=5,[Cotação]&gt;0,[Cotação]&lt;&gt;""),[Total Exercício]/[Cotação],IF([Ref]&lt;4,0,""))</f>
        <v/>
      </c>
      <c r="Y496" s="17">
        <f>IF([Tipo]="div",1,0)</f>
        <v>0</v>
      </c>
      <c r="Z496" s="17">
        <f>IF([Tipo]="jcp",1,0)</f>
        <v>0</v>
      </c>
    </row>
    <row r="497" spans="1:26" hidden="1">
      <c r="A497" s="4" t="s">
        <v>231</v>
      </c>
      <c r="B497" s="57" t="s">
        <v>587</v>
      </c>
      <c r="C497" s="15">
        <v>4</v>
      </c>
      <c r="D497" s="4"/>
      <c r="E497" s="4"/>
      <c r="F497" s="4"/>
      <c r="G497" s="4"/>
      <c r="H497" s="4"/>
      <c r="I497" s="4"/>
      <c r="J497" s="17">
        <f>IF(Tabela8[[#This Row],[Tipo]]="jcp",Tabela8[[#This Row],[Provento p/Ação]]*85%,Tabela8[[#This Row],[Provento p/Ação]])</f>
        <v>0</v>
      </c>
      <c r="K497" s="143" t="str">
        <f>IF([Lucro p/Ação]&lt;&gt;0,SUMPRODUCT(N([Papel]=Tabela8[[#This Row],[Papel]]),N([Exercício]=Tabela8[[#This Row],[Exercício]]),[Líquido p/Ação]),"")</f>
        <v/>
      </c>
      <c r="L497" s="42" t="str">
        <f>IF(Tabela8[[#This Row],[Lucro p/Ação]]="","",IF(Tabela8[[#This Row],[Lucro p/Ação]]&gt;0,Tabela8[[#This Row],[Total Exercício]]/Tabela8[[#This Row],[Lucro p/Ação]],0))</f>
        <v/>
      </c>
      <c r="M49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7" s="14" t="str">
        <f>IF(Tabela8[[#This Row],[Média Lucro p/Ação]]&lt;&gt;"",Tabela8[[#This Row],[Média Pago]]/Tabela8[[#This Row],[Média Lucro p/Ação]],"")</f>
        <v/>
      </c>
      <c r="P49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7" s="17">
        <f>SUMPRODUCT(N(Tabela1[Código]=Tabela8[[#This Row],[Papel]]),Tabela1[Fechamento])</f>
        <v>0</v>
      </c>
      <c r="R497" s="17">
        <f>SUMPRODUCT(N(Tabela17[Código]=Tabela8[[#This Row],[Papel]]),Tabela17[Fechamento])</f>
        <v>0</v>
      </c>
      <c r="S497" s="17">
        <f>SUMPRODUCT(N(Tabela176[Código]=Tabela8[[#This Row],[Papel]]),Tabela176[Fechamento])</f>
        <v>11.13</v>
      </c>
      <c r="T497" s="17">
        <f>SUMPRODUCT(N(Tabela1768[Código]=Tabela8[[#This Row],[Papel]]),Tabela1768[Fechamento])</f>
        <v>0</v>
      </c>
      <c r="U497" s="7">
        <f>SUMPRODUCT(N(Tabela17683[Código]=Tabela8[[#This Row],[Papel]]),Tabela17683[Fechamento])</f>
        <v>0</v>
      </c>
      <c r="V497" s="17">
        <f>IF(MAX(Tabela8[[#This Row],[Cotação 1]]:Tabela8[[#This Row],[Cotação 5]])=0,"",MAX(Tabela8[[#This Row],[Cotação 1]]:Tabela8[[#This Row],[Cotação 5]]))</f>
        <v>11.13</v>
      </c>
      <c r="W49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7" s="17" t="str">
        <f>IF(AND([Ref]=5,[Cotação]&gt;0,[Cotação]&lt;&gt;""),[Total Exercício]/[Cotação],IF([Ref]&lt;4,0,""))</f>
        <v/>
      </c>
      <c r="Y497" s="17">
        <f>IF([Tipo]="div",1,0)</f>
        <v>0</v>
      </c>
      <c r="Z497" s="17">
        <f>IF([Tipo]="jcp",1,0)</f>
        <v>0</v>
      </c>
    </row>
    <row r="498" spans="1:26" hidden="1">
      <c r="A498" s="3" t="s">
        <v>829</v>
      </c>
      <c r="B498" s="58" t="s">
        <v>828</v>
      </c>
      <c r="C498" s="16">
        <v>3</v>
      </c>
      <c r="D498" s="4"/>
      <c r="E498" s="4"/>
      <c r="F498" s="4"/>
      <c r="G498" s="4"/>
      <c r="H498" s="4"/>
      <c r="I498" s="4"/>
      <c r="J498" s="17">
        <f>IF(Tabela8[[#This Row],[Tipo]]="jcp",Tabela8[[#This Row],[Provento p/Ação]]*85%,Tabela8[[#This Row],[Provento p/Ação]])</f>
        <v>0</v>
      </c>
      <c r="K498" s="143" t="str">
        <f>IF([Lucro p/Ação]&lt;&gt;0,SUMPRODUCT(N([Papel]=Tabela8[[#This Row],[Papel]]),N([Exercício]=Tabela8[[#This Row],[Exercício]]),[Líquido p/Ação]),"")</f>
        <v/>
      </c>
      <c r="L498" s="42" t="str">
        <f>IF(Tabela8[[#This Row],[Lucro p/Ação]]="","",IF(Tabela8[[#This Row],[Lucro p/Ação]]&gt;0,Tabela8[[#This Row],[Total Exercício]]/Tabela8[[#This Row],[Lucro p/Ação]],0))</f>
        <v/>
      </c>
      <c r="M49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8" s="14" t="str">
        <f>IF(Tabela8[[#This Row],[Média Lucro p/Ação]]&lt;&gt;"",Tabela8[[#This Row],[Média Pago]]/Tabela8[[#This Row],[Média Lucro p/Ação]],"")</f>
        <v/>
      </c>
      <c r="P49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8" s="7">
        <f>SUMPRODUCT(N(Tabela1[Código]=Tabela8[[#This Row],[Papel]]),Tabela1[Fechamento])</f>
        <v>0</v>
      </c>
      <c r="R498" s="7">
        <f>SUMPRODUCT(N(Tabela17[Código]=Tabela8[[#This Row],[Papel]]),Tabela17[Fechamento])</f>
        <v>0</v>
      </c>
      <c r="S498" s="7">
        <f>SUMPRODUCT(N(Tabela176[Código]=Tabela8[[#This Row],[Papel]]),Tabela176[Fechamento])</f>
        <v>0</v>
      </c>
      <c r="T498" s="7">
        <f>SUMPRODUCT(N(Tabela1768[Código]=Tabela8[[#This Row],[Papel]]),Tabela1768[Fechamento])</f>
        <v>2.97</v>
      </c>
      <c r="U498" s="7">
        <f>SUMPRODUCT(N(Tabela17683[Código]=Tabela8[[#This Row],[Papel]]),Tabela17683[Fechamento])</f>
        <v>0</v>
      </c>
      <c r="V498" s="17">
        <f>IF(MAX(Tabela8[[#This Row],[Cotação 1]]:Tabela8[[#This Row],[Cotação 5]])=0,"",MAX(Tabela8[[#This Row],[Cotação 1]]:Tabela8[[#This Row],[Cotação 5]]))</f>
        <v>2.97</v>
      </c>
      <c r="W49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8" s="17">
        <f>IF(AND([Ref]=5,[Cotação]&gt;0,[Cotação]&lt;&gt;""),[Total Exercício]/[Cotação],IF([Ref]&lt;4,0,""))</f>
        <v>0</v>
      </c>
      <c r="Y498" s="17">
        <f>IF([Tipo]="div",1,0)</f>
        <v>0</v>
      </c>
      <c r="Z498" s="17">
        <f>IF([Tipo]="jcp",1,0)</f>
        <v>0</v>
      </c>
    </row>
    <row r="499" spans="1:26" hidden="1">
      <c r="A499" s="4" t="s">
        <v>319</v>
      </c>
      <c r="B499" s="57" t="s">
        <v>646</v>
      </c>
      <c r="C499" s="15">
        <v>4</v>
      </c>
      <c r="D499" s="4"/>
      <c r="E499" s="4"/>
      <c r="F499" s="4"/>
      <c r="G499" s="4"/>
      <c r="H499" s="4"/>
      <c r="I499" s="4"/>
      <c r="J499" s="17">
        <f>IF(Tabela8[[#This Row],[Tipo]]="jcp",Tabela8[[#This Row],[Provento p/Ação]]*85%,Tabela8[[#This Row],[Provento p/Ação]])</f>
        <v>0</v>
      </c>
      <c r="K499" s="143" t="str">
        <f>IF([Lucro p/Ação]&lt;&gt;0,SUMPRODUCT(N([Papel]=Tabela8[[#This Row],[Papel]]),N([Exercício]=Tabela8[[#This Row],[Exercício]]),[Líquido p/Ação]),"")</f>
        <v/>
      </c>
      <c r="L499" s="42" t="str">
        <f>IF(Tabela8[[#This Row],[Lucro p/Ação]]="","",IF(Tabela8[[#This Row],[Lucro p/Ação]]&gt;0,Tabela8[[#This Row],[Total Exercício]]/Tabela8[[#This Row],[Lucro p/Ação]],0))</f>
        <v/>
      </c>
      <c r="M49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49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499" s="14" t="str">
        <f>IF(Tabela8[[#This Row],[Média Lucro p/Ação]]&lt;&gt;"",Tabela8[[#This Row],[Média Pago]]/Tabela8[[#This Row],[Média Lucro p/Ação]],"")</f>
        <v/>
      </c>
      <c r="P49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499" s="17">
        <f>SUMPRODUCT(N(Tabela1[Código]=Tabela8[[#This Row],[Papel]]),Tabela1[Fechamento])</f>
        <v>0</v>
      </c>
      <c r="R499" s="17">
        <f>SUMPRODUCT(N(Tabela17[Código]=Tabela8[[#This Row],[Papel]]),Tabela17[Fechamento])</f>
        <v>0</v>
      </c>
      <c r="S499" s="7">
        <f>SUMPRODUCT(N(Tabela176[Código]=Tabela8[[#This Row],[Papel]]),Tabela176[Fechamento])</f>
        <v>0</v>
      </c>
      <c r="T499" s="7">
        <f>SUMPRODUCT(N(Tabela1768[Código]=Tabela8[[#This Row],[Papel]]),Tabela1768[Fechamento])</f>
        <v>0</v>
      </c>
      <c r="U499" s="7">
        <f>SUMPRODUCT(N(Tabela17683[Código]=Tabela8[[#This Row],[Papel]]),Tabela17683[Fechamento])</f>
        <v>0</v>
      </c>
      <c r="V499" s="17" t="str">
        <f>IF(MAX(Tabela8[[#This Row],[Cotação 1]]:Tabela8[[#This Row],[Cotação 5]])=0,"",MAX(Tabela8[[#This Row],[Cotação 1]]:Tabela8[[#This Row],[Cotação 5]]))</f>
        <v/>
      </c>
      <c r="W49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499" s="17" t="str">
        <f>IF(AND([Ref]=5,[Cotação]&gt;0,[Cotação]&lt;&gt;""),[Total Exercício]/[Cotação],IF([Ref]&lt;4,0,""))</f>
        <v/>
      </c>
      <c r="Y499" s="17">
        <f>IF([Tipo]="div",1,0)</f>
        <v>0</v>
      </c>
      <c r="Z499" s="17">
        <f>IF([Tipo]="jcp",1,0)</f>
        <v>0</v>
      </c>
    </row>
    <row r="500" spans="1:26" hidden="1">
      <c r="A500" s="4" t="s">
        <v>319</v>
      </c>
      <c r="B500" s="57" t="s">
        <v>320</v>
      </c>
      <c r="C500" s="15">
        <v>4</v>
      </c>
      <c r="D500" s="4"/>
      <c r="E500" s="4"/>
      <c r="F500" s="4"/>
      <c r="G500" s="4"/>
      <c r="H500" s="4"/>
      <c r="I500" s="4"/>
      <c r="J500" s="17">
        <f>IF(Tabela8[[#This Row],[Tipo]]="jcp",Tabela8[[#This Row],[Provento p/Ação]]*85%,Tabela8[[#This Row],[Provento p/Ação]])</f>
        <v>0</v>
      </c>
      <c r="K500" s="143" t="str">
        <f>IF([Lucro p/Ação]&lt;&gt;0,SUMPRODUCT(N([Papel]=Tabela8[[#This Row],[Papel]]),N([Exercício]=Tabela8[[#This Row],[Exercício]]),[Líquido p/Ação]),"")</f>
        <v/>
      </c>
      <c r="L500" s="42" t="str">
        <f>IF(Tabela8[[#This Row],[Lucro p/Ação]]="","",IF(Tabela8[[#This Row],[Lucro p/Ação]]&gt;0,Tabela8[[#This Row],[Total Exercício]]/Tabela8[[#This Row],[Lucro p/Ação]],0))</f>
        <v/>
      </c>
      <c r="M50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0" s="14" t="str">
        <f>IF(Tabela8[[#This Row],[Média Lucro p/Ação]]&lt;&gt;"",Tabela8[[#This Row],[Média Pago]]/Tabela8[[#This Row],[Média Lucro p/Ação]],"")</f>
        <v/>
      </c>
      <c r="P50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0" s="13">
        <f>SUMPRODUCT(N(Tabela1[Código]=Tabela8[[#This Row],[Papel]]),Tabela1[Fechamento])</f>
        <v>0</v>
      </c>
      <c r="R500" s="55">
        <f>SUMPRODUCT(N(Tabela17[Código]=Tabela8[[#This Row],[Papel]]),Tabela17[Fechamento])</f>
        <v>26.64</v>
      </c>
      <c r="S500" s="7">
        <f>SUMPRODUCT(N(Tabela176[Código]=Tabela8[[#This Row],[Papel]]),Tabela176[Fechamento])</f>
        <v>0</v>
      </c>
      <c r="T500" s="7">
        <f>SUMPRODUCT(N(Tabela1768[Código]=Tabela8[[#This Row],[Papel]]),Tabela1768[Fechamento])</f>
        <v>0</v>
      </c>
      <c r="U500" s="7">
        <f>SUMPRODUCT(N(Tabela17683[Código]=Tabela8[[#This Row],[Papel]]),Tabela17683[Fechamento])</f>
        <v>0</v>
      </c>
      <c r="V500" s="17">
        <f>IF(MAX(Tabela8[[#This Row],[Cotação 1]]:Tabela8[[#This Row],[Cotação 5]])=0,"",MAX(Tabela8[[#This Row],[Cotação 1]]:Tabela8[[#This Row],[Cotação 5]]))</f>
        <v>26.64</v>
      </c>
      <c r="W50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0" s="17" t="str">
        <f>IF(AND([Ref]=5,[Cotação]&gt;0,[Cotação]&lt;&gt;""),[Total Exercício]/[Cotação],IF([Ref]&lt;4,0,""))</f>
        <v/>
      </c>
      <c r="Y500" s="17">
        <f>IF([Tipo]="div",1,0)</f>
        <v>0</v>
      </c>
      <c r="Z500" s="17">
        <f>IF([Tipo]="jcp",1,0)</f>
        <v>0</v>
      </c>
    </row>
    <row r="501" spans="1:26" hidden="1">
      <c r="A501" s="3" t="s">
        <v>275</v>
      </c>
      <c r="B501" s="58" t="s">
        <v>273</v>
      </c>
      <c r="C501" s="16">
        <v>3</v>
      </c>
      <c r="D501" s="4"/>
      <c r="E501" s="4"/>
      <c r="F501" s="4"/>
      <c r="G501" s="4"/>
      <c r="H501" s="4"/>
      <c r="I501" s="4"/>
      <c r="J501" s="17">
        <f>IF(Tabela8[[#This Row],[Tipo]]="jcp",Tabela8[[#This Row],[Provento p/Ação]]*85%,Tabela8[[#This Row],[Provento p/Ação]])</f>
        <v>0</v>
      </c>
      <c r="K501" s="143" t="str">
        <f>IF([Lucro p/Ação]&lt;&gt;0,SUMPRODUCT(N([Papel]=Tabela8[[#This Row],[Papel]]),N([Exercício]=Tabela8[[#This Row],[Exercício]]),[Líquido p/Ação]),"")</f>
        <v/>
      </c>
      <c r="L501" s="42" t="str">
        <f>IF(Tabela8[[#This Row],[Lucro p/Ação]]="","",IF(Tabela8[[#This Row],[Lucro p/Ação]]&gt;0,Tabela8[[#This Row],[Total Exercício]]/Tabela8[[#This Row],[Lucro p/Ação]],0))</f>
        <v/>
      </c>
      <c r="M50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1" s="14" t="str">
        <f>IF(Tabela8[[#This Row],[Média Lucro p/Ação]]&lt;&gt;"",Tabela8[[#This Row],[Média Pago]]/Tabela8[[#This Row],[Média Lucro p/Ação]],"")</f>
        <v/>
      </c>
      <c r="P50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1" s="7">
        <f>SUMPRODUCT(N(Tabela1[Código]=Tabela8[[#This Row],[Papel]]),Tabela1[Fechamento])</f>
        <v>0</v>
      </c>
      <c r="R501" s="7">
        <f>SUMPRODUCT(N(Tabela17[Código]=Tabela8[[#This Row],[Papel]]),Tabela17[Fechamento])</f>
        <v>7</v>
      </c>
      <c r="S501" s="7">
        <f>SUMPRODUCT(N(Tabela176[Código]=Tabela8[[#This Row],[Papel]]),Tabela176[Fechamento])</f>
        <v>7</v>
      </c>
      <c r="T501" s="7">
        <f>SUMPRODUCT(N(Tabela1768[Código]=Tabela8[[#This Row],[Papel]]),Tabela1768[Fechamento])</f>
        <v>0</v>
      </c>
      <c r="U501" s="7">
        <f>SUMPRODUCT(N(Tabela17683[Código]=Tabela8[[#This Row],[Papel]]),Tabela17683[Fechamento])</f>
        <v>0</v>
      </c>
      <c r="V501" s="17">
        <f>IF(MAX(Tabela8[[#This Row],[Cotação 1]]:Tabela8[[#This Row],[Cotação 5]])=0,"",MAX(Tabela8[[#This Row],[Cotação 1]]:Tabela8[[#This Row],[Cotação 5]]))</f>
        <v>7</v>
      </c>
      <c r="W50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1" s="17">
        <f>IF(AND([Ref]=5,[Cotação]&gt;0,[Cotação]&lt;&gt;""),[Total Exercício]/[Cotação],IF([Ref]&lt;4,0,""))</f>
        <v>0</v>
      </c>
      <c r="Y501" s="17">
        <f>IF([Tipo]="div",1,0)</f>
        <v>0</v>
      </c>
      <c r="Z501" s="17">
        <f>IF([Tipo]="jcp",1,0)</f>
        <v>0</v>
      </c>
    </row>
    <row r="502" spans="1:26" hidden="1">
      <c r="A502" s="3" t="s">
        <v>1019</v>
      </c>
      <c r="B502" s="57" t="s">
        <v>1053</v>
      </c>
      <c r="C502" s="16">
        <v>3</v>
      </c>
      <c r="D502" s="4"/>
      <c r="E502" s="4"/>
      <c r="F502" s="4"/>
      <c r="G502" s="4"/>
      <c r="H502" s="4"/>
      <c r="I502" s="4"/>
      <c r="J502" s="17">
        <f>IF(Tabela8[[#This Row],[Tipo]]="jcp",Tabela8[[#This Row],[Provento p/Ação]]*85%,Tabela8[[#This Row],[Provento p/Ação]])</f>
        <v>0</v>
      </c>
      <c r="K502" s="143" t="str">
        <f>IF([Lucro p/Ação]&lt;&gt;0,SUMPRODUCT(N([Papel]=Tabela8[[#This Row],[Papel]]),N([Exercício]=Tabela8[[#This Row],[Exercício]]),[Líquido p/Ação]),"")</f>
        <v/>
      </c>
      <c r="L502" s="42" t="str">
        <f>IF(Tabela8[[#This Row],[Lucro p/Ação]]="","",IF(Tabela8[[#This Row],[Lucro p/Ação]]&gt;0,Tabela8[[#This Row],[Total Exercício]]/Tabela8[[#This Row],[Lucro p/Ação]],0))</f>
        <v/>
      </c>
      <c r="M50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2" s="14" t="str">
        <f>IF(Tabela8[[#This Row],[Média Lucro p/Ação]]&lt;&gt;"",Tabela8[[#This Row],[Média Pago]]/Tabela8[[#This Row],[Média Lucro p/Ação]],"")</f>
        <v/>
      </c>
      <c r="P50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2" s="7">
        <f>SUMPRODUCT(N(Tabela1[Código]=Tabela8[[#This Row],[Papel]]),Tabela1[Fechamento])</f>
        <v>0</v>
      </c>
      <c r="R502" s="7">
        <f>SUMPRODUCT(N(Tabela17[Código]=Tabela8[[#This Row],[Papel]]),Tabela17[Fechamento])</f>
        <v>0</v>
      </c>
      <c r="S502" s="7">
        <f>SUMPRODUCT(N(Tabela176[Código]=Tabela8[[#This Row],[Papel]]),Tabela176[Fechamento])</f>
        <v>0</v>
      </c>
      <c r="T502" s="7">
        <f>SUMPRODUCT(N(Tabela1768[Código]=Tabela8[[#This Row],[Papel]]),Tabela1768[Fechamento])</f>
        <v>0.19</v>
      </c>
      <c r="U502" s="7">
        <f>SUMPRODUCT(N(Tabela17683[Código]=Tabela8[[#This Row],[Papel]]),Tabela17683[Fechamento])</f>
        <v>0</v>
      </c>
      <c r="V502" s="17">
        <f>IF(MAX(Tabela8[[#This Row],[Cotação 1]]:Tabela8[[#This Row],[Cotação 5]])=0,"",MAX(Tabela8[[#This Row],[Cotação 1]]:Tabela8[[#This Row],[Cotação 5]]))</f>
        <v>0.19</v>
      </c>
      <c r="W50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2" s="17">
        <f>IF(AND([Ref]=5,[Cotação]&gt;0,[Cotação]&lt;&gt;""),[Total Exercício]/[Cotação],IF([Ref]&lt;4,0,""))</f>
        <v>0</v>
      </c>
      <c r="Y502" s="17">
        <f>IF([Tipo]="div",1,0)</f>
        <v>0</v>
      </c>
      <c r="Z502" s="17">
        <f>IF([Tipo]="jcp",1,0)</f>
        <v>0</v>
      </c>
    </row>
    <row r="503" spans="1:26" hidden="1">
      <c r="A503" s="3" t="s">
        <v>283</v>
      </c>
      <c r="B503" s="58" t="s">
        <v>284</v>
      </c>
      <c r="C503" s="16">
        <v>3</v>
      </c>
      <c r="D503" s="4"/>
      <c r="E503" s="4"/>
      <c r="F503" s="4"/>
      <c r="G503" s="4"/>
      <c r="H503" s="4"/>
      <c r="I503" s="4"/>
      <c r="J503" s="17">
        <f>IF(Tabela8[[#This Row],[Tipo]]="jcp",Tabela8[[#This Row],[Provento p/Ação]]*85%,Tabela8[[#This Row],[Provento p/Ação]])</f>
        <v>0</v>
      </c>
      <c r="K503" s="143" t="str">
        <f>IF([Lucro p/Ação]&lt;&gt;0,SUMPRODUCT(N([Papel]=Tabela8[[#This Row],[Papel]]),N([Exercício]=Tabela8[[#This Row],[Exercício]]),[Líquido p/Ação]),"")</f>
        <v/>
      </c>
      <c r="L503" s="42" t="str">
        <f>IF(Tabela8[[#This Row],[Lucro p/Ação]]="","",IF(Tabela8[[#This Row],[Lucro p/Ação]]&gt;0,Tabela8[[#This Row],[Total Exercício]]/Tabela8[[#This Row],[Lucro p/Ação]],0))</f>
        <v/>
      </c>
      <c r="M50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3" s="14" t="str">
        <f>IF(Tabela8[[#This Row],[Média Lucro p/Ação]]&lt;&gt;"",Tabela8[[#This Row],[Média Pago]]/Tabela8[[#This Row],[Média Lucro p/Ação]],"")</f>
        <v/>
      </c>
      <c r="P50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3" s="47">
        <f>SUMPRODUCT(N(Tabela1[Código]=Tabela8[[#This Row],[Papel]]),Tabela1[Fechamento])</f>
        <v>0</v>
      </c>
      <c r="R503" s="54">
        <f>SUMPRODUCT(N(Tabela17[Código]=Tabela8[[#This Row],[Papel]]),Tabela17[Fechamento])</f>
        <v>38.35</v>
      </c>
      <c r="S503" s="7">
        <f>SUMPRODUCT(N(Tabela176[Código]=Tabela8[[#This Row],[Papel]]),Tabela176[Fechamento])</f>
        <v>0</v>
      </c>
      <c r="T503" s="7">
        <f>SUMPRODUCT(N(Tabela1768[Código]=Tabela8[[#This Row],[Papel]]),Tabela1768[Fechamento])</f>
        <v>0</v>
      </c>
      <c r="U503" s="7">
        <f>SUMPRODUCT(N(Tabela17683[Código]=Tabela8[[#This Row],[Papel]]),Tabela17683[Fechamento])</f>
        <v>0</v>
      </c>
      <c r="V503" s="17">
        <f>IF(MAX(Tabela8[[#This Row],[Cotação 1]]:Tabela8[[#This Row],[Cotação 5]])=0,"",MAX(Tabela8[[#This Row],[Cotação 1]]:Tabela8[[#This Row],[Cotação 5]]))</f>
        <v>38.35</v>
      </c>
      <c r="W50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3" s="17">
        <f>IF(AND([Ref]=5,[Cotação]&gt;0,[Cotação]&lt;&gt;""),[Total Exercício]/[Cotação],IF([Ref]&lt;4,0,""))</f>
        <v>0</v>
      </c>
      <c r="Y503" s="17">
        <f>IF([Tipo]="div",1,0)</f>
        <v>0</v>
      </c>
      <c r="Z503" s="17">
        <f>IF([Tipo]="jcp",1,0)</f>
        <v>0</v>
      </c>
    </row>
    <row r="504" spans="1:26" hidden="1">
      <c r="A504" s="3" t="s">
        <v>283</v>
      </c>
      <c r="B504" s="58" t="s">
        <v>285</v>
      </c>
      <c r="C504" s="16">
        <v>3</v>
      </c>
      <c r="D504" s="4"/>
      <c r="E504" s="4"/>
      <c r="F504" s="4"/>
      <c r="G504" s="4"/>
      <c r="H504" s="4"/>
      <c r="I504" s="4"/>
      <c r="J504" s="17">
        <f>IF(Tabela8[[#This Row],[Tipo]]="jcp",Tabela8[[#This Row],[Provento p/Ação]]*85%,Tabela8[[#This Row],[Provento p/Ação]])</f>
        <v>0</v>
      </c>
      <c r="K504" s="143" t="str">
        <f>IF([Lucro p/Ação]&lt;&gt;0,SUMPRODUCT(N([Papel]=Tabela8[[#This Row],[Papel]]),N([Exercício]=Tabela8[[#This Row],[Exercício]]),[Líquido p/Ação]),"")</f>
        <v/>
      </c>
      <c r="L504" s="42" t="str">
        <f>IF(Tabela8[[#This Row],[Lucro p/Ação]]="","",IF(Tabela8[[#This Row],[Lucro p/Ação]]&gt;0,Tabela8[[#This Row],[Total Exercício]]/Tabela8[[#This Row],[Lucro p/Ação]],0))</f>
        <v/>
      </c>
      <c r="M50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4" s="14" t="str">
        <f>IF(Tabela8[[#This Row],[Média Lucro p/Ação]]&lt;&gt;"",Tabela8[[#This Row],[Média Pago]]/Tabela8[[#This Row],[Média Lucro p/Ação]],"")</f>
        <v/>
      </c>
      <c r="P50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4" s="47">
        <f>SUMPRODUCT(N(Tabela1[Código]=Tabela8[[#This Row],[Papel]]),Tabela1[Fechamento])</f>
        <v>0</v>
      </c>
      <c r="R504" s="54">
        <f>SUMPRODUCT(N(Tabela17[Código]=Tabela8[[#This Row],[Papel]]),Tabela17[Fechamento])</f>
        <v>44.82</v>
      </c>
      <c r="S504" s="7">
        <f>SUMPRODUCT(N(Tabela176[Código]=Tabela8[[#This Row],[Papel]]),Tabela176[Fechamento])</f>
        <v>0</v>
      </c>
      <c r="T504" s="7">
        <f>SUMPRODUCT(N(Tabela1768[Código]=Tabela8[[#This Row],[Papel]]),Tabela1768[Fechamento])</f>
        <v>0</v>
      </c>
      <c r="U504" s="7">
        <f>SUMPRODUCT(N(Tabela17683[Código]=Tabela8[[#This Row],[Papel]]),Tabela17683[Fechamento])</f>
        <v>0</v>
      </c>
      <c r="V504" s="17">
        <f>IF(MAX(Tabela8[[#This Row],[Cotação 1]]:Tabela8[[#This Row],[Cotação 5]])=0,"",MAX(Tabela8[[#This Row],[Cotação 1]]:Tabela8[[#This Row],[Cotação 5]]))</f>
        <v>44.82</v>
      </c>
      <c r="W50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4" s="17">
        <f>IF(AND([Ref]=5,[Cotação]&gt;0,[Cotação]&lt;&gt;""),[Total Exercício]/[Cotação],IF([Ref]&lt;4,0,""))</f>
        <v>0</v>
      </c>
      <c r="Y504" s="17">
        <f>IF([Tipo]="div",1,0)</f>
        <v>0</v>
      </c>
      <c r="Z504" s="17">
        <f>IF([Tipo]="jcp",1,0)</f>
        <v>0</v>
      </c>
    </row>
    <row r="505" spans="1:26" hidden="1">
      <c r="A505" s="3" t="s">
        <v>1131</v>
      </c>
      <c r="B505" s="57" t="s">
        <v>1122</v>
      </c>
      <c r="C505" s="16">
        <v>3</v>
      </c>
      <c r="D505" s="4"/>
      <c r="E505" s="4"/>
      <c r="F505" s="4"/>
      <c r="G505" s="4"/>
      <c r="H505" s="4"/>
      <c r="I505" s="4"/>
      <c r="J505" s="17">
        <f>IF(Tabela8[[#This Row],[Tipo]]="jcp",Tabela8[[#This Row],[Provento p/Ação]]*85%,Tabela8[[#This Row],[Provento p/Ação]])</f>
        <v>0</v>
      </c>
      <c r="K505" s="143" t="str">
        <f>IF([Lucro p/Ação]&lt;&gt;0,SUMPRODUCT(N([Papel]=Tabela8[[#This Row],[Papel]]),N([Exercício]=Tabela8[[#This Row],[Exercício]]),[Líquido p/Ação]),"")</f>
        <v/>
      </c>
      <c r="L505" s="42" t="str">
        <f>IF(Tabela8[[#This Row],[Lucro p/Ação]]="","",IF(Tabela8[[#This Row],[Lucro p/Ação]]&gt;0,Tabela8[[#This Row],[Total Exercício]]/Tabela8[[#This Row],[Lucro p/Ação]],0))</f>
        <v/>
      </c>
      <c r="M50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5" s="14" t="str">
        <f>IF(Tabela8[[#This Row],[Média Lucro p/Ação]]&lt;&gt;"",Tabela8[[#This Row],[Média Pago]]/Tabela8[[#This Row],[Média Lucro p/Ação]],"")</f>
        <v/>
      </c>
      <c r="P50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5" s="7">
        <f>SUMPRODUCT(N(Tabela1[Código]=Tabela8[[#This Row],[Papel]]),Tabela1[Fechamento])</f>
        <v>0</v>
      </c>
      <c r="R505" s="7">
        <f>SUMPRODUCT(N(Tabela17[Código]=Tabela8[[#This Row],[Papel]]),Tabela17[Fechamento])</f>
        <v>0</v>
      </c>
      <c r="S505" s="7">
        <f>SUMPRODUCT(N(Tabela176[Código]=Tabela8[[#This Row],[Papel]]),Tabela176[Fechamento])</f>
        <v>0</v>
      </c>
      <c r="T505" s="7">
        <f>SUMPRODUCT(N(Tabela1768[Código]=Tabela8[[#This Row],[Papel]]),Tabela1768[Fechamento])</f>
        <v>0</v>
      </c>
      <c r="U505" s="7">
        <f>SUMPRODUCT(N(Tabela17683[Código]=Tabela8[[#This Row],[Papel]]),Tabela17683[Fechamento])</f>
        <v>31.78</v>
      </c>
      <c r="V505" s="17">
        <f>IF(MAX(Tabela8[[#This Row],[Cotação 1]]:Tabela8[[#This Row],[Cotação 5]])=0,"",MAX(Tabela8[[#This Row],[Cotação 1]]:Tabela8[[#This Row],[Cotação 5]]))</f>
        <v>31.78</v>
      </c>
      <c r="W50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5" s="17">
        <f>IF(AND([Ref]=5,[Cotação]&gt;0,[Cotação]&lt;&gt;""),[Total Exercício]/[Cotação],IF([Ref]&lt;4,0,""))</f>
        <v>0</v>
      </c>
      <c r="Y505" s="17">
        <f>IF([Tipo]="div",1,0)</f>
        <v>0</v>
      </c>
      <c r="Z505" s="17">
        <f>IF([Tipo]="jcp",1,0)</f>
        <v>0</v>
      </c>
    </row>
    <row r="506" spans="1:26" hidden="1">
      <c r="A506" s="3" t="s">
        <v>1159</v>
      </c>
      <c r="B506" s="57" t="s">
        <v>1161</v>
      </c>
      <c r="C506" s="16">
        <v>3</v>
      </c>
      <c r="D506" s="4"/>
      <c r="E506" s="4"/>
      <c r="F506" s="4"/>
      <c r="G506" s="4"/>
      <c r="H506" s="4"/>
      <c r="I506" s="4"/>
      <c r="J506" s="17">
        <f>IF(Tabela8[[#This Row],[Tipo]]="jcp",Tabela8[[#This Row],[Provento p/Ação]]*85%,Tabela8[[#This Row],[Provento p/Ação]])</f>
        <v>0</v>
      </c>
      <c r="K506" s="143" t="str">
        <f>IF([Lucro p/Ação]&lt;&gt;0,SUMPRODUCT(N([Papel]=Tabela8[[#This Row],[Papel]]),N([Exercício]=Tabela8[[#This Row],[Exercício]]),[Líquido p/Ação]),"")</f>
        <v/>
      </c>
      <c r="L506" s="42" t="str">
        <f>IF(Tabela8[[#This Row],[Lucro p/Ação]]="","",IF(Tabela8[[#This Row],[Lucro p/Ação]]&gt;0,Tabela8[[#This Row],[Total Exercício]]/Tabela8[[#This Row],[Lucro p/Ação]],0))</f>
        <v/>
      </c>
      <c r="M50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6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6" s="14" t="str">
        <f>IF(Tabela8[[#This Row],[Média Lucro p/Ação]]&lt;&gt;"",Tabela8[[#This Row],[Média Pago]]/Tabela8[[#This Row],[Média Lucro p/Ação]],"")</f>
        <v/>
      </c>
      <c r="P50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6" s="7">
        <f>SUMPRODUCT(N(Tabela1[Código]=Tabela8[[#This Row],[Papel]]),Tabela1[Fechamento])</f>
        <v>0</v>
      </c>
      <c r="R506" s="7">
        <f>SUMPRODUCT(N(Tabela17[Código]=Tabela8[[#This Row],[Papel]]),Tabela17[Fechamento])</f>
        <v>0</v>
      </c>
      <c r="S506" s="7">
        <f>SUMPRODUCT(N(Tabela176[Código]=Tabela8[[#This Row],[Papel]]),Tabela176[Fechamento])</f>
        <v>0</v>
      </c>
      <c r="T506" s="7">
        <f>SUMPRODUCT(N(Tabela1768[Código]=Tabela8[[#This Row],[Papel]]),Tabela1768[Fechamento])</f>
        <v>0</v>
      </c>
      <c r="U506" s="7">
        <f>SUMPRODUCT(N(Tabela17683[Código]=Tabela8[[#This Row],[Papel]]),Tabela17683[Fechamento])</f>
        <v>3</v>
      </c>
      <c r="V506" s="17">
        <f>IF(MAX(Tabela8[[#This Row],[Cotação 1]]:Tabela8[[#This Row],[Cotação 5]])=0,"",MAX(Tabela8[[#This Row],[Cotação 1]]:Tabela8[[#This Row],[Cotação 5]]))</f>
        <v>3</v>
      </c>
      <c r="W506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6" s="17">
        <f>IF(AND([Ref]=5,[Cotação]&gt;0,[Cotação]&lt;&gt;""),[Total Exercício]/[Cotação],IF([Ref]&lt;4,0,""))</f>
        <v>0</v>
      </c>
      <c r="Y506" s="17">
        <f>IF([Tipo]="div",1,0)</f>
        <v>0</v>
      </c>
      <c r="Z506" s="17">
        <f>IF([Tipo]="jcp",1,0)</f>
        <v>0</v>
      </c>
    </row>
    <row r="507" spans="1:26" hidden="1">
      <c r="A507" s="3" t="s">
        <v>1159</v>
      </c>
      <c r="B507" s="57" t="s">
        <v>1162</v>
      </c>
      <c r="C507" s="16">
        <v>3</v>
      </c>
      <c r="D507" s="4"/>
      <c r="E507" s="4"/>
      <c r="F507" s="4"/>
      <c r="G507" s="4"/>
      <c r="H507" s="4"/>
      <c r="I507" s="4"/>
      <c r="J507" s="17">
        <f>IF(Tabela8[[#This Row],[Tipo]]="jcp",Tabela8[[#This Row],[Provento p/Ação]]*85%,Tabela8[[#This Row],[Provento p/Ação]])</f>
        <v>0</v>
      </c>
      <c r="K507" s="143" t="str">
        <f>IF([Lucro p/Ação]&lt;&gt;0,SUMPRODUCT(N([Papel]=Tabela8[[#This Row],[Papel]]),N([Exercício]=Tabela8[[#This Row],[Exercício]]),[Líquido p/Ação]),"")</f>
        <v/>
      </c>
      <c r="L507" s="42" t="str">
        <f>IF(Tabela8[[#This Row],[Lucro p/Ação]]="","",IF(Tabela8[[#This Row],[Lucro p/Ação]]&gt;0,Tabela8[[#This Row],[Total Exercício]]/Tabela8[[#This Row],[Lucro p/Ação]],0))</f>
        <v/>
      </c>
      <c r="M50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7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7" s="14" t="str">
        <f>IF(Tabela8[[#This Row],[Média Lucro p/Ação]]&lt;&gt;"",Tabela8[[#This Row],[Média Pago]]/Tabela8[[#This Row],[Média Lucro p/Ação]],"")</f>
        <v/>
      </c>
      <c r="P50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7" s="7">
        <f>SUMPRODUCT(N(Tabela1[Código]=Tabela8[[#This Row],[Papel]]),Tabela1[Fechamento])</f>
        <v>0</v>
      </c>
      <c r="R507" s="7">
        <f>SUMPRODUCT(N(Tabela17[Código]=Tabela8[[#This Row],[Papel]]),Tabela17[Fechamento])</f>
        <v>0</v>
      </c>
      <c r="S507" s="7">
        <f>SUMPRODUCT(N(Tabela176[Código]=Tabela8[[#This Row],[Papel]]),Tabela176[Fechamento])</f>
        <v>0</v>
      </c>
      <c r="T507" s="7">
        <f>SUMPRODUCT(N(Tabela1768[Código]=Tabela8[[#This Row],[Papel]]),Tabela1768[Fechamento])</f>
        <v>0</v>
      </c>
      <c r="U507" s="7">
        <f>SUMPRODUCT(N(Tabela17683[Código]=Tabela8[[#This Row],[Papel]]),Tabela17683[Fechamento])</f>
        <v>0</v>
      </c>
      <c r="V507" s="17" t="str">
        <f>IF(MAX(Tabela8[[#This Row],[Cotação 1]]:Tabela8[[#This Row],[Cotação 5]])=0,"",MAX(Tabela8[[#This Row],[Cotação 1]]:Tabela8[[#This Row],[Cotação 5]]))</f>
        <v/>
      </c>
      <c r="W507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7" s="17">
        <f>IF(AND([Ref]=5,[Cotação]&gt;0,[Cotação]&lt;&gt;""),[Total Exercício]/[Cotação],IF([Ref]&lt;4,0,""))</f>
        <v>0</v>
      </c>
      <c r="Y507" s="17">
        <f>IF([Tipo]="div",1,0)</f>
        <v>0</v>
      </c>
      <c r="Z507" s="17">
        <f>IF([Tipo]="jcp",1,0)</f>
        <v>0</v>
      </c>
    </row>
    <row r="508" spans="1:26" hidden="1">
      <c r="A508" s="3" t="s">
        <v>957</v>
      </c>
      <c r="B508" s="58" t="s">
        <v>963</v>
      </c>
      <c r="C508" s="16">
        <v>3</v>
      </c>
      <c r="D508" s="4"/>
      <c r="E508" s="4"/>
      <c r="F508" s="4"/>
      <c r="G508" s="4"/>
      <c r="H508" s="4"/>
      <c r="I508" s="4"/>
      <c r="J508" s="17">
        <f>IF(Tabela8[[#This Row],[Tipo]]="jcp",Tabela8[[#This Row],[Provento p/Ação]]*85%,Tabela8[[#This Row],[Provento p/Ação]])</f>
        <v>0</v>
      </c>
      <c r="K508" s="143" t="str">
        <f>IF([Lucro p/Ação]&lt;&gt;0,SUMPRODUCT(N([Papel]=Tabela8[[#This Row],[Papel]]),N([Exercício]=Tabela8[[#This Row],[Exercício]]),[Líquido p/Ação]),"")</f>
        <v/>
      </c>
      <c r="L508" s="42" t="str">
        <f>IF(Tabela8[[#This Row],[Lucro p/Ação]]="","",IF(Tabela8[[#This Row],[Lucro p/Ação]]&gt;0,Tabela8[[#This Row],[Total Exercício]]/Tabela8[[#This Row],[Lucro p/Ação]],0))</f>
        <v/>
      </c>
      <c r="M508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8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8" s="14" t="str">
        <f>IF(Tabela8[[#This Row],[Média Lucro p/Ação]]&lt;&gt;"",Tabela8[[#This Row],[Média Pago]]/Tabela8[[#This Row],[Média Lucro p/Ação]],"")</f>
        <v/>
      </c>
      <c r="P508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8" s="7">
        <f>SUMPRODUCT(N(Tabela1[Código]=Tabela8[[#This Row],[Papel]]),Tabela1[Fechamento])</f>
        <v>0</v>
      </c>
      <c r="R508" s="7">
        <f>SUMPRODUCT(N(Tabela17[Código]=Tabela8[[#This Row],[Papel]]),Tabela17[Fechamento])</f>
        <v>0</v>
      </c>
      <c r="S508" s="7">
        <f>SUMPRODUCT(N(Tabela176[Código]=Tabela8[[#This Row],[Papel]]),Tabela176[Fechamento])</f>
        <v>0</v>
      </c>
      <c r="T508" s="7">
        <f>SUMPRODUCT(N(Tabela1768[Código]=Tabela8[[#This Row],[Papel]]),Tabela1768[Fechamento])</f>
        <v>0</v>
      </c>
      <c r="U508" s="7">
        <f>SUMPRODUCT(N(Tabela17683[Código]=Tabela8[[#This Row],[Papel]]),Tabela17683[Fechamento])</f>
        <v>0</v>
      </c>
      <c r="V508" s="17" t="str">
        <f>IF(MAX(Tabela8[[#This Row],[Cotação 1]]:Tabela8[[#This Row],[Cotação 5]])=0,"",MAX(Tabela8[[#This Row],[Cotação 1]]:Tabela8[[#This Row],[Cotação 5]]))</f>
        <v/>
      </c>
      <c r="W508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8" s="17">
        <f>IF(AND([Ref]=5,[Cotação]&gt;0,[Cotação]&lt;&gt;""),[Total Exercício]/[Cotação],IF([Ref]&lt;4,0,""))</f>
        <v>0</v>
      </c>
      <c r="Y508" s="17">
        <f>IF([Tipo]="div",1,0)</f>
        <v>0</v>
      </c>
      <c r="Z508" s="17">
        <f>IF([Tipo]="jcp",1,0)</f>
        <v>0</v>
      </c>
    </row>
    <row r="509" spans="1:26" hidden="1">
      <c r="A509" s="3" t="s">
        <v>855</v>
      </c>
      <c r="B509" s="58" t="s">
        <v>866</v>
      </c>
      <c r="C509" s="16">
        <v>4</v>
      </c>
      <c r="D509" s="4"/>
      <c r="E509" s="4"/>
      <c r="F509" s="4"/>
      <c r="G509" s="4"/>
      <c r="H509" s="4"/>
      <c r="I509" s="4"/>
      <c r="J509" s="17">
        <f>IF(Tabela8[[#This Row],[Tipo]]="jcp",Tabela8[[#This Row],[Provento p/Ação]]*85%,Tabela8[[#This Row],[Provento p/Ação]])</f>
        <v>0</v>
      </c>
      <c r="K509" s="143" t="str">
        <f>IF([Lucro p/Ação]&lt;&gt;0,SUMPRODUCT(N([Papel]=Tabela8[[#This Row],[Papel]]),N([Exercício]=Tabela8[[#This Row],[Exercício]]),[Líquido p/Ação]),"")</f>
        <v/>
      </c>
      <c r="L509" s="42" t="str">
        <f>IF(Tabela8[[#This Row],[Lucro p/Ação]]="","",IF(Tabela8[[#This Row],[Lucro p/Ação]]&gt;0,Tabela8[[#This Row],[Total Exercício]]/Tabela8[[#This Row],[Lucro p/Ação]],0))</f>
        <v/>
      </c>
      <c r="M509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09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09" s="14" t="str">
        <f>IF(Tabela8[[#This Row],[Média Lucro p/Ação]]&lt;&gt;"",Tabela8[[#This Row],[Média Pago]]/Tabela8[[#This Row],[Média Lucro p/Ação]],"")</f>
        <v/>
      </c>
      <c r="P50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09" s="7">
        <f>SUMPRODUCT(N(Tabela1[Código]=Tabela8[[#This Row],[Papel]]),Tabela1[Fechamento])</f>
        <v>0</v>
      </c>
      <c r="R509" s="7">
        <f>SUMPRODUCT(N(Tabela17[Código]=Tabela8[[#This Row],[Papel]]),Tabela17[Fechamento])</f>
        <v>0</v>
      </c>
      <c r="S509" s="7">
        <f>SUMPRODUCT(N(Tabela176[Código]=Tabela8[[#This Row],[Papel]]),Tabela176[Fechamento])</f>
        <v>0</v>
      </c>
      <c r="T509" s="7">
        <f>SUMPRODUCT(N(Tabela1768[Código]=Tabela8[[#This Row],[Papel]]),Tabela1768[Fechamento])</f>
        <v>22.57</v>
      </c>
      <c r="U509" s="7">
        <f>SUMPRODUCT(N(Tabela17683[Código]=Tabela8[[#This Row],[Papel]]),Tabela17683[Fechamento])</f>
        <v>0</v>
      </c>
      <c r="V509" s="17">
        <f>IF(MAX(Tabela8[[#This Row],[Cotação 1]]:Tabela8[[#This Row],[Cotação 5]])=0,"",MAX(Tabela8[[#This Row],[Cotação 1]]:Tabela8[[#This Row],[Cotação 5]]))</f>
        <v>22.57</v>
      </c>
      <c r="W509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09" s="17" t="str">
        <f>IF(AND([Ref]=5,[Cotação]&gt;0,[Cotação]&lt;&gt;""),[Total Exercício]/[Cotação],IF([Ref]&lt;4,0,""))</f>
        <v/>
      </c>
      <c r="Y509" s="17">
        <f>IF([Tipo]="div",1,0)</f>
        <v>0</v>
      </c>
      <c r="Z509" s="17">
        <f>IF([Tipo]="jcp",1,0)</f>
        <v>0</v>
      </c>
    </row>
    <row r="510" spans="1:26" hidden="1">
      <c r="A510" s="3" t="s">
        <v>855</v>
      </c>
      <c r="B510" s="58" t="s">
        <v>867</v>
      </c>
      <c r="C510" s="16">
        <v>4</v>
      </c>
      <c r="D510" s="4"/>
      <c r="E510" s="4"/>
      <c r="F510" s="4"/>
      <c r="G510" s="4"/>
      <c r="H510" s="4"/>
      <c r="I510" s="4"/>
      <c r="J510" s="17">
        <f>IF(Tabela8[[#This Row],[Tipo]]="jcp",Tabela8[[#This Row],[Provento p/Ação]]*85%,Tabela8[[#This Row],[Provento p/Ação]])</f>
        <v>0</v>
      </c>
      <c r="K510" s="143" t="str">
        <f>IF([Lucro p/Ação]&lt;&gt;0,SUMPRODUCT(N([Papel]=Tabela8[[#This Row],[Papel]]),N([Exercício]=Tabela8[[#This Row],[Exercício]]),[Líquido p/Ação]),"")</f>
        <v/>
      </c>
      <c r="L510" s="42" t="str">
        <f>IF(Tabela8[[#This Row],[Lucro p/Ação]]="","",IF(Tabela8[[#This Row],[Lucro p/Ação]]&gt;0,Tabela8[[#This Row],[Total Exercício]]/Tabela8[[#This Row],[Lucro p/Ação]],0))</f>
        <v/>
      </c>
      <c r="M510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0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0" s="14" t="str">
        <f>IF(Tabela8[[#This Row],[Média Lucro p/Ação]]&lt;&gt;"",Tabela8[[#This Row],[Média Pago]]/Tabela8[[#This Row],[Média Lucro p/Ação]],"")</f>
        <v/>
      </c>
      <c r="P510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0" s="7">
        <f>SUMPRODUCT(N(Tabela1[Código]=Tabela8[[#This Row],[Papel]]),Tabela1[Fechamento])</f>
        <v>0</v>
      </c>
      <c r="R510" s="7">
        <f>SUMPRODUCT(N(Tabela17[Código]=Tabela8[[#This Row],[Papel]]),Tabela17[Fechamento])</f>
        <v>0</v>
      </c>
      <c r="S510" s="7">
        <f>SUMPRODUCT(N(Tabela176[Código]=Tabela8[[#This Row],[Papel]]),Tabela176[Fechamento])</f>
        <v>0</v>
      </c>
      <c r="T510" s="7">
        <f>SUMPRODUCT(N(Tabela1768[Código]=Tabela8[[#This Row],[Papel]]),Tabela1768[Fechamento])</f>
        <v>6.45</v>
      </c>
      <c r="U510" s="7">
        <f>SUMPRODUCT(N(Tabela17683[Código]=Tabela8[[#This Row],[Papel]]),Tabela17683[Fechamento])</f>
        <v>0</v>
      </c>
      <c r="V510" s="17">
        <f>IF(MAX(Tabela8[[#This Row],[Cotação 1]]:Tabela8[[#This Row],[Cotação 5]])=0,"",MAX(Tabela8[[#This Row],[Cotação 1]]:Tabela8[[#This Row],[Cotação 5]]))</f>
        <v>6.45</v>
      </c>
      <c r="W510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0" s="17" t="str">
        <f>IF(AND([Ref]=5,[Cotação]&gt;0,[Cotação]&lt;&gt;""),[Total Exercício]/[Cotação],IF([Ref]&lt;4,0,""))</f>
        <v/>
      </c>
      <c r="Y510" s="17">
        <f>IF([Tipo]="div",1,0)</f>
        <v>0</v>
      </c>
      <c r="Z510" s="17">
        <f>IF([Tipo]="jcp",1,0)</f>
        <v>0</v>
      </c>
    </row>
    <row r="511" spans="1:26" hidden="1">
      <c r="A511" s="3" t="s">
        <v>855</v>
      </c>
      <c r="B511" s="58" t="s">
        <v>868</v>
      </c>
      <c r="C511" s="16">
        <v>4</v>
      </c>
      <c r="D511" s="4"/>
      <c r="E511" s="4"/>
      <c r="F511" s="4"/>
      <c r="G511" s="4"/>
      <c r="H511" s="4"/>
      <c r="I511" s="4"/>
      <c r="J511" s="17">
        <f>IF(Tabela8[[#This Row],[Tipo]]="jcp",Tabela8[[#This Row],[Provento p/Ação]]*85%,Tabela8[[#This Row],[Provento p/Ação]])</f>
        <v>0</v>
      </c>
      <c r="K511" s="143" t="str">
        <f>IF([Lucro p/Ação]&lt;&gt;0,SUMPRODUCT(N([Papel]=Tabela8[[#This Row],[Papel]]),N([Exercício]=Tabela8[[#This Row],[Exercício]]),[Líquido p/Ação]),"")</f>
        <v/>
      </c>
      <c r="L511" s="42" t="str">
        <f>IF(Tabela8[[#This Row],[Lucro p/Ação]]="","",IF(Tabela8[[#This Row],[Lucro p/Ação]]&gt;0,Tabela8[[#This Row],[Total Exercício]]/Tabela8[[#This Row],[Lucro p/Ação]],0))</f>
        <v/>
      </c>
      <c r="M511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1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1" s="14" t="str">
        <f>IF(Tabela8[[#This Row],[Média Lucro p/Ação]]&lt;&gt;"",Tabela8[[#This Row],[Média Pago]]/Tabela8[[#This Row],[Média Lucro p/Ação]],"")</f>
        <v/>
      </c>
      <c r="P51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1" s="7">
        <f>SUMPRODUCT(N(Tabela1[Código]=Tabela8[[#This Row],[Papel]]),Tabela1[Fechamento])</f>
        <v>0</v>
      </c>
      <c r="R511" s="7">
        <f>SUMPRODUCT(N(Tabela17[Código]=Tabela8[[#This Row],[Papel]]),Tabela17[Fechamento])</f>
        <v>0</v>
      </c>
      <c r="S511" s="7">
        <f>SUMPRODUCT(N(Tabela176[Código]=Tabela8[[#This Row],[Papel]]),Tabela176[Fechamento])</f>
        <v>0</v>
      </c>
      <c r="T511" s="7">
        <f>SUMPRODUCT(N(Tabela1768[Código]=Tabela8[[#This Row],[Papel]]),Tabela1768[Fechamento])</f>
        <v>0</v>
      </c>
      <c r="U511" s="7">
        <f>SUMPRODUCT(N(Tabela17683[Código]=Tabela8[[#This Row],[Papel]]),Tabela17683[Fechamento])</f>
        <v>0</v>
      </c>
      <c r="V511" s="17" t="str">
        <f>IF(MAX(Tabela8[[#This Row],[Cotação 1]]:Tabela8[[#This Row],[Cotação 5]])=0,"",MAX(Tabela8[[#This Row],[Cotação 1]]:Tabela8[[#This Row],[Cotação 5]]))</f>
        <v/>
      </c>
      <c r="W511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1" s="17" t="str">
        <f>IF(AND([Ref]=5,[Cotação]&gt;0,[Cotação]&lt;&gt;""),[Total Exercício]/[Cotação],IF([Ref]&lt;4,0,""))</f>
        <v/>
      </c>
      <c r="Y511" s="17">
        <f>IF([Tipo]="div",1,0)</f>
        <v>0</v>
      </c>
      <c r="Z511" s="17">
        <f>IF([Tipo]="jcp",1,0)</f>
        <v>0</v>
      </c>
    </row>
    <row r="512" spans="1:26" hidden="1">
      <c r="A512" s="3" t="s">
        <v>1226</v>
      </c>
      <c r="B512" s="57" t="s">
        <v>1229</v>
      </c>
      <c r="C512" s="16">
        <v>4</v>
      </c>
      <c r="D512" s="4"/>
      <c r="E512" s="4"/>
      <c r="F512" s="4"/>
      <c r="G512" s="4"/>
      <c r="H512" s="4"/>
      <c r="I512" s="4"/>
      <c r="J512" s="17">
        <f>IF(Tabela8[[#This Row],[Tipo]]="jcp",Tabela8[[#This Row],[Provento p/Ação]]*85%,Tabela8[[#This Row],[Provento p/Ação]])</f>
        <v>0</v>
      </c>
      <c r="K512" s="143" t="str">
        <f>IF([Lucro p/Ação]&lt;&gt;0,SUMPRODUCT(N([Papel]=Tabela8[[#This Row],[Papel]]),N([Exercício]=Tabela8[[#This Row],[Exercício]]),[Líquido p/Ação]),"")</f>
        <v/>
      </c>
      <c r="L512" s="42" t="str">
        <f>IF(Tabela8[[#This Row],[Lucro p/Ação]]="","",IF(Tabela8[[#This Row],[Lucro p/Ação]]&gt;0,Tabela8[[#This Row],[Total Exercício]]/Tabela8[[#This Row],[Lucro p/Ação]],0))</f>
        <v/>
      </c>
      <c r="M512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2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2" s="14" t="str">
        <f>IF(Tabela8[[#This Row],[Média Lucro p/Ação]]&lt;&gt;"",Tabela8[[#This Row],[Média Pago]]/Tabela8[[#This Row],[Média Lucro p/Ação]],"")</f>
        <v/>
      </c>
      <c r="P512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2" s="7">
        <f>SUMPRODUCT(N(Tabela1[Código]=Tabela8[[#This Row],[Papel]]),Tabela1[Fechamento])</f>
        <v>0</v>
      </c>
      <c r="R512" s="7">
        <f>SUMPRODUCT(N(Tabela17[Código]=Tabela8[[#This Row],[Papel]]),Tabela17[Fechamento])</f>
        <v>0</v>
      </c>
      <c r="S512" s="7">
        <f>SUMPRODUCT(N(Tabela176[Código]=Tabela8[[#This Row],[Papel]]),Tabela176[Fechamento])</f>
        <v>0</v>
      </c>
      <c r="T512" s="7">
        <f>SUMPRODUCT(N(Tabela1768[Código]=Tabela8[[#This Row],[Papel]]),Tabela1768[Fechamento])</f>
        <v>0</v>
      </c>
      <c r="U512" s="7">
        <f>SUMPRODUCT(N(Tabela17683[Código]=Tabela8[[#This Row],[Papel]]),Tabela17683[Fechamento])</f>
        <v>31.57</v>
      </c>
      <c r="V512" s="17">
        <f>IF(MAX(Tabela8[[#This Row],[Cotação 1]]:Tabela8[[#This Row],[Cotação 5]])=0,"",MAX(Tabela8[[#This Row],[Cotação 1]]:Tabela8[[#This Row],[Cotação 5]]))</f>
        <v>31.57</v>
      </c>
      <c r="W512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2" s="17" t="str">
        <f>IF(AND([Ref]=5,[Cotação]&gt;0,[Cotação]&lt;&gt;""),[Total Exercício]/[Cotação],IF([Ref]&lt;4,0,""))</f>
        <v/>
      </c>
      <c r="Y512" s="17">
        <f>IF([Tipo]="div",1,0)</f>
        <v>0</v>
      </c>
      <c r="Z512" s="17">
        <f>IF([Tipo]="jcp",1,0)</f>
        <v>0</v>
      </c>
    </row>
    <row r="513" spans="1:26" hidden="1">
      <c r="A513" s="3" t="s">
        <v>855</v>
      </c>
      <c r="B513" s="57" t="s">
        <v>856</v>
      </c>
      <c r="C513" s="16">
        <v>4</v>
      </c>
      <c r="D513" s="4"/>
      <c r="E513" s="4"/>
      <c r="F513" s="4"/>
      <c r="G513" s="4"/>
      <c r="H513" s="4"/>
      <c r="I513" s="4"/>
      <c r="J513" s="17">
        <f>IF(Tabela8[[#This Row],[Tipo]]="jcp",Tabela8[[#This Row],[Provento p/Ação]]*85%,Tabela8[[#This Row],[Provento p/Ação]])</f>
        <v>0</v>
      </c>
      <c r="K513" s="143" t="str">
        <f>IF([Lucro p/Ação]&lt;&gt;0,SUMPRODUCT(N([Papel]=Tabela8[[#This Row],[Papel]]),N([Exercício]=Tabela8[[#This Row],[Exercício]]),[Líquido p/Ação]),"")</f>
        <v/>
      </c>
      <c r="L513" s="42" t="str">
        <f>IF(Tabela8[[#This Row],[Lucro p/Ação]]="","",IF(Tabela8[[#This Row],[Lucro p/Ação]]&gt;0,Tabela8[[#This Row],[Total Exercício]]/Tabela8[[#This Row],[Lucro p/Ação]],0))</f>
        <v/>
      </c>
      <c r="M513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3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3" s="14" t="str">
        <f>IF(Tabela8[[#This Row],[Média Lucro p/Ação]]&lt;&gt;"",Tabela8[[#This Row],[Média Pago]]/Tabela8[[#This Row],[Média Lucro p/Ação]],"")</f>
        <v/>
      </c>
      <c r="P513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3" s="7">
        <f>SUMPRODUCT(N(Tabela1[Código]=Tabela8[[#This Row],[Papel]]),Tabela1[Fechamento])</f>
        <v>0</v>
      </c>
      <c r="R513" s="7">
        <f>SUMPRODUCT(N(Tabela17[Código]=Tabela8[[#This Row],[Papel]]),Tabela17[Fechamento])</f>
        <v>0</v>
      </c>
      <c r="S513" s="7">
        <f>SUMPRODUCT(N(Tabela176[Código]=Tabela8[[#This Row],[Papel]]),Tabela176[Fechamento])</f>
        <v>0</v>
      </c>
      <c r="T513" s="7">
        <f>SUMPRODUCT(N(Tabela1768[Código]=Tabela8[[#This Row],[Papel]]),Tabela1768[Fechamento])</f>
        <v>3.87</v>
      </c>
      <c r="U513" s="7">
        <f>SUMPRODUCT(N(Tabela17683[Código]=Tabela8[[#This Row],[Papel]]),Tabela17683[Fechamento])</f>
        <v>0</v>
      </c>
      <c r="V513" s="17">
        <f>IF(MAX(Tabela8[[#This Row],[Cotação 1]]:Tabela8[[#This Row],[Cotação 5]])=0,"",MAX(Tabela8[[#This Row],[Cotação 1]]:Tabela8[[#This Row],[Cotação 5]]))</f>
        <v>3.87</v>
      </c>
      <c r="W513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3" s="17" t="str">
        <f>IF(AND([Ref]=5,[Cotação]&gt;0,[Cotação]&lt;&gt;""),[Total Exercício]/[Cotação],IF([Ref]&lt;4,0,""))</f>
        <v/>
      </c>
      <c r="Y513" s="17">
        <f>IF([Tipo]="div",1,0)</f>
        <v>0</v>
      </c>
      <c r="Z513" s="17">
        <f>IF([Tipo]="jcp",1,0)</f>
        <v>0</v>
      </c>
    </row>
    <row r="514" spans="1:26" hidden="1">
      <c r="A514" s="3" t="s">
        <v>855</v>
      </c>
      <c r="B514" s="57" t="s">
        <v>857</v>
      </c>
      <c r="C514" s="16">
        <v>4</v>
      </c>
      <c r="D514" s="4"/>
      <c r="E514" s="4"/>
      <c r="F514" s="4"/>
      <c r="G514" s="4"/>
      <c r="H514" s="4"/>
      <c r="I514" s="4"/>
      <c r="J514" s="17">
        <f>IF(Tabela8[[#This Row],[Tipo]]="jcp",Tabela8[[#This Row],[Provento p/Ação]]*85%,Tabela8[[#This Row],[Provento p/Ação]])</f>
        <v>0</v>
      </c>
      <c r="K514" s="143" t="str">
        <f>IF([Lucro p/Ação]&lt;&gt;0,SUMPRODUCT(N([Papel]=Tabela8[[#This Row],[Papel]]),N([Exercício]=Tabela8[[#This Row],[Exercício]]),[Líquido p/Ação]),"")</f>
        <v/>
      </c>
      <c r="L514" s="42" t="str">
        <f>IF(Tabela8[[#This Row],[Lucro p/Ação]]="","",IF(Tabela8[[#This Row],[Lucro p/Ação]]&gt;0,Tabela8[[#This Row],[Total Exercício]]/Tabela8[[#This Row],[Lucro p/Ação]],0))</f>
        <v/>
      </c>
      <c r="M514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4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4" s="14" t="str">
        <f>IF(Tabela8[[#This Row],[Média Lucro p/Ação]]&lt;&gt;"",Tabela8[[#This Row],[Média Pago]]/Tabela8[[#This Row],[Média Lucro p/Ação]],"")</f>
        <v/>
      </c>
      <c r="P514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4" s="7">
        <f>SUMPRODUCT(N(Tabela1[Código]=Tabela8[[#This Row],[Papel]]),Tabela1[Fechamento])</f>
        <v>0</v>
      </c>
      <c r="R514" s="7">
        <f>SUMPRODUCT(N(Tabela17[Código]=Tabela8[[#This Row],[Papel]]),Tabela17[Fechamento])</f>
        <v>0</v>
      </c>
      <c r="S514" s="7">
        <f>SUMPRODUCT(N(Tabela176[Código]=Tabela8[[#This Row],[Papel]]),Tabela176[Fechamento])</f>
        <v>0</v>
      </c>
      <c r="T514" s="7">
        <f>SUMPRODUCT(N(Tabela1768[Código]=Tabela8[[#This Row],[Papel]]),Tabela1768[Fechamento])</f>
        <v>3.98</v>
      </c>
      <c r="U514" s="7">
        <f>SUMPRODUCT(N(Tabela17683[Código]=Tabela8[[#This Row],[Papel]]),Tabela17683[Fechamento])</f>
        <v>0</v>
      </c>
      <c r="V514" s="17">
        <f>IF(MAX(Tabela8[[#This Row],[Cotação 1]]:Tabela8[[#This Row],[Cotação 5]])=0,"",MAX(Tabela8[[#This Row],[Cotação 1]]:Tabela8[[#This Row],[Cotação 5]]))</f>
        <v>3.98</v>
      </c>
      <c r="W514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4" s="17" t="str">
        <f>IF(AND([Ref]=5,[Cotação]&gt;0,[Cotação]&lt;&gt;""),[Total Exercício]/[Cotação],IF([Ref]&lt;4,0,""))</f>
        <v/>
      </c>
      <c r="Y514" s="17">
        <f>IF([Tipo]="div",1,0)</f>
        <v>0</v>
      </c>
      <c r="Z514" s="17">
        <f>IF([Tipo]="jcp",1,0)</f>
        <v>0</v>
      </c>
    </row>
    <row r="515" spans="1:26" hidden="1">
      <c r="A515" s="3" t="s">
        <v>876</v>
      </c>
      <c r="B515" s="58" t="s">
        <v>939</v>
      </c>
      <c r="C515" s="16">
        <v>3</v>
      </c>
      <c r="D515" s="4"/>
      <c r="E515" s="4"/>
      <c r="F515" s="4"/>
      <c r="G515" s="4"/>
      <c r="H515" s="4"/>
      <c r="I515" s="4"/>
      <c r="J515" s="17">
        <f>IF(Tabela8[[#This Row],[Tipo]]="jcp",Tabela8[[#This Row],[Provento p/Ação]]*85%,Tabela8[[#This Row],[Provento p/Ação]])</f>
        <v>0</v>
      </c>
      <c r="K515" s="143" t="str">
        <f>IF([Lucro p/Ação]&lt;&gt;0,SUMPRODUCT(N([Papel]=Tabela8[[#This Row],[Papel]]),N([Exercício]=Tabela8[[#This Row],[Exercício]]),[Líquido p/Ação]),"")</f>
        <v/>
      </c>
      <c r="L515" s="42" t="str">
        <f>IF(Tabela8[[#This Row],[Lucro p/Ação]]="","",IF(Tabela8[[#This Row],[Lucro p/Ação]]&gt;0,Tabela8[[#This Row],[Total Exercício]]/Tabela8[[#This Row],[Lucro p/Ação]],0))</f>
        <v/>
      </c>
      <c r="M515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5" s="14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5" s="14" t="str">
        <f>IF(Tabela8[[#This Row],[Média Lucro p/Ação]]&lt;&gt;"",Tabela8[[#This Row],[Média Pago]]/Tabela8[[#This Row],[Média Lucro p/Ação]],"")</f>
        <v/>
      </c>
      <c r="P515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5" s="7">
        <f>SUMPRODUCT(N(Tabela1[Código]=Tabela8[[#This Row],[Papel]]),Tabela1[Fechamento])</f>
        <v>0</v>
      </c>
      <c r="R515" s="7">
        <f>SUMPRODUCT(N(Tabela17[Código]=Tabela8[[#This Row],[Papel]]),Tabela17[Fechamento])</f>
        <v>0</v>
      </c>
      <c r="S515" s="7">
        <f>SUMPRODUCT(N(Tabela176[Código]=Tabela8[[#This Row],[Papel]]),Tabela176[Fechamento])</f>
        <v>0</v>
      </c>
      <c r="T515" s="7">
        <f>SUMPRODUCT(N(Tabela1768[Código]=Tabela8[[#This Row],[Papel]]),Tabela1768[Fechamento])</f>
        <v>25.39</v>
      </c>
      <c r="U515" s="7">
        <f>SUMPRODUCT(N(Tabela17683[Código]=Tabela8[[#This Row],[Papel]]),Tabela17683[Fechamento])</f>
        <v>0</v>
      </c>
      <c r="V515" s="17">
        <f>IF(MAX(Tabela8[[#This Row],[Cotação 1]]:Tabela8[[#This Row],[Cotação 5]])=0,"",MAX(Tabela8[[#This Row],[Cotação 1]]:Tabela8[[#This Row],[Cotação 5]]))</f>
        <v>25.39</v>
      </c>
      <c r="W515" s="17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5" s="17">
        <f>IF(AND([Ref]=5,[Cotação]&gt;0,[Cotação]&lt;&gt;""),[Total Exercício]/[Cotação],IF([Ref]&lt;4,0,""))</f>
        <v>0</v>
      </c>
      <c r="Y515" s="17">
        <f>IF([Tipo]="div",1,0)</f>
        <v>0</v>
      </c>
      <c r="Z515" s="17">
        <f>IF([Tipo]="jcp",1,0)</f>
        <v>0</v>
      </c>
    </row>
    <row r="516" spans="1:26" hidden="1">
      <c r="A516" s="4" t="s">
        <v>12</v>
      </c>
      <c r="B516" s="131" t="s">
        <v>67</v>
      </c>
      <c r="C516" s="15">
        <v>4</v>
      </c>
      <c r="D516" s="14">
        <v>2011</v>
      </c>
      <c r="E516" s="4" t="s">
        <v>1468</v>
      </c>
      <c r="F516" s="137"/>
      <c r="G516" s="46">
        <v>40981</v>
      </c>
      <c r="H516" s="46">
        <v>41045</v>
      </c>
      <c r="I516" s="133">
        <v>1.6555599999999999</v>
      </c>
      <c r="J516" s="133">
        <f>IF(Tabela8[[#This Row],[Tipo]]="jcp",Tabela8[[#This Row],[Provento p/Ação]]*85%,Tabela8[[#This Row],[Provento p/Ação]])</f>
        <v>1.6555599999999999</v>
      </c>
      <c r="K516" s="143" t="str">
        <f>IF([Lucro p/Ação]&lt;&gt;0,SUMPRODUCT(N([Papel]=Tabela8[[#This Row],[Papel]]),N([Exercício]=Tabela8[[#This Row],[Exercício]]),[Líquido p/Ação]),"")</f>
        <v/>
      </c>
      <c r="L516" s="19" t="str">
        <f>IF(Tabela8[[#This Row],[Lucro p/Ação]]="","",IF(Tabela8[[#This Row],[Lucro p/Ação]]&gt;0,Tabela8[[#This Row],[Total Exercício]]/Tabela8[[#This Row],[Lucro p/Ação]],0))</f>
        <v/>
      </c>
      <c r="M5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6" s="19" t="str">
        <f>IF(Tabela8[[#This Row],[Média Lucro p/Ação]]&lt;&gt;"",Tabela8[[#This Row],[Média Pago]]/Tabela8[[#This Row],[Média Lucro p/Ação]],"")</f>
        <v/>
      </c>
      <c r="P51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6" s="7">
        <f>SUMPRODUCT(N(Tabela1[Código]=Tabela8[[#This Row],[Papel]]),Tabela1[Fechamento])</f>
        <v>7.13</v>
      </c>
      <c r="R516" s="7">
        <f>SUMPRODUCT(N(Tabela17[Código]=Tabela8[[#This Row],[Papel]]),Tabela17[Fechamento])</f>
        <v>0</v>
      </c>
      <c r="S516" s="7">
        <f>SUMPRODUCT(N(Tabela176[Código]=Tabela8[[#This Row],[Papel]]),Tabela176[Fechamento])</f>
        <v>0</v>
      </c>
      <c r="T516" s="7">
        <f>SUMPRODUCT(N(Tabela1768[Código]=Tabela8[[#This Row],[Papel]]),Tabela1768[Fechamento])</f>
        <v>0</v>
      </c>
      <c r="U516" s="7">
        <f>SUMPRODUCT(N(Tabela17683[Código]=Tabela8[[#This Row],[Papel]]),Tabela17683[Fechamento])</f>
        <v>0</v>
      </c>
      <c r="V516" s="17">
        <f>IF(MAX(Tabela8[[#This Row],[Cotação 1]]:Tabela8[[#This Row],[Cotação 5]])=0,"",MAX(Tabela8[[#This Row],[Cotação 1]]:Tabela8[[#This Row],[Cotação 5]]))</f>
        <v>7.13</v>
      </c>
      <c r="W5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6" s="19" t="str">
        <f>IF(AND([Ref]=5,[Cotação]&gt;0,[Cotação]&lt;&gt;""),[Total Exercício]/[Cotação],IF([Ref]&lt;4,0,""))</f>
        <v/>
      </c>
      <c r="Y516" s="17">
        <f>IF([Tipo]="div",1,0)</f>
        <v>1</v>
      </c>
      <c r="Z516" s="17">
        <f>IF([Tipo]="jcp",1,0)</f>
        <v>0</v>
      </c>
    </row>
    <row r="517" spans="1:26" hidden="1">
      <c r="A517" s="4" t="s">
        <v>12</v>
      </c>
      <c r="B517" s="131" t="s">
        <v>67</v>
      </c>
      <c r="C517" s="15">
        <v>5</v>
      </c>
      <c r="D517" s="14">
        <v>2012</v>
      </c>
      <c r="E517" s="4" t="s">
        <v>1468</v>
      </c>
      <c r="F517" s="137">
        <v>-0.32268999999999998</v>
      </c>
      <c r="G517" s="46">
        <v>41015</v>
      </c>
      <c r="H517" s="46">
        <v>41045</v>
      </c>
      <c r="I517" s="133">
        <v>1.6555599999999999</v>
      </c>
      <c r="J517" s="133">
        <f>IF(Tabela8[[#This Row],[Tipo]]="jcp",Tabela8[[#This Row],[Provento p/Ação]]*85%,Tabela8[[#This Row],[Provento p/Ação]])</f>
        <v>1.6555599999999999</v>
      </c>
      <c r="K517" s="143">
        <f>IF([Lucro p/Ação]&lt;&gt;0,SUMPRODUCT(N([Papel]=Tabela8[[#This Row],[Papel]]),N([Exercício]=Tabela8[[#This Row],[Exercício]]),[Líquido p/Ação]),"")</f>
        <v>1.6555599999999999</v>
      </c>
      <c r="L517" s="19">
        <f>IF(Tabela8[[#This Row],[Lucro p/Ação]]="","",IF(Tabela8[[#This Row],[Lucro p/Ação]]&gt;0,Tabela8[[#This Row],[Total Exercício]]/Tabela8[[#This Row],[Lucro p/Ação]],0))</f>
        <v>0</v>
      </c>
      <c r="M517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-0.30616387812216561</v>
      </c>
      <c r="N517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1.3547456250000003</v>
      </c>
      <c r="O517" s="19">
        <f>IF(Tabela8[[#This Row],[Média Lucro p/Ação]]&lt;&gt;"",Tabela8[[#This Row],[Média Pago]]/Tabela8[[#This Row],[Média Lucro p/Ação]],"")</f>
        <v>-4.4249035297999111</v>
      </c>
      <c r="P51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7" s="7">
        <f>SUMPRODUCT(N(Tabela1[Código]=Tabela8[[#This Row],[Papel]]),Tabela1[Fechamento])</f>
        <v>7.13</v>
      </c>
      <c r="R517" s="7">
        <f>SUMPRODUCT(N(Tabela17[Código]=Tabela8[[#This Row],[Papel]]),Tabela17[Fechamento])</f>
        <v>0</v>
      </c>
      <c r="S517" s="7">
        <f>SUMPRODUCT(N(Tabela176[Código]=Tabela8[[#This Row],[Papel]]),Tabela176[Fechamento])</f>
        <v>0</v>
      </c>
      <c r="T517" s="7">
        <f>SUMPRODUCT(N(Tabela1768[Código]=Tabela8[[#This Row],[Papel]]),Tabela1768[Fechamento])</f>
        <v>0</v>
      </c>
      <c r="U517" s="7">
        <f>SUMPRODUCT(N(Tabela17683[Código]=Tabela8[[#This Row],[Papel]]),Tabela17683[Fechamento])</f>
        <v>0</v>
      </c>
      <c r="V517" s="17">
        <f>IF(MAX(Tabela8[[#This Row],[Cotação 1]]:Tabela8[[#This Row],[Cotação 5]])=0,"",MAX(Tabela8[[#This Row],[Cotação 1]]:Tabela8[[#This Row],[Cotação 5]]))</f>
        <v>7.13</v>
      </c>
      <c r="W5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7" s="19">
        <f>IF(AND([Ref]=5,[Cotação]&gt;0,[Cotação]&lt;&gt;""),[Total Exercício]/[Cotação],IF([Ref]&lt;4,0,""))</f>
        <v>0.23219635343618514</v>
      </c>
      <c r="Y517" s="17">
        <f>IF([Tipo]="div",1,0)</f>
        <v>1</v>
      </c>
      <c r="Z517" s="17">
        <f>IF([Tipo]="jcp",1,0)</f>
        <v>0</v>
      </c>
    </row>
    <row r="518" spans="1:26" hidden="1">
      <c r="A518" s="4" t="s">
        <v>12</v>
      </c>
      <c r="B518" s="131" t="s">
        <v>67</v>
      </c>
      <c r="C518" s="15">
        <v>4</v>
      </c>
      <c r="D518" s="14">
        <v>2013</v>
      </c>
      <c r="E518" s="4" t="s">
        <v>1468</v>
      </c>
      <c r="F518" s="137"/>
      <c r="G518" s="46">
        <v>41585</v>
      </c>
      <c r="H518" s="46">
        <v>41603</v>
      </c>
      <c r="I518" s="133">
        <v>5.2589999999999998E-2</v>
      </c>
      <c r="J518" s="133">
        <f>IF(Tabela8[[#This Row],[Tipo]]="jcp",Tabela8[[#This Row],[Provento p/Ação]]*85%,Tabela8[[#This Row],[Provento p/Ação]])</f>
        <v>5.2589999999999998E-2</v>
      </c>
      <c r="K518" s="143" t="str">
        <f>IF([Lucro p/Ação]&lt;&gt;0,SUMPRODUCT(N([Papel]=Tabela8[[#This Row],[Papel]]),N([Exercício]=Tabela8[[#This Row],[Exercício]]),[Líquido p/Ação]),"")</f>
        <v/>
      </c>
      <c r="L518" s="19" t="str">
        <f>IF(Tabela8[[#This Row],[Lucro p/Ação]]="","",IF(Tabela8[[#This Row],[Lucro p/Ação]]&gt;0,Tabela8[[#This Row],[Total Exercício]]/Tabela8[[#This Row],[Lucro p/Ação]],0))</f>
        <v/>
      </c>
      <c r="M5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8" s="19" t="str">
        <f>IF(Tabela8[[#This Row],[Média Lucro p/Ação]]&lt;&gt;"",Tabela8[[#This Row],[Média Pago]]/Tabela8[[#This Row],[Média Lucro p/Ação]],"")</f>
        <v/>
      </c>
      <c r="P51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8" s="17">
        <f>SUMPRODUCT(N(Tabela1[Código]=Tabela8[[#This Row],[Papel]]),Tabela1[Fechamento])</f>
        <v>7.13</v>
      </c>
      <c r="R518" s="17">
        <f>SUMPRODUCT(N(Tabela17[Código]=Tabela8[[#This Row],[Papel]]),Tabela17[Fechamento])</f>
        <v>0</v>
      </c>
      <c r="S518" s="17">
        <f>SUMPRODUCT(N(Tabela176[Código]=Tabela8[[#This Row],[Papel]]),Tabela176[Fechamento])</f>
        <v>0</v>
      </c>
      <c r="T518" s="17">
        <f>SUMPRODUCT(N(Tabela1768[Código]=Tabela8[[#This Row],[Papel]]),Tabela1768[Fechamento])</f>
        <v>0</v>
      </c>
      <c r="U518" s="17">
        <f>SUMPRODUCT(N(Tabela17683[Código]=Tabela8[[#This Row],[Papel]]),Tabela17683[Fechamento])</f>
        <v>0</v>
      </c>
      <c r="V518" s="17">
        <f>IF(MAX(Tabela8[[#This Row],[Cotação 1]]:Tabela8[[#This Row],[Cotação 5]])=0,"",MAX(Tabela8[[#This Row],[Cotação 1]]:Tabela8[[#This Row],[Cotação 5]]))</f>
        <v>7.13</v>
      </c>
      <c r="W5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8" s="19" t="str">
        <f>IF(AND([Ref]=5,[Cotação]&gt;0,[Cotação]&lt;&gt;""),[Total Exercício]/[Cotação],IF([Ref]&lt;4,0,""))</f>
        <v/>
      </c>
      <c r="Y518" s="17">
        <f>IF([Tipo]="div",1,0)</f>
        <v>1</v>
      </c>
      <c r="Z518" s="17">
        <f>IF([Tipo]="jcp",1,0)</f>
        <v>0</v>
      </c>
    </row>
    <row r="519" spans="1:26" hidden="1">
      <c r="A519" s="4" t="s">
        <v>12</v>
      </c>
      <c r="B519" s="131" t="s">
        <v>67</v>
      </c>
      <c r="C519" s="15">
        <v>4</v>
      </c>
      <c r="D519" s="14">
        <v>2013</v>
      </c>
      <c r="E519" s="4" t="s">
        <v>1468</v>
      </c>
      <c r="F519" s="4"/>
      <c r="G519" s="46">
        <v>41695</v>
      </c>
      <c r="H519" s="4"/>
      <c r="I519" s="133">
        <v>8.2479999999999998E-2</v>
      </c>
      <c r="J519" s="133">
        <f>IF(Tabela8[[#This Row],[Tipo]]="jcp",Tabela8[[#This Row],[Provento p/Ação]]*85%,Tabela8[[#This Row],[Provento p/Ação]])</f>
        <v>8.2479999999999998E-2</v>
      </c>
      <c r="K519" s="143" t="str">
        <f>IF([Lucro p/Ação]&lt;&gt;0,SUMPRODUCT(N([Papel]=Tabela8[[#This Row],[Papel]]),N([Exercício]=Tabela8[[#This Row],[Exercício]]),[Líquido p/Ação]),"")</f>
        <v/>
      </c>
      <c r="L519" s="19" t="str">
        <f>IF(Tabela8[[#This Row],[Lucro p/Ação]]="","",IF(Tabela8[[#This Row],[Lucro p/Ação]]&gt;0,Tabela8[[#This Row],[Total Exercício]]/Tabela8[[#This Row],[Lucro p/Ação]],0))</f>
        <v/>
      </c>
      <c r="M5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19" s="19" t="str">
        <f>IF(Tabela8[[#This Row],[Média Lucro p/Ação]]&lt;&gt;"",Tabela8[[#This Row],[Média Pago]]/Tabela8[[#This Row],[Média Lucro p/Ação]],"")</f>
        <v/>
      </c>
      <c r="P51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19" s="17">
        <f>SUMPRODUCT(N(Tabela1[Código]=Tabela8[[#This Row],[Papel]]),Tabela1[Fechamento])</f>
        <v>7.13</v>
      </c>
      <c r="R519" s="17">
        <f>SUMPRODUCT(N(Tabela17[Código]=Tabela8[[#This Row],[Papel]]),Tabela17[Fechamento])</f>
        <v>0</v>
      </c>
      <c r="S519" s="17">
        <f>SUMPRODUCT(N(Tabela176[Código]=Tabela8[[#This Row],[Papel]]),Tabela176[Fechamento])</f>
        <v>0</v>
      </c>
      <c r="T519" s="17">
        <f>SUMPRODUCT(N(Tabela1768[Código]=Tabela8[[#This Row],[Papel]]),Tabela1768[Fechamento])</f>
        <v>0</v>
      </c>
      <c r="U519" s="17">
        <f>SUMPRODUCT(N(Tabela17683[Código]=Tabela8[[#This Row],[Papel]]),Tabela17683[Fechamento])</f>
        <v>0</v>
      </c>
      <c r="V519" s="17">
        <f>IF(MAX(Tabela8[[#This Row],[Cotação 1]]:Tabela8[[#This Row],[Cotação 5]])=0,"",MAX(Tabela8[[#This Row],[Cotação 1]]:Tabela8[[#This Row],[Cotação 5]]))</f>
        <v>7.13</v>
      </c>
      <c r="W5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19" s="19" t="str">
        <f>IF(AND([Ref]=5,[Cotação]&gt;0,[Cotação]&lt;&gt;""),[Total Exercício]/[Cotação],IF([Ref]&lt;4,0,""))</f>
        <v/>
      </c>
      <c r="Y519" s="17">
        <f>IF([Tipo]="div",1,0)</f>
        <v>1</v>
      </c>
      <c r="Z519" s="17">
        <f>IF([Tipo]="jcp",1,0)</f>
        <v>0</v>
      </c>
    </row>
    <row r="520" spans="1:26" hidden="1">
      <c r="A520" s="4" t="s">
        <v>12</v>
      </c>
      <c r="B520" s="131" t="s">
        <v>67</v>
      </c>
      <c r="C520" s="15">
        <v>5</v>
      </c>
      <c r="D520" s="14">
        <v>2013</v>
      </c>
      <c r="E520" s="4" t="s">
        <v>1468</v>
      </c>
      <c r="F520" s="137">
        <v>0.14480999999999999</v>
      </c>
      <c r="G520" s="46">
        <v>41695</v>
      </c>
      <c r="H520" s="4"/>
      <c r="I520" s="133">
        <v>2.2700000000000001E-2</v>
      </c>
      <c r="J520" s="133">
        <f>IF(Tabela8[[#This Row],[Tipo]]="jcp",Tabela8[[#This Row],[Provento p/Ação]]*85%,Tabela8[[#This Row],[Provento p/Ação]])</f>
        <v>2.2700000000000001E-2</v>
      </c>
      <c r="K520" s="143">
        <f>IF([Lucro p/Ação]&lt;&gt;0,SUMPRODUCT(N([Papel]=Tabela8[[#This Row],[Papel]]),N([Exercício]=Tabela8[[#This Row],[Exercício]]),[Líquido p/Ação]),"")</f>
        <v>0.15776999999999999</v>
      </c>
      <c r="L520" s="19">
        <f>IF(Tabela8[[#This Row],[Lucro p/Ação]]="","",IF(Tabela8[[#This Row],[Lucro p/Ação]]&gt;0,Tabela8[[#This Row],[Total Exercício]]/Tabela8[[#This Row],[Lucro p/Ação]],0))</f>
        <v>1.0894965817277813</v>
      </c>
      <c r="M5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-0.27147357980507597</v>
      </c>
      <c r="N5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1.262670576923077</v>
      </c>
      <c r="O520" s="19">
        <f>IF(Tabela8[[#This Row],[Média Lucro p/Ação]]&lt;&gt;"",Tabela8[[#This Row],[Média Pago]]/Tabela8[[#This Row],[Média Lucro p/Ação]],"")</f>
        <v>-4.6511729717112891</v>
      </c>
      <c r="P52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0" s="17">
        <f>SUMPRODUCT(N(Tabela1[Código]=Tabela8[[#This Row],[Papel]]),Tabela1[Fechamento])</f>
        <v>7.13</v>
      </c>
      <c r="R520" s="17">
        <f>SUMPRODUCT(N(Tabela17[Código]=Tabela8[[#This Row],[Papel]]),Tabela17[Fechamento])</f>
        <v>0</v>
      </c>
      <c r="S520" s="17">
        <f>SUMPRODUCT(N(Tabela176[Código]=Tabela8[[#This Row],[Papel]]),Tabela176[Fechamento])</f>
        <v>0</v>
      </c>
      <c r="T520" s="17">
        <f>SUMPRODUCT(N(Tabela1768[Código]=Tabela8[[#This Row],[Papel]]),Tabela1768[Fechamento])</f>
        <v>0</v>
      </c>
      <c r="U520" s="17">
        <f>SUMPRODUCT(N(Tabela17683[Código]=Tabela8[[#This Row],[Papel]]),Tabela17683[Fechamento])</f>
        <v>0</v>
      </c>
      <c r="V520" s="17">
        <f>IF(MAX(Tabela8[[#This Row],[Cotação 1]]:Tabela8[[#This Row],[Cotação 5]])=0,"",MAX(Tabela8[[#This Row],[Cotação 1]]:Tabela8[[#This Row],[Cotação 5]]))</f>
        <v>7.13</v>
      </c>
      <c r="W5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0" s="19">
        <f>IF(AND([Ref]=5,[Cotação]&gt;0,[Cotação]&lt;&gt;""),[Total Exercício]/[Cotação],IF([Ref]&lt;4,0,""))</f>
        <v>2.2127629733520338E-2</v>
      </c>
      <c r="Y520" s="17">
        <f>IF([Tipo]="div",1,0)</f>
        <v>1</v>
      </c>
      <c r="Z520" s="17">
        <f>IF([Tipo]="jcp",1,0)</f>
        <v>0</v>
      </c>
    </row>
    <row r="521" spans="1:26" hidden="1">
      <c r="A521" s="4" t="s">
        <v>14</v>
      </c>
      <c r="B521" s="3" t="s">
        <v>24</v>
      </c>
      <c r="C521" s="15">
        <v>4</v>
      </c>
      <c r="D521" s="4">
        <v>2010</v>
      </c>
      <c r="E521" s="4" t="s">
        <v>1468</v>
      </c>
      <c r="G521" s="46">
        <v>40491</v>
      </c>
      <c r="H521" s="46">
        <v>40512</v>
      </c>
      <c r="I521" s="4">
        <v>0.13142000000000001</v>
      </c>
      <c r="J521" s="133">
        <f>IF(Tabela8[[#This Row],[Tipo]]="jcp",Tabela8[[#This Row],[Provento p/Ação]]*85%,Tabela8[[#This Row],[Provento p/Ação]])</f>
        <v>0.13142000000000001</v>
      </c>
      <c r="K521" s="133" t="str">
        <f>IF([Lucro p/Ação]&lt;&gt;0,SUMPRODUCT(N([Papel]=Tabela8[[#This Row],[Papel]]),N([Exercício]=Tabela8[[#This Row],[Exercício]]),[Líquido p/Ação]),"")</f>
        <v/>
      </c>
      <c r="L521" s="42" t="str">
        <f>IF(Tabela8[[#This Row],[Lucro p/Ação]]="","",IF(Tabela8[[#This Row],[Lucro p/Ação]]&gt;0,Tabela8[[#This Row],[Total Exercício]]/Tabela8[[#This Row],[Lucro p/Ação]],0))</f>
        <v/>
      </c>
      <c r="M52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1" s="19" t="str">
        <f>IF(Tabela8[[#This Row],[Média Lucro p/Ação]]&lt;&gt;"",Tabela8[[#This Row],[Média Pago]]/Tabela8[[#This Row],[Média Lucro p/Ação]],"")</f>
        <v/>
      </c>
      <c r="P521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1" s="5">
        <f>SUMPRODUCT(N(Tabela1[Código]=Tabela8[[#This Row],[Papel]]),Tabela1[Fechamento])</f>
        <v>19.77</v>
      </c>
      <c r="R521" s="5">
        <f>SUMPRODUCT(N(Tabela17[Código]=Tabela8[[#This Row],[Papel]]),Tabela17[Fechamento])</f>
        <v>0</v>
      </c>
      <c r="S521" s="7">
        <f>SUMPRODUCT(N(Tabela176[Código]=Tabela8[[#This Row],[Papel]]),Tabela176[Fechamento])</f>
        <v>0</v>
      </c>
      <c r="T521" s="7">
        <f>SUMPRODUCT(N(Tabela1768[Código]=Tabela8[[#This Row],[Papel]]),Tabela1768[Fechamento])</f>
        <v>0</v>
      </c>
      <c r="U521" s="7">
        <f>SUMPRODUCT(N(Tabela17683[Código]=Tabela8[[#This Row],[Papel]]),Tabela17683[Fechamento])</f>
        <v>0</v>
      </c>
      <c r="V521" s="17">
        <f>IF(MAX(Tabela8[[#This Row],[Cotação 1]]:Tabela8[[#This Row],[Cotação 5]])=0,"",MAX(Tabela8[[#This Row],[Cotação 1]]:Tabela8[[#This Row],[Cotação 5]]))</f>
        <v>19.77</v>
      </c>
      <c r="W5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1" s="19" t="str">
        <f>IF(AND([Ref]=5,[Cotação]&gt;0,[Cotação]&lt;&gt;""),[Total Exercício]/[Cotação],IF([Ref]&lt;4,0,""))</f>
        <v/>
      </c>
      <c r="Y521" s="17">
        <f>IF([Tipo]="div",1,0)</f>
        <v>1</v>
      </c>
      <c r="Z521" s="17">
        <f>IF([Tipo]="jcp",1,0)</f>
        <v>0</v>
      </c>
    </row>
    <row r="522" spans="1:26" hidden="1">
      <c r="A522" s="4" t="s">
        <v>12</v>
      </c>
      <c r="B522" s="135" t="s">
        <v>56</v>
      </c>
      <c r="C522" s="15">
        <v>5</v>
      </c>
      <c r="D522" s="14">
        <v>2010</v>
      </c>
      <c r="E522" s="4" t="s">
        <v>1468</v>
      </c>
      <c r="F522" s="4">
        <v>4.8810000000000002</v>
      </c>
      <c r="G522" s="46">
        <v>40490</v>
      </c>
      <c r="H522" s="46">
        <v>40498</v>
      </c>
      <c r="I522" s="133">
        <v>1.2105900000000001</v>
      </c>
      <c r="J522" s="133">
        <f>IF(Tabela8[[#This Row],[Tipo]]="jcp",Tabela8[[#This Row],[Provento p/Ação]]*85%,Tabela8[[#This Row],[Provento p/Ação]])</f>
        <v>1.2105900000000001</v>
      </c>
      <c r="K522" s="143">
        <f>IF([Lucro p/Ação]&lt;&gt;0,SUMPRODUCT(N([Papel]=Tabela8[[#This Row],[Papel]]),N([Exercício]=Tabela8[[#This Row],[Exercício]]),[Líquido p/Ação]),"")</f>
        <v>1.2105900000000001</v>
      </c>
      <c r="L522" s="42">
        <f>IF(Tabela8[[#This Row],[Lucro p/Ação]]="","",IF(Tabela8[[#This Row],[Lucro p/Ação]]&gt;0,Tabela8[[#This Row],[Total Exercício]]/Tabela8[[#This Row],[Lucro p/Ação]],0))</f>
        <v>0.24802089735709895</v>
      </c>
      <c r="M522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4.8810000000000002</v>
      </c>
      <c r="N52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1.2105900000000001</v>
      </c>
      <c r="O522" s="19">
        <f>IF(Tabela8[[#This Row],[Média Lucro p/Ação]]&lt;&gt;"",Tabela8[[#This Row],[Média Pago]]/Tabela8[[#This Row],[Média Lucro p/Ação]],"")</f>
        <v>0.24802089735709895</v>
      </c>
      <c r="P52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2" s="5">
        <f>SUMPRODUCT(N(Tabela1[Código]=Tabela8[[#This Row],[Papel]]),Tabela1[Fechamento])</f>
        <v>18.64</v>
      </c>
      <c r="R522" s="5">
        <f>SUMPRODUCT(N(Tabela17[Código]=Tabela8[[#This Row],[Papel]]),Tabela17[Fechamento])</f>
        <v>0</v>
      </c>
      <c r="S522" s="7">
        <f>SUMPRODUCT(N(Tabela176[Código]=Tabela8[[#This Row],[Papel]]),Tabela176[Fechamento])</f>
        <v>0</v>
      </c>
      <c r="T522" s="7">
        <f>SUMPRODUCT(N(Tabela1768[Código]=Tabela8[[#This Row],[Papel]]),Tabela1768[Fechamento])</f>
        <v>0</v>
      </c>
      <c r="U522" s="7">
        <f>SUMPRODUCT(N(Tabela17683[Código]=Tabela8[[#This Row],[Papel]]),Tabela17683[Fechamento])</f>
        <v>0</v>
      </c>
      <c r="V522" s="17">
        <f>IF(MAX(Tabela8[[#This Row],[Cotação 1]]:Tabela8[[#This Row],[Cotação 5]])=0,"",MAX(Tabela8[[#This Row],[Cotação 1]]:Tabela8[[#This Row],[Cotação 5]]))</f>
        <v>18.64</v>
      </c>
      <c r="W5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2" s="19">
        <f>IF(AND([Ref]=5,[Cotação]&gt;0,[Cotação]&lt;&gt;""),[Total Exercício]/[Cotação],IF([Ref]&lt;4,0,""))</f>
        <v>6.4945815450643776E-2</v>
      </c>
      <c r="Y522" s="17">
        <f>IF([Tipo]="div",1,0)</f>
        <v>1</v>
      </c>
      <c r="Z522" s="17">
        <f>IF([Tipo]="jcp",1,0)</f>
        <v>0</v>
      </c>
    </row>
    <row r="523" spans="1:26" hidden="1">
      <c r="A523" s="4" t="s">
        <v>12</v>
      </c>
      <c r="B523" s="138" t="s">
        <v>499</v>
      </c>
      <c r="C523" s="15">
        <v>5</v>
      </c>
      <c r="D523" s="14">
        <v>2010</v>
      </c>
      <c r="E523" s="4" t="s">
        <v>1468</v>
      </c>
      <c r="F523" s="4">
        <v>1.627</v>
      </c>
      <c r="G523" s="46">
        <v>40490</v>
      </c>
      <c r="H523" s="46">
        <v>40498</v>
      </c>
      <c r="I523" s="133">
        <v>0.40353</v>
      </c>
      <c r="J523" s="133">
        <f>IF(Tabela8[[#This Row],[Tipo]]="jcp",Tabela8[[#This Row],[Provento p/Ação]]*85%,Tabela8[[#This Row],[Provento p/Ação]])</f>
        <v>0.40353</v>
      </c>
      <c r="K523" s="143">
        <f>IF([Lucro p/Ação]&lt;&gt;0,SUMPRODUCT(N([Papel]=Tabela8[[#This Row],[Papel]]),N([Exercício]=Tabela8[[#This Row],[Exercício]]),[Líquido p/Ação]),"")</f>
        <v>0.40353</v>
      </c>
      <c r="L523" s="42">
        <f>IF(Tabela8[[#This Row],[Lucro p/Ação]]="","",IF(Tabela8[[#This Row],[Lucro p/Ação]]&gt;0,Tabela8[[#This Row],[Total Exercício]]/Tabela8[[#This Row],[Lucro p/Ação]],0))</f>
        <v>0.24802089735709895</v>
      </c>
      <c r="M523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1.627</v>
      </c>
      <c r="N52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0.40353</v>
      </c>
      <c r="O523" s="19">
        <f>IF(Tabela8[[#This Row],[Média Lucro p/Ação]]&lt;&gt;"",Tabela8[[#This Row],[Média Pago]]/Tabela8[[#This Row],[Média Lucro p/Ação]],"")</f>
        <v>0.24802089735709895</v>
      </c>
      <c r="P523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3" s="5">
        <f>SUMPRODUCT(N(Tabela1[Código]=Tabela8[[#This Row],[Papel]]),Tabela1[Fechamento])</f>
        <v>0</v>
      </c>
      <c r="R523" s="5">
        <f>SUMPRODUCT(N(Tabela17[Código]=Tabela8[[#This Row],[Papel]]),Tabela17[Fechamento])</f>
        <v>0</v>
      </c>
      <c r="S523" s="7">
        <f>SUMPRODUCT(N(Tabela176[Código]=Tabela8[[#This Row],[Papel]]),Tabela176[Fechamento])</f>
        <v>0</v>
      </c>
      <c r="T523" s="7">
        <f>SUMPRODUCT(N(Tabela1768[Código]=Tabela8[[#This Row],[Papel]]),Tabela1768[Fechamento])</f>
        <v>0</v>
      </c>
      <c r="U523" s="7">
        <f>SUMPRODUCT(N(Tabela17683[Código]=Tabela8[[#This Row],[Papel]]),Tabela17683[Fechamento])</f>
        <v>0</v>
      </c>
      <c r="V523" s="17" t="str">
        <f>IF(MAX(Tabela8[[#This Row],[Cotação 1]]:Tabela8[[#This Row],[Cotação 5]])=0,"",MAX(Tabela8[[#This Row],[Cotação 1]]:Tabela8[[#This Row],[Cotação 5]]))</f>
        <v/>
      </c>
      <c r="W5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3" s="19" t="str">
        <f>IF(AND([Ref]=5,[Cotação]&gt;0,[Cotação]&lt;&gt;""),[Total Exercício]/[Cotação],IF([Ref]&lt;4,0,""))</f>
        <v/>
      </c>
      <c r="Y523" s="17">
        <f>IF([Tipo]="div",1,0)</f>
        <v>1</v>
      </c>
      <c r="Z523" s="17">
        <f>IF([Tipo]="jcp",1,0)</f>
        <v>0</v>
      </c>
    </row>
    <row r="524" spans="1:26" hidden="1">
      <c r="A524" s="4" t="s">
        <v>12</v>
      </c>
      <c r="B524" s="138" t="s">
        <v>500</v>
      </c>
      <c r="C524" s="15">
        <v>5</v>
      </c>
      <c r="D524" s="14">
        <v>2010</v>
      </c>
      <c r="E524" s="4" t="s">
        <v>1468</v>
      </c>
      <c r="F524" s="4">
        <v>1.627</v>
      </c>
      <c r="G524" s="46">
        <v>40490</v>
      </c>
      <c r="H524" s="46">
        <v>40498</v>
      </c>
      <c r="I524" s="133">
        <v>0.40353</v>
      </c>
      <c r="J524" s="133">
        <f>IF(Tabela8[[#This Row],[Tipo]]="jcp",Tabela8[[#This Row],[Provento p/Ação]]*85%,Tabela8[[#This Row],[Provento p/Ação]])</f>
        <v>0.40353</v>
      </c>
      <c r="K524" s="143">
        <f>IF([Lucro p/Ação]&lt;&gt;0,SUMPRODUCT(N([Papel]=Tabela8[[#This Row],[Papel]]),N([Exercício]=Tabela8[[#This Row],[Exercício]]),[Líquido p/Ação]),"")</f>
        <v>0.40353</v>
      </c>
      <c r="L524" s="42">
        <f>IF(Tabela8[[#This Row],[Lucro p/Ação]]="","",IF(Tabela8[[#This Row],[Lucro p/Ação]]&gt;0,Tabela8[[#This Row],[Total Exercício]]/Tabela8[[#This Row],[Lucro p/Ação]],0))</f>
        <v>0.24802089735709895</v>
      </c>
      <c r="M524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1.627</v>
      </c>
      <c r="N52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0.40353</v>
      </c>
      <c r="O524" s="19">
        <f>IF(Tabela8[[#This Row],[Média Lucro p/Ação]]&lt;&gt;"",Tabela8[[#This Row],[Média Pago]]/Tabela8[[#This Row],[Média Lucro p/Ação]],"")</f>
        <v>0.24802089735709895</v>
      </c>
      <c r="P524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4" s="5">
        <f>SUMPRODUCT(N(Tabela1[Código]=Tabela8[[#This Row],[Papel]]),Tabela1[Fechamento])</f>
        <v>0</v>
      </c>
      <c r="R524" s="5">
        <f>SUMPRODUCT(N(Tabela17[Código]=Tabela8[[#This Row],[Papel]]),Tabela17[Fechamento])</f>
        <v>0</v>
      </c>
      <c r="S524" s="7">
        <f>SUMPRODUCT(N(Tabela176[Código]=Tabela8[[#This Row],[Papel]]),Tabela176[Fechamento])</f>
        <v>0</v>
      </c>
      <c r="T524" s="7">
        <f>SUMPRODUCT(N(Tabela1768[Código]=Tabela8[[#This Row],[Papel]]),Tabela1768[Fechamento])</f>
        <v>0</v>
      </c>
      <c r="U524" s="7">
        <f>SUMPRODUCT(N(Tabela17683[Código]=Tabela8[[#This Row],[Papel]]),Tabela17683[Fechamento])</f>
        <v>0</v>
      </c>
      <c r="V524" s="17" t="str">
        <f>IF(MAX(Tabela8[[#This Row],[Cotação 1]]:Tabela8[[#This Row],[Cotação 5]])=0,"",MAX(Tabela8[[#This Row],[Cotação 1]]:Tabela8[[#This Row],[Cotação 5]]))</f>
        <v/>
      </c>
      <c r="W5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4" s="19" t="str">
        <f>IF(AND([Ref]=5,[Cotação]&gt;0,[Cotação]&lt;&gt;""),[Total Exercício]/[Cotação],IF([Ref]&lt;4,0,""))</f>
        <v/>
      </c>
      <c r="Y524" s="17">
        <f>IF([Tipo]="div",1,0)</f>
        <v>1</v>
      </c>
      <c r="Z524" s="17">
        <f>IF([Tipo]="jcp",1,0)</f>
        <v>0</v>
      </c>
    </row>
    <row r="525" spans="1:26" hidden="1">
      <c r="A525" s="4" t="s">
        <v>12</v>
      </c>
      <c r="B525" s="139" t="s">
        <v>56</v>
      </c>
      <c r="C525" s="15">
        <v>4</v>
      </c>
      <c r="D525" s="14">
        <v>2011</v>
      </c>
      <c r="E525" s="4" t="s">
        <v>1468</v>
      </c>
      <c r="F525" s="137"/>
      <c r="G525" s="46">
        <v>40660</v>
      </c>
      <c r="H525" s="46">
        <v>40694</v>
      </c>
      <c r="I525" s="133">
        <v>4.6160500000000004</v>
      </c>
      <c r="J525" s="133">
        <f>IF(Tabela8[[#This Row],[Tipo]]="jcp",Tabela8[[#This Row],[Provento p/Ação]]*85%,Tabela8[[#This Row],[Provento p/Ação]])</f>
        <v>4.6160500000000004</v>
      </c>
      <c r="K525" s="143" t="str">
        <f>IF([Lucro p/Ação]&lt;&gt;0,SUMPRODUCT(N([Papel]=Tabela8[[#This Row],[Papel]]),N([Exercício]=Tabela8[[#This Row],[Exercício]]),[Líquido p/Ação]),"")</f>
        <v/>
      </c>
      <c r="L525" s="19" t="str">
        <f>IF(Tabela8[[#This Row],[Lucro p/Ação]]="","",IF(Tabela8[[#This Row],[Lucro p/Ação]]&gt;0,Tabela8[[#This Row],[Total Exercício]]/Tabela8[[#This Row],[Lucro p/Ação]],0))</f>
        <v/>
      </c>
      <c r="M52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5" s="19" t="str">
        <f>IF(Tabela8[[#This Row],[Média Lucro p/Ação]]&lt;&gt;"",Tabela8[[#This Row],[Média Pago]]/Tabela8[[#This Row],[Média Lucro p/Ação]],"")</f>
        <v/>
      </c>
      <c r="P525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5" s="7">
        <f>SUMPRODUCT(N(Tabela1[Código]=Tabela8[[#This Row],[Papel]]),Tabela1[Fechamento])</f>
        <v>18.64</v>
      </c>
      <c r="R525" s="7">
        <f>SUMPRODUCT(N(Tabela17[Código]=Tabela8[[#This Row],[Papel]]),Tabela17[Fechamento])</f>
        <v>0</v>
      </c>
      <c r="S525" s="7">
        <f>SUMPRODUCT(N(Tabela176[Código]=Tabela8[[#This Row],[Papel]]),Tabela176[Fechamento])</f>
        <v>0</v>
      </c>
      <c r="T525" s="7">
        <f>SUMPRODUCT(N(Tabela1768[Código]=Tabela8[[#This Row],[Papel]]),Tabela1768[Fechamento])</f>
        <v>0</v>
      </c>
      <c r="U525" s="7">
        <f>SUMPRODUCT(N(Tabela17683[Código]=Tabela8[[#This Row],[Papel]]),Tabela17683[Fechamento])</f>
        <v>0</v>
      </c>
      <c r="V525" s="17">
        <f>IF(MAX(Tabela8[[#This Row],[Cotação 1]]:Tabela8[[#This Row],[Cotação 5]])=0,"",MAX(Tabela8[[#This Row],[Cotação 1]]:Tabela8[[#This Row],[Cotação 5]]))</f>
        <v>18.64</v>
      </c>
      <c r="W5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5" s="19" t="str">
        <f>IF(AND([Ref]=5,[Cotação]&gt;0,[Cotação]&lt;&gt;""),[Total Exercício]/[Cotação],IF([Ref]&lt;4,0,""))</f>
        <v/>
      </c>
      <c r="Y525" s="17">
        <f>IF([Tipo]="div",1,0)</f>
        <v>1</v>
      </c>
      <c r="Z525" s="17">
        <f>IF([Tipo]="jcp",1,0)</f>
        <v>0</v>
      </c>
    </row>
    <row r="526" spans="1:26" hidden="1">
      <c r="A526" s="4" t="s">
        <v>12</v>
      </c>
      <c r="B526" s="139" t="s">
        <v>56</v>
      </c>
      <c r="C526" s="15">
        <v>5</v>
      </c>
      <c r="D526" s="14">
        <v>2011</v>
      </c>
      <c r="E526" s="4" t="s">
        <v>1468</v>
      </c>
      <c r="F526" s="137">
        <v>5.6402999999999999</v>
      </c>
      <c r="G526" s="46">
        <v>40660</v>
      </c>
      <c r="H526" s="46">
        <v>40847</v>
      </c>
      <c r="I526" s="133">
        <v>3.7959900000000002</v>
      </c>
      <c r="J526" s="133">
        <f>IF(Tabela8[[#This Row],[Tipo]]="jcp",Tabela8[[#This Row],[Provento p/Ação]]*85%,Tabela8[[#This Row],[Provento p/Ação]])</f>
        <v>3.7959900000000002</v>
      </c>
      <c r="K526" s="143">
        <f>IF([Lucro p/Ação]&lt;&gt;0,SUMPRODUCT(N([Papel]=Tabela8[[#This Row],[Papel]]),N([Exercício]=Tabela8[[#This Row],[Exercício]]),[Líquido p/Ação]),"")</f>
        <v>8.4120400000000011</v>
      </c>
      <c r="L526" s="19">
        <f>IF(Tabela8[[#This Row],[Lucro p/Ação]]="","",IF(Tabela8[[#This Row],[Lucro p/Ação]]&gt;0,Tabela8[[#This Row],[Total Exercício]]/Tabela8[[#This Row],[Lucro p/Ação]],0))</f>
        <v>1.4914171232026667</v>
      </c>
      <c r="M52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5.26065</v>
      </c>
      <c r="N52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4.8113150000000005</v>
      </c>
      <c r="O526" s="19">
        <f>IF(Tabela8[[#This Row],[Média Lucro p/Ação]]&lt;&gt;"",Tabela8[[#This Row],[Média Pago]]/Tabela8[[#This Row],[Média Lucro p/Ação]],"")</f>
        <v>0.91458565006225478</v>
      </c>
      <c r="P52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6" s="7">
        <f>SUMPRODUCT(N(Tabela1[Código]=Tabela8[[#This Row],[Papel]]),Tabela1[Fechamento])</f>
        <v>18.64</v>
      </c>
      <c r="R526" s="7">
        <f>SUMPRODUCT(N(Tabela17[Código]=Tabela8[[#This Row],[Papel]]),Tabela17[Fechamento])</f>
        <v>0</v>
      </c>
      <c r="S526" s="7">
        <f>SUMPRODUCT(N(Tabela176[Código]=Tabela8[[#This Row],[Papel]]),Tabela176[Fechamento])</f>
        <v>0</v>
      </c>
      <c r="T526" s="7">
        <f>SUMPRODUCT(N(Tabela1768[Código]=Tabela8[[#This Row],[Papel]]),Tabela1768[Fechamento])</f>
        <v>0</v>
      </c>
      <c r="U526" s="7">
        <f>SUMPRODUCT(N(Tabela17683[Código]=Tabela8[[#This Row],[Papel]]),Tabela17683[Fechamento])</f>
        <v>0</v>
      </c>
      <c r="V526" s="17">
        <f>IF(MAX(Tabela8[[#This Row],[Cotação 1]]:Tabela8[[#This Row],[Cotação 5]])=0,"",MAX(Tabela8[[#This Row],[Cotação 1]]:Tabela8[[#This Row],[Cotação 5]]))</f>
        <v>18.64</v>
      </c>
      <c r="W5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6" s="19">
        <f>IF(AND([Ref]=5,[Cotação]&gt;0,[Cotação]&lt;&gt;""),[Total Exercício]/[Cotação],IF([Ref]&lt;4,0,""))</f>
        <v>0.45128969957081549</v>
      </c>
      <c r="Y526" s="17">
        <f>IF([Tipo]="div",1,0)</f>
        <v>1</v>
      </c>
      <c r="Z526" s="17">
        <f>IF([Tipo]="jcp",1,0)</f>
        <v>0</v>
      </c>
    </row>
    <row r="527" spans="1:26" hidden="1">
      <c r="A527" s="4" t="s">
        <v>12</v>
      </c>
      <c r="B527" s="139" t="s">
        <v>499</v>
      </c>
      <c r="C527" s="15">
        <v>4</v>
      </c>
      <c r="D527" s="14">
        <v>2011</v>
      </c>
      <c r="E527" s="4" t="s">
        <v>1468</v>
      </c>
      <c r="F527" s="137"/>
      <c r="G527" s="46">
        <v>40660</v>
      </c>
      <c r="H527" s="46">
        <v>40694</v>
      </c>
      <c r="I527" s="133">
        <v>1.54535</v>
      </c>
      <c r="J527" s="133">
        <f>IF(Tabela8[[#This Row],[Tipo]]="jcp",Tabela8[[#This Row],[Provento p/Ação]]*85%,Tabela8[[#This Row],[Provento p/Ação]])</f>
        <v>1.54535</v>
      </c>
      <c r="K527" s="143" t="str">
        <f>IF([Lucro p/Ação]&lt;&gt;0,SUMPRODUCT(N([Papel]=Tabela8[[#This Row],[Papel]]),N([Exercício]=Tabela8[[#This Row],[Exercício]]),[Líquido p/Ação]),"")</f>
        <v/>
      </c>
      <c r="L527" s="19" t="str">
        <f>IF(Tabela8[[#This Row],[Lucro p/Ação]]="","",IF(Tabela8[[#This Row],[Lucro p/Ação]]&gt;0,Tabela8[[#This Row],[Total Exercício]]/Tabela8[[#This Row],[Lucro p/Ação]],0))</f>
        <v/>
      </c>
      <c r="M52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7" s="19" t="str">
        <f>IF(Tabela8[[#This Row],[Média Lucro p/Ação]]&lt;&gt;"",Tabela8[[#This Row],[Média Pago]]/Tabela8[[#This Row],[Média Lucro p/Ação]],"")</f>
        <v/>
      </c>
      <c r="P52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7" s="7">
        <f>SUMPRODUCT(N(Tabela1[Código]=Tabela8[[#This Row],[Papel]]),Tabela1[Fechamento])</f>
        <v>0</v>
      </c>
      <c r="R527" s="7">
        <f>SUMPRODUCT(N(Tabela17[Código]=Tabela8[[#This Row],[Papel]]),Tabela17[Fechamento])</f>
        <v>0</v>
      </c>
      <c r="S527" s="7">
        <f>SUMPRODUCT(N(Tabela176[Código]=Tabela8[[#This Row],[Papel]]),Tabela176[Fechamento])</f>
        <v>0</v>
      </c>
      <c r="T527" s="7">
        <f>SUMPRODUCT(N(Tabela1768[Código]=Tabela8[[#This Row],[Papel]]),Tabela1768[Fechamento])</f>
        <v>0</v>
      </c>
      <c r="U527" s="7">
        <f>SUMPRODUCT(N(Tabela17683[Código]=Tabela8[[#This Row],[Papel]]),Tabela17683[Fechamento])</f>
        <v>0</v>
      </c>
      <c r="V527" s="17" t="str">
        <f>IF(MAX(Tabela8[[#This Row],[Cotação 1]]:Tabela8[[#This Row],[Cotação 5]])=0,"",MAX(Tabela8[[#This Row],[Cotação 1]]:Tabela8[[#This Row],[Cotação 5]]))</f>
        <v/>
      </c>
      <c r="W5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7" s="19" t="str">
        <f>IF(AND([Ref]=5,[Cotação]&gt;0,[Cotação]&lt;&gt;""),[Total Exercício]/[Cotação],IF([Ref]&lt;4,0,""))</f>
        <v/>
      </c>
      <c r="Y527" s="17">
        <f>IF([Tipo]="div",1,0)</f>
        <v>1</v>
      </c>
      <c r="Z527" s="17">
        <f>IF([Tipo]="jcp",1,0)</f>
        <v>0</v>
      </c>
    </row>
    <row r="528" spans="1:26" hidden="1">
      <c r="A528" s="4" t="s">
        <v>12</v>
      </c>
      <c r="B528" s="139" t="s">
        <v>499</v>
      </c>
      <c r="C528" s="15">
        <v>5</v>
      </c>
      <c r="D528" s="14">
        <v>2011</v>
      </c>
      <c r="E528" s="4" t="s">
        <v>1468</v>
      </c>
      <c r="F528" s="137">
        <v>1.8801000000000001</v>
      </c>
      <c r="G528" s="46">
        <v>40660</v>
      </c>
      <c r="H528" s="46">
        <v>40847</v>
      </c>
      <c r="I528" s="133">
        <v>1.2653300000000001</v>
      </c>
      <c r="J528" s="133">
        <f>IF(Tabela8[[#This Row],[Tipo]]="jcp",Tabela8[[#This Row],[Provento p/Ação]]*85%,Tabela8[[#This Row],[Provento p/Ação]])</f>
        <v>1.2653300000000001</v>
      </c>
      <c r="K528" s="143">
        <f>IF([Lucro p/Ação]&lt;&gt;0,SUMPRODUCT(N([Papel]=Tabela8[[#This Row],[Papel]]),N([Exercício]=Tabela8[[#This Row],[Exercício]]),[Líquido p/Ação]),"")</f>
        <v>2.8106800000000001</v>
      </c>
      <c r="L528" s="19">
        <f>IF(Tabela8[[#This Row],[Lucro p/Ação]]="","",IF(Tabela8[[#This Row],[Lucro p/Ação]]&gt;0,Tabela8[[#This Row],[Total Exercício]]/Tabela8[[#This Row],[Lucro p/Ação]],0))</f>
        <v>1.4949630338811766</v>
      </c>
      <c r="M528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1.7535500000000002</v>
      </c>
      <c r="N52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1.607105</v>
      </c>
      <c r="O528" s="19">
        <f>IF(Tabela8[[#This Row],[Média Lucro p/Ação]]&lt;&gt;"",Tabela8[[#This Row],[Média Pago]]/Tabela8[[#This Row],[Média Lucro p/Ação]],"")</f>
        <v>0.91648655584385952</v>
      </c>
      <c r="P52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8" s="7">
        <f>SUMPRODUCT(N(Tabela1[Código]=Tabela8[[#This Row],[Papel]]),Tabela1[Fechamento])</f>
        <v>0</v>
      </c>
      <c r="R528" s="7">
        <f>SUMPRODUCT(N(Tabela17[Código]=Tabela8[[#This Row],[Papel]]),Tabela17[Fechamento])</f>
        <v>0</v>
      </c>
      <c r="S528" s="7">
        <f>SUMPRODUCT(N(Tabela176[Código]=Tabela8[[#This Row],[Papel]]),Tabela176[Fechamento])</f>
        <v>0</v>
      </c>
      <c r="T528" s="7">
        <f>SUMPRODUCT(N(Tabela1768[Código]=Tabela8[[#This Row],[Papel]]),Tabela1768[Fechamento])</f>
        <v>0</v>
      </c>
      <c r="U528" s="7">
        <f>SUMPRODUCT(N(Tabela17683[Código]=Tabela8[[#This Row],[Papel]]),Tabela17683[Fechamento])</f>
        <v>0</v>
      </c>
      <c r="V528" s="17" t="str">
        <f>IF(MAX(Tabela8[[#This Row],[Cotação 1]]:Tabela8[[#This Row],[Cotação 5]])=0,"",MAX(Tabela8[[#This Row],[Cotação 1]]:Tabela8[[#This Row],[Cotação 5]]))</f>
        <v/>
      </c>
      <c r="W5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8" s="19" t="str">
        <f>IF(AND([Ref]=5,[Cotação]&gt;0,[Cotação]&lt;&gt;""),[Total Exercício]/[Cotação],IF([Ref]&lt;4,0,""))</f>
        <v/>
      </c>
      <c r="Y528" s="17">
        <f>IF([Tipo]="div",1,0)</f>
        <v>1</v>
      </c>
      <c r="Z528" s="17">
        <f>IF([Tipo]="jcp",1,0)</f>
        <v>0</v>
      </c>
    </row>
    <row r="529" spans="1:26" hidden="1">
      <c r="A529" s="4" t="s">
        <v>12</v>
      </c>
      <c r="B529" s="131" t="s">
        <v>500</v>
      </c>
      <c r="C529" s="15">
        <v>4</v>
      </c>
      <c r="D529" s="14">
        <v>2011</v>
      </c>
      <c r="E529" s="4" t="s">
        <v>1468</v>
      </c>
      <c r="F529" s="137"/>
      <c r="G529" s="46">
        <v>40660</v>
      </c>
      <c r="H529" s="46">
        <v>40694</v>
      </c>
      <c r="I529" s="133">
        <v>1.53535</v>
      </c>
      <c r="J529" s="133">
        <f>IF(Tabela8[[#This Row],[Tipo]]="jcp",Tabela8[[#This Row],[Provento p/Ação]]*85%,Tabela8[[#This Row],[Provento p/Ação]])</f>
        <v>1.53535</v>
      </c>
      <c r="K529" s="143" t="str">
        <f>IF([Lucro p/Ação]&lt;&gt;0,SUMPRODUCT(N([Papel]=Tabela8[[#This Row],[Papel]]),N([Exercício]=Tabela8[[#This Row],[Exercício]]),[Líquido p/Ação]),"")</f>
        <v/>
      </c>
      <c r="L529" s="19" t="str">
        <f>IF(Tabela8[[#This Row],[Lucro p/Ação]]="","",IF(Tabela8[[#This Row],[Lucro p/Ação]]&gt;0,Tabela8[[#This Row],[Total Exercício]]/Tabela8[[#This Row],[Lucro p/Ação]],0))</f>
        <v/>
      </c>
      <c r="M52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2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29" s="19" t="str">
        <f>IF(Tabela8[[#This Row],[Média Lucro p/Ação]]&lt;&gt;"",Tabela8[[#This Row],[Média Pago]]/Tabela8[[#This Row],[Média Lucro p/Ação]],"")</f>
        <v/>
      </c>
      <c r="P52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29" s="7">
        <f>SUMPRODUCT(N(Tabela1[Código]=Tabela8[[#This Row],[Papel]]),Tabela1[Fechamento])</f>
        <v>0</v>
      </c>
      <c r="R529" s="7">
        <f>SUMPRODUCT(N(Tabela17[Código]=Tabela8[[#This Row],[Papel]]),Tabela17[Fechamento])</f>
        <v>0</v>
      </c>
      <c r="S529" s="7">
        <f>SUMPRODUCT(N(Tabela176[Código]=Tabela8[[#This Row],[Papel]]),Tabela176[Fechamento])</f>
        <v>0</v>
      </c>
      <c r="T529" s="7">
        <f>SUMPRODUCT(N(Tabela1768[Código]=Tabela8[[#This Row],[Papel]]),Tabela1768[Fechamento])</f>
        <v>0</v>
      </c>
      <c r="U529" s="7">
        <f>SUMPRODUCT(N(Tabela17683[Código]=Tabela8[[#This Row],[Papel]]),Tabela17683[Fechamento])</f>
        <v>0</v>
      </c>
      <c r="V529" s="17" t="str">
        <f>IF(MAX(Tabela8[[#This Row],[Cotação 1]]:Tabela8[[#This Row],[Cotação 5]])=0,"",MAX(Tabela8[[#This Row],[Cotação 1]]:Tabela8[[#This Row],[Cotação 5]]))</f>
        <v/>
      </c>
      <c r="W5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29" s="19" t="str">
        <f>IF(AND([Ref]=5,[Cotação]&gt;0,[Cotação]&lt;&gt;""),[Total Exercício]/[Cotação],IF([Ref]&lt;4,0,""))</f>
        <v/>
      </c>
      <c r="Y529" s="17">
        <f>IF([Tipo]="div",1,0)</f>
        <v>1</v>
      </c>
      <c r="Z529" s="17">
        <f>IF([Tipo]="jcp",1,0)</f>
        <v>0</v>
      </c>
    </row>
    <row r="530" spans="1:26" hidden="1">
      <c r="A530" s="4" t="s">
        <v>12</v>
      </c>
      <c r="B530" s="131" t="s">
        <v>500</v>
      </c>
      <c r="C530" s="15">
        <v>5</v>
      </c>
      <c r="D530" s="14">
        <v>2011</v>
      </c>
      <c r="E530" s="4" t="s">
        <v>1468</v>
      </c>
      <c r="F530" s="137">
        <v>1.8801000000000001</v>
      </c>
      <c r="G530" s="46">
        <v>40660</v>
      </c>
      <c r="H530" s="46">
        <v>40847</v>
      </c>
      <c r="I530" s="133">
        <v>1.2653300000000001</v>
      </c>
      <c r="J530" s="133">
        <f>IF(Tabela8[[#This Row],[Tipo]]="jcp",Tabela8[[#This Row],[Provento p/Ação]]*85%,Tabela8[[#This Row],[Provento p/Ação]])</f>
        <v>1.2653300000000001</v>
      </c>
      <c r="K530" s="143">
        <f>IF([Lucro p/Ação]&lt;&gt;0,SUMPRODUCT(N([Papel]=Tabela8[[#This Row],[Papel]]),N([Exercício]=Tabela8[[#This Row],[Exercício]]),[Líquido p/Ação]),"")</f>
        <v>2.8006799999999998</v>
      </c>
      <c r="L530" s="19">
        <f>IF(Tabela8[[#This Row],[Lucro p/Ação]]="","",IF(Tabela8[[#This Row],[Lucro p/Ação]]&gt;0,Tabela8[[#This Row],[Total Exercício]]/Tabela8[[#This Row],[Lucro p/Ação]],0))</f>
        <v>1.4896441678634114</v>
      </c>
      <c r="M530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1.7535500000000002</v>
      </c>
      <c r="N53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1.6021049999999999</v>
      </c>
      <c r="O530" s="19">
        <f>IF(Tabela8[[#This Row],[Média Lucro p/Ação]]&lt;&gt;"",Tabela8[[#This Row],[Média Pago]]/Tabela8[[#This Row],[Média Lucro p/Ação]],"")</f>
        <v>0.91363519717145203</v>
      </c>
      <c r="P53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0" s="7">
        <f>SUMPRODUCT(N(Tabela1[Código]=Tabela8[[#This Row],[Papel]]),Tabela1[Fechamento])</f>
        <v>0</v>
      </c>
      <c r="R530" s="7">
        <f>SUMPRODUCT(N(Tabela17[Código]=Tabela8[[#This Row],[Papel]]),Tabela17[Fechamento])</f>
        <v>0</v>
      </c>
      <c r="S530" s="7">
        <f>SUMPRODUCT(N(Tabela176[Código]=Tabela8[[#This Row],[Papel]]),Tabela176[Fechamento])</f>
        <v>0</v>
      </c>
      <c r="T530" s="7">
        <f>SUMPRODUCT(N(Tabela1768[Código]=Tabela8[[#This Row],[Papel]]),Tabela1768[Fechamento])</f>
        <v>0</v>
      </c>
      <c r="U530" s="7">
        <f>SUMPRODUCT(N(Tabela17683[Código]=Tabela8[[#This Row],[Papel]]),Tabela17683[Fechamento])</f>
        <v>0</v>
      </c>
      <c r="V530" s="17" t="str">
        <f>IF(MAX(Tabela8[[#This Row],[Cotação 1]]:Tabela8[[#This Row],[Cotação 5]])=0,"",MAX(Tabela8[[#This Row],[Cotação 1]]:Tabela8[[#This Row],[Cotação 5]]))</f>
        <v/>
      </c>
      <c r="W5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0" s="19" t="str">
        <f>IF(AND([Ref]=5,[Cotação]&gt;0,[Cotação]&lt;&gt;""),[Total Exercício]/[Cotação],IF([Ref]&lt;4,0,""))</f>
        <v/>
      </c>
      <c r="Y530" s="17">
        <f>IF([Tipo]="div",1,0)</f>
        <v>1</v>
      </c>
      <c r="Z530" s="17">
        <f>IF([Tipo]="jcp",1,0)</f>
        <v>0</v>
      </c>
    </row>
    <row r="531" spans="1:26" hidden="1">
      <c r="A531" s="4" t="s">
        <v>12</v>
      </c>
      <c r="B531" s="139" t="s">
        <v>56</v>
      </c>
      <c r="C531" s="15">
        <v>4</v>
      </c>
      <c r="D531" s="14">
        <v>2012</v>
      </c>
      <c r="E531" s="4" t="s">
        <v>1468</v>
      </c>
      <c r="F531" s="137"/>
      <c r="G531" s="46">
        <v>41026</v>
      </c>
      <c r="H531" s="46">
        <v>41060</v>
      </c>
      <c r="I531" s="133">
        <v>0.81315000000000004</v>
      </c>
      <c r="J531" s="133">
        <f>IF(Tabela8[[#This Row],[Tipo]]="jcp",Tabela8[[#This Row],[Provento p/Ação]]*85%,Tabela8[[#This Row],[Provento p/Ação]])</f>
        <v>0.81315000000000004</v>
      </c>
      <c r="K531" s="143" t="str">
        <f>IF([Lucro p/Ação]&lt;&gt;0,SUMPRODUCT(N([Papel]=Tabela8[[#This Row],[Papel]]),N([Exercício]=Tabela8[[#This Row],[Exercício]]),[Líquido p/Ação]),"")</f>
        <v/>
      </c>
      <c r="L531" s="19" t="str">
        <f>IF(Tabela8[[#This Row],[Lucro p/Ação]]="","",IF(Tabela8[[#This Row],[Lucro p/Ação]]&gt;0,Tabela8[[#This Row],[Total Exercício]]/Tabela8[[#This Row],[Lucro p/Ação]],0))</f>
        <v/>
      </c>
      <c r="M53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1" s="19" t="str">
        <f>IF(Tabela8[[#This Row],[Média Lucro p/Ação]]&lt;&gt;"",Tabela8[[#This Row],[Média Pago]]/Tabela8[[#This Row],[Média Lucro p/Ação]],"")</f>
        <v/>
      </c>
      <c r="P53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1" s="7">
        <f>SUMPRODUCT(N(Tabela1[Código]=Tabela8[[#This Row],[Papel]]),Tabela1[Fechamento])</f>
        <v>18.64</v>
      </c>
      <c r="R531" s="7">
        <f>SUMPRODUCT(N(Tabela17[Código]=Tabela8[[#This Row],[Papel]]),Tabela17[Fechamento])</f>
        <v>0</v>
      </c>
      <c r="S531" s="7">
        <f>SUMPRODUCT(N(Tabela176[Código]=Tabela8[[#This Row],[Papel]]),Tabela176[Fechamento])</f>
        <v>0</v>
      </c>
      <c r="T531" s="7">
        <f>SUMPRODUCT(N(Tabela1768[Código]=Tabela8[[#This Row],[Papel]]),Tabela1768[Fechamento])</f>
        <v>0</v>
      </c>
      <c r="U531" s="7">
        <f>SUMPRODUCT(N(Tabela17683[Código]=Tabela8[[#This Row],[Papel]]),Tabela17683[Fechamento])</f>
        <v>0</v>
      </c>
      <c r="V531" s="17">
        <f>IF(MAX(Tabela8[[#This Row],[Cotação 1]]:Tabela8[[#This Row],[Cotação 5]])=0,"",MAX(Tabela8[[#This Row],[Cotação 1]]:Tabela8[[#This Row],[Cotação 5]]))</f>
        <v>18.64</v>
      </c>
      <c r="W5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1" s="19" t="str">
        <f>IF(AND([Ref]=5,[Cotação]&gt;0,[Cotação]&lt;&gt;""),[Total Exercício]/[Cotação],IF([Ref]&lt;4,0,""))</f>
        <v/>
      </c>
      <c r="Y531" s="17">
        <f>IF([Tipo]="div",1,0)</f>
        <v>1</v>
      </c>
      <c r="Z531" s="17">
        <f>IF([Tipo]="jcp",1,0)</f>
        <v>0</v>
      </c>
    </row>
    <row r="532" spans="1:26" hidden="1">
      <c r="A532" s="4" t="s">
        <v>12</v>
      </c>
      <c r="B532" s="139" t="s">
        <v>56</v>
      </c>
      <c r="C532" s="15">
        <v>4</v>
      </c>
      <c r="D532" s="14">
        <v>2012</v>
      </c>
      <c r="E532" s="4" t="s">
        <v>1468</v>
      </c>
      <c r="F532" s="137"/>
      <c r="G532" s="46">
        <v>41026</v>
      </c>
      <c r="H532" s="46">
        <v>41213</v>
      </c>
      <c r="I532" s="133">
        <v>0.62195999999999996</v>
      </c>
      <c r="J532" s="133">
        <f>IF(Tabela8[[#This Row],[Tipo]]="jcp",Tabela8[[#This Row],[Provento p/Ação]]*85%,Tabela8[[#This Row],[Provento p/Ação]])</f>
        <v>0.62195999999999996</v>
      </c>
      <c r="K532" s="143" t="str">
        <f>IF([Lucro p/Ação]&lt;&gt;0,SUMPRODUCT(N([Papel]=Tabela8[[#This Row],[Papel]]),N([Exercício]=Tabela8[[#This Row],[Exercício]]),[Líquido p/Ação]),"")</f>
        <v/>
      </c>
      <c r="L532" s="19" t="str">
        <f>IF(Tabela8[[#This Row],[Lucro p/Ação]]="","",IF(Tabela8[[#This Row],[Lucro p/Ação]]&gt;0,Tabela8[[#This Row],[Total Exercício]]/Tabela8[[#This Row],[Lucro p/Ação]],0))</f>
        <v/>
      </c>
      <c r="M53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2" s="19" t="str">
        <f>IF(Tabela8[[#This Row],[Média Lucro p/Ação]]&lt;&gt;"",Tabela8[[#This Row],[Média Pago]]/Tabela8[[#This Row],[Média Lucro p/Ação]],"")</f>
        <v/>
      </c>
      <c r="P53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2" s="7">
        <f>SUMPRODUCT(N(Tabela1[Código]=Tabela8[[#This Row],[Papel]]),Tabela1[Fechamento])</f>
        <v>18.64</v>
      </c>
      <c r="R532" s="7">
        <f>SUMPRODUCT(N(Tabela17[Código]=Tabela8[[#This Row],[Papel]]),Tabela17[Fechamento])</f>
        <v>0</v>
      </c>
      <c r="S532" s="7">
        <f>SUMPRODUCT(N(Tabela176[Código]=Tabela8[[#This Row],[Papel]]),Tabela176[Fechamento])</f>
        <v>0</v>
      </c>
      <c r="T532" s="7">
        <f>SUMPRODUCT(N(Tabela1768[Código]=Tabela8[[#This Row],[Papel]]),Tabela1768[Fechamento])</f>
        <v>0</v>
      </c>
      <c r="U532" s="7">
        <f>SUMPRODUCT(N(Tabela17683[Código]=Tabela8[[#This Row],[Papel]]),Tabela17683[Fechamento])</f>
        <v>0</v>
      </c>
      <c r="V532" s="17">
        <f>IF(MAX(Tabela8[[#This Row],[Cotação 1]]:Tabela8[[#This Row],[Cotação 5]])=0,"",MAX(Tabela8[[#This Row],[Cotação 1]]:Tabela8[[#This Row],[Cotação 5]]))</f>
        <v>18.64</v>
      </c>
      <c r="W5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2" s="19" t="str">
        <f>IF(AND([Ref]=5,[Cotação]&gt;0,[Cotação]&lt;&gt;""),[Total Exercício]/[Cotação],IF([Ref]&lt;4,0,""))</f>
        <v/>
      </c>
      <c r="Y532" s="17">
        <f>IF([Tipo]="div",1,0)</f>
        <v>1</v>
      </c>
      <c r="Z532" s="17">
        <f>IF([Tipo]="jcp",1,0)</f>
        <v>0</v>
      </c>
    </row>
    <row r="533" spans="1:26" hidden="1">
      <c r="A533" s="4" t="s">
        <v>12</v>
      </c>
      <c r="B533" s="139" t="s">
        <v>499</v>
      </c>
      <c r="C533" s="15">
        <v>4</v>
      </c>
      <c r="D533" s="14">
        <v>2012</v>
      </c>
      <c r="E533" s="4" t="s">
        <v>1468</v>
      </c>
      <c r="F533" s="137"/>
      <c r="G533" s="46">
        <v>41026</v>
      </c>
      <c r="H533" s="46">
        <v>41060</v>
      </c>
      <c r="I533" s="133">
        <v>0.27105000000000001</v>
      </c>
      <c r="J533" s="133">
        <f>IF(Tabela8[[#This Row],[Tipo]]="jcp",Tabela8[[#This Row],[Provento p/Ação]]*85%,Tabela8[[#This Row],[Provento p/Ação]])</f>
        <v>0.27105000000000001</v>
      </c>
      <c r="K533" s="143" t="str">
        <f>IF([Lucro p/Ação]&lt;&gt;0,SUMPRODUCT(N([Papel]=Tabela8[[#This Row],[Papel]]),N([Exercício]=Tabela8[[#This Row],[Exercício]]),[Líquido p/Ação]),"")</f>
        <v/>
      </c>
      <c r="L533" s="19" t="str">
        <f>IF(Tabela8[[#This Row],[Lucro p/Ação]]="","",IF(Tabela8[[#This Row],[Lucro p/Ação]]&gt;0,Tabela8[[#This Row],[Total Exercício]]/Tabela8[[#This Row],[Lucro p/Ação]],0))</f>
        <v/>
      </c>
      <c r="M53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3" s="19" t="str">
        <f>IF(Tabela8[[#This Row],[Média Lucro p/Ação]]&lt;&gt;"",Tabela8[[#This Row],[Média Pago]]/Tabela8[[#This Row],[Média Lucro p/Ação]],"")</f>
        <v/>
      </c>
      <c r="P533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3" s="7">
        <f>SUMPRODUCT(N(Tabela1[Código]=Tabela8[[#This Row],[Papel]]),Tabela1[Fechamento])</f>
        <v>0</v>
      </c>
      <c r="R533" s="7">
        <f>SUMPRODUCT(N(Tabela17[Código]=Tabela8[[#This Row],[Papel]]),Tabela17[Fechamento])</f>
        <v>0</v>
      </c>
      <c r="S533" s="7">
        <f>SUMPRODUCT(N(Tabela176[Código]=Tabela8[[#This Row],[Papel]]),Tabela176[Fechamento])</f>
        <v>0</v>
      </c>
      <c r="T533" s="7">
        <f>SUMPRODUCT(N(Tabela1768[Código]=Tabela8[[#This Row],[Papel]]),Tabela1768[Fechamento])</f>
        <v>0</v>
      </c>
      <c r="U533" s="7">
        <f>SUMPRODUCT(N(Tabela17683[Código]=Tabela8[[#This Row],[Papel]]),Tabela17683[Fechamento])</f>
        <v>0</v>
      </c>
      <c r="V533" s="17" t="str">
        <f>IF(MAX(Tabela8[[#This Row],[Cotação 1]]:Tabela8[[#This Row],[Cotação 5]])=0,"",MAX(Tabela8[[#This Row],[Cotação 1]]:Tabela8[[#This Row],[Cotação 5]]))</f>
        <v/>
      </c>
      <c r="W5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3" s="19" t="str">
        <f>IF(AND([Ref]=5,[Cotação]&gt;0,[Cotação]&lt;&gt;""),[Total Exercício]/[Cotação],IF([Ref]&lt;4,0,""))</f>
        <v/>
      </c>
      <c r="Y533" s="17">
        <f>IF([Tipo]="div",1,0)</f>
        <v>1</v>
      </c>
      <c r="Z533" s="17">
        <f>IF([Tipo]="jcp",1,0)</f>
        <v>0</v>
      </c>
    </row>
    <row r="534" spans="1:26" hidden="1">
      <c r="A534" s="4" t="s">
        <v>12</v>
      </c>
      <c r="B534" s="139" t="s">
        <v>499</v>
      </c>
      <c r="C534" s="15">
        <v>4</v>
      </c>
      <c r="D534" s="14">
        <v>2012</v>
      </c>
      <c r="E534" s="4" t="s">
        <v>1468</v>
      </c>
      <c r="F534" s="137"/>
      <c r="G534" s="46">
        <v>41026</v>
      </c>
      <c r="H534" s="46">
        <v>41213</v>
      </c>
      <c r="I534" s="133">
        <v>0.20732</v>
      </c>
      <c r="J534" s="133">
        <f>IF(Tabela8[[#This Row],[Tipo]]="jcp",Tabela8[[#This Row],[Provento p/Ação]]*85%,Tabela8[[#This Row],[Provento p/Ação]])</f>
        <v>0.20732</v>
      </c>
      <c r="K534" s="143" t="str">
        <f>IF([Lucro p/Ação]&lt;&gt;0,SUMPRODUCT(N([Papel]=Tabela8[[#This Row],[Papel]]),N([Exercício]=Tabela8[[#This Row],[Exercício]]),[Líquido p/Ação]),"")</f>
        <v/>
      </c>
      <c r="L534" s="19" t="str">
        <f>IF(Tabela8[[#This Row],[Lucro p/Ação]]="","",IF(Tabela8[[#This Row],[Lucro p/Ação]]&gt;0,Tabela8[[#This Row],[Total Exercício]]/Tabela8[[#This Row],[Lucro p/Ação]],0))</f>
        <v/>
      </c>
      <c r="M53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4" s="19" t="str">
        <f>IF(Tabela8[[#This Row],[Média Lucro p/Ação]]&lt;&gt;"",Tabela8[[#This Row],[Média Pago]]/Tabela8[[#This Row],[Média Lucro p/Ação]],"")</f>
        <v/>
      </c>
      <c r="P534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4" s="7">
        <f>SUMPRODUCT(N(Tabela1[Código]=Tabela8[[#This Row],[Papel]]),Tabela1[Fechamento])</f>
        <v>0</v>
      </c>
      <c r="R534" s="7">
        <f>SUMPRODUCT(N(Tabela17[Código]=Tabela8[[#This Row],[Papel]]),Tabela17[Fechamento])</f>
        <v>0</v>
      </c>
      <c r="S534" s="7">
        <f>SUMPRODUCT(N(Tabela176[Código]=Tabela8[[#This Row],[Papel]]),Tabela176[Fechamento])</f>
        <v>0</v>
      </c>
      <c r="T534" s="7">
        <f>SUMPRODUCT(N(Tabela1768[Código]=Tabela8[[#This Row],[Papel]]),Tabela1768[Fechamento])</f>
        <v>0</v>
      </c>
      <c r="U534" s="7">
        <f>SUMPRODUCT(N(Tabela17683[Código]=Tabela8[[#This Row],[Papel]]),Tabela17683[Fechamento])</f>
        <v>0</v>
      </c>
      <c r="V534" s="17" t="str">
        <f>IF(MAX(Tabela8[[#This Row],[Cotação 1]]:Tabela8[[#This Row],[Cotação 5]])=0,"",MAX(Tabela8[[#This Row],[Cotação 1]]:Tabela8[[#This Row],[Cotação 5]]))</f>
        <v/>
      </c>
      <c r="W5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4" s="19" t="str">
        <f>IF(AND([Ref]=5,[Cotação]&gt;0,[Cotação]&lt;&gt;""),[Total Exercício]/[Cotação],IF([Ref]&lt;4,0,""))</f>
        <v/>
      </c>
      <c r="Y534" s="17">
        <f>IF([Tipo]="div",1,0)</f>
        <v>1</v>
      </c>
      <c r="Z534" s="17">
        <f>IF([Tipo]="jcp",1,0)</f>
        <v>0</v>
      </c>
    </row>
    <row r="535" spans="1:26" hidden="1">
      <c r="A535" s="4" t="s">
        <v>12</v>
      </c>
      <c r="B535" s="131" t="s">
        <v>500</v>
      </c>
      <c r="C535" s="15">
        <v>4</v>
      </c>
      <c r="D535" s="14">
        <v>2012</v>
      </c>
      <c r="E535" s="4" t="s">
        <v>1468</v>
      </c>
      <c r="F535" s="137"/>
      <c r="G535" s="46">
        <v>41026</v>
      </c>
      <c r="H535" s="46">
        <v>41060</v>
      </c>
      <c r="I535" s="133">
        <v>0.27105000000000001</v>
      </c>
      <c r="J535" s="133">
        <f>IF(Tabela8[[#This Row],[Tipo]]="jcp",Tabela8[[#This Row],[Provento p/Ação]]*85%,Tabela8[[#This Row],[Provento p/Ação]])</f>
        <v>0.27105000000000001</v>
      </c>
      <c r="K535" s="143" t="str">
        <f>IF([Lucro p/Ação]&lt;&gt;0,SUMPRODUCT(N([Papel]=Tabela8[[#This Row],[Papel]]),N([Exercício]=Tabela8[[#This Row],[Exercício]]),[Líquido p/Ação]),"")</f>
        <v/>
      </c>
      <c r="L535" s="19" t="str">
        <f>IF(Tabela8[[#This Row],[Lucro p/Ação]]="","",IF(Tabela8[[#This Row],[Lucro p/Ação]]&gt;0,Tabela8[[#This Row],[Total Exercício]]/Tabela8[[#This Row],[Lucro p/Ação]],0))</f>
        <v/>
      </c>
      <c r="M53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5" s="19" t="str">
        <f>IF(Tabela8[[#This Row],[Média Lucro p/Ação]]&lt;&gt;"",Tabela8[[#This Row],[Média Pago]]/Tabela8[[#This Row],[Média Lucro p/Ação]],"")</f>
        <v/>
      </c>
      <c r="P535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5" s="7">
        <f>SUMPRODUCT(N(Tabela1[Código]=Tabela8[[#This Row],[Papel]]),Tabela1[Fechamento])</f>
        <v>0</v>
      </c>
      <c r="R535" s="7">
        <f>SUMPRODUCT(N(Tabela17[Código]=Tabela8[[#This Row],[Papel]]),Tabela17[Fechamento])</f>
        <v>0</v>
      </c>
      <c r="S535" s="7">
        <f>SUMPRODUCT(N(Tabela176[Código]=Tabela8[[#This Row],[Papel]]),Tabela176[Fechamento])</f>
        <v>0</v>
      </c>
      <c r="T535" s="7">
        <f>SUMPRODUCT(N(Tabela1768[Código]=Tabela8[[#This Row],[Papel]]),Tabela1768[Fechamento])</f>
        <v>0</v>
      </c>
      <c r="U535" s="7">
        <f>SUMPRODUCT(N(Tabela17683[Código]=Tabela8[[#This Row],[Papel]]),Tabela17683[Fechamento])</f>
        <v>0</v>
      </c>
      <c r="V535" s="17" t="str">
        <f>IF(MAX(Tabela8[[#This Row],[Cotação 1]]:Tabela8[[#This Row],[Cotação 5]])=0,"",MAX(Tabela8[[#This Row],[Cotação 1]]:Tabela8[[#This Row],[Cotação 5]]))</f>
        <v/>
      </c>
      <c r="W5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5" s="19" t="str">
        <f>IF(AND([Ref]=5,[Cotação]&gt;0,[Cotação]&lt;&gt;""),[Total Exercício]/[Cotação],IF([Ref]&lt;4,0,""))</f>
        <v/>
      </c>
      <c r="Y535" s="17">
        <f>IF([Tipo]="div",1,0)</f>
        <v>1</v>
      </c>
      <c r="Z535" s="17">
        <f>IF([Tipo]="jcp",1,0)</f>
        <v>0</v>
      </c>
    </row>
    <row r="536" spans="1:26" hidden="1">
      <c r="A536" s="4" t="s">
        <v>12</v>
      </c>
      <c r="B536" s="131" t="s">
        <v>500</v>
      </c>
      <c r="C536" s="15">
        <v>4</v>
      </c>
      <c r="D536" s="14">
        <v>2012</v>
      </c>
      <c r="E536" s="4" t="s">
        <v>1468</v>
      </c>
      <c r="F536" s="137"/>
      <c r="G536" s="46">
        <v>41026</v>
      </c>
      <c r="H536" s="46">
        <v>41213</v>
      </c>
      <c r="I536" s="133">
        <v>0.20732</v>
      </c>
      <c r="J536" s="133">
        <f>IF(Tabela8[[#This Row],[Tipo]]="jcp",Tabela8[[#This Row],[Provento p/Ação]]*85%,Tabela8[[#This Row],[Provento p/Ação]])</f>
        <v>0.20732</v>
      </c>
      <c r="K536" s="143" t="str">
        <f>IF([Lucro p/Ação]&lt;&gt;0,SUMPRODUCT(N([Papel]=Tabela8[[#This Row],[Papel]]),N([Exercício]=Tabela8[[#This Row],[Exercício]]),[Líquido p/Ação]),"")</f>
        <v/>
      </c>
      <c r="L536" s="19" t="str">
        <f>IF(Tabela8[[#This Row],[Lucro p/Ação]]="","",IF(Tabela8[[#This Row],[Lucro p/Ação]]&gt;0,Tabela8[[#This Row],[Total Exercício]]/Tabela8[[#This Row],[Lucro p/Ação]],0))</f>
        <v/>
      </c>
      <c r="M536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3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36" s="19" t="str">
        <f>IF(Tabela8[[#This Row],[Média Lucro p/Ação]]&lt;&gt;"",Tabela8[[#This Row],[Média Pago]]/Tabela8[[#This Row],[Média Lucro p/Ação]],"")</f>
        <v/>
      </c>
      <c r="P53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6" s="7">
        <f>SUMPRODUCT(N(Tabela1[Código]=Tabela8[[#This Row],[Papel]]),Tabela1[Fechamento])</f>
        <v>0</v>
      </c>
      <c r="R536" s="7">
        <f>SUMPRODUCT(N(Tabela17[Código]=Tabela8[[#This Row],[Papel]]),Tabela17[Fechamento])</f>
        <v>0</v>
      </c>
      <c r="S536" s="7">
        <f>SUMPRODUCT(N(Tabela176[Código]=Tabela8[[#This Row],[Papel]]),Tabela176[Fechamento])</f>
        <v>0</v>
      </c>
      <c r="T536" s="7">
        <f>SUMPRODUCT(N(Tabela1768[Código]=Tabela8[[#This Row],[Papel]]),Tabela1768[Fechamento])</f>
        <v>0</v>
      </c>
      <c r="U536" s="7">
        <f>SUMPRODUCT(N(Tabela17683[Código]=Tabela8[[#This Row],[Papel]]),Tabela17683[Fechamento])</f>
        <v>0</v>
      </c>
      <c r="V536" s="17" t="str">
        <f>IF(MAX(Tabela8[[#This Row],[Cotação 1]]:Tabela8[[#This Row],[Cotação 5]])=0,"",MAX(Tabela8[[#This Row],[Cotação 1]]:Tabela8[[#This Row],[Cotação 5]]))</f>
        <v/>
      </c>
      <c r="W5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6" s="19" t="str">
        <f>IF(AND([Ref]=5,[Cotação]&gt;0,[Cotação]&lt;&gt;""),[Total Exercício]/[Cotação],IF([Ref]&lt;4,0,""))</f>
        <v/>
      </c>
      <c r="Y536" s="17">
        <f>IF([Tipo]="div",1,0)</f>
        <v>1</v>
      </c>
      <c r="Z536" s="17">
        <f>IF([Tipo]="jcp",1,0)</f>
        <v>0</v>
      </c>
    </row>
    <row r="537" spans="1:26" hidden="1">
      <c r="A537" s="140" t="s">
        <v>12</v>
      </c>
      <c r="B537" s="139" t="s">
        <v>56</v>
      </c>
      <c r="C537" s="141">
        <v>5</v>
      </c>
      <c r="D537" s="142">
        <v>2012</v>
      </c>
      <c r="E537" s="4" t="s">
        <v>1468</v>
      </c>
      <c r="F537" s="137">
        <v>1.9688399999999999</v>
      </c>
      <c r="G537" s="46">
        <v>41261</v>
      </c>
      <c r="H537" s="46">
        <v>41270</v>
      </c>
      <c r="I537" s="133">
        <v>0.46443000000000001</v>
      </c>
      <c r="J537" s="133">
        <f>IF(Tabela8[[#This Row],[Tipo]]="jcp",Tabela8[[#This Row],[Provento p/Ação]]*85%,Tabela8[[#This Row],[Provento p/Ação]])</f>
        <v>0.46443000000000001</v>
      </c>
      <c r="K537" s="143">
        <f>IF([Lucro p/Ação]&lt;&gt;0,SUMPRODUCT(N([Papel]=Tabela8[[#This Row],[Papel]]),N([Exercício]=Tabela8[[#This Row],[Exercício]]),[Líquido p/Ação]),"")</f>
        <v>1.89954</v>
      </c>
      <c r="L537" s="19">
        <f>IF(Tabela8[[#This Row],[Lucro p/Ação]]="","",IF(Tabela8[[#This Row],[Lucro p/Ação]]&gt;0,Tabela8[[#This Row],[Total Exercício]]/Tabela8[[#This Row],[Lucro p/Ação]],0))</f>
        <v>0.96480160906929968</v>
      </c>
      <c r="M537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4.1633800000000001</v>
      </c>
      <c r="N53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3.8407233333333335</v>
      </c>
      <c r="O537" s="19">
        <f>IF(Tabela8[[#This Row],[Média Lucro p/Ação]]&lt;&gt;"",Tabela8[[#This Row],[Média Pago]]/Tabela8[[#This Row],[Média Lucro p/Ação]],"")</f>
        <v>0.92250126900098794</v>
      </c>
      <c r="P53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7" s="7">
        <f>SUMPRODUCT(N(Tabela1[Código]=Tabela8[[#This Row],[Papel]]),Tabela1[Fechamento])</f>
        <v>18.64</v>
      </c>
      <c r="R537" s="7">
        <f>SUMPRODUCT(N(Tabela17[Código]=Tabela8[[#This Row],[Papel]]),Tabela17[Fechamento])</f>
        <v>0</v>
      </c>
      <c r="S537" s="7">
        <f>SUMPRODUCT(N(Tabela176[Código]=Tabela8[[#This Row],[Papel]]),Tabela176[Fechamento])</f>
        <v>0</v>
      </c>
      <c r="T537" s="7">
        <f>SUMPRODUCT(N(Tabela1768[Código]=Tabela8[[#This Row],[Papel]]),Tabela1768[Fechamento])</f>
        <v>0</v>
      </c>
      <c r="U537" s="7">
        <f>SUMPRODUCT(N(Tabela17683[Código]=Tabela8[[#This Row],[Papel]]),Tabela17683[Fechamento])</f>
        <v>0</v>
      </c>
      <c r="V537" s="17">
        <f>IF(MAX(Tabela8[[#This Row],[Cotação 1]]:Tabela8[[#This Row],[Cotação 5]])=0,"",MAX(Tabela8[[#This Row],[Cotação 1]]:Tabela8[[#This Row],[Cotação 5]]))</f>
        <v>18.64</v>
      </c>
      <c r="W5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7" s="19">
        <f>IF(AND([Ref]=5,[Cotação]&gt;0,[Cotação]&lt;&gt;""),[Total Exercício]/[Cotação],IF([Ref]&lt;4,0,""))</f>
        <v>0.10190665236051502</v>
      </c>
      <c r="Y537" s="17">
        <f>IF([Tipo]="div",1,0)</f>
        <v>1</v>
      </c>
      <c r="Z537" s="17">
        <f>IF([Tipo]="jcp",1,0)</f>
        <v>0</v>
      </c>
    </row>
    <row r="538" spans="1:26" hidden="1">
      <c r="A538" s="140" t="s">
        <v>12</v>
      </c>
      <c r="B538" s="139" t="s">
        <v>499</v>
      </c>
      <c r="C538" s="141">
        <v>5</v>
      </c>
      <c r="D538" s="142">
        <v>2012</v>
      </c>
      <c r="E538" s="4" t="s">
        <v>1468</v>
      </c>
      <c r="F538" s="137">
        <v>0.65627999999999997</v>
      </c>
      <c r="G538" s="46">
        <v>41261</v>
      </c>
      <c r="H538" s="46">
        <v>41270</v>
      </c>
      <c r="I538" s="133">
        <v>0.15481</v>
      </c>
      <c r="J538" s="133">
        <f>IF(Tabela8[[#This Row],[Tipo]]="jcp",Tabela8[[#This Row],[Provento p/Ação]]*85%,Tabela8[[#This Row],[Provento p/Ação]])</f>
        <v>0.15481</v>
      </c>
      <c r="K538" s="143">
        <f>IF([Lucro p/Ação]&lt;&gt;0,SUMPRODUCT(N([Papel]=Tabela8[[#This Row],[Papel]]),N([Exercício]=Tabela8[[#This Row],[Exercício]]),[Líquido p/Ação]),"")</f>
        <v>0.63318000000000008</v>
      </c>
      <c r="L538" s="19">
        <f>IF(Tabela8[[#This Row],[Lucro p/Ação]]="","",IF(Tabela8[[#This Row],[Lucro p/Ação]]&gt;0,Tabela8[[#This Row],[Total Exercício]]/Tabela8[[#This Row],[Lucro p/Ação]],0))</f>
        <v>0.96480160906929979</v>
      </c>
      <c r="M538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1.3877933333333334</v>
      </c>
      <c r="N53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1.2824633333333333</v>
      </c>
      <c r="O538" s="19">
        <f>IF(Tabela8[[#This Row],[Média Lucro p/Ação]]&lt;&gt;"",Tabela8[[#This Row],[Média Pago]]/Tabela8[[#This Row],[Média Lucro p/Ação]],"")</f>
        <v>0.92410253207730253</v>
      </c>
      <c r="P538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8" s="7">
        <f>SUMPRODUCT(N(Tabela1[Código]=Tabela8[[#This Row],[Papel]]),Tabela1[Fechamento])</f>
        <v>0</v>
      </c>
      <c r="R538" s="7">
        <f>SUMPRODUCT(N(Tabela17[Código]=Tabela8[[#This Row],[Papel]]),Tabela17[Fechamento])</f>
        <v>0</v>
      </c>
      <c r="S538" s="7">
        <f>SUMPRODUCT(N(Tabela176[Código]=Tabela8[[#This Row],[Papel]]),Tabela176[Fechamento])</f>
        <v>0</v>
      </c>
      <c r="T538" s="7">
        <f>SUMPRODUCT(N(Tabela1768[Código]=Tabela8[[#This Row],[Papel]]),Tabela1768[Fechamento])</f>
        <v>0</v>
      </c>
      <c r="U538" s="7">
        <f>SUMPRODUCT(N(Tabela17683[Código]=Tabela8[[#This Row],[Papel]]),Tabela17683[Fechamento])</f>
        <v>0</v>
      </c>
      <c r="V538" s="17" t="str">
        <f>IF(MAX(Tabela8[[#This Row],[Cotação 1]]:Tabela8[[#This Row],[Cotação 5]])=0,"",MAX(Tabela8[[#This Row],[Cotação 1]]:Tabela8[[#This Row],[Cotação 5]]))</f>
        <v/>
      </c>
      <c r="W5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8" s="19" t="str">
        <f>IF(AND([Ref]=5,[Cotação]&gt;0,[Cotação]&lt;&gt;""),[Total Exercício]/[Cotação],IF([Ref]&lt;4,0,""))</f>
        <v/>
      </c>
      <c r="Y538" s="17">
        <f>IF([Tipo]="div",1,0)</f>
        <v>1</v>
      </c>
      <c r="Z538" s="17">
        <f>IF([Tipo]="jcp",1,0)</f>
        <v>0</v>
      </c>
    </row>
    <row r="539" spans="1:26" hidden="1">
      <c r="A539" s="140" t="s">
        <v>12</v>
      </c>
      <c r="B539" s="131" t="s">
        <v>500</v>
      </c>
      <c r="C539" s="141">
        <v>5</v>
      </c>
      <c r="D539" s="142">
        <v>2012</v>
      </c>
      <c r="E539" s="4" t="s">
        <v>1468</v>
      </c>
      <c r="F539" s="137">
        <v>0.65627999999999997</v>
      </c>
      <c r="G539" s="46">
        <v>41261</v>
      </c>
      <c r="H539" s="46">
        <v>41270</v>
      </c>
      <c r="I539" s="133">
        <v>0.15481</v>
      </c>
      <c r="J539" s="133">
        <f>IF(Tabela8[[#This Row],[Tipo]]="jcp",Tabela8[[#This Row],[Provento p/Ação]]*85%,Tabela8[[#This Row],[Provento p/Ação]])</f>
        <v>0.15481</v>
      </c>
      <c r="K539" s="143">
        <f>IF([Lucro p/Ação]&lt;&gt;0,SUMPRODUCT(N([Papel]=Tabela8[[#This Row],[Papel]]),N([Exercício]=Tabela8[[#This Row],[Exercício]]),[Líquido p/Ação]),"")</f>
        <v>0.63318000000000008</v>
      </c>
      <c r="L539" s="19">
        <f>IF(Tabela8[[#This Row],[Lucro p/Ação]]="","",IF(Tabela8[[#This Row],[Lucro p/Ação]]&gt;0,Tabela8[[#This Row],[Total Exercício]]/Tabela8[[#This Row],[Lucro p/Ação]],0))</f>
        <v>0.96480160906929979</v>
      </c>
      <c r="M539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1.3877933333333334</v>
      </c>
      <c r="N53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1.2791300000000001</v>
      </c>
      <c r="O539" s="19">
        <f>IF(Tabela8[[#This Row],[Média Lucro p/Ação]]&lt;&gt;"",Tabela8[[#This Row],[Média Pago]]/Tabela8[[#This Row],[Média Lucro p/Ação]],"")</f>
        <v>0.92170063746283071</v>
      </c>
      <c r="P539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39" s="7">
        <f>SUMPRODUCT(N(Tabela1[Código]=Tabela8[[#This Row],[Papel]]),Tabela1[Fechamento])</f>
        <v>0</v>
      </c>
      <c r="R539" s="7">
        <f>SUMPRODUCT(N(Tabela17[Código]=Tabela8[[#This Row],[Papel]]),Tabela17[Fechamento])</f>
        <v>0</v>
      </c>
      <c r="S539" s="7">
        <f>SUMPRODUCT(N(Tabela176[Código]=Tabela8[[#This Row],[Papel]]),Tabela176[Fechamento])</f>
        <v>0</v>
      </c>
      <c r="T539" s="7">
        <f>SUMPRODUCT(N(Tabela1768[Código]=Tabela8[[#This Row],[Papel]]),Tabela1768[Fechamento])</f>
        <v>0</v>
      </c>
      <c r="U539" s="7">
        <f>SUMPRODUCT(N(Tabela17683[Código]=Tabela8[[#This Row],[Papel]]),Tabela17683[Fechamento])</f>
        <v>0</v>
      </c>
      <c r="V539" s="17" t="str">
        <f>IF(MAX(Tabela8[[#This Row],[Cotação 1]]:Tabela8[[#This Row],[Cotação 5]])=0,"",MAX(Tabela8[[#This Row],[Cotação 1]]:Tabela8[[#This Row],[Cotação 5]]))</f>
        <v/>
      </c>
      <c r="W5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39" s="19" t="str">
        <f>IF(AND([Ref]=5,[Cotação]&gt;0,[Cotação]&lt;&gt;""),[Total Exercício]/[Cotação],IF([Ref]&lt;4,0,""))</f>
        <v/>
      </c>
      <c r="Y539" s="17">
        <f>IF([Tipo]="div",1,0)</f>
        <v>1</v>
      </c>
      <c r="Z539" s="17">
        <f>IF([Tipo]="jcp",1,0)</f>
        <v>0</v>
      </c>
    </row>
    <row r="540" spans="1:26" hidden="1">
      <c r="A540" s="4" t="s">
        <v>12</v>
      </c>
      <c r="B540" s="139" t="s">
        <v>56</v>
      </c>
      <c r="C540" s="15">
        <v>5</v>
      </c>
      <c r="D540" s="14">
        <v>2013</v>
      </c>
      <c r="E540" s="4"/>
      <c r="F540" s="137">
        <v>2.1814200000000001</v>
      </c>
      <c r="G540" s="46"/>
      <c r="H540" s="4"/>
      <c r="J540" s="133">
        <f>IF(Tabela8[[#This Row],[Tipo]]="jcp",Tabela8[[#This Row],[Provento p/Ação]]*85%,Tabela8[[#This Row],[Provento p/Ação]])</f>
        <v>0</v>
      </c>
      <c r="K540" s="143">
        <f>IF([Lucro p/Ação]&lt;&gt;0,SUMPRODUCT(N([Papel]=Tabela8[[#This Row],[Papel]]),N([Exercício]=Tabela8[[#This Row],[Exercício]]),[Líquido p/Ação]),"")</f>
        <v>0</v>
      </c>
      <c r="L540" s="19">
        <f>IF(Tabela8[[#This Row],[Lucro p/Ação]]="","",IF(Tabela8[[#This Row],[Lucro p/Ação]]&gt;0,Tabela8[[#This Row],[Total Exercício]]/Tabela8[[#This Row],[Lucro p/Ação]],0))</f>
        <v>0</v>
      </c>
      <c r="M540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3.6678899999999999</v>
      </c>
      <c r="N54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2.8805425000000002</v>
      </c>
      <c r="O540" s="87">
        <f>IF(Tabela8[[#This Row],[Média Lucro p/Ação]]&lt;&gt;"",Tabela8[[#This Row],[Média Pago]]/Tabela8[[#This Row],[Média Lucro p/Ação]],"")</f>
        <v>0.78534048185741678</v>
      </c>
      <c r="P540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0" s="7">
        <f>SUMPRODUCT(N(Tabela1[Código]=Tabela8[[#This Row],[Papel]]),Tabela1[Fechamento])</f>
        <v>18.64</v>
      </c>
      <c r="R540" s="7">
        <f>SUMPRODUCT(N(Tabela17[Código]=Tabela8[[#This Row],[Papel]]),Tabela17[Fechamento])</f>
        <v>0</v>
      </c>
      <c r="S540" s="7">
        <f>SUMPRODUCT(N(Tabela176[Código]=Tabela8[[#This Row],[Papel]]),Tabela176[Fechamento])</f>
        <v>0</v>
      </c>
      <c r="T540" s="7">
        <f>SUMPRODUCT(N(Tabela1768[Código]=Tabela8[[#This Row],[Papel]]),Tabela1768[Fechamento])</f>
        <v>0</v>
      </c>
      <c r="U540" s="7">
        <f>SUMPRODUCT(N(Tabela17683[Código]=Tabela8[[#This Row],[Papel]]),Tabela17683[Fechamento])</f>
        <v>0</v>
      </c>
      <c r="V540" s="17">
        <f>IF(MAX(Tabela8[[#This Row],[Cotação 1]]:Tabela8[[#This Row],[Cotação 5]])=0,"",MAX(Tabela8[[#This Row],[Cotação 1]]:Tabela8[[#This Row],[Cotação 5]]))</f>
        <v>18.64</v>
      </c>
      <c r="W5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0" s="19">
        <f>IF(AND([Ref]=5,[Cotação]&gt;0,[Cotação]&lt;&gt;""),[Total Exercício]/[Cotação],IF([Ref]&lt;4,0,""))</f>
        <v>0</v>
      </c>
      <c r="Y540" s="17">
        <f>IF([Tipo]="div",1,0)</f>
        <v>0</v>
      </c>
      <c r="Z540" s="17">
        <f>IF([Tipo]="jcp",1,0)</f>
        <v>0</v>
      </c>
    </row>
    <row r="541" spans="1:26" hidden="1">
      <c r="A541" s="4" t="s">
        <v>12</v>
      </c>
      <c r="B541" s="139" t="s">
        <v>499</v>
      </c>
      <c r="C541" s="15">
        <v>5</v>
      </c>
      <c r="D541" s="14">
        <v>2013</v>
      </c>
      <c r="E541" s="4"/>
      <c r="F541" s="137">
        <v>0.72714000000000001</v>
      </c>
      <c r="G541" s="46"/>
      <c r="H541" s="4"/>
      <c r="J541" s="133">
        <f>IF(Tabela8[[#This Row],[Tipo]]="jcp",Tabela8[[#This Row],[Provento p/Ação]]*85%,Tabela8[[#This Row],[Provento p/Ação]])</f>
        <v>0</v>
      </c>
      <c r="K541" s="143">
        <f>IF([Lucro p/Ação]&lt;&gt;0,SUMPRODUCT(N([Papel]=Tabela8[[#This Row],[Papel]]),N([Exercício]=Tabela8[[#This Row],[Exercício]]),[Líquido p/Ação]),"")</f>
        <v>0</v>
      </c>
      <c r="L541" s="19">
        <f>IF(Tabela8[[#This Row],[Lucro p/Ação]]="","",IF(Tabela8[[#This Row],[Lucro p/Ação]]&gt;0,Tabela8[[#This Row],[Total Exercício]]/Tabela8[[#This Row],[Lucro p/Ação]],0))</f>
        <v>0</v>
      </c>
      <c r="M541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1.2226300000000001</v>
      </c>
      <c r="N54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0.96184749999999997</v>
      </c>
      <c r="O541" s="87">
        <f>IF(Tabela8[[#This Row],[Média Lucro p/Ação]]&lt;&gt;"",Tabela8[[#This Row],[Média Pago]]/Tabela8[[#This Row],[Média Lucro p/Ação]],"")</f>
        <v>0.78670366341411535</v>
      </c>
      <c r="P54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1" s="7">
        <f>SUMPRODUCT(N(Tabela1[Código]=Tabela8[[#This Row],[Papel]]),Tabela1[Fechamento])</f>
        <v>0</v>
      </c>
      <c r="R541" s="7">
        <f>SUMPRODUCT(N(Tabela17[Código]=Tabela8[[#This Row],[Papel]]),Tabela17[Fechamento])</f>
        <v>0</v>
      </c>
      <c r="S541" s="7">
        <f>SUMPRODUCT(N(Tabela176[Código]=Tabela8[[#This Row],[Papel]]),Tabela176[Fechamento])</f>
        <v>0</v>
      </c>
      <c r="T541" s="7">
        <f>SUMPRODUCT(N(Tabela1768[Código]=Tabela8[[#This Row],[Papel]]),Tabela1768[Fechamento])</f>
        <v>0</v>
      </c>
      <c r="U541" s="7">
        <f>SUMPRODUCT(N(Tabela17683[Código]=Tabela8[[#This Row],[Papel]]),Tabela17683[Fechamento])</f>
        <v>0</v>
      </c>
      <c r="V541" s="17" t="str">
        <f>IF(MAX(Tabela8[[#This Row],[Cotação 1]]:Tabela8[[#This Row],[Cotação 5]])=0,"",MAX(Tabela8[[#This Row],[Cotação 1]]:Tabela8[[#This Row],[Cotação 5]]))</f>
        <v/>
      </c>
      <c r="W5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1" s="19" t="str">
        <f>IF(AND([Ref]=5,[Cotação]&gt;0,[Cotação]&lt;&gt;""),[Total Exercício]/[Cotação],IF([Ref]&lt;4,0,""))</f>
        <v/>
      </c>
      <c r="Y541" s="17">
        <f>IF([Tipo]="div",1,0)</f>
        <v>0</v>
      </c>
      <c r="Z541" s="17">
        <f>IF([Tipo]="jcp",1,0)</f>
        <v>0</v>
      </c>
    </row>
    <row r="542" spans="1:26" hidden="1">
      <c r="A542" s="4" t="s">
        <v>12</v>
      </c>
      <c r="B542" s="131" t="s">
        <v>500</v>
      </c>
      <c r="C542" s="15">
        <v>5</v>
      </c>
      <c r="D542" s="14">
        <v>2013</v>
      </c>
      <c r="E542" s="4"/>
      <c r="F542" s="137">
        <v>0.72714000000000001</v>
      </c>
      <c r="G542" s="46"/>
      <c r="H542" s="4"/>
      <c r="J542" s="133">
        <f>IF(Tabela8[[#This Row],[Tipo]]="jcp",Tabela8[[#This Row],[Provento p/Ação]]*85%,Tabela8[[#This Row],[Provento p/Ação]])</f>
        <v>0</v>
      </c>
      <c r="K542" s="143">
        <f>IF([Lucro p/Ação]&lt;&gt;0,SUMPRODUCT(N([Papel]=Tabela8[[#This Row],[Papel]]),N([Exercício]=Tabela8[[#This Row],[Exercício]]),[Líquido p/Ação]),"")</f>
        <v>0</v>
      </c>
      <c r="L542" s="19">
        <f>IF(Tabela8[[#This Row],[Lucro p/Ação]]="","",IF(Tabela8[[#This Row],[Lucro p/Ação]]&gt;0,Tabela8[[#This Row],[Total Exercício]]/Tabela8[[#This Row],[Lucro p/Ação]],0))</f>
        <v>0</v>
      </c>
      <c r="M542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1.2226300000000001</v>
      </c>
      <c r="N54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0.95934750000000002</v>
      </c>
      <c r="O542" s="87">
        <f>IF(Tabela8[[#This Row],[Média Lucro p/Ação]]&lt;&gt;"",Tabela8[[#This Row],[Média Pago]]/Tabela8[[#This Row],[Média Lucro p/Ação]],"")</f>
        <v>0.78465889107906717</v>
      </c>
      <c r="P54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2" s="7">
        <f>SUMPRODUCT(N(Tabela1[Código]=Tabela8[[#This Row],[Papel]]),Tabela1[Fechamento])</f>
        <v>0</v>
      </c>
      <c r="R542" s="7">
        <f>SUMPRODUCT(N(Tabela17[Código]=Tabela8[[#This Row],[Papel]]),Tabela17[Fechamento])</f>
        <v>0</v>
      </c>
      <c r="S542" s="7">
        <f>SUMPRODUCT(N(Tabela176[Código]=Tabela8[[#This Row],[Papel]]),Tabela176[Fechamento])</f>
        <v>0</v>
      </c>
      <c r="T542" s="7">
        <f>SUMPRODUCT(N(Tabela1768[Código]=Tabela8[[#This Row],[Papel]]),Tabela1768[Fechamento])</f>
        <v>0</v>
      </c>
      <c r="U542" s="7">
        <f>SUMPRODUCT(N(Tabela17683[Código]=Tabela8[[#This Row],[Papel]]),Tabela17683[Fechamento])</f>
        <v>0</v>
      </c>
      <c r="V542" s="17" t="str">
        <f>IF(MAX(Tabela8[[#This Row],[Cotação 1]]:Tabela8[[#This Row],[Cotação 5]])=0,"",MAX(Tabela8[[#This Row],[Cotação 1]]:Tabela8[[#This Row],[Cotação 5]]))</f>
        <v/>
      </c>
      <c r="W5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2" s="19" t="str">
        <f>IF(AND([Ref]=5,[Cotação]&gt;0,[Cotação]&lt;&gt;""),[Total Exercício]/[Cotação],IF([Ref]&lt;4,0,""))</f>
        <v/>
      </c>
      <c r="Y542" s="17">
        <f>IF([Tipo]="div",1,0)</f>
        <v>0</v>
      </c>
      <c r="Z542" s="17">
        <f>IF([Tipo]="jcp",1,0)</f>
        <v>0</v>
      </c>
    </row>
    <row r="543" spans="1:26" hidden="1">
      <c r="A543" s="4" t="s">
        <v>14</v>
      </c>
      <c r="B543" s="3" t="s">
        <v>24</v>
      </c>
      <c r="C543" s="15">
        <v>4</v>
      </c>
      <c r="D543" s="4">
        <v>2010</v>
      </c>
      <c r="E543" s="14" t="s">
        <v>1475</v>
      </c>
      <c r="G543" s="145">
        <v>40436</v>
      </c>
      <c r="H543" s="46">
        <v>40512</v>
      </c>
      <c r="I543" s="4">
        <v>0.23558000000000001</v>
      </c>
      <c r="J543" s="133">
        <f>IF(Tabela8[[#This Row],[Tipo]]="jcp",Tabela8[[#This Row],[Provento p/Ação]]*85%,Tabela8[[#This Row],[Provento p/Ação]])</f>
        <v>0.200243</v>
      </c>
      <c r="K543" s="133" t="str">
        <f>IF([Lucro p/Ação]&lt;&gt;0,SUMPRODUCT(N([Papel]=Tabela8[[#This Row],[Papel]]),N([Exercício]=Tabela8[[#This Row],[Exercício]]),[Líquido p/Ação]),"")</f>
        <v/>
      </c>
      <c r="L543" s="42" t="str">
        <f>IF(Tabela8[[#This Row],[Lucro p/Ação]]="","",IF(Tabela8[[#This Row],[Lucro p/Ação]]&gt;0,Tabela8[[#This Row],[Total Exercício]]/Tabela8[[#This Row],[Lucro p/Ação]],0))</f>
        <v/>
      </c>
      <c r="M54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3" s="19" t="str">
        <f>IF(Tabela8[[#This Row],[Média Lucro p/Ação]]&lt;&gt;"",Tabela8[[#This Row],[Média Pago]]/Tabela8[[#This Row],[Média Lucro p/Ação]],"")</f>
        <v/>
      </c>
      <c r="P5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3" s="134">
        <f>SUMPRODUCT(N(Tabela1[Código]=Tabela8[[#This Row],[Papel]]),Tabela1[Fechamento])</f>
        <v>19.77</v>
      </c>
      <c r="R543" s="17">
        <f>SUMPRODUCT(N(Tabela17[Código]=Tabela8[[#This Row],[Papel]]),Tabela17[Fechamento])</f>
        <v>0</v>
      </c>
      <c r="S543" s="17">
        <f>SUMPRODUCT(N(Tabela176[Código]=Tabela8[[#This Row],[Papel]]),Tabela176[Fechamento])</f>
        <v>0</v>
      </c>
      <c r="T543" s="17">
        <f>SUMPRODUCT(N(Tabela1768[Código]=Tabela8[[#This Row],[Papel]]),Tabela1768[Fechamento])</f>
        <v>0</v>
      </c>
      <c r="U543" s="17">
        <f>SUMPRODUCT(N(Tabela17683[Código]=Tabela8[[#This Row],[Papel]]),Tabela17683[Fechamento])</f>
        <v>0</v>
      </c>
      <c r="V543" s="17">
        <f>IF(MAX(Tabela8[[#This Row],[Cotação 1]]:Tabela8[[#This Row],[Cotação 5]])=0,"",MAX(Tabela8[[#This Row],[Cotação 1]]:Tabela8[[#This Row],[Cotação 5]]))</f>
        <v>19.77</v>
      </c>
      <c r="W5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3" s="19" t="str">
        <f>IF(AND([Ref]=5,[Cotação]&gt;0,[Cotação]&lt;&gt;""),[Total Exercício]/[Cotação],IF([Ref]&lt;4,0,""))</f>
        <v/>
      </c>
      <c r="Y543" s="17">
        <f>IF([Tipo]="div",1,0)</f>
        <v>0</v>
      </c>
      <c r="Z543" s="17">
        <f>IF([Tipo]="jcp",1,0)</f>
        <v>1</v>
      </c>
    </row>
    <row r="544" spans="1:26" hidden="1">
      <c r="A544" s="4" t="s">
        <v>14</v>
      </c>
      <c r="B544" s="3" t="s">
        <v>24</v>
      </c>
      <c r="C544" s="15">
        <v>4</v>
      </c>
      <c r="D544" s="4">
        <v>2010</v>
      </c>
      <c r="E544" s="14" t="s">
        <v>1475</v>
      </c>
      <c r="G544" s="145">
        <v>40436</v>
      </c>
      <c r="H544" s="46">
        <v>40512</v>
      </c>
      <c r="I544" s="4">
        <v>4.8999999999999998E-4</v>
      </c>
      <c r="J544" s="133">
        <f>IF(Tabela8[[#This Row],[Tipo]]="jcp",Tabela8[[#This Row],[Provento p/Ação]]*85%,Tabela8[[#This Row],[Provento p/Ação]])</f>
        <v>4.1649999999999999E-4</v>
      </c>
      <c r="K544" s="133" t="str">
        <f>IF([Lucro p/Ação]&lt;&gt;0,SUMPRODUCT(N([Papel]=Tabela8[[#This Row],[Papel]]),N([Exercício]=Tabela8[[#This Row],[Exercício]]),[Líquido p/Ação]),"")</f>
        <v/>
      </c>
      <c r="L544" s="42" t="str">
        <f>IF(Tabela8[[#This Row],[Lucro p/Ação]]="","",IF(Tabela8[[#This Row],[Lucro p/Ação]]&gt;0,Tabela8[[#This Row],[Total Exercício]]/Tabela8[[#This Row],[Lucro p/Ação]],0))</f>
        <v/>
      </c>
      <c r="M54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4" s="19" t="str">
        <f>IF(Tabela8[[#This Row],[Média Lucro p/Ação]]&lt;&gt;"",Tabela8[[#This Row],[Média Pago]]/Tabela8[[#This Row],[Média Lucro p/Ação]],"")</f>
        <v/>
      </c>
      <c r="P5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4" s="134">
        <f>SUMPRODUCT(N(Tabela1[Código]=Tabela8[[#This Row],[Papel]]),Tabela1[Fechamento])</f>
        <v>19.77</v>
      </c>
      <c r="R544" s="17">
        <f>SUMPRODUCT(N(Tabela17[Código]=Tabela8[[#This Row],[Papel]]),Tabela17[Fechamento])</f>
        <v>0</v>
      </c>
      <c r="S544" s="17">
        <f>SUMPRODUCT(N(Tabela176[Código]=Tabela8[[#This Row],[Papel]]),Tabela176[Fechamento])</f>
        <v>0</v>
      </c>
      <c r="T544" s="17">
        <f>SUMPRODUCT(N(Tabela1768[Código]=Tabela8[[#This Row],[Papel]]),Tabela1768[Fechamento])</f>
        <v>0</v>
      </c>
      <c r="U544" s="17">
        <f>SUMPRODUCT(N(Tabela17683[Código]=Tabela8[[#This Row],[Papel]]),Tabela17683[Fechamento])</f>
        <v>0</v>
      </c>
      <c r="V544" s="17">
        <f>IF(MAX(Tabela8[[#This Row],[Cotação 1]]:Tabela8[[#This Row],[Cotação 5]])=0,"",MAX(Tabela8[[#This Row],[Cotação 1]]:Tabela8[[#This Row],[Cotação 5]]))</f>
        <v>19.77</v>
      </c>
      <c r="W5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4" s="19" t="str">
        <f>IF(AND([Ref]=5,[Cotação]&gt;0,[Cotação]&lt;&gt;""),[Total Exercício]/[Cotação],IF([Ref]&lt;4,0,""))</f>
        <v/>
      </c>
      <c r="Y544" s="17">
        <f>IF([Tipo]="div",1,0)</f>
        <v>0</v>
      </c>
      <c r="Z544" s="17">
        <f>IF([Tipo]="jcp",1,0)</f>
        <v>1</v>
      </c>
    </row>
    <row r="545" spans="1:26" hidden="1">
      <c r="A545" s="4" t="s">
        <v>14</v>
      </c>
      <c r="B545" s="3" t="s">
        <v>24</v>
      </c>
      <c r="C545" s="15">
        <v>4</v>
      </c>
      <c r="D545" s="4">
        <v>2010</v>
      </c>
      <c r="E545" s="14" t="s">
        <v>1475</v>
      </c>
      <c r="G545" s="145">
        <v>40436</v>
      </c>
      <c r="H545" s="46">
        <v>40512</v>
      </c>
      <c r="I545" s="4">
        <v>9.2200000000000008E-3</v>
      </c>
      <c r="J545" s="133">
        <f>IF(Tabela8[[#This Row],[Tipo]]="jcp",Tabela8[[#This Row],[Provento p/Ação]]*85%,Tabela8[[#This Row],[Provento p/Ação]])</f>
        <v>7.8370000000000002E-3</v>
      </c>
      <c r="K545" s="133" t="str">
        <f>IF([Lucro p/Ação]&lt;&gt;0,SUMPRODUCT(N([Papel]=Tabela8[[#This Row],[Papel]]),N([Exercício]=Tabela8[[#This Row],[Exercício]]),[Líquido p/Ação]),"")</f>
        <v/>
      </c>
      <c r="L545" s="42" t="str">
        <f>IF(Tabela8[[#This Row],[Lucro p/Ação]]="","",IF(Tabela8[[#This Row],[Lucro p/Ação]]&gt;0,Tabela8[[#This Row],[Total Exercício]]/Tabela8[[#This Row],[Lucro p/Ação]],0))</f>
        <v/>
      </c>
      <c r="M54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5" s="19" t="str">
        <f>IF(Tabela8[[#This Row],[Média Lucro p/Ação]]&lt;&gt;"",Tabela8[[#This Row],[Média Pago]]/Tabela8[[#This Row],[Média Lucro p/Ação]],"")</f>
        <v/>
      </c>
      <c r="P5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5" s="134">
        <f>SUMPRODUCT(N(Tabela1[Código]=Tabela8[[#This Row],[Papel]]),Tabela1[Fechamento])</f>
        <v>19.77</v>
      </c>
      <c r="R545" s="17">
        <f>SUMPRODUCT(N(Tabela17[Código]=Tabela8[[#This Row],[Papel]]),Tabela17[Fechamento])</f>
        <v>0</v>
      </c>
      <c r="S545" s="17">
        <f>SUMPRODUCT(N(Tabela176[Código]=Tabela8[[#This Row],[Papel]]),Tabela176[Fechamento])</f>
        <v>0</v>
      </c>
      <c r="T545" s="17">
        <f>SUMPRODUCT(N(Tabela1768[Código]=Tabela8[[#This Row],[Papel]]),Tabela1768[Fechamento])</f>
        <v>0</v>
      </c>
      <c r="U545" s="17">
        <f>SUMPRODUCT(N(Tabela17683[Código]=Tabela8[[#This Row],[Papel]]),Tabela17683[Fechamento])</f>
        <v>0</v>
      </c>
      <c r="V545" s="17">
        <f>IF(MAX(Tabela8[[#This Row],[Cotação 1]]:Tabela8[[#This Row],[Cotação 5]])=0,"",MAX(Tabela8[[#This Row],[Cotação 1]]:Tabela8[[#This Row],[Cotação 5]]))</f>
        <v>19.77</v>
      </c>
      <c r="W5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5" s="19" t="str">
        <f>IF(AND([Ref]=5,[Cotação]&gt;0,[Cotação]&lt;&gt;""),[Total Exercício]/[Cotação],IF([Ref]&lt;4,0,""))</f>
        <v/>
      </c>
      <c r="Y545" s="17">
        <f>IF([Tipo]="div",1,0)</f>
        <v>0</v>
      </c>
      <c r="Z545" s="17">
        <f>IF([Tipo]="jcp",1,0)</f>
        <v>1</v>
      </c>
    </row>
    <row r="546" spans="1:26" hidden="1">
      <c r="A546" s="4" t="s">
        <v>14</v>
      </c>
      <c r="B546" s="3" t="s">
        <v>24</v>
      </c>
      <c r="C546" s="15">
        <v>4</v>
      </c>
      <c r="D546" s="4">
        <v>2010</v>
      </c>
      <c r="E546" s="14" t="s">
        <v>1475</v>
      </c>
      <c r="G546" s="145">
        <v>40519</v>
      </c>
      <c r="H546" s="46">
        <v>40542</v>
      </c>
      <c r="I546" s="4">
        <v>0.23971999999999999</v>
      </c>
      <c r="J546" s="133">
        <f>IF(Tabela8[[#This Row],[Tipo]]="jcp",Tabela8[[#This Row],[Provento p/Ação]]*85%,Tabela8[[#This Row],[Provento p/Ação]])</f>
        <v>0.203762</v>
      </c>
      <c r="K546" s="133" t="str">
        <f>IF([Lucro p/Ação]&lt;&gt;0,SUMPRODUCT(N([Papel]=Tabela8[[#This Row],[Papel]]),N([Exercício]=Tabela8[[#This Row],[Exercício]]),[Líquido p/Ação]),"")</f>
        <v/>
      </c>
      <c r="L546" s="42" t="str">
        <f>IF(Tabela8[[#This Row],[Lucro p/Ação]]="","",IF(Tabela8[[#This Row],[Lucro p/Ação]]&gt;0,Tabela8[[#This Row],[Total Exercício]]/Tabela8[[#This Row],[Lucro p/Ação]],0))</f>
        <v/>
      </c>
      <c r="M546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6" s="19" t="str">
        <f>IF(Tabela8[[#This Row],[Média Lucro p/Ação]]&lt;&gt;"",Tabela8[[#This Row],[Média Pago]]/Tabela8[[#This Row],[Média Lucro p/Ação]],"")</f>
        <v/>
      </c>
      <c r="P5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6" s="134">
        <f>SUMPRODUCT(N(Tabela1[Código]=Tabela8[[#This Row],[Papel]]),Tabela1[Fechamento])</f>
        <v>19.77</v>
      </c>
      <c r="R546" s="17">
        <f>SUMPRODUCT(N(Tabela17[Código]=Tabela8[[#This Row],[Papel]]),Tabela17[Fechamento])</f>
        <v>0</v>
      </c>
      <c r="S546" s="17">
        <f>SUMPRODUCT(N(Tabela176[Código]=Tabela8[[#This Row],[Papel]]),Tabela176[Fechamento])</f>
        <v>0</v>
      </c>
      <c r="T546" s="17">
        <f>SUMPRODUCT(N(Tabela1768[Código]=Tabela8[[#This Row],[Papel]]),Tabela1768[Fechamento])</f>
        <v>0</v>
      </c>
      <c r="U546" s="17">
        <f>SUMPRODUCT(N(Tabela17683[Código]=Tabela8[[#This Row],[Papel]]),Tabela17683[Fechamento])</f>
        <v>0</v>
      </c>
      <c r="V546" s="17">
        <f>IF(MAX(Tabela8[[#This Row],[Cotação 1]]:Tabela8[[#This Row],[Cotação 5]])=0,"",MAX(Tabela8[[#This Row],[Cotação 1]]:Tabela8[[#This Row],[Cotação 5]]))</f>
        <v>19.77</v>
      </c>
      <c r="W5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6" s="19" t="str">
        <f>IF(AND([Ref]=5,[Cotação]&gt;0,[Cotação]&lt;&gt;""),[Total Exercício]/[Cotação],IF([Ref]&lt;4,0,""))</f>
        <v/>
      </c>
      <c r="Y546" s="17">
        <f>IF([Tipo]="div",1,0)</f>
        <v>0</v>
      </c>
      <c r="Z546" s="17">
        <f>IF([Tipo]="jcp",1,0)</f>
        <v>1</v>
      </c>
    </row>
    <row r="547" spans="1:26" hidden="1">
      <c r="A547" s="4" t="s">
        <v>14</v>
      </c>
      <c r="B547" s="3" t="s">
        <v>24</v>
      </c>
      <c r="C547" s="15">
        <v>5</v>
      </c>
      <c r="D547" s="4">
        <v>2010</v>
      </c>
      <c r="E547" s="14" t="s">
        <v>1468</v>
      </c>
      <c r="F547" s="133">
        <v>4.3356199999999996</v>
      </c>
      <c r="G547" s="145">
        <v>40589</v>
      </c>
      <c r="H547" s="46">
        <v>40602</v>
      </c>
      <c r="I547" s="4">
        <v>0.32522000000000001</v>
      </c>
      <c r="J547" s="133">
        <f>IF(Tabela8[[#This Row],[Tipo]]="jcp",Tabela8[[#This Row],[Provento p/Ação]]*85%,Tabela8[[#This Row],[Provento p/Ação]])</f>
        <v>0.32522000000000001</v>
      </c>
      <c r="K547" s="133">
        <f>IF([Lucro p/Ação]&lt;&gt;0,SUMPRODUCT(N([Papel]=Tabela8[[#This Row],[Papel]]),N([Exercício]=Tabela8[[#This Row],[Exercício]]),[Líquido p/Ação]),"")</f>
        <v>0.86889850000000002</v>
      </c>
      <c r="L547" s="42">
        <f>IF(Tabela8[[#This Row],[Lucro p/Ação]]="","",IF(Tabela8[[#This Row],[Lucro p/Ação]]&gt;0,Tabela8[[#This Row],[Total Exercício]]/Tabela8[[#This Row],[Lucro p/Ação]],0))</f>
        <v>0.2004092840239689</v>
      </c>
      <c r="M547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4.3356199999999996</v>
      </c>
      <c r="N54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0.86889850000000002</v>
      </c>
      <c r="O547" s="19">
        <f>IF(Tabela8[[#This Row],[Média Lucro p/Ação]]&lt;&gt;"",Tabela8[[#This Row],[Média Pago]]/Tabela8[[#This Row],[Média Lucro p/Ação]],"")</f>
        <v>0.2004092840239689</v>
      </c>
      <c r="P5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7" s="134">
        <f>SUMPRODUCT(N(Tabela1[Código]=Tabela8[[#This Row],[Papel]]),Tabela1[Fechamento])</f>
        <v>19.77</v>
      </c>
      <c r="R547" s="17">
        <f>SUMPRODUCT(N(Tabela17[Código]=Tabela8[[#This Row],[Papel]]),Tabela17[Fechamento])</f>
        <v>0</v>
      </c>
      <c r="S547" s="17">
        <f>SUMPRODUCT(N(Tabela176[Código]=Tabela8[[#This Row],[Papel]]),Tabela176[Fechamento])</f>
        <v>0</v>
      </c>
      <c r="T547" s="17">
        <f>SUMPRODUCT(N(Tabela1768[Código]=Tabela8[[#This Row],[Papel]]),Tabela1768[Fechamento])</f>
        <v>0</v>
      </c>
      <c r="U547" s="17">
        <f>SUMPRODUCT(N(Tabela17683[Código]=Tabela8[[#This Row],[Papel]]),Tabela17683[Fechamento])</f>
        <v>0</v>
      </c>
      <c r="V547" s="17">
        <f>IF(MAX(Tabela8[[#This Row],[Cotação 1]]:Tabela8[[#This Row],[Cotação 5]])=0,"",MAX(Tabela8[[#This Row],[Cotação 1]]:Tabela8[[#This Row],[Cotação 5]]))</f>
        <v>19.77</v>
      </c>
      <c r="W5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7" s="19">
        <f>IF(AND([Ref]=5,[Cotação]&gt;0,[Cotação]&lt;&gt;""),[Total Exercício]/[Cotação],IF([Ref]&lt;4,0,""))</f>
        <v>4.3950354071826001E-2</v>
      </c>
      <c r="Y547" s="17">
        <f>IF([Tipo]="div",1,0)</f>
        <v>1</v>
      </c>
      <c r="Z547" s="17">
        <f>IF([Tipo]="jcp",1,0)</f>
        <v>0</v>
      </c>
    </row>
    <row r="548" spans="1:26" hidden="1">
      <c r="A548" s="4" t="s">
        <v>14</v>
      </c>
      <c r="B548" s="3" t="s">
        <v>24</v>
      </c>
      <c r="C548" s="15">
        <v>4</v>
      </c>
      <c r="D548" s="4">
        <v>2011</v>
      </c>
      <c r="E548" s="14" t="s">
        <v>1475</v>
      </c>
      <c r="G548" s="145">
        <v>40890</v>
      </c>
      <c r="H548" s="46">
        <v>40946</v>
      </c>
      <c r="I548" s="4">
        <v>0.27740999999999999</v>
      </c>
      <c r="J548" s="133">
        <f>IF(Tabela8[[#This Row],[Tipo]]="jcp",Tabela8[[#This Row],[Provento p/Ação]]*85%,Tabela8[[#This Row],[Provento p/Ação]])</f>
        <v>0.23579849999999999</v>
      </c>
      <c r="K548" s="133" t="str">
        <f>IF([Lucro p/Ação]&lt;&gt;0,SUMPRODUCT(N([Papel]=Tabela8[[#This Row],[Papel]]),N([Exercício]=Tabela8[[#This Row],[Exercício]]),[Líquido p/Ação]),"")</f>
        <v/>
      </c>
      <c r="L548" s="42" t="str">
        <f>IF(Tabela8[[#This Row],[Lucro p/Ação]]="","",IF(Tabela8[[#This Row],[Lucro p/Ação]]&gt;0,Tabela8[[#This Row],[Total Exercício]]/Tabela8[[#This Row],[Lucro p/Ação]],0))</f>
        <v/>
      </c>
      <c r="M54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8" s="19" t="str">
        <f>IF(Tabela8[[#This Row],[Média Lucro p/Ação]]&lt;&gt;"",Tabela8[[#This Row],[Média Pago]]/Tabela8[[#This Row],[Média Lucro p/Ação]],"")</f>
        <v/>
      </c>
      <c r="P5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8" s="134">
        <f>SUMPRODUCT(N(Tabela1[Código]=Tabela8[[#This Row],[Papel]]),Tabela1[Fechamento])</f>
        <v>19.77</v>
      </c>
      <c r="R548" s="17">
        <f>SUMPRODUCT(N(Tabela17[Código]=Tabela8[[#This Row],[Papel]]),Tabela17[Fechamento])</f>
        <v>0</v>
      </c>
      <c r="S548" s="17">
        <f>SUMPRODUCT(N(Tabela176[Código]=Tabela8[[#This Row],[Papel]]),Tabela176[Fechamento])</f>
        <v>0</v>
      </c>
      <c r="T548" s="17">
        <f>SUMPRODUCT(N(Tabela1768[Código]=Tabela8[[#This Row],[Papel]]),Tabela1768[Fechamento])</f>
        <v>0</v>
      </c>
      <c r="U548" s="17">
        <f>SUMPRODUCT(N(Tabela17683[Código]=Tabela8[[#This Row],[Papel]]),Tabela17683[Fechamento])</f>
        <v>0</v>
      </c>
      <c r="V548" s="17">
        <f>IF(MAX(Tabela8[[#This Row],[Cotação 1]]:Tabela8[[#This Row],[Cotação 5]])=0,"",MAX(Tabela8[[#This Row],[Cotação 1]]:Tabela8[[#This Row],[Cotação 5]]))</f>
        <v>19.77</v>
      </c>
      <c r="W5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8" s="19" t="str">
        <f>IF(AND([Ref]=5,[Cotação]&gt;0,[Cotação]&lt;&gt;""),[Total Exercício]/[Cotação],IF([Ref]&lt;4,0,""))</f>
        <v/>
      </c>
      <c r="Y548" s="17">
        <f>IF([Tipo]="div",1,0)</f>
        <v>0</v>
      </c>
      <c r="Z548" s="17">
        <f>IF([Tipo]="jcp",1,0)</f>
        <v>1</v>
      </c>
    </row>
    <row r="549" spans="1:26" hidden="1">
      <c r="A549" s="4" t="s">
        <v>14</v>
      </c>
      <c r="B549" s="3" t="s">
        <v>24</v>
      </c>
      <c r="C549" s="15">
        <v>4</v>
      </c>
      <c r="D549" s="4">
        <v>2011</v>
      </c>
      <c r="E549" s="14" t="s">
        <v>1468</v>
      </c>
      <c r="G549" s="145">
        <v>40666</v>
      </c>
      <c r="H549" s="46">
        <v>40690</v>
      </c>
      <c r="I549" s="4">
        <v>0.15695999999999999</v>
      </c>
      <c r="J549" s="133">
        <f>IF(Tabela8[[#This Row],[Tipo]]="jcp",Tabela8[[#This Row],[Provento p/Ação]]*85%,Tabela8[[#This Row],[Provento p/Ação]])</f>
        <v>0.15695999999999999</v>
      </c>
      <c r="K549" s="133" t="str">
        <f>IF([Lucro p/Ação]&lt;&gt;0,SUMPRODUCT(N([Papel]=Tabela8[[#This Row],[Papel]]),N([Exercício]=Tabela8[[#This Row],[Exercício]]),[Líquido p/Ação]),"")</f>
        <v/>
      </c>
      <c r="L549" s="42" t="str">
        <f>IF(Tabela8[[#This Row],[Lucro p/Ação]]="","",IF(Tabela8[[#This Row],[Lucro p/Ação]]&gt;0,Tabela8[[#This Row],[Total Exercício]]/Tabela8[[#This Row],[Lucro p/Ação]],0))</f>
        <v/>
      </c>
      <c r="M54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4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49" s="19" t="str">
        <f>IF(Tabela8[[#This Row],[Média Lucro p/Ação]]&lt;&gt;"",Tabela8[[#This Row],[Média Pago]]/Tabela8[[#This Row],[Média Lucro p/Ação]],"")</f>
        <v/>
      </c>
      <c r="P5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49" s="134">
        <f>SUMPRODUCT(N(Tabela1[Código]=Tabela8[[#This Row],[Papel]]),Tabela1[Fechamento])</f>
        <v>19.77</v>
      </c>
      <c r="R549" s="17">
        <f>SUMPRODUCT(N(Tabela17[Código]=Tabela8[[#This Row],[Papel]]),Tabela17[Fechamento])</f>
        <v>0</v>
      </c>
      <c r="S549" s="17">
        <f>SUMPRODUCT(N(Tabela176[Código]=Tabela8[[#This Row],[Papel]]),Tabela176[Fechamento])</f>
        <v>0</v>
      </c>
      <c r="T549" s="17">
        <f>SUMPRODUCT(N(Tabela1768[Código]=Tabela8[[#This Row],[Papel]]),Tabela1768[Fechamento])</f>
        <v>0</v>
      </c>
      <c r="U549" s="17">
        <f>SUMPRODUCT(N(Tabela17683[Código]=Tabela8[[#This Row],[Papel]]),Tabela17683[Fechamento])</f>
        <v>0</v>
      </c>
      <c r="V549" s="17">
        <f>IF(MAX(Tabela8[[#This Row],[Cotação 1]]:Tabela8[[#This Row],[Cotação 5]])=0,"",MAX(Tabela8[[#This Row],[Cotação 1]]:Tabela8[[#This Row],[Cotação 5]]))</f>
        <v>19.77</v>
      </c>
      <c r="W5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49" s="19" t="str">
        <f>IF(AND([Ref]=5,[Cotação]&gt;0,[Cotação]&lt;&gt;""),[Total Exercício]/[Cotação],IF([Ref]&lt;4,0,""))</f>
        <v/>
      </c>
      <c r="Y549" s="17">
        <f>IF([Tipo]="div",1,0)</f>
        <v>1</v>
      </c>
      <c r="Z549" s="17">
        <f>IF([Tipo]="jcp",1,0)</f>
        <v>0</v>
      </c>
    </row>
    <row r="550" spans="1:26" hidden="1">
      <c r="A550" s="4" t="s">
        <v>14</v>
      </c>
      <c r="B550" s="3" t="s">
        <v>24</v>
      </c>
      <c r="C550" s="15">
        <v>4</v>
      </c>
      <c r="D550" s="4">
        <v>2011</v>
      </c>
      <c r="E550" s="14" t="s">
        <v>1475</v>
      </c>
      <c r="G550" s="145">
        <v>40617</v>
      </c>
      <c r="H550" s="46">
        <v>40690</v>
      </c>
      <c r="I550" s="4">
        <v>0.25305</v>
      </c>
      <c r="J550" s="133">
        <f>IF(Tabela8[[#This Row],[Tipo]]="jcp",Tabela8[[#This Row],[Provento p/Ação]]*85%,Tabela8[[#This Row],[Provento p/Ação]])</f>
        <v>0.21509249999999999</v>
      </c>
      <c r="K550" s="133" t="str">
        <f>IF([Lucro p/Ação]&lt;&gt;0,SUMPRODUCT(N([Papel]=Tabela8[[#This Row],[Papel]]),N([Exercício]=Tabela8[[#This Row],[Exercício]]),[Líquido p/Ação]),"")</f>
        <v/>
      </c>
      <c r="L550" s="42" t="str">
        <f>IF(Tabela8[[#This Row],[Lucro p/Ação]]="","",IF(Tabela8[[#This Row],[Lucro p/Ação]]&gt;0,Tabela8[[#This Row],[Total Exercício]]/Tabela8[[#This Row],[Lucro p/Ação]],0))</f>
        <v/>
      </c>
      <c r="M55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0" s="19" t="str">
        <f>IF(Tabela8[[#This Row],[Média Lucro p/Ação]]&lt;&gt;"",Tabela8[[#This Row],[Média Pago]]/Tabela8[[#This Row],[Média Lucro p/Ação]],"")</f>
        <v/>
      </c>
      <c r="P5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0" s="134">
        <f>SUMPRODUCT(N(Tabela1[Código]=Tabela8[[#This Row],[Papel]]),Tabela1[Fechamento])</f>
        <v>19.77</v>
      </c>
      <c r="R550" s="17">
        <f>SUMPRODUCT(N(Tabela17[Código]=Tabela8[[#This Row],[Papel]]),Tabela17[Fechamento])</f>
        <v>0</v>
      </c>
      <c r="S550" s="17">
        <f>SUMPRODUCT(N(Tabela176[Código]=Tabela8[[#This Row],[Papel]]),Tabela176[Fechamento])</f>
        <v>0</v>
      </c>
      <c r="T550" s="17">
        <f>SUMPRODUCT(N(Tabela1768[Código]=Tabela8[[#This Row],[Papel]]),Tabela1768[Fechamento])</f>
        <v>0</v>
      </c>
      <c r="U550" s="17">
        <f>SUMPRODUCT(N(Tabela17683[Código]=Tabela8[[#This Row],[Papel]]),Tabela17683[Fechamento])</f>
        <v>0</v>
      </c>
      <c r="V550" s="17">
        <f>IF(MAX(Tabela8[[#This Row],[Cotação 1]]:Tabela8[[#This Row],[Cotação 5]])=0,"",MAX(Tabela8[[#This Row],[Cotação 1]]:Tabela8[[#This Row],[Cotação 5]]))</f>
        <v>19.77</v>
      </c>
      <c r="W5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0" s="19" t="str">
        <f>IF(AND([Ref]=5,[Cotação]&gt;0,[Cotação]&lt;&gt;""),[Total Exercício]/[Cotação],IF([Ref]&lt;4,0,""))</f>
        <v/>
      </c>
      <c r="Y550" s="17">
        <f>IF([Tipo]="div",1,0)</f>
        <v>0</v>
      </c>
      <c r="Z550" s="17">
        <f>IF([Tipo]="jcp",1,0)</f>
        <v>1</v>
      </c>
    </row>
    <row r="551" spans="1:26" hidden="1">
      <c r="A551" s="4" t="s">
        <v>14</v>
      </c>
      <c r="B551" s="3" t="s">
        <v>24</v>
      </c>
      <c r="C551" s="15">
        <v>4</v>
      </c>
      <c r="D551" s="4">
        <v>2011</v>
      </c>
      <c r="E551" s="14" t="s">
        <v>1468</v>
      </c>
      <c r="G551" s="145">
        <v>40589</v>
      </c>
      <c r="H551" s="46">
        <v>40602</v>
      </c>
      <c r="I551" s="4">
        <v>0.32068999999999998</v>
      </c>
      <c r="J551" s="133">
        <f>IF(Tabela8[[#This Row],[Tipo]]="jcp",Tabela8[[#This Row],[Provento p/Ação]]*85%,Tabela8[[#This Row],[Provento p/Ação]])</f>
        <v>0.32068999999999998</v>
      </c>
      <c r="K551" s="133" t="str">
        <f>IF([Lucro p/Ação]&lt;&gt;0,SUMPRODUCT(N([Papel]=Tabela8[[#This Row],[Papel]]),N([Exercício]=Tabela8[[#This Row],[Exercício]]),[Líquido p/Ação]),"")</f>
        <v/>
      </c>
      <c r="L551" s="42" t="str">
        <f>IF(Tabela8[[#This Row],[Lucro p/Ação]]="","",IF(Tabela8[[#This Row],[Lucro p/Ação]]&gt;0,Tabela8[[#This Row],[Total Exercício]]/Tabela8[[#This Row],[Lucro p/Ação]],0))</f>
        <v/>
      </c>
      <c r="M55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1" s="19" t="str">
        <f>IF(Tabela8[[#This Row],[Média Lucro p/Ação]]&lt;&gt;"",Tabela8[[#This Row],[Média Pago]]/Tabela8[[#This Row],[Média Lucro p/Ação]],"")</f>
        <v/>
      </c>
      <c r="P5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1" s="134">
        <f>SUMPRODUCT(N(Tabela1[Código]=Tabela8[[#This Row],[Papel]]),Tabela1[Fechamento])</f>
        <v>19.77</v>
      </c>
      <c r="R551" s="17">
        <f>SUMPRODUCT(N(Tabela17[Código]=Tabela8[[#This Row],[Papel]]),Tabela17[Fechamento])</f>
        <v>0</v>
      </c>
      <c r="S551" s="17">
        <f>SUMPRODUCT(N(Tabela176[Código]=Tabela8[[#This Row],[Papel]]),Tabela176[Fechamento])</f>
        <v>0</v>
      </c>
      <c r="T551" s="17">
        <f>SUMPRODUCT(N(Tabela1768[Código]=Tabela8[[#This Row],[Papel]]),Tabela1768[Fechamento])</f>
        <v>0</v>
      </c>
      <c r="U551" s="17">
        <f>SUMPRODUCT(N(Tabela17683[Código]=Tabela8[[#This Row],[Papel]]),Tabela17683[Fechamento])</f>
        <v>0</v>
      </c>
      <c r="V551" s="17">
        <f>IF(MAX(Tabela8[[#This Row],[Cotação 1]]:Tabela8[[#This Row],[Cotação 5]])=0,"",MAX(Tabela8[[#This Row],[Cotação 1]]:Tabela8[[#This Row],[Cotação 5]]))</f>
        <v>19.77</v>
      </c>
      <c r="W5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1" s="19" t="str">
        <f>IF(AND([Ref]=5,[Cotação]&gt;0,[Cotação]&lt;&gt;""),[Total Exercício]/[Cotação],IF([Ref]&lt;4,0,""))</f>
        <v/>
      </c>
      <c r="Y551" s="17">
        <f>IF([Tipo]="div",1,0)</f>
        <v>1</v>
      </c>
      <c r="Z551" s="17">
        <f>IF([Tipo]="jcp",1,0)</f>
        <v>0</v>
      </c>
    </row>
    <row r="552" spans="1:26" hidden="1">
      <c r="A552" s="4" t="s">
        <v>14</v>
      </c>
      <c r="B552" s="3" t="s">
        <v>24</v>
      </c>
      <c r="C552" s="15">
        <v>4</v>
      </c>
      <c r="D552" s="4">
        <v>2011</v>
      </c>
      <c r="E552" s="14" t="s">
        <v>1468</v>
      </c>
      <c r="G552" s="145">
        <v>40758</v>
      </c>
      <c r="H552" s="46">
        <v>40781</v>
      </c>
      <c r="I552" s="4">
        <v>0.20810000000000001</v>
      </c>
      <c r="J552" s="133">
        <f>IF(Tabela8[[#This Row],[Tipo]]="jcp",Tabela8[[#This Row],[Provento p/Ação]]*85%,Tabela8[[#This Row],[Provento p/Ação]])</f>
        <v>0.20810000000000001</v>
      </c>
      <c r="K552" s="133" t="str">
        <f>IF([Lucro p/Ação]&lt;&gt;0,SUMPRODUCT(N([Papel]=Tabela8[[#This Row],[Papel]]),N([Exercício]=Tabela8[[#This Row],[Exercício]]),[Líquido p/Ação]),"")</f>
        <v/>
      </c>
      <c r="L552" s="42" t="str">
        <f>IF(Tabela8[[#This Row],[Lucro p/Ação]]="","",IF(Tabela8[[#This Row],[Lucro p/Ação]]&gt;0,Tabela8[[#This Row],[Total Exercício]]/Tabela8[[#This Row],[Lucro p/Ação]],0))</f>
        <v/>
      </c>
      <c r="M55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2" s="19" t="str">
        <f>IF(Tabela8[[#This Row],[Média Lucro p/Ação]]&lt;&gt;"",Tabela8[[#This Row],[Média Pago]]/Tabela8[[#This Row],[Média Lucro p/Ação]],"")</f>
        <v/>
      </c>
      <c r="P5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2" s="134">
        <f>SUMPRODUCT(N(Tabela1[Código]=Tabela8[[#This Row],[Papel]]),Tabela1[Fechamento])</f>
        <v>19.77</v>
      </c>
      <c r="R552" s="17">
        <f>SUMPRODUCT(N(Tabela17[Código]=Tabela8[[#This Row],[Papel]]),Tabela17[Fechamento])</f>
        <v>0</v>
      </c>
      <c r="S552" s="17">
        <f>SUMPRODUCT(N(Tabela176[Código]=Tabela8[[#This Row],[Papel]]),Tabela176[Fechamento])</f>
        <v>0</v>
      </c>
      <c r="T552" s="17">
        <f>SUMPRODUCT(N(Tabela1768[Código]=Tabela8[[#This Row],[Papel]]),Tabela1768[Fechamento])</f>
        <v>0</v>
      </c>
      <c r="U552" s="17">
        <f>SUMPRODUCT(N(Tabela17683[Código]=Tabela8[[#This Row],[Papel]]),Tabela17683[Fechamento])</f>
        <v>0</v>
      </c>
      <c r="V552" s="17">
        <f>IF(MAX(Tabela8[[#This Row],[Cotação 1]]:Tabela8[[#This Row],[Cotação 5]])=0,"",MAX(Tabela8[[#This Row],[Cotação 1]]:Tabela8[[#This Row],[Cotação 5]]))</f>
        <v>19.77</v>
      </c>
      <c r="W5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2" s="19" t="str">
        <f>IF(AND([Ref]=5,[Cotação]&gt;0,[Cotação]&lt;&gt;""),[Total Exercício]/[Cotação],IF([Ref]&lt;4,0,""))</f>
        <v/>
      </c>
      <c r="Y552" s="17">
        <f>IF([Tipo]="div",1,0)</f>
        <v>1</v>
      </c>
      <c r="Z552" s="17">
        <f>IF([Tipo]="jcp",1,0)</f>
        <v>0</v>
      </c>
    </row>
    <row r="553" spans="1:26" hidden="1">
      <c r="A553" s="4" t="s">
        <v>14</v>
      </c>
      <c r="B553" s="3" t="s">
        <v>24</v>
      </c>
      <c r="C553" s="15">
        <v>4</v>
      </c>
      <c r="D553" s="4">
        <v>2011</v>
      </c>
      <c r="E553" s="14" t="s">
        <v>1475</v>
      </c>
      <c r="G553" s="145">
        <v>40701</v>
      </c>
      <c r="H553" s="46">
        <v>40781</v>
      </c>
      <c r="I553" s="4">
        <v>0.25751000000000002</v>
      </c>
      <c r="J553" s="133">
        <f>IF(Tabela8[[#This Row],[Tipo]]="jcp",Tabela8[[#This Row],[Provento p/Ação]]*85%,Tabela8[[#This Row],[Provento p/Ação]])</f>
        <v>0.21888350000000001</v>
      </c>
      <c r="K553" s="133" t="str">
        <f>IF([Lucro p/Ação]&lt;&gt;0,SUMPRODUCT(N([Papel]=Tabela8[[#This Row],[Papel]]),N([Exercício]=Tabela8[[#This Row],[Exercício]]),[Líquido p/Ação]),"")</f>
        <v/>
      </c>
      <c r="L553" s="42" t="str">
        <f>IF(Tabela8[[#This Row],[Lucro p/Ação]]="","",IF(Tabela8[[#This Row],[Lucro p/Ação]]&gt;0,Tabela8[[#This Row],[Total Exercício]]/Tabela8[[#This Row],[Lucro p/Ação]],0))</f>
        <v/>
      </c>
      <c r="M55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3" s="19" t="str">
        <f>IF(Tabela8[[#This Row],[Média Lucro p/Ação]]&lt;&gt;"",Tabela8[[#This Row],[Média Pago]]/Tabela8[[#This Row],[Média Lucro p/Ação]],"")</f>
        <v/>
      </c>
      <c r="P5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3" s="134">
        <f>SUMPRODUCT(N(Tabela1[Código]=Tabela8[[#This Row],[Papel]]),Tabela1[Fechamento])</f>
        <v>19.77</v>
      </c>
      <c r="R553" s="17">
        <f>SUMPRODUCT(N(Tabela17[Código]=Tabela8[[#This Row],[Papel]]),Tabela17[Fechamento])</f>
        <v>0</v>
      </c>
      <c r="S553" s="17">
        <f>SUMPRODUCT(N(Tabela176[Código]=Tabela8[[#This Row],[Papel]]),Tabela176[Fechamento])</f>
        <v>0</v>
      </c>
      <c r="T553" s="17">
        <f>SUMPRODUCT(N(Tabela1768[Código]=Tabela8[[#This Row],[Papel]]),Tabela1768[Fechamento])</f>
        <v>0</v>
      </c>
      <c r="U553" s="17">
        <f>SUMPRODUCT(N(Tabela17683[Código]=Tabela8[[#This Row],[Papel]]),Tabela17683[Fechamento])</f>
        <v>0</v>
      </c>
      <c r="V553" s="17">
        <f>IF(MAX(Tabela8[[#This Row],[Cotação 1]]:Tabela8[[#This Row],[Cotação 5]])=0,"",MAX(Tabela8[[#This Row],[Cotação 1]]:Tabela8[[#This Row],[Cotação 5]]))</f>
        <v>19.77</v>
      </c>
      <c r="W5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3" s="19" t="str">
        <f>IF(AND([Ref]=5,[Cotação]&gt;0,[Cotação]&lt;&gt;""),[Total Exercício]/[Cotação],IF([Ref]&lt;4,0,""))</f>
        <v/>
      </c>
      <c r="Y553" s="17">
        <f>IF([Tipo]="div",1,0)</f>
        <v>0</v>
      </c>
      <c r="Z553" s="17">
        <f>IF([Tipo]="jcp",1,0)</f>
        <v>1</v>
      </c>
    </row>
    <row r="554" spans="1:26" hidden="1">
      <c r="A554" s="4" t="s">
        <v>14</v>
      </c>
      <c r="B554" s="3" t="s">
        <v>24</v>
      </c>
      <c r="C554" s="15">
        <v>4</v>
      </c>
      <c r="D554" s="4">
        <v>2011</v>
      </c>
      <c r="E554" s="14" t="s">
        <v>1468</v>
      </c>
      <c r="G554" s="145">
        <v>40848</v>
      </c>
      <c r="H554" s="46">
        <v>40872</v>
      </c>
      <c r="I554" s="4">
        <v>0.12587999999999999</v>
      </c>
      <c r="J554" s="133">
        <f>IF(Tabela8[[#This Row],[Tipo]]="jcp",Tabela8[[#This Row],[Provento p/Ação]]*85%,Tabela8[[#This Row],[Provento p/Ação]])</f>
        <v>0.12587999999999999</v>
      </c>
      <c r="K554" s="133" t="str">
        <f>IF([Lucro p/Ação]&lt;&gt;0,SUMPRODUCT(N([Papel]=Tabela8[[#This Row],[Papel]]),N([Exercício]=Tabela8[[#This Row],[Exercício]]),[Líquido p/Ação]),"")</f>
        <v/>
      </c>
      <c r="L554" s="42" t="str">
        <f>IF(Tabela8[[#This Row],[Lucro p/Ação]]="","",IF(Tabela8[[#This Row],[Lucro p/Ação]]&gt;0,Tabela8[[#This Row],[Total Exercício]]/Tabela8[[#This Row],[Lucro p/Ação]],0))</f>
        <v/>
      </c>
      <c r="M55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4" s="19" t="str">
        <f>IF(Tabela8[[#This Row],[Média Lucro p/Ação]]&lt;&gt;"",Tabela8[[#This Row],[Média Pago]]/Tabela8[[#This Row],[Média Lucro p/Ação]],"")</f>
        <v/>
      </c>
      <c r="P5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4" s="134">
        <f>SUMPRODUCT(N(Tabela1[Código]=Tabela8[[#This Row],[Papel]]),Tabela1[Fechamento])</f>
        <v>19.77</v>
      </c>
      <c r="R554" s="17">
        <f>SUMPRODUCT(N(Tabela17[Código]=Tabela8[[#This Row],[Papel]]),Tabela17[Fechamento])</f>
        <v>0</v>
      </c>
      <c r="S554" s="17">
        <f>SUMPRODUCT(N(Tabela176[Código]=Tabela8[[#This Row],[Papel]]),Tabela176[Fechamento])</f>
        <v>0</v>
      </c>
      <c r="T554" s="17">
        <f>SUMPRODUCT(N(Tabela1768[Código]=Tabela8[[#This Row],[Papel]]),Tabela1768[Fechamento])</f>
        <v>0</v>
      </c>
      <c r="U554" s="17">
        <f>SUMPRODUCT(N(Tabela17683[Código]=Tabela8[[#This Row],[Papel]]),Tabela17683[Fechamento])</f>
        <v>0</v>
      </c>
      <c r="V554" s="17">
        <f>IF(MAX(Tabela8[[#This Row],[Cotação 1]]:Tabela8[[#This Row],[Cotação 5]])=0,"",MAX(Tabela8[[#This Row],[Cotação 1]]:Tabela8[[#This Row],[Cotação 5]]))</f>
        <v>19.77</v>
      </c>
      <c r="W5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4" s="19" t="str">
        <f>IF(AND([Ref]=5,[Cotação]&gt;0,[Cotação]&lt;&gt;""),[Total Exercício]/[Cotação],IF([Ref]&lt;4,0,""))</f>
        <v/>
      </c>
      <c r="Y554" s="17">
        <f>IF([Tipo]="div",1,0)</f>
        <v>1</v>
      </c>
      <c r="Z554" s="17">
        <f>IF([Tipo]="jcp",1,0)</f>
        <v>0</v>
      </c>
    </row>
    <row r="555" spans="1:26" hidden="1">
      <c r="A555" s="4" t="s">
        <v>14</v>
      </c>
      <c r="B555" s="3" t="s">
        <v>24</v>
      </c>
      <c r="C555" s="15">
        <v>4</v>
      </c>
      <c r="D555" s="4">
        <v>2011</v>
      </c>
      <c r="E555" s="14" t="s">
        <v>1475</v>
      </c>
      <c r="G555" s="145">
        <v>40799</v>
      </c>
      <c r="H555" s="46">
        <v>40872</v>
      </c>
      <c r="I555" s="4">
        <v>0.27817999999999998</v>
      </c>
      <c r="J555" s="133">
        <f>IF(Tabela8[[#This Row],[Tipo]]="jcp",Tabela8[[#This Row],[Provento p/Ação]]*85%,Tabela8[[#This Row],[Provento p/Ação]])</f>
        <v>0.23645299999999997</v>
      </c>
      <c r="K555" s="133" t="str">
        <f>IF([Lucro p/Ação]&lt;&gt;0,SUMPRODUCT(N([Papel]=Tabela8[[#This Row],[Papel]]),N([Exercício]=Tabela8[[#This Row],[Exercício]]),[Líquido p/Ação]),"")</f>
        <v/>
      </c>
      <c r="L555" s="42" t="str">
        <f>IF(Tabela8[[#This Row],[Lucro p/Ação]]="","",IF(Tabela8[[#This Row],[Lucro p/Ação]]&gt;0,Tabela8[[#This Row],[Total Exercício]]/Tabela8[[#This Row],[Lucro p/Ação]],0))</f>
        <v/>
      </c>
      <c r="M55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5" s="19" t="str">
        <f>IF(Tabela8[[#This Row],[Média Lucro p/Ação]]&lt;&gt;"",Tabela8[[#This Row],[Média Pago]]/Tabela8[[#This Row],[Média Lucro p/Ação]],"")</f>
        <v/>
      </c>
      <c r="P5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5" s="134">
        <f>SUMPRODUCT(N(Tabela1[Código]=Tabela8[[#This Row],[Papel]]),Tabela1[Fechamento])</f>
        <v>19.77</v>
      </c>
      <c r="R555" s="17">
        <f>SUMPRODUCT(N(Tabela17[Código]=Tabela8[[#This Row],[Papel]]),Tabela17[Fechamento])</f>
        <v>0</v>
      </c>
      <c r="S555" s="17">
        <f>SUMPRODUCT(N(Tabela176[Código]=Tabela8[[#This Row],[Papel]]),Tabela176[Fechamento])</f>
        <v>0</v>
      </c>
      <c r="T555" s="17">
        <f>SUMPRODUCT(N(Tabela1768[Código]=Tabela8[[#This Row],[Papel]]),Tabela1768[Fechamento])</f>
        <v>0</v>
      </c>
      <c r="U555" s="17">
        <f>SUMPRODUCT(N(Tabela17683[Código]=Tabela8[[#This Row],[Papel]]),Tabela17683[Fechamento])</f>
        <v>0</v>
      </c>
      <c r="V555" s="17">
        <f>IF(MAX(Tabela8[[#This Row],[Cotação 1]]:Tabela8[[#This Row],[Cotação 5]])=0,"",MAX(Tabela8[[#This Row],[Cotação 1]]:Tabela8[[#This Row],[Cotação 5]]))</f>
        <v>19.77</v>
      </c>
      <c r="W5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5" s="19" t="str">
        <f>IF(AND([Ref]=5,[Cotação]&gt;0,[Cotação]&lt;&gt;""),[Total Exercício]/[Cotação],IF([Ref]&lt;4,0,""))</f>
        <v/>
      </c>
      <c r="Y555" s="17">
        <f>IF([Tipo]="div",1,0)</f>
        <v>0</v>
      </c>
      <c r="Z555" s="17">
        <f>IF([Tipo]="jcp",1,0)</f>
        <v>1</v>
      </c>
    </row>
    <row r="556" spans="1:26" hidden="1">
      <c r="A556" s="4" t="s">
        <v>14</v>
      </c>
      <c r="B556" s="3" t="s">
        <v>24</v>
      </c>
      <c r="C556" s="15">
        <v>5</v>
      </c>
      <c r="D556" s="4">
        <v>2011</v>
      </c>
      <c r="E556" s="14" t="s">
        <v>1468</v>
      </c>
      <c r="F556" s="133">
        <v>4.2801799999999997</v>
      </c>
      <c r="G556" s="145">
        <v>41097</v>
      </c>
      <c r="H556" s="46">
        <v>40968</v>
      </c>
      <c r="I556" s="4">
        <v>0.15445</v>
      </c>
      <c r="J556" s="133">
        <f>IF(Tabela8[[#This Row],[Tipo]]="jcp",Tabela8[[#This Row],[Provento p/Ação]]*85%,Tabela8[[#This Row],[Provento p/Ação]])</f>
        <v>0.15445</v>
      </c>
      <c r="K556" s="133">
        <f>IF([Lucro p/Ação]&lt;&gt;0,SUMPRODUCT(N([Papel]=Tabela8[[#This Row],[Papel]]),N([Exercício]=Tabela8[[#This Row],[Exercício]]),[Líquido p/Ação]),"")</f>
        <v>1.8723075</v>
      </c>
      <c r="L556" s="42">
        <f>IF(Tabela8[[#This Row],[Lucro p/Ação]]="","",IF(Tabela8[[#This Row],[Lucro p/Ação]]&gt;0,Tabela8[[#This Row],[Total Exercício]]/Tabela8[[#This Row],[Lucro p/Ação]],0))</f>
        <v>0.43743662649701653</v>
      </c>
      <c r="M55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4.3079000000000001</v>
      </c>
      <c r="N55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1.370603</v>
      </c>
      <c r="O556" s="19">
        <f>IF(Tabela8[[#This Row],[Média Lucro p/Ação]]&lt;&gt;"",Tabela8[[#This Row],[Média Pago]]/Tabela8[[#This Row],[Média Lucro p/Ação]],"")</f>
        <v>0.31816035655423758</v>
      </c>
      <c r="P5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6" s="134">
        <f>SUMPRODUCT(N(Tabela1[Código]=Tabela8[[#This Row],[Papel]]),Tabela1[Fechamento])</f>
        <v>19.77</v>
      </c>
      <c r="R556" s="17">
        <f>SUMPRODUCT(N(Tabela17[Código]=Tabela8[[#This Row],[Papel]]),Tabela17[Fechamento])</f>
        <v>0</v>
      </c>
      <c r="S556" s="17">
        <f>SUMPRODUCT(N(Tabela176[Código]=Tabela8[[#This Row],[Papel]]),Tabela176[Fechamento])</f>
        <v>0</v>
      </c>
      <c r="T556" s="17">
        <f>SUMPRODUCT(N(Tabela1768[Código]=Tabela8[[#This Row],[Papel]]),Tabela1768[Fechamento])</f>
        <v>0</v>
      </c>
      <c r="U556" s="17">
        <f>SUMPRODUCT(N(Tabela17683[Código]=Tabela8[[#This Row],[Papel]]),Tabela17683[Fechamento])</f>
        <v>0</v>
      </c>
      <c r="V556" s="17">
        <f>IF(MAX(Tabela8[[#This Row],[Cotação 1]]:Tabela8[[#This Row],[Cotação 5]])=0,"",MAX(Tabela8[[#This Row],[Cotação 1]]:Tabela8[[#This Row],[Cotação 5]]))</f>
        <v>19.77</v>
      </c>
      <c r="W5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6" s="19">
        <f>IF(AND([Ref]=5,[Cotação]&gt;0,[Cotação]&lt;&gt;""),[Total Exercício]/[Cotação],IF([Ref]&lt;4,0,""))</f>
        <v>9.4704476479514424E-2</v>
      </c>
      <c r="Y556" s="17">
        <f>IF([Tipo]="div",1,0)</f>
        <v>1</v>
      </c>
      <c r="Z556" s="17">
        <f>IF([Tipo]="jcp",1,0)</f>
        <v>0</v>
      </c>
    </row>
    <row r="557" spans="1:26" hidden="1">
      <c r="A557" s="4" t="s">
        <v>14</v>
      </c>
      <c r="B557" s="3" t="s">
        <v>24</v>
      </c>
      <c r="C557" s="15">
        <v>4</v>
      </c>
      <c r="D557" s="4">
        <v>2012</v>
      </c>
      <c r="E557" s="14" t="s">
        <v>1475</v>
      </c>
      <c r="G557" s="145">
        <v>41240</v>
      </c>
      <c r="H557" s="46">
        <v>41271</v>
      </c>
      <c r="I557" s="4">
        <v>0.29718</v>
      </c>
      <c r="J557" s="133">
        <f>IF(Tabela8[[#This Row],[Tipo]]="jcp",Tabela8[[#This Row],[Provento p/Ação]]*85%,Tabela8[[#This Row],[Provento p/Ação]])</f>
        <v>0.25260299999999997</v>
      </c>
      <c r="K557" s="133" t="str">
        <f>IF([Lucro p/Ação]&lt;&gt;0,SUMPRODUCT(N([Papel]=Tabela8[[#This Row],[Papel]]),N([Exercício]=Tabela8[[#This Row],[Exercício]]),[Líquido p/Ação]),"")</f>
        <v/>
      </c>
      <c r="L557" s="42" t="str">
        <f>IF(Tabela8[[#This Row],[Lucro p/Ação]]="","",IF(Tabela8[[#This Row],[Lucro p/Ação]]&gt;0,Tabela8[[#This Row],[Total Exercício]]/Tabela8[[#This Row],[Lucro p/Ação]],0))</f>
        <v/>
      </c>
      <c r="M55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7" s="19" t="str">
        <f>IF(Tabela8[[#This Row],[Média Lucro p/Ação]]&lt;&gt;"",Tabela8[[#This Row],[Média Pago]]/Tabela8[[#This Row],[Média Lucro p/Ação]],"")</f>
        <v/>
      </c>
      <c r="P5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7" s="134">
        <f>SUMPRODUCT(N(Tabela1[Código]=Tabela8[[#This Row],[Papel]]),Tabela1[Fechamento])</f>
        <v>19.77</v>
      </c>
      <c r="R557" s="17">
        <f>SUMPRODUCT(N(Tabela17[Código]=Tabela8[[#This Row],[Papel]]),Tabela17[Fechamento])</f>
        <v>0</v>
      </c>
      <c r="S557" s="17">
        <f>SUMPRODUCT(N(Tabela176[Código]=Tabela8[[#This Row],[Papel]]),Tabela176[Fechamento])</f>
        <v>0</v>
      </c>
      <c r="T557" s="17">
        <f>SUMPRODUCT(N(Tabela1768[Código]=Tabela8[[#This Row],[Papel]]),Tabela1768[Fechamento])</f>
        <v>0</v>
      </c>
      <c r="U557" s="17">
        <f>SUMPRODUCT(N(Tabela17683[Código]=Tabela8[[#This Row],[Papel]]),Tabela17683[Fechamento])</f>
        <v>0</v>
      </c>
      <c r="V557" s="17">
        <f>IF(MAX(Tabela8[[#This Row],[Cotação 1]]:Tabela8[[#This Row],[Cotação 5]])=0,"",MAX(Tabela8[[#This Row],[Cotação 1]]:Tabela8[[#This Row],[Cotação 5]]))</f>
        <v>19.77</v>
      </c>
      <c r="W5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7" s="19" t="str">
        <f>IF(AND([Ref]=5,[Cotação]&gt;0,[Cotação]&lt;&gt;""),[Total Exercício]/[Cotação],IF([Ref]&lt;4,0,""))</f>
        <v/>
      </c>
      <c r="Y557" s="17">
        <f>IF([Tipo]="div",1,0)</f>
        <v>0</v>
      </c>
      <c r="Z557" s="17">
        <f>IF([Tipo]="jcp",1,0)</f>
        <v>1</v>
      </c>
    </row>
    <row r="558" spans="1:26" hidden="1">
      <c r="A558" s="4" t="s">
        <v>14</v>
      </c>
      <c r="B558" s="3" t="s">
        <v>24</v>
      </c>
      <c r="C558" s="15">
        <v>4</v>
      </c>
      <c r="D558" s="4">
        <v>2012</v>
      </c>
      <c r="E558" s="14" t="s">
        <v>1475</v>
      </c>
      <c r="G558" s="145">
        <v>40981</v>
      </c>
      <c r="H558" s="46">
        <v>41051</v>
      </c>
      <c r="I558" s="4">
        <v>0.29327999999999999</v>
      </c>
      <c r="J558" s="133">
        <f>IF(Tabela8[[#This Row],[Tipo]]="jcp",Tabela8[[#This Row],[Provento p/Ação]]*85%,Tabela8[[#This Row],[Provento p/Ação]])</f>
        <v>0.24928799999999998</v>
      </c>
      <c r="K558" s="133" t="str">
        <f>IF([Lucro p/Ação]&lt;&gt;0,SUMPRODUCT(N([Papel]=Tabela8[[#This Row],[Papel]]),N([Exercício]=Tabela8[[#This Row],[Exercício]]),[Líquido p/Ação]),"")</f>
        <v/>
      </c>
      <c r="L558" s="42" t="str">
        <f>IF(Tabela8[[#This Row],[Lucro p/Ação]]="","",IF(Tabela8[[#This Row],[Lucro p/Ação]]&gt;0,Tabela8[[#This Row],[Total Exercício]]/Tabela8[[#This Row],[Lucro p/Ação]],0))</f>
        <v/>
      </c>
      <c r="M55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8" s="19" t="str">
        <f>IF(Tabela8[[#This Row],[Média Lucro p/Ação]]&lt;&gt;"",Tabela8[[#This Row],[Média Pago]]/Tabela8[[#This Row],[Média Lucro p/Ação]],"")</f>
        <v/>
      </c>
      <c r="P5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8" s="134">
        <f>SUMPRODUCT(N(Tabela1[Código]=Tabela8[[#This Row],[Papel]]),Tabela1[Fechamento])</f>
        <v>19.77</v>
      </c>
      <c r="R558" s="17">
        <f>SUMPRODUCT(N(Tabela17[Código]=Tabela8[[#This Row],[Papel]]),Tabela17[Fechamento])</f>
        <v>0</v>
      </c>
      <c r="S558" s="17">
        <f>SUMPRODUCT(N(Tabela176[Código]=Tabela8[[#This Row],[Papel]]),Tabela176[Fechamento])</f>
        <v>0</v>
      </c>
      <c r="T558" s="17">
        <f>SUMPRODUCT(N(Tabela1768[Código]=Tabela8[[#This Row],[Papel]]),Tabela1768[Fechamento])</f>
        <v>0</v>
      </c>
      <c r="U558" s="17">
        <f>SUMPRODUCT(N(Tabela17683[Código]=Tabela8[[#This Row],[Papel]]),Tabela17683[Fechamento])</f>
        <v>0</v>
      </c>
      <c r="V558" s="17">
        <f>IF(MAX(Tabela8[[#This Row],[Cotação 1]]:Tabela8[[#This Row],[Cotação 5]])=0,"",MAX(Tabela8[[#This Row],[Cotação 1]]:Tabela8[[#This Row],[Cotação 5]]))</f>
        <v>19.77</v>
      </c>
      <c r="W5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8" s="19" t="str">
        <f>IF(AND([Ref]=5,[Cotação]&gt;0,[Cotação]&lt;&gt;""),[Total Exercício]/[Cotação],IF([Ref]&lt;4,0,""))</f>
        <v/>
      </c>
      <c r="Y558" s="17">
        <f>IF([Tipo]="div",1,0)</f>
        <v>0</v>
      </c>
      <c r="Z558" s="17">
        <f>IF([Tipo]="jcp",1,0)</f>
        <v>1</v>
      </c>
    </row>
    <row r="559" spans="1:26" hidden="1">
      <c r="A559" s="4" t="s">
        <v>14</v>
      </c>
      <c r="B559" s="3" t="s">
        <v>24</v>
      </c>
      <c r="C559" s="15">
        <v>4</v>
      </c>
      <c r="D559" s="4">
        <v>2012</v>
      </c>
      <c r="E559" s="14" t="s">
        <v>1468</v>
      </c>
      <c r="G559" s="145">
        <v>41031</v>
      </c>
      <c r="H559" s="46">
        <v>41051</v>
      </c>
      <c r="I559" s="4">
        <v>6.3310000000000005E-2</v>
      </c>
      <c r="J559" s="133">
        <f>IF(Tabela8[[#This Row],[Tipo]]="jcp",Tabela8[[#This Row],[Provento p/Ação]]*85%,Tabela8[[#This Row],[Provento p/Ação]])</f>
        <v>6.3310000000000005E-2</v>
      </c>
      <c r="K559" s="133" t="str">
        <f>IF([Lucro p/Ação]&lt;&gt;0,SUMPRODUCT(N([Papel]=Tabela8[[#This Row],[Papel]]),N([Exercício]=Tabela8[[#This Row],[Exercício]]),[Líquido p/Ação]),"")</f>
        <v/>
      </c>
      <c r="L559" s="42" t="str">
        <f>IF(Tabela8[[#This Row],[Lucro p/Ação]]="","",IF(Tabela8[[#This Row],[Lucro p/Ação]]&gt;0,Tabela8[[#This Row],[Total Exercício]]/Tabela8[[#This Row],[Lucro p/Ação]],0))</f>
        <v/>
      </c>
      <c r="M55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5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59" s="19" t="str">
        <f>IF(Tabela8[[#This Row],[Média Lucro p/Ação]]&lt;&gt;"",Tabela8[[#This Row],[Média Pago]]/Tabela8[[#This Row],[Média Lucro p/Ação]],"")</f>
        <v/>
      </c>
      <c r="P5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59" s="134">
        <f>SUMPRODUCT(N(Tabela1[Código]=Tabela8[[#This Row],[Papel]]),Tabela1[Fechamento])</f>
        <v>19.77</v>
      </c>
      <c r="R559" s="17">
        <f>SUMPRODUCT(N(Tabela17[Código]=Tabela8[[#This Row],[Papel]]),Tabela17[Fechamento])</f>
        <v>0</v>
      </c>
      <c r="S559" s="17">
        <f>SUMPRODUCT(N(Tabela176[Código]=Tabela8[[#This Row],[Papel]]),Tabela176[Fechamento])</f>
        <v>0</v>
      </c>
      <c r="T559" s="17">
        <f>SUMPRODUCT(N(Tabela1768[Código]=Tabela8[[#This Row],[Papel]]),Tabela1768[Fechamento])</f>
        <v>0</v>
      </c>
      <c r="U559" s="17">
        <f>SUMPRODUCT(N(Tabela17683[Código]=Tabela8[[#This Row],[Papel]]),Tabela17683[Fechamento])</f>
        <v>0</v>
      </c>
      <c r="V559" s="17">
        <f>IF(MAX(Tabela8[[#This Row],[Cotação 1]]:Tabela8[[#This Row],[Cotação 5]])=0,"",MAX(Tabela8[[#This Row],[Cotação 1]]:Tabela8[[#This Row],[Cotação 5]]))</f>
        <v>19.77</v>
      </c>
      <c r="W5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59" s="19" t="str">
        <f>IF(AND([Ref]=5,[Cotação]&gt;0,[Cotação]&lt;&gt;""),[Total Exercício]/[Cotação],IF([Ref]&lt;4,0,""))</f>
        <v/>
      </c>
      <c r="Y559" s="17">
        <f>IF([Tipo]="div",1,0)</f>
        <v>1</v>
      </c>
      <c r="Z559" s="17">
        <f>IF([Tipo]="jcp",1,0)</f>
        <v>0</v>
      </c>
    </row>
    <row r="560" spans="1:26" hidden="1">
      <c r="A560" s="4" t="s">
        <v>14</v>
      </c>
      <c r="B560" s="3" t="s">
        <v>24</v>
      </c>
      <c r="C560" s="15">
        <v>4</v>
      </c>
      <c r="D560" s="4">
        <v>2012</v>
      </c>
      <c r="E560" s="14" t="s">
        <v>1475</v>
      </c>
      <c r="G560" s="145">
        <v>41076</v>
      </c>
      <c r="H560" s="46">
        <v>41113</v>
      </c>
      <c r="I560" s="4">
        <v>0.29675000000000001</v>
      </c>
      <c r="J560" s="133">
        <f>IF(Tabela8[[#This Row],[Tipo]]="jcp",Tabela8[[#This Row],[Provento p/Ação]]*85%,Tabela8[[#This Row],[Provento p/Ação]])</f>
        <v>0.2522375</v>
      </c>
      <c r="K560" s="133" t="str">
        <f>IF([Lucro p/Ação]&lt;&gt;0,SUMPRODUCT(N([Papel]=Tabela8[[#This Row],[Papel]]),N([Exercício]=Tabela8[[#This Row],[Exercício]]),[Líquido p/Ação]),"")</f>
        <v/>
      </c>
      <c r="L560" s="42" t="str">
        <f>IF(Tabela8[[#This Row],[Lucro p/Ação]]="","",IF(Tabela8[[#This Row],[Lucro p/Ação]]&gt;0,Tabela8[[#This Row],[Total Exercício]]/Tabela8[[#This Row],[Lucro p/Ação]],0))</f>
        <v/>
      </c>
      <c r="M56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0" s="19" t="str">
        <f>IF(Tabela8[[#This Row],[Média Lucro p/Ação]]&lt;&gt;"",Tabela8[[#This Row],[Média Pago]]/Tabela8[[#This Row],[Média Lucro p/Ação]],"")</f>
        <v/>
      </c>
      <c r="P5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0" s="134">
        <f>SUMPRODUCT(N(Tabela1[Código]=Tabela8[[#This Row],[Papel]]),Tabela1[Fechamento])</f>
        <v>19.77</v>
      </c>
      <c r="R560" s="17">
        <f>SUMPRODUCT(N(Tabela17[Código]=Tabela8[[#This Row],[Papel]]),Tabela17[Fechamento])</f>
        <v>0</v>
      </c>
      <c r="S560" s="17">
        <f>SUMPRODUCT(N(Tabela176[Código]=Tabela8[[#This Row],[Papel]]),Tabela176[Fechamento])</f>
        <v>0</v>
      </c>
      <c r="T560" s="17">
        <f>SUMPRODUCT(N(Tabela1768[Código]=Tabela8[[#This Row],[Papel]]),Tabela1768[Fechamento])</f>
        <v>0</v>
      </c>
      <c r="U560" s="17">
        <f>SUMPRODUCT(N(Tabela17683[Código]=Tabela8[[#This Row],[Papel]]),Tabela17683[Fechamento])</f>
        <v>0</v>
      </c>
      <c r="V560" s="17">
        <f>IF(MAX(Tabela8[[#This Row],[Cotação 1]]:Tabela8[[#This Row],[Cotação 5]])=0,"",MAX(Tabela8[[#This Row],[Cotação 1]]:Tabela8[[#This Row],[Cotação 5]]))</f>
        <v>19.77</v>
      </c>
      <c r="W5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0" s="19" t="str">
        <f>IF(AND([Ref]=5,[Cotação]&gt;0,[Cotação]&lt;&gt;""),[Total Exercício]/[Cotação],IF([Ref]&lt;4,0,""))</f>
        <v/>
      </c>
      <c r="Y560" s="17">
        <f>IF([Tipo]="div",1,0)</f>
        <v>0</v>
      </c>
      <c r="Z560" s="17">
        <f>IF([Tipo]="jcp",1,0)</f>
        <v>1</v>
      </c>
    </row>
    <row r="561" spans="1:26" hidden="1">
      <c r="A561" s="4" t="s">
        <v>14</v>
      </c>
      <c r="B561" s="3" t="s">
        <v>24</v>
      </c>
      <c r="C561" s="15">
        <v>4</v>
      </c>
      <c r="D561" s="4">
        <v>2012</v>
      </c>
      <c r="E561" s="14" t="s">
        <v>1468</v>
      </c>
      <c r="G561" s="145">
        <v>41128</v>
      </c>
      <c r="H561" s="46">
        <v>41152</v>
      </c>
      <c r="I561" s="4">
        <v>0.12237000000000001</v>
      </c>
      <c r="J561" s="133">
        <f>IF(Tabela8[[#This Row],[Tipo]]="jcp",Tabela8[[#This Row],[Provento p/Ação]]*85%,Tabela8[[#This Row],[Provento p/Ação]])</f>
        <v>0.12237000000000001</v>
      </c>
      <c r="K561" s="133" t="str">
        <f>IF([Lucro p/Ação]&lt;&gt;0,SUMPRODUCT(N([Papel]=Tabela8[[#This Row],[Papel]]),N([Exercício]=Tabela8[[#This Row],[Exercício]]),[Líquido p/Ação]),"")</f>
        <v/>
      </c>
      <c r="L561" s="42" t="str">
        <f>IF(Tabela8[[#This Row],[Lucro p/Ação]]="","",IF(Tabela8[[#This Row],[Lucro p/Ação]]&gt;0,Tabela8[[#This Row],[Total Exercício]]/Tabela8[[#This Row],[Lucro p/Ação]],0))</f>
        <v/>
      </c>
      <c r="M56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1" s="19" t="str">
        <f>IF(Tabela8[[#This Row],[Média Lucro p/Ação]]&lt;&gt;"",Tabela8[[#This Row],[Média Pago]]/Tabela8[[#This Row],[Média Lucro p/Ação]],"")</f>
        <v/>
      </c>
      <c r="P5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1" s="134">
        <f>SUMPRODUCT(N(Tabela1[Código]=Tabela8[[#This Row],[Papel]]),Tabela1[Fechamento])</f>
        <v>19.77</v>
      </c>
      <c r="R561" s="17">
        <f>SUMPRODUCT(N(Tabela17[Código]=Tabela8[[#This Row],[Papel]]),Tabela17[Fechamento])</f>
        <v>0</v>
      </c>
      <c r="S561" s="17">
        <f>SUMPRODUCT(N(Tabela176[Código]=Tabela8[[#This Row],[Papel]]),Tabela176[Fechamento])</f>
        <v>0</v>
      </c>
      <c r="T561" s="17">
        <f>SUMPRODUCT(N(Tabela1768[Código]=Tabela8[[#This Row],[Papel]]),Tabela1768[Fechamento])</f>
        <v>0</v>
      </c>
      <c r="U561" s="17">
        <f>SUMPRODUCT(N(Tabela17683[Código]=Tabela8[[#This Row],[Papel]]),Tabela17683[Fechamento])</f>
        <v>0</v>
      </c>
      <c r="V561" s="17">
        <f>IF(MAX(Tabela8[[#This Row],[Cotação 1]]:Tabela8[[#This Row],[Cotação 5]])=0,"",MAX(Tabela8[[#This Row],[Cotação 1]]:Tabela8[[#This Row],[Cotação 5]]))</f>
        <v>19.77</v>
      </c>
      <c r="W5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1" s="19" t="str">
        <f>IF(AND([Ref]=5,[Cotação]&gt;0,[Cotação]&lt;&gt;""),[Total Exercício]/[Cotação],IF([Ref]&lt;4,0,""))</f>
        <v/>
      </c>
      <c r="Y561" s="17">
        <f>IF([Tipo]="div",1,0)</f>
        <v>1</v>
      </c>
      <c r="Z561" s="17">
        <f>IF([Tipo]="jcp",1,0)</f>
        <v>0</v>
      </c>
    </row>
    <row r="562" spans="1:26" hidden="1">
      <c r="A562" s="4" t="s">
        <v>14</v>
      </c>
      <c r="B562" s="3" t="s">
        <v>24</v>
      </c>
      <c r="C562" s="15">
        <v>4</v>
      </c>
      <c r="D562" s="4">
        <v>2012</v>
      </c>
      <c r="E562" s="14" t="s">
        <v>1475</v>
      </c>
      <c r="G562" s="145">
        <v>41149</v>
      </c>
      <c r="H562" s="46">
        <v>41172</v>
      </c>
      <c r="I562" s="4">
        <v>0.28582000000000002</v>
      </c>
      <c r="J562" s="133">
        <f>IF(Tabela8[[#This Row],[Tipo]]="jcp",Tabela8[[#This Row],[Provento p/Ação]]*85%,Tabela8[[#This Row],[Provento p/Ação]])</f>
        <v>0.242947</v>
      </c>
      <c r="K562" s="133" t="str">
        <f>IF([Lucro p/Ação]&lt;&gt;0,SUMPRODUCT(N([Papel]=Tabela8[[#This Row],[Papel]]),N([Exercício]=Tabela8[[#This Row],[Exercício]]),[Líquido p/Ação]),"")</f>
        <v/>
      </c>
      <c r="L562" s="42" t="str">
        <f>IF(Tabela8[[#This Row],[Lucro p/Ação]]="","",IF(Tabela8[[#This Row],[Lucro p/Ação]]&gt;0,Tabela8[[#This Row],[Total Exercício]]/Tabela8[[#This Row],[Lucro p/Ação]],0))</f>
        <v/>
      </c>
      <c r="M56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2" s="19" t="str">
        <f>IF(Tabela8[[#This Row],[Média Lucro p/Ação]]&lt;&gt;"",Tabela8[[#This Row],[Média Pago]]/Tabela8[[#This Row],[Média Lucro p/Ação]],"")</f>
        <v/>
      </c>
      <c r="P5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2" s="134">
        <f>SUMPRODUCT(N(Tabela1[Código]=Tabela8[[#This Row],[Papel]]),Tabela1[Fechamento])</f>
        <v>19.77</v>
      </c>
      <c r="R562" s="17">
        <f>SUMPRODUCT(N(Tabela17[Código]=Tabela8[[#This Row],[Papel]]),Tabela17[Fechamento])</f>
        <v>0</v>
      </c>
      <c r="S562" s="17">
        <f>SUMPRODUCT(N(Tabela176[Código]=Tabela8[[#This Row],[Papel]]),Tabela176[Fechamento])</f>
        <v>0</v>
      </c>
      <c r="T562" s="17">
        <f>SUMPRODUCT(N(Tabela1768[Código]=Tabela8[[#This Row],[Papel]]),Tabela1768[Fechamento])</f>
        <v>0</v>
      </c>
      <c r="U562" s="17">
        <f>SUMPRODUCT(N(Tabela17683[Código]=Tabela8[[#This Row],[Papel]]),Tabela17683[Fechamento])</f>
        <v>0</v>
      </c>
      <c r="V562" s="17">
        <f>IF(MAX(Tabela8[[#This Row],[Cotação 1]]:Tabela8[[#This Row],[Cotação 5]])=0,"",MAX(Tabela8[[#This Row],[Cotação 1]]:Tabela8[[#This Row],[Cotação 5]]))</f>
        <v>19.77</v>
      </c>
      <c r="W5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2" s="19" t="str">
        <f>IF(AND([Ref]=5,[Cotação]&gt;0,[Cotação]&lt;&gt;""),[Total Exercício]/[Cotação],IF([Ref]&lt;4,0,""))</f>
        <v/>
      </c>
      <c r="Y562" s="17">
        <f>IF([Tipo]="div",1,0)</f>
        <v>0</v>
      </c>
      <c r="Z562" s="17">
        <f>IF([Tipo]="jcp",1,0)</f>
        <v>1</v>
      </c>
    </row>
    <row r="563" spans="1:26" hidden="1">
      <c r="A563" s="4" t="s">
        <v>14</v>
      </c>
      <c r="B563" s="3" t="s">
        <v>24</v>
      </c>
      <c r="C563" s="15">
        <v>4</v>
      </c>
      <c r="D563" s="4">
        <v>2012</v>
      </c>
      <c r="E563" s="14" t="s">
        <v>1468</v>
      </c>
      <c r="G563" s="145">
        <v>41219</v>
      </c>
      <c r="H563" s="46">
        <v>41239</v>
      </c>
      <c r="I563" s="4">
        <v>0.10693</v>
      </c>
      <c r="J563" s="133">
        <f>IF(Tabela8[[#This Row],[Tipo]]="jcp",Tabela8[[#This Row],[Provento p/Ação]]*85%,Tabela8[[#This Row],[Provento p/Ação]])</f>
        <v>0.10693</v>
      </c>
      <c r="K563" s="133" t="str">
        <f>IF([Lucro p/Ação]&lt;&gt;0,SUMPRODUCT(N([Papel]=Tabela8[[#This Row],[Papel]]),N([Exercício]=Tabela8[[#This Row],[Exercício]]),[Líquido p/Ação]),"")</f>
        <v/>
      </c>
      <c r="L563" s="42" t="str">
        <f>IF(Tabela8[[#This Row],[Lucro p/Ação]]="","",IF(Tabela8[[#This Row],[Lucro p/Ação]]&gt;0,Tabela8[[#This Row],[Total Exercício]]/Tabela8[[#This Row],[Lucro p/Ação]],0))</f>
        <v/>
      </c>
      <c r="M56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3" s="19" t="str">
        <f>IF(Tabela8[[#This Row],[Média Lucro p/Ação]]&lt;&gt;"",Tabela8[[#This Row],[Média Pago]]/Tabela8[[#This Row],[Média Lucro p/Ação]],"")</f>
        <v/>
      </c>
      <c r="P5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3" s="134">
        <f>SUMPRODUCT(N(Tabela1[Código]=Tabela8[[#This Row],[Papel]]),Tabela1[Fechamento])</f>
        <v>19.77</v>
      </c>
      <c r="R563" s="17">
        <f>SUMPRODUCT(N(Tabela17[Código]=Tabela8[[#This Row],[Papel]]),Tabela17[Fechamento])</f>
        <v>0</v>
      </c>
      <c r="S563" s="17">
        <f>SUMPRODUCT(N(Tabela176[Código]=Tabela8[[#This Row],[Papel]]),Tabela176[Fechamento])</f>
        <v>0</v>
      </c>
      <c r="T563" s="17">
        <f>SUMPRODUCT(N(Tabela1768[Código]=Tabela8[[#This Row],[Papel]]),Tabela1768[Fechamento])</f>
        <v>0</v>
      </c>
      <c r="U563" s="17">
        <f>SUMPRODUCT(N(Tabela17683[Código]=Tabela8[[#This Row],[Papel]]),Tabela17683[Fechamento])</f>
        <v>0</v>
      </c>
      <c r="V563" s="17">
        <f>IF(MAX(Tabela8[[#This Row],[Cotação 1]]:Tabela8[[#This Row],[Cotação 5]])=0,"",MAX(Tabela8[[#This Row],[Cotação 1]]:Tabela8[[#This Row],[Cotação 5]]))</f>
        <v>19.77</v>
      </c>
      <c r="W5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3" s="19" t="str">
        <f>IF(AND([Ref]=5,[Cotação]&gt;0,[Cotação]&lt;&gt;""),[Total Exercício]/[Cotação],IF([Ref]&lt;4,0,""))</f>
        <v/>
      </c>
      <c r="Y563" s="17">
        <f>IF([Tipo]="div",1,0)</f>
        <v>1</v>
      </c>
      <c r="Z563" s="17">
        <f>IF([Tipo]="jcp",1,0)</f>
        <v>0</v>
      </c>
    </row>
    <row r="564" spans="1:26" hidden="1">
      <c r="A564" s="4" t="s">
        <v>14</v>
      </c>
      <c r="B564" s="3" t="s">
        <v>24</v>
      </c>
      <c r="C564" s="15">
        <v>4</v>
      </c>
      <c r="D564" s="4">
        <v>2012</v>
      </c>
      <c r="E564" s="14" t="s">
        <v>1468</v>
      </c>
      <c r="G564" s="145">
        <v>40946</v>
      </c>
      <c r="H564" s="46">
        <v>40968</v>
      </c>
      <c r="I564" s="4">
        <v>0.15445</v>
      </c>
      <c r="J564" s="133">
        <f>IF(Tabela8[[#This Row],[Tipo]]="jcp",Tabela8[[#This Row],[Provento p/Ação]]*85%,Tabela8[[#This Row],[Provento p/Ação]])</f>
        <v>0.15445</v>
      </c>
      <c r="K564" s="133" t="str">
        <f>IF([Lucro p/Ação]&lt;&gt;0,SUMPRODUCT(N([Papel]=Tabela8[[#This Row],[Papel]]),N([Exercício]=Tabela8[[#This Row],[Exercício]]),[Líquido p/Ação]),"")</f>
        <v/>
      </c>
      <c r="L564" s="42" t="str">
        <f>IF(Tabela8[[#This Row],[Lucro p/Ação]]="","",IF(Tabela8[[#This Row],[Lucro p/Ação]]&gt;0,Tabela8[[#This Row],[Total Exercício]]/Tabela8[[#This Row],[Lucro p/Ação]],0))</f>
        <v/>
      </c>
      <c r="M56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4" s="19" t="str">
        <f>IF(Tabela8[[#This Row],[Média Lucro p/Ação]]&lt;&gt;"",Tabela8[[#This Row],[Média Pago]]/Tabela8[[#This Row],[Média Lucro p/Ação]],"")</f>
        <v/>
      </c>
      <c r="P5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4" s="134">
        <f>SUMPRODUCT(N(Tabela1[Código]=Tabela8[[#This Row],[Papel]]),Tabela1[Fechamento])</f>
        <v>19.77</v>
      </c>
      <c r="R564" s="17">
        <f>SUMPRODUCT(N(Tabela17[Código]=Tabela8[[#This Row],[Papel]]),Tabela17[Fechamento])</f>
        <v>0</v>
      </c>
      <c r="S564" s="17">
        <f>SUMPRODUCT(N(Tabela176[Código]=Tabela8[[#This Row],[Papel]]),Tabela176[Fechamento])</f>
        <v>0</v>
      </c>
      <c r="T564" s="17">
        <f>SUMPRODUCT(N(Tabela1768[Código]=Tabela8[[#This Row],[Papel]]),Tabela1768[Fechamento])</f>
        <v>0</v>
      </c>
      <c r="U564" s="17">
        <f>SUMPRODUCT(N(Tabela17683[Código]=Tabela8[[#This Row],[Papel]]),Tabela17683[Fechamento])</f>
        <v>0</v>
      </c>
      <c r="V564" s="17">
        <f>IF(MAX(Tabela8[[#This Row],[Cotação 1]]:Tabela8[[#This Row],[Cotação 5]])=0,"",MAX(Tabela8[[#This Row],[Cotação 1]]:Tabela8[[#This Row],[Cotação 5]]))</f>
        <v>19.77</v>
      </c>
      <c r="W5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4" s="19" t="str">
        <f>IF(AND([Ref]=5,[Cotação]&gt;0,[Cotação]&lt;&gt;""),[Total Exercício]/[Cotação],IF([Ref]&lt;4,0,""))</f>
        <v/>
      </c>
      <c r="Y564" s="17">
        <f>IF([Tipo]="div",1,0)</f>
        <v>1</v>
      </c>
      <c r="Z564" s="17">
        <f>IF([Tipo]="jcp",1,0)</f>
        <v>0</v>
      </c>
    </row>
    <row r="565" spans="1:26" hidden="1">
      <c r="A565" s="4" t="s">
        <v>14</v>
      </c>
      <c r="B565" s="3" t="s">
        <v>24</v>
      </c>
      <c r="C565" s="15">
        <v>4</v>
      </c>
      <c r="D565" s="4">
        <v>2012</v>
      </c>
      <c r="E565" s="14" t="s">
        <v>1475</v>
      </c>
      <c r="G565" s="145">
        <v>40890</v>
      </c>
      <c r="H565" s="46">
        <v>40970</v>
      </c>
      <c r="I565" s="4">
        <v>0.27742</v>
      </c>
      <c r="J565" s="133">
        <f>IF(Tabela8[[#This Row],[Tipo]]="jcp",Tabela8[[#This Row],[Provento p/Ação]]*85%,Tabela8[[#This Row],[Provento p/Ação]])</f>
        <v>0.23580699999999999</v>
      </c>
      <c r="K565" s="133" t="str">
        <f>IF([Lucro p/Ação]&lt;&gt;0,SUMPRODUCT(N([Papel]=Tabela8[[#This Row],[Papel]]),N([Exercício]=Tabela8[[#This Row],[Exercício]]),[Líquido p/Ação]),"")</f>
        <v/>
      </c>
      <c r="L565" s="42" t="str">
        <f>IF(Tabela8[[#This Row],[Lucro p/Ação]]="","",IF(Tabela8[[#This Row],[Lucro p/Ação]]&gt;0,Tabela8[[#This Row],[Total Exercício]]/Tabela8[[#This Row],[Lucro p/Ação]],0))</f>
        <v/>
      </c>
      <c r="M565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5" s="19" t="str">
        <f>IF(Tabela8[[#This Row],[Média Lucro p/Ação]]&lt;&gt;"",Tabela8[[#This Row],[Média Pago]]/Tabela8[[#This Row],[Média Lucro p/Ação]],"")</f>
        <v/>
      </c>
      <c r="P5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5" s="134">
        <f>SUMPRODUCT(N(Tabela1[Código]=Tabela8[[#This Row],[Papel]]),Tabela1[Fechamento])</f>
        <v>19.77</v>
      </c>
      <c r="R565" s="17">
        <f>SUMPRODUCT(N(Tabela17[Código]=Tabela8[[#This Row],[Papel]]),Tabela17[Fechamento])</f>
        <v>0</v>
      </c>
      <c r="S565" s="17">
        <f>SUMPRODUCT(N(Tabela176[Código]=Tabela8[[#This Row],[Papel]]),Tabela176[Fechamento])</f>
        <v>0</v>
      </c>
      <c r="T565" s="17">
        <f>SUMPRODUCT(N(Tabela1768[Código]=Tabela8[[#This Row],[Papel]]),Tabela1768[Fechamento])</f>
        <v>0</v>
      </c>
      <c r="U565" s="17">
        <f>SUMPRODUCT(N(Tabela17683[Código]=Tabela8[[#This Row],[Papel]]),Tabela17683[Fechamento])</f>
        <v>0</v>
      </c>
      <c r="V565" s="17">
        <f>IF(MAX(Tabela8[[#This Row],[Cotação 1]]:Tabela8[[#This Row],[Cotação 5]])=0,"",MAX(Tabela8[[#This Row],[Cotação 1]]:Tabela8[[#This Row],[Cotação 5]]))</f>
        <v>19.77</v>
      </c>
      <c r="W5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5" s="19" t="str">
        <f>IF(AND([Ref]=5,[Cotação]&gt;0,[Cotação]&lt;&gt;""),[Total Exercício]/[Cotação],IF([Ref]&lt;4,0,""))</f>
        <v/>
      </c>
      <c r="Y565" s="17">
        <f>IF([Tipo]="div",1,0)</f>
        <v>0</v>
      </c>
      <c r="Z565" s="17">
        <f>IF([Tipo]="jcp",1,0)</f>
        <v>1</v>
      </c>
    </row>
    <row r="566" spans="1:26" hidden="1">
      <c r="A566" s="4" t="s">
        <v>14</v>
      </c>
      <c r="B566" s="3" t="s">
        <v>24</v>
      </c>
      <c r="C566" s="15">
        <v>5</v>
      </c>
      <c r="D566" s="4">
        <v>2012</v>
      </c>
      <c r="E566" s="14" t="s">
        <v>1468</v>
      </c>
      <c r="F566" s="133">
        <v>4.3022600000000004</v>
      </c>
      <c r="G566" s="145">
        <v>41324</v>
      </c>
      <c r="H566" s="46">
        <v>41347</v>
      </c>
      <c r="I566" s="4">
        <v>0.25806000000000001</v>
      </c>
      <c r="J566" s="133">
        <f>IF(Tabela8[[#This Row],[Tipo]]="jcp",Tabela8[[#This Row],[Provento p/Ação]]*85%,Tabela8[[#This Row],[Provento p/Ação]])</f>
        <v>0.25806000000000001</v>
      </c>
      <c r="K566" s="133">
        <f>IF([Lucro p/Ação]&lt;&gt;0,SUMPRODUCT(N([Papel]=Tabela8[[#This Row],[Papel]]),N([Exercício]=Tabela8[[#This Row],[Exercício]]),[Líquido p/Ação]),"")</f>
        <v>1.9380024999999996</v>
      </c>
      <c r="L566" s="42">
        <f>IF(Tabela8[[#This Row],[Lucro p/Ação]]="","",IF(Tabela8[[#This Row],[Lucro p/Ação]]&gt;0,Tabela8[[#This Row],[Total Exercício]]/Tabela8[[#This Row],[Lucro p/Ação]],0))</f>
        <v>0.45046150162937604</v>
      </c>
      <c r="M566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4.3060200000000002</v>
      </c>
      <c r="N5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1.5597361666666665</v>
      </c>
      <c r="O566" s="19">
        <f>IF(Tabela8[[#This Row],[Média Lucro p/Ação]]&lt;&gt;"",Tabela8[[#This Row],[Média Pago]]/Tabela8[[#This Row],[Média Lucro p/Ação]],"")</f>
        <v>0.3622222299633226</v>
      </c>
      <c r="P5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6" s="134">
        <f>SUMPRODUCT(N(Tabela1[Código]=Tabela8[[#This Row],[Papel]]),Tabela1[Fechamento])</f>
        <v>19.77</v>
      </c>
      <c r="R566" s="17">
        <f>SUMPRODUCT(N(Tabela17[Código]=Tabela8[[#This Row],[Papel]]),Tabela17[Fechamento])</f>
        <v>0</v>
      </c>
      <c r="S566" s="17">
        <f>SUMPRODUCT(N(Tabela176[Código]=Tabela8[[#This Row],[Papel]]),Tabela176[Fechamento])</f>
        <v>0</v>
      </c>
      <c r="T566" s="17">
        <f>SUMPRODUCT(N(Tabela1768[Código]=Tabela8[[#This Row],[Papel]]),Tabela1768[Fechamento])</f>
        <v>0</v>
      </c>
      <c r="U566" s="17">
        <f>SUMPRODUCT(N(Tabela17683[Código]=Tabela8[[#This Row],[Papel]]),Tabela17683[Fechamento])</f>
        <v>0</v>
      </c>
      <c r="V566" s="17">
        <f>IF(MAX(Tabela8[[#This Row],[Cotação 1]]:Tabela8[[#This Row],[Cotação 5]])=0,"",MAX(Tabela8[[#This Row],[Cotação 1]]:Tabela8[[#This Row],[Cotação 5]]))</f>
        <v>19.77</v>
      </c>
      <c r="W5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6" s="19">
        <f>IF(AND([Ref]=5,[Cotação]&gt;0,[Cotação]&lt;&gt;""),[Total Exercício]/[Cotação],IF([Ref]&lt;4,0,""))</f>
        <v>9.8027440566514912E-2</v>
      </c>
      <c r="Y566" s="17">
        <f>IF([Tipo]="div",1,0)</f>
        <v>1</v>
      </c>
      <c r="Z566" s="17">
        <f>IF([Tipo]="jcp",1,0)</f>
        <v>0</v>
      </c>
    </row>
    <row r="567" spans="1:26" hidden="1">
      <c r="A567" s="4" t="s">
        <v>14</v>
      </c>
      <c r="B567" s="3" t="s">
        <v>24</v>
      </c>
      <c r="C567" s="15">
        <v>4</v>
      </c>
      <c r="D567" s="4">
        <v>2013</v>
      </c>
      <c r="E567" s="14" t="s">
        <v>1475</v>
      </c>
      <c r="G567" s="145">
        <v>41331</v>
      </c>
      <c r="H567" s="46">
        <v>41361</v>
      </c>
      <c r="I567" s="4">
        <v>0.26493</v>
      </c>
      <c r="J567" s="133">
        <f>IF(Tabela8[[#This Row],[Tipo]]="jcp",Tabela8[[#This Row],[Provento p/Ação]]*85%,Tabela8[[#This Row],[Provento p/Ação]])</f>
        <v>0.22519049999999999</v>
      </c>
      <c r="K567" s="133" t="str">
        <f>IF([Lucro p/Ação]&lt;&gt;0,SUMPRODUCT(N([Papel]=Tabela8[[#This Row],[Papel]]),N([Exercício]=Tabela8[[#This Row],[Exercício]]),[Líquido p/Ação]),"")</f>
        <v/>
      </c>
      <c r="L567" s="42" t="str">
        <f>IF(Tabela8[[#This Row],[Lucro p/Ação]]="","",IF(Tabela8[[#This Row],[Lucro p/Ação]]&gt;0,Tabela8[[#This Row],[Total Exercício]]/Tabela8[[#This Row],[Lucro p/Ação]],0))</f>
        <v/>
      </c>
      <c r="M567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7" s="19" t="str">
        <f>IF(Tabela8[[#This Row],[Média Lucro p/Ação]]&lt;&gt;"",Tabela8[[#This Row],[Média Pago]]/Tabela8[[#This Row],[Média Lucro p/Ação]],"")</f>
        <v/>
      </c>
      <c r="P5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7" s="134">
        <f>SUMPRODUCT(N(Tabela1[Código]=Tabela8[[#This Row],[Papel]]),Tabela1[Fechamento])</f>
        <v>19.77</v>
      </c>
      <c r="R567" s="17">
        <f>SUMPRODUCT(N(Tabela17[Código]=Tabela8[[#This Row],[Papel]]),Tabela17[Fechamento])</f>
        <v>0</v>
      </c>
      <c r="S567" s="17">
        <f>SUMPRODUCT(N(Tabela176[Código]=Tabela8[[#This Row],[Papel]]),Tabela176[Fechamento])</f>
        <v>0</v>
      </c>
      <c r="T567" s="17">
        <f>SUMPRODUCT(N(Tabela1768[Código]=Tabela8[[#This Row],[Papel]]),Tabela1768[Fechamento])</f>
        <v>0</v>
      </c>
      <c r="U567" s="17">
        <f>SUMPRODUCT(N(Tabela17683[Código]=Tabela8[[#This Row],[Papel]]),Tabela17683[Fechamento])</f>
        <v>0</v>
      </c>
      <c r="V567" s="17">
        <f>IF(MAX(Tabela8[[#This Row],[Cotação 1]]:Tabela8[[#This Row],[Cotação 5]])=0,"",MAX(Tabela8[[#This Row],[Cotação 1]]:Tabela8[[#This Row],[Cotação 5]]))</f>
        <v>19.77</v>
      </c>
      <c r="W5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7" s="19" t="str">
        <f>IF(AND([Ref]=5,[Cotação]&gt;0,[Cotação]&lt;&gt;""),[Total Exercício]/[Cotação],IF([Ref]&lt;4,0,""))</f>
        <v/>
      </c>
      <c r="Y567" s="17">
        <f>IF([Tipo]="div",1,0)</f>
        <v>0</v>
      </c>
      <c r="Z567" s="17">
        <f>IF([Tipo]="jcp",1,0)</f>
        <v>1</v>
      </c>
    </row>
    <row r="568" spans="1:26" hidden="1">
      <c r="A568" s="4" t="s">
        <v>14</v>
      </c>
      <c r="B568" s="3" t="s">
        <v>24</v>
      </c>
      <c r="C568" s="15">
        <v>4</v>
      </c>
      <c r="D568" s="4">
        <v>2013</v>
      </c>
      <c r="E568" s="14" t="s">
        <v>1468</v>
      </c>
      <c r="G568" s="145">
        <v>41408</v>
      </c>
      <c r="H568" s="46">
        <v>41425</v>
      </c>
      <c r="I568" s="4">
        <v>9.8210000000000006E-2</v>
      </c>
      <c r="J568" s="133">
        <f>IF(Tabela8[[#This Row],[Tipo]]="jcp",Tabela8[[#This Row],[Provento p/Ação]]*85%,Tabela8[[#This Row],[Provento p/Ação]])</f>
        <v>9.8210000000000006E-2</v>
      </c>
      <c r="K568" s="133" t="str">
        <f>IF([Lucro p/Ação]&lt;&gt;0,SUMPRODUCT(N([Papel]=Tabela8[[#This Row],[Papel]]),N([Exercício]=Tabela8[[#This Row],[Exercício]]),[Líquido p/Ação]),"")</f>
        <v/>
      </c>
      <c r="L568" s="42" t="str">
        <f>IF(Tabela8[[#This Row],[Lucro p/Ação]]="","",IF(Tabela8[[#This Row],[Lucro p/Ação]]&gt;0,Tabela8[[#This Row],[Total Exercício]]/Tabela8[[#This Row],[Lucro p/Ação]],0))</f>
        <v/>
      </c>
      <c r="M568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8" s="19" t="str">
        <f>IF(Tabela8[[#This Row],[Média Lucro p/Ação]]&lt;&gt;"",Tabela8[[#This Row],[Média Pago]]/Tabela8[[#This Row],[Média Lucro p/Ação]],"")</f>
        <v/>
      </c>
      <c r="P5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8" s="134">
        <f>SUMPRODUCT(N(Tabela1[Código]=Tabela8[[#This Row],[Papel]]),Tabela1[Fechamento])</f>
        <v>19.77</v>
      </c>
      <c r="R568" s="17">
        <f>SUMPRODUCT(N(Tabela17[Código]=Tabela8[[#This Row],[Papel]]),Tabela17[Fechamento])</f>
        <v>0</v>
      </c>
      <c r="S568" s="17">
        <f>SUMPRODUCT(N(Tabela176[Código]=Tabela8[[#This Row],[Papel]]),Tabela176[Fechamento])</f>
        <v>0</v>
      </c>
      <c r="T568" s="17">
        <f>SUMPRODUCT(N(Tabela1768[Código]=Tabela8[[#This Row],[Papel]]),Tabela1768[Fechamento])</f>
        <v>0</v>
      </c>
      <c r="U568" s="17">
        <f>SUMPRODUCT(N(Tabela17683[Código]=Tabela8[[#This Row],[Papel]]),Tabela17683[Fechamento])</f>
        <v>0</v>
      </c>
      <c r="V568" s="17">
        <f>IF(MAX(Tabela8[[#This Row],[Cotação 1]]:Tabela8[[#This Row],[Cotação 5]])=0,"",MAX(Tabela8[[#This Row],[Cotação 1]]:Tabela8[[#This Row],[Cotação 5]]))</f>
        <v>19.77</v>
      </c>
      <c r="W5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8" s="19" t="str">
        <f>IF(AND([Ref]=5,[Cotação]&gt;0,[Cotação]&lt;&gt;""),[Total Exercício]/[Cotação],IF([Ref]&lt;4,0,""))</f>
        <v/>
      </c>
      <c r="Y568" s="17">
        <f>IF([Tipo]="div",1,0)</f>
        <v>1</v>
      </c>
      <c r="Z568" s="17">
        <f>IF([Tipo]="jcp",1,0)</f>
        <v>0</v>
      </c>
    </row>
    <row r="569" spans="1:26" hidden="1">
      <c r="A569" s="4" t="s">
        <v>14</v>
      </c>
      <c r="B569" s="3" t="s">
        <v>24</v>
      </c>
      <c r="C569" s="15">
        <v>4</v>
      </c>
      <c r="D569" s="4">
        <v>2013</v>
      </c>
      <c r="E569" s="14" t="s">
        <v>1475</v>
      </c>
      <c r="G569" s="145">
        <v>41422</v>
      </c>
      <c r="H569" s="46">
        <v>41453</v>
      </c>
      <c r="I569" s="4">
        <v>0.28198000000000001</v>
      </c>
      <c r="J569" s="133">
        <f>IF(Tabela8[[#This Row],[Tipo]]="jcp",Tabela8[[#This Row],[Provento p/Ação]]*85%,Tabela8[[#This Row],[Provento p/Ação]])</f>
        <v>0.23968300000000001</v>
      </c>
      <c r="K569" s="133" t="str">
        <f>IF([Lucro p/Ação]&lt;&gt;0,SUMPRODUCT(N([Papel]=Tabela8[[#This Row],[Papel]]),N([Exercício]=Tabela8[[#This Row],[Exercício]]),[Líquido p/Ação]),"")</f>
        <v/>
      </c>
      <c r="L569" s="42" t="str">
        <f>IF(Tabela8[[#This Row],[Lucro p/Ação]]="","",IF(Tabela8[[#This Row],[Lucro p/Ação]]&gt;0,Tabela8[[#This Row],[Total Exercício]]/Tabela8[[#This Row],[Lucro p/Ação]],0))</f>
        <v/>
      </c>
      <c r="M569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6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69" s="19" t="str">
        <f>IF(Tabela8[[#This Row],[Média Lucro p/Ação]]&lt;&gt;"",Tabela8[[#This Row],[Média Pago]]/Tabela8[[#This Row],[Média Lucro p/Ação]],"")</f>
        <v/>
      </c>
      <c r="P5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69" s="134">
        <f>SUMPRODUCT(N(Tabela1[Código]=Tabela8[[#This Row],[Papel]]),Tabela1[Fechamento])</f>
        <v>19.77</v>
      </c>
      <c r="R569" s="17">
        <f>SUMPRODUCT(N(Tabela17[Código]=Tabela8[[#This Row],[Papel]]),Tabela17[Fechamento])</f>
        <v>0</v>
      </c>
      <c r="S569" s="17">
        <f>SUMPRODUCT(N(Tabela176[Código]=Tabela8[[#This Row],[Papel]]),Tabela176[Fechamento])</f>
        <v>0</v>
      </c>
      <c r="T569" s="17">
        <f>SUMPRODUCT(N(Tabela1768[Código]=Tabela8[[#This Row],[Papel]]),Tabela1768[Fechamento])</f>
        <v>0</v>
      </c>
      <c r="U569" s="17">
        <f>SUMPRODUCT(N(Tabela17683[Código]=Tabela8[[#This Row],[Papel]]),Tabela17683[Fechamento])</f>
        <v>0</v>
      </c>
      <c r="V569" s="17">
        <f>IF(MAX(Tabela8[[#This Row],[Cotação 1]]:Tabela8[[#This Row],[Cotação 5]])=0,"",MAX(Tabela8[[#This Row],[Cotação 1]]:Tabela8[[#This Row],[Cotação 5]]))</f>
        <v>19.77</v>
      </c>
      <c r="W5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69" s="19" t="str">
        <f>IF(AND([Ref]=5,[Cotação]&gt;0,[Cotação]&lt;&gt;""),[Total Exercício]/[Cotação],IF([Ref]&lt;4,0,""))</f>
        <v/>
      </c>
      <c r="Y569" s="17">
        <f>IF([Tipo]="div",1,0)</f>
        <v>0</v>
      </c>
      <c r="Z569" s="17">
        <f>IF([Tipo]="jcp",1,0)</f>
        <v>1</v>
      </c>
    </row>
    <row r="570" spans="1:26" hidden="1">
      <c r="A570" s="4" t="s">
        <v>14</v>
      </c>
      <c r="B570" s="3" t="s">
        <v>24</v>
      </c>
      <c r="C570" s="15">
        <v>4</v>
      </c>
      <c r="D570" s="4">
        <v>2013</v>
      </c>
      <c r="E570" s="14" t="s">
        <v>1468</v>
      </c>
      <c r="G570" s="145">
        <v>41492</v>
      </c>
      <c r="H570" s="46">
        <v>41516</v>
      </c>
      <c r="I570" s="4">
        <v>0.76712000000000002</v>
      </c>
      <c r="J570" s="133">
        <f>IF(Tabela8[[#This Row],[Tipo]]="jcp",Tabela8[[#This Row],[Provento p/Ação]]*85%,Tabela8[[#This Row],[Provento p/Ação]])</f>
        <v>0.76712000000000002</v>
      </c>
      <c r="K570" s="133" t="str">
        <f>IF([Lucro p/Ação]&lt;&gt;0,SUMPRODUCT(N([Papel]=Tabela8[[#This Row],[Papel]]),N([Exercício]=Tabela8[[#This Row],[Exercício]]),[Líquido p/Ação]),"")</f>
        <v/>
      </c>
      <c r="L570" s="42" t="str">
        <f>IF(Tabela8[[#This Row],[Lucro p/Ação]]="","",IF(Tabela8[[#This Row],[Lucro p/Ação]]&gt;0,Tabela8[[#This Row],[Total Exercício]]/Tabela8[[#This Row],[Lucro p/Ação]],0))</f>
        <v/>
      </c>
      <c r="M570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0" s="19" t="str">
        <f>IF(Tabela8[[#This Row],[Média Lucro p/Ação]]&lt;&gt;"",Tabela8[[#This Row],[Média Pago]]/Tabela8[[#This Row],[Média Lucro p/Ação]],"")</f>
        <v/>
      </c>
      <c r="P5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0" s="134">
        <f>SUMPRODUCT(N(Tabela1[Código]=Tabela8[[#This Row],[Papel]]),Tabela1[Fechamento])</f>
        <v>19.77</v>
      </c>
      <c r="R570" s="17">
        <f>SUMPRODUCT(N(Tabela17[Código]=Tabela8[[#This Row],[Papel]]),Tabela17[Fechamento])</f>
        <v>0</v>
      </c>
      <c r="S570" s="17">
        <f>SUMPRODUCT(N(Tabela176[Código]=Tabela8[[#This Row],[Papel]]),Tabela176[Fechamento])</f>
        <v>0</v>
      </c>
      <c r="T570" s="17">
        <f>SUMPRODUCT(N(Tabela1768[Código]=Tabela8[[#This Row],[Papel]]),Tabela1768[Fechamento])</f>
        <v>0</v>
      </c>
      <c r="U570" s="17">
        <f>SUMPRODUCT(N(Tabela17683[Código]=Tabela8[[#This Row],[Papel]]),Tabela17683[Fechamento])</f>
        <v>0</v>
      </c>
      <c r="V570" s="17">
        <f>IF(MAX(Tabela8[[#This Row],[Cotação 1]]:Tabela8[[#This Row],[Cotação 5]])=0,"",MAX(Tabela8[[#This Row],[Cotação 1]]:Tabela8[[#This Row],[Cotação 5]]))</f>
        <v>19.77</v>
      </c>
      <c r="W5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0" s="19" t="str">
        <f>IF(AND([Ref]=5,[Cotação]&gt;0,[Cotação]&lt;&gt;""),[Total Exercício]/[Cotação],IF([Ref]&lt;4,0,""))</f>
        <v/>
      </c>
      <c r="Y570" s="17">
        <f>IF([Tipo]="div",1,0)</f>
        <v>1</v>
      </c>
      <c r="Z570" s="17">
        <f>IF([Tipo]="jcp",1,0)</f>
        <v>0</v>
      </c>
    </row>
    <row r="571" spans="1:26" hidden="1">
      <c r="A571" s="4" t="s">
        <v>14</v>
      </c>
      <c r="B571" s="3" t="s">
        <v>24</v>
      </c>
      <c r="C571" s="15">
        <v>4</v>
      </c>
      <c r="D571" s="4">
        <v>2013</v>
      </c>
      <c r="E571" s="14" t="s">
        <v>1475</v>
      </c>
      <c r="G571" s="145">
        <v>41513</v>
      </c>
      <c r="H571" s="46">
        <v>41547</v>
      </c>
      <c r="I571" s="4">
        <v>0.31326999999999999</v>
      </c>
      <c r="J571" s="133">
        <f>IF(Tabela8[[#This Row],[Tipo]]="jcp",Tabela8[[#This Row],[Provento p/Ação]]*85%,Tabela8[[#This Row],[Provento p/Ação]])</f>
        <v>0.2662795</v>
      </c>
      <c r="K571" s="133" t="str">
        <f>IF([Lucro p/Ação]&lt;&gt;0,SUMPRODUCT(N([Papel]=Tabela8[[#This Row],[Papel]]),N([Exercício]=Tabela8[[#This Row],[Exercício]]),[Líquido p/Ação]),"")</f>
        <v/>
      </c>
      <c r="L571" s="42" t="str">
        <f>IF(Tabela8[[#This Row],[Lucro p/Ação]]="","",IF(Tabela8[[#This Row],[Lucro p/Ação]]&gt;0,Tabela8[[#This Row],[Total Exercício]]/Tabela8[[#This Row],[Lucro p/Ação]],0))</f>
        <v/>
      </c>
      <c r="M571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1" s="19" t="str">
        <f>IF(Tabela8[[#This Row],[Média Lucro p/Ação]]&lt;&gt;"",Tabela8[[#This Row],[Média Pago]]/Tabela8[[#This Row],[Média Lucro p/Ação]],"")</f>
        <v/>
      </c>
      <c r="P5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1" s="134">
        <f>SUMPRODUCT(N(Tabela1[Código]=Tabela8[[#This Row],[Papel]]),Tabela1[Fechamento])</f>
        <v>19.77</v>
      </c>
      <c r="R571" s="17">
        <f>SUMPRODUCT(N(Tabela17[Código]=Tabela8[[#This Row],[Papel]]),Tabela17[Fechamento])</f>
        <v>0</v>
      </c>
      <c r="S571" s="17">
        <f>SUMPRODUCT(N(Tabela176[Código]=Tabela8[[#This Row],[Papel]]),Tabela176[Fechamento])</f>
        <v>0</v>
      </c>
      <c r="T571" s="17">
        <f>SUMPRODUCT(N(Tabela1768[Código]=Tabela8[[#This Row],[Papel]]),Tabela1768[Fechamento])</f>
        <v>0</v>
      </c>
      <c r="U571" s="17">
        <f>SUMPRODUCT(N(Tabela17683[Código]=Tabela8[[#This Row],[Papel]]),Tabela17683[Fechamento])</f>
        <v>0</v>
      </c>
      <c r="V571" s="17">
        <f>IF(MAX(Tabela8[[#This Row],[Cotação 1]]:Tabela8[[#This Row],[Cotação 5]])=0,"",MAX(Tabela8[[#This Row],[Cotação 1]]:Tabela8[[#This Row],[Cotação 5]]))</f>
        <v>19.77</v>
      </c>
      <c r="W5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1" s="19" t="str">
        <f>IF(AND([Ref]=5,[Cotação]&gt;0,[Cotação]&lt;&gt;""),[Total Exercício]/[Cotação],IF([Ref]&lt;4,0,""))</f>
        <v/>
      </c>
      <c r="Y571" s="17">
        <f>IF([Tipo]="div",1,0)</f>
        <v>0</v>
      </c>
      <c r="Z571" s="17">
        <f>IF([Tipo]="jcp",1,0)</f>
        <v>1</v>
      </c>
    </row>
    <row r="572" spans="1:26" hidden="1">
      <c r="A572" s="4" t="s">
        <v>14</v>
      </c>
      <c r="B572" s="3" t="s">
        <v>24</v>
      </c>
      <c r="C572" s="15">
        <v>4</v>
      </c>
      <c r="D572" s="4">
        <v>2013</v>
      </c>
      <c r="E572" s="14" t="s">
        <v>1468</v>
      </c>
      <c r="G572" s="145">
        <v>41583</v>
      </c>
      <c r="H572" s="46">
        <v>41607</v>
      </c>
      <c r="I572" s="4">
        <v>6.6530000000000006E-2</v>
      </c>
      <c r="J572" s="133">
        <f>IF(Tabela8[[#This Row],[Tipo]]="jcp",Tabela8[[#This Row],[Provento p/Ação]]*85%,Tabela8[[#This Row],[Provento p/Ação]])</f>
        <v>6.6530000000000006E-2</v>
      </c>
      <c r="K572" s="133" t="str">
        <f>IF([Lucro p/Ação]&lt;&gt;0,SUMPRODUCT(N([Papel]=Tabela8[[#This Row],[Papel]]),N([Exercício]=Tabela8[[#This Row],[Exercício]]),[Líquido p/Ação]),"")</f>
        <v/>
      </c>
      <c r="L572" s="42" t="str">
        <f>IF(Tabela8[[#This Row],[Lucro p/Ação]]="","",IF(Tabela8[[#This Row],[Lucro p/Ação]]&gt;0,Tabela8[[#This Row],[Total Exercício]]/Tabela8[[#This Row],[Lucro p/Ação]],0))</f>
        <v/>
      </c>
      <c r="M572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2" s="19" t="str">
        <f>IF(Tabela8[[#This Row],[Média Lucro p/Ação]]&lt;&gt;"",Tabela8[[#This Row],[Média Pago]]/Tabela8[[#This Row],[Média Lucro p/Ação]],"")</f>
        <v/>
      </c>
      <c r="P5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2" s="134">
        <f>SUMPRODUCT(N(Tabela1[Código]=Tabela8[[#This Row],[Papel]]),Tabela1[Fechamento])</f>
        <v>19.77</v>
      </c>
      <c r="R572" s="17">
        <f>SUMPRODUCT(N(Tabela17[Código]=Tabela8[[#This Row],[Papel]]),Tabela17[Fechamento])</f>
        <v>0</v>
      </c>
      <c r="S572" s="17">
        <f>SUMPRODUCT(N(Tabela176[Código]=Tabela8[[#This Row],[Papel]]),Tabela176[Fechamento])</f>
        <v>0</v>
      </c>
      <c r="T572" s="17">
        <f>SUMPRODUCT(N(Tabela1768[Código]=Tabela8[[#This Row],[Papel]]),Tabela1768[Fechamento])</f>
        <v>0</v>
      </c>
      <c r="U572" s="17">
        <f>SUMPRODUCT(N(Tabela17683[Código]=Tabela8[[#This Row],[Papel]]),Tabela17683[Fechamento])</f>
        <v>0</v>
      </c>
      <c r="V572" s="17">
        <f>IF(MAX(Tabela8[[#This Row],[Cotação 1]]:Tabela8[[#This Row],[Cotação 5]])=0,"",MAX(Tabela8[[#This Row],[Cotação 1]]:Tabela8[[#This Row],[Cotação 5]]))</f>
        <v>19.77</v>
      </c>
      <c r="W5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2" s="19" t="str">
        <f>IF(AND([Ref]=5,[Cotação]&gt;0,[Cotação]&lt;&gt;""),[Total Exercício]/[Cotação],IF([Ref]&lt;4,0,""))</f>
        <v/>
      </c>
      <c r="Y572" s="17">
        <f>IF([Tipo]="div",1,0)</f>
        <v>1</v>
      </c>
      <c r="Z572" s="17">
        <f>IF([Tipo]="jcp",1,0)</f>
        <v>0</v>
      </c>
    </row>
    <row r="573" spans="1:26" hidden="1">
      <c r="A573" s="4" t="s">
        <v>14</v>
      </c>
      <c r="B573" s="3" t="s">
        <v>24</v>
      </c>
      <c r="C573" s="15">
        <v>4</v>
      </c>
      <c r="D573" s="4">
        <v>2013</v>
      </c>
      <c r="E573" s="14" t="s">
        <v>1475</v>
      </c>
      <c r="G573" s="145">
        <v>41604</v>
      </c>
      <c r="H573" s="46">
        <v>41638</v>
      </c>
      <c r="I573" s="4">
        <v>0.30928</v>
      </c>
      <c r="J573" s="133">
        <f>IF(Tabela8[[#This Row],[Tipo]]="jcp",Tabela8[[#This Row],[Provento p/Ação]]*85%,Tabela8[[#This Row],[Provento p/Ação]])</f>
        <v>0.26288800000000001</v>
      </c>
      <c r="K573" s="133" t="str">
        <f>IF([Lucro p/Ação]&lt;&gt;0,SUMPRODUCT(N([Papel]=Tabela8[[#This Row],[Papel]]),N([Exercício]=Tabela8[[#This Row],[Exercício]]),[Líquido p/Ação]),"")</f>
        <v/>
      </c>
      <c r="L573" s="42" t="str">
        <f>IF(Tabela8[[#This Row],[Lucro p/Ação]]="","",IF(Tabela8[[#This Row],[Lucro p/Ação]]&gt;0,Tabela8[[#This Row],[Total Exercício]]/Tabela8[[#This Row],[Lucro p/Ação]],0))</f>
        <v/>
      </c>
      <c r="M573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3" s="19" t="str">
        <f>IF(Tabela8[[#This Row],[Média Lucro p/Ação]]&lt;&gt;"",Tabela8[[#This Row],[Média Pago]]/Tabela8[[#This Row],[Média Lucro p/Ação]],"")</f>
        <v/>
      </c>
      <c r="P5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3" s="134">
        <f>SUMPRODUCT(N(Tabela1[Código]=Tabela8[[#This Row],[Papel]]),Tabela1[Fechamento])</f>
        <v>19.77</v>
      </c>
      <c r="R573" s="17">
        <f>SUMPRODUCT(N(Tabela17[Código]=Tabela8[[#This Row],[Papel]]),Tabela17[Fechamento])</f>
        <v>0</v>
      </c>
      <c r="S573" s="17">
        <f>SUMPRODUCT(N(Tabela176[Código]=Tabela8[[#This Row],[Papel]]),Tabela176[Fechamento])</f>
        <v>0</v>
      </c>
      <c r="T573" s="17">
        <f>SUMPRODUCT(N(Tabela1768[Código]=Tabela8[[#This Row],[Papel]]),Tabela1768[Fechamento])</f>
        <v>0</v>
      </c>
      <c r="U573" s="17">
        <f>SUMPRODUCT(N(Tabela17683[Código]=Tabela8[[#This Row],[Papel]]),Tabela17683[Fechamento])</f>
        <v>0</v>
      </c>
      <c r="V573" s="17">
        <f>IF(MAX(Tabela8[[#This Row],[Cotação 1]]:Tabela8[[#This Row],[Cotação 5]])=0,"",MAX(Tabela8[[#This Row],[Cotação 1]]:Tabela8[[#This Row],[Cotação 5]]))</f>
        <v>19.77</v>
      </c>
      <c r="W5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3" s="19" t="str">
        <f>IF(AND([Ref]=5,[Cotação]&gt;0,[Cotação]&lt;&gt;""),[Total Exercício]/[Cotação],IF([Ref]&lt;4,0,""))</f>
        <v/>
      </c>
      <c r="Y573" s="17">
        <f>IF([Tipo]="div",1,0)</f>
        <v>0</v>
      </c>
      <c r="Z573" s="17">
        <f>IF([Tipo]="jcp",1,0)</f>
        <v>1</v>
      </c>
    </row>
    <row r="574" spans="1:26" hidden="1">
      <c r="A574" s="4" t="s">
        <v>14</v>
      </c>
      <c r="B574" s="3" t="s">
        <v>24</v>
      </c>
      <c r="C574" s="15">
        <v>4</v>
      </c>
      <c r="D574" s="4">
        <v>2013</v>
      </c>
      <c r="E574" s="14" t="s">
        <v>1468</v>
      </c>
      <c r="G574" s="145">
        <v>41681</v>
      </c>
      <c r="H574" s="46">
        <v>41694</v>
      </c>
      <c r="I574" s="4">
        <v>0.13002</v>
      </c>
      <c r="J574" s="133">
        <f>IF(Tabela8[[#This Row],[Tipo]]="jcp",Tabela8[[#This Row],[Provento p/Ação]]*85%,Tabela8[[#This Row],[Provento p/Ação]])</f>
        <v>0.13002</v>
      </c>
      <c r="K574" s="133" t="str">
        <f>IF([Lucro p/Ação]&lt;&gt;0,SUMPRODUCT(N([Papel]=Tabela8[[#This Row],[Papel]]),N([Exercício]=Tabela8[[#This Row],[Exercício]]),[Líquido p/Ação]),"")</f>
        <v/>
      </c>
      <c r="L574" s="42" t="str">
        <f>IF(Tabela8[[#This Row],[Lucro p/Ação]]="","",IF(Tabela8[[#This Row],[Lucro p/Ação]]&gt;0,Tabela8[[#This Row],[Total Exercício]]/Tabela8[[#This Row],[Lucro p/Ação]],0))</f>
        <v/>
      </c>
      <c r="M574" s="13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4" s="19" t="str">
        <f>IF(Tabela8[[#This Row],[Média Lucro p/Ação]]&lt;&gt;"",Tabela8[[#This Row],[Média Pago]]/Tabela8[[#This Row],[Média Lucro p/Ação]],"")</f>
        <v/>
      </c>
      <c r="P5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4" s="134">
        <f>SUMPRODUCT(N(Tabela1[Código]=Tabela8[[#This Row],[Papel]]),Tabela1[Fechamento])</f>
        <v>19.77</v>
      </c>
      <c r="R574" s="17">
        <f>SUMPRODUCT(N(Tabela17[Código]=Tabela8[[#This Row],[Papel]]),Tabela17[Fechamento])</f>
        <v>0</v>
      </c>
      <c r="S574" s="17">
        <f>SUMPRODUCT(N(Tabela176[Código]=Tabela8[[#This Row],[Papel]]),Tabela176[Fechamento])</f>
        <v>0</v>
      </c>
      <c r="T574" s="17">
        <f>SUMPRODUCT(N(Tabela1768[Código]=Tabela8[[#This Row],[Papel]]),Tabela1768[Fechamento])</f>
        <v>0</v>
      </c>
      <c r="U574" s="17">
        <f>SUMPRODUCT(N(Tabela17683[Código]=Tabela8[[#This Row],[Papel]]),Tabela17683[Fechamento])</f>
        <v>0</v>
      </c>
      <c r="V574" s="17">
        <f>IF(MAX(Tabela8[[#This Row],[Cotação 1]]:Tabela8[[#This Row],[Cotação 5]])=0,"",MAX(Tabela8[[#This Row],[Cotação 1]]:Tabela8[[#This Row],[Cotação 5]]))</f>
        <v>19.77</v>
      </c>
      <c r="W5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4" s="19" t="str">
        <f>IF(AND([Ref]=5,[Cotação]&gt;0,[Cotação]&lt;&gt;""),[Total Exercício]/[Cotação],IF([Ref]&lt;4,0,""))</f>
        <v/>
      </c>
      <c r="Y574" s="17">
        <f>IF([Tipo]="div",1,0)</f>
        <v>1</v>
      </c>
      <c r="Z574" s="17">
        <f>IF([Tipo]="jcp",1,0)</f>
        <v>0</v>
      </c>
    </row>
    <row r="575" spans="1:26" hidden="1">
      <c r="A575" s="4" t="s">
        <v>14</v>
      </c>
      <c r="B575" s="3" t="s">
        <v>24</v>
      </c>
      <c r="C575" s="15">
        <v>5</v>
      </c>
      <c r="D575" s="4">
        <v>2013</v>
      </c>
      <c r="E575" s="14" t="s">
        <v>1468</v>
      </c>
      <c r="F575" s="133">
        <v>5.5786600000000002</v>
      </c>
      <c r="G575" s="145">
        <v>41324</v>
      </c>
      <c r="H575" s="46">
        <v>41341</v>
      </c>
      <c r="I575" s="4">
        <v>0.25806000000000001</v>
      </c>
      <c r="J575" s="133">
        <f>IF(Tabela8[[#This Row],[Tipo]]="jcp",Tabela8[[#This Row],[Provento p/Ação]]*85%,Tabela8[[#This Row],[Provento p/Ação]])</f>
        <v>0.25806000000000001</v>
      </c>
      <c r="K575" s="133">
        <f>IF([Lucro p/Ação]&lt;&gt;0,SUMPRODUCT(N([Papel]=Tabela8[[#This Row],[Papel]]),N([Exercício]=Tabela8[[#This Row],[Exercício]]),[Líquido p/Ação]),"")</f>
        <v>2.3139810000000001</v>
      </c>
      <c r="L575" s="42">
        <f>IF(Tabela8[[#This Row],[Lucro p/Ação]]="","",IF(Tabela8[[#This Row],[Lucro p/Ação]]&gt;0,Tabela8[[#This Row],[Total Exercício]]/Tabela8[[#This Row],[Lucro p/Ação]],0))</f>
        <v>0.41479154492297432</v>
      </c>
      <c r="M575" s="13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4.62418</v>
      </c>
      <c r="N5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1.7482973749999999</v>
      </c>
      <c r="O575" s="19">
        <f>IF(Tabela8[[#This Row],[Média Lucro p/Ação]]&lt;&gt;"",Tabela8[[#This Row],[Média Pago]]/Tabela8[[#This Row],[Média Lucro p/Ação]],"")</f>
        <v>0.37807727532232743</v>
      </c>
      <c r="P5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5" s="134">
        <f>SUMPRODUCT(N(Tabela1[Código]=Tabela8[[#This Row],[Papel]]),Tabela1[Fechamento])</f>
        <v>19.77</v>
      </c>
      <c r="R575" s="17">
        <f>SUMPRODUCT(N(Tabela17[Código]=Tabela8[[#This Row],[Papel]]),Tabela17[Fechamento])</f>
        <v>0</v>
      </c>
      <c r="S575" s="17">
        <f>SUMPRODUCT(N(Tabela176[Código]=Tabela8[[#This Row],[Papel]]),Tabela176[Fechamento])</f>
        <v>0</v>
      </c>
      <c r="T575" s="17">
        <f>SUMPRODUCT(N(Tabela1768[Código]=Tabela8[[#This Row],[Papel]]),Tabela1768[Fechamento])</f>
        <v>0</v>
      </c>
      <c r="U575" s="17">
        <f>SUMPRODUCT(N(Tabela17683[Código]=Tabela8[[#This Row],[Papel]]),Tabela17683[Fechamento])</f>
        <v>0</v>
      </c>
      <c r="V575" s="17">
        <f>IF(MAX(Tabela8[[#This Row],[Cotação 1]]:Tabela8[[#This Row],[Cotação 5]])=0,"",MAX(Tabela8[[#This Row],[Cotação 1]]:Tabela8[[#This Row],[Cotação 5]]))</f>
        <v>19.77</v>
      </c>
      <c r="W5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5" s="19">
        <f>IF(AND([Ref]=5,[Cotação]&gt;0,[Cotação]&lt;&gt;""),[Total Exercício]/[Cotação],IF([Ref]&lt;4,0,""))</f>
        <v>0.11704506828528073</v>
      </c>
      <c r="Y575" s="17">
        <f>IF([Tipo]="div",1,0)</f>
        <v>1</v>
      </c>
      <c r="Z575" s="17">
        <f>IF([Tipo]="jcp",1,0)</f>
        <v>0</v>
      </c>
    </row>
    <row r="576" spans="1:26" hidden="1">
      <c r="A576" s="4" t="s">
        <v>12</v>
      </c>
      <c r="B576" s="131" t="s">
        <v>31</v>
      </c>
      <c r="C576" s="15">
        <v>5</v>
      </c>
      <c r="D576" s="14">
        <v>2010</v>
      </c>
      <c r="E576" s="4" t="s">
        <v>1468</v>
      </c>
      <c r="F576" s="133">
        <v>3.3088000000000002</v>
      </c>
      <c r="G576" s="46">
        <v>40528</v>
      </c>
      <c r="H576" s="46">
        <v>40539</v>
      </c>
      <c r="I576" s="137">
        <v>1.3188500000000001</v>
      </c>
      <c r="J576" s="133">
        <f>IF(Tabela8[[#This Row],[Tipo]]="jcp",Tabela8[[#This Row],[Provento p/Ação]]*85%,Tabela8[[#This Row],[Provento p/Ação]])</f>
        <v>1.3188500000000001</v>
      </c>
      <c r="K576" s="133">
        <f>IF([Lucro p/Ação]&lt;&gt;0,SUMPRODUCT(N([Papel]=Tabela8[[#This Row],[Papel]]),N([Exercício]=Tabela8[[#This Row],[Exercício]]),[Líquido p/Ação]),"")</f>
        <v>1.3188500000000001</v>
      </c>
      <c r="L576" s="19">
        <f>IF(Tabela8[[#This Row],[Lucro p/Ação]]="","",IF(Tabela8[[#This Row],[Lucro p/Ação]]&gt;0,Tabela8[[#This Row],[Total Exercício]]/Tabela8[[#This Row],[Lucro p/Ação]],0))</f>
        <v>0.39858861218568664</v>
      </c>
      <c r="M5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3.3088000000000002</v>
      </c>
      <c r="N5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1.3188500000000001</v>
      </c>
      <c r="O576" s="19">
        <f>IF(Tabela8[[#This Row],[Média Lucro p/Ação]]&lt;&gt;"",Tabela8[[#This Row],[Média Pago]]/Tabela8[[#This Row],[Média Lucro p/Ação]],"")</f>
        <v>0.39858861218568664</v>
      </c>
      <c r="P576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6" s="17">
        <f>SUMPRODUCT(N(Tabela1[Código]=Tabela8[[#This Row],[Papel]]),Tabela1[Fechamento])</f>
        <v>13.72</v>
      </c>
      <c r="R576" s="17">
        <f>SUMPRODUCT(N(Tabela17[Código]=Tabela8[[#This Row],[Papel]]),Tabela17[Fechamento])</f>
        <v>0</v>
      </c>
      <c r="S576" s="17">
        <f>SUMPRODUCT(N(Tabela176[Código]=Tabela8[[#This Row],[Papel]]),Tabela176[Fechamento])</f>
        <v>0</v>
      </c>
      <c r="T576" s="17">
        <f>SUMPRODUCT(N(Tabela1768[Código]=Tabela8[[#This Row],[Papel]]),Tabela1768[Fechamento])</f>
        <v>0</v>
      </c>
      <c r="U576" s="17">
        <f>SUMPRODUCT(N(Tabela17683[Código]=Tabela8[[#This Row],[Papel]]),Tabela17683[Fechamento])</f>
        <v>0</v>
      </c>
      <c r="V576" s="17">
        <f>IF(MAX(Tabela8[[#This Row],[Cotação 1]]:Tabela8[[#This Row],[Cotação 5]])=0,"",MAX(Tabela8[[#This Row],[Cotação 1]]:Tabela8[[#This Row],[Cotação 5]]))</f>
        <v>13.72</v>
      </c>
      <c r="W5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6" s="19">
        <f>IF(AND([Ref]=5,[Cotação]&gt;0,[Cotação]&lt;&gt;""),[Total Exercício]/[Cotação],IF([Ref]&lt;4,0,""))</f>
        <v>9.6126093294460646E-2</v>
      </c>
      <c r="Y576" s="17">
        <f>IF([Tipo]="div",1,0)</f>
        <v>1</v>
      </c>
      <c r="Z576" s="17">
        <f>IF([Tipo]="jcp",1,0)</f>
        <v>0</v>
      </c>
    </row>
    <row r="577" spans="1:26" hidden="1">
      <c r="A577" s="4" t="s">
        <v>12</v>
      </c>
      <c r="B577" s="131" t="s">
        <v>31</v>
      </c>
      <c r="C577" s="15">
        <v>5</v>
      </c>
      <c r="D577" s="14">
        <v>2011</v>
      </c>
      <c r="E577" s="4" t="s">
        <v>1468</v>
      </c>
      <c r="F577" s="133">
        <v>3.5380500000000001</v>
      </c>
      <c r="G577" s="46">
        <v>40883</v>
      </c>
      <c r="H577" s="46">
        <v>40883</v>
      </c>
      <c r="I577" s="133">
        <v>1.24505</v>
      </c>
      <c r="J577" s="133">
        <f>IF(Tabela8[[#This Row],[Tipo]]="jcp",Tabela8[[#This Row],[Provento p/Ação]]*85%,Tabela8[[#This Row],[Provento p/Ação]])</f>
        <v>1.24505</v>
      </c>
      <c r="K577" s="133">
        <f>IF([Lucro p/Ação]&lt;&gt;0,SUMPRODUCT(N([Papel]=Tabela8[[#This Row],[Papel]]),N([Exercício]=Tabela8[[#This Row],[Exercício]]),[Líquido p/Ação]),"")</f>
        <v>1.24505</v>
      </c>
      <c r="L577" s="19">
        <f>IF(Tabela8[[#This Row],[Lucro p/Ação]]="","",IF(Tabela8[[#This Row],[Lucro p/Ação]]&gt;0,Tabela8[[#This Row],[Total Exercício]]/Tabela8[[#This Row],[Lucro p/Ação]],0))</f>
        <v>0.35190288435720241</v>
      </c>
      <c r="M57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3.4234249999999999</v>
      </c>
      <c r="N57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1.2819500000000001</v>
      </c>
      <c r="O577" s="19">
        <f>IF(Tabela8[[#This Row],[Média Lucro p/Ação]]&lt;&gt;"",Tabela8[[#This Row],[Média Pago]]/Tabela8[[#This Row],[Média Lucro p/Ação]],"")</f>
        <v>0.37446416965465879</v>
      </c>
      <c r="P577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7" s="7">
        <f>SUMPRODUCT(N(Tabela1[Código]=Tabela8[[#This Row],[Papel]]),Tabela1[Fechamento])</f>
        <v>13.72</v>
      </c>
      <c r="R577" s="7">
        <f>SUMPRODUCT(N(Tabela17[Código]=Tabela8[[#This Row],[Papel]]),Tabela17[Fechamento])</f>
        <v>0</v>
      </c>
      <c r="S577" s="7">
        <f>SUMPRODUCT(N(Tabela176[Código]=Tabela8[[#This Row],[Papel]]),Tabela176[Fechamento])</f>
        <v>0</v>
      </c>
      <c r="T577" s="7">
        <f>SUMPRODUCT(N(Tabela1768[Código]=Tabela8[[#This Row],[Papel]]),Tabela1768[Fechamento])</f>
        <v>0</v>
      </c>
      <c r="U577" s="7">
        <f>SUMPRODUCT(N(Tabela17683[Código]=Tabela8[[#This Row],[Papel]]),Tabela17683[Fechamento])</f>
        <v>0</v>
      </c>
      <c r="V577" s="17">
        <f>IF(MAX(Tabela8[[#This Row],[Cotação 1]]:Tabela8[[#This Row],[Cotação 5]])=0,"",MAX(Tabela8[[#This Row],[Cotação 1]]:Tabela8[[#This Row],[Cotação 5]]))</f>
        <v>13.72</v>
      </c>
      <c r="W5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7" s="19">
        <f>IF(AND([Ref]=5,[Cotação]&gt;0,[Cotação]&lt;&gt;""),[Total Exercício]/[Cotação],IF([Ref]&lt;4,0,""))</f>
        <v>9.0747084548104956E-2</v>
      </c>
      <c r="Y577" s="17">
        <f>IF([Tipo]="div",1,0)</f>
        <v>1</v>
      </c>
      <c r="Z577" s="17">
        <f>IF([Tipo]="jcp",1,0)</f>
        <v>0</v>
      </c>
    </row>
    <row r="578" spans="1:26" hidden="1">
      <c r="A578" s="4" t="s">
        <v>12</v>
      </c>
      <c r="B578" s="131" t="s">
        <v>31</v>
      </c>
      <c r="C578" s="15">
        <v>4</v>
      </c>
      <c r="D578" s="14">
        <v>2012</v>
      </c>
      <c r="E578" s="4" t="s">
        <v>1468</v>
      </c>
      <c r="G578" s="145">
        <v>41263</v>
      </c>
      <c r="H578" s="46">
        <v>41289</v>
      </c>
      <c r="I578" s="4">
        <v>1.87649</v>
      </c>
      <c r="J578" s="133">
        <f>IF(Tabela8[[#This Row],[Tipo]]="jcp",Tabela8[[#This Row],[Provento p/Ação]]*85%,Tabela8[[#This Row],[Provento p/Ação]])</f>
        <v>1.87649</v>
      </c>
      <c r="K578" s="133" t="str">
        <f>IF([Lucro p/Ação]&lt;&gt;0,SUMPRODUCT(N([Papel]=Tabela8[[#This Row],[Papel]]),N([Exercício]=Tabela8[[#This Row],[Exercício]]),[Líquido p/Ação]),"")</f>
        <v/>
      </c>
      <c r="L578" s="42" t="str">
        <f>IF(Tabela8[[#This Row],[Lucro p/Ação]]="","",IF(Tabela8[[#This Row],[Lucro p/Ação]]&gt;0,Tabela8[[#This Row],[Total Exercício]]/Tabela8[[#This Row],[Lucro p/Ação]],0))</f>
        <v/>
      </c>
      <c r="M57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7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78" s="19" t="str">
        <f>IF(Tabela8[[#This Row],[Média Lucro p/Ação]]&lt;&gt;"",Tabela8[[#This Row],[Média Pago]]/Tabela8[[#This Row],[Média Lucro p/Ação]],"")</f>
        <v/>
      </c>
      <c r="P5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8" s="134">
        <f>SUMPRODUCT(N(Tabela1[Código]=Tabela8[[#This Row],[Papel]]),Tabela1[Fechamento])</f>
        <v>13.72</v>
      </c>
      <c r="R578" s="7">
        <f>SUMPRODUCT(N(Tabela17[Código]=Tabela8[[#This Row],[Papel]]),Tabela17[Fechamento])</f>
        <v>0</v>
      </c>
      <c r="S578" s="7">
        <f>SUMPRODUCT(N(Tabela176[Código]=Tabela8[[#This Row],[Papel]]),Tabela176[Fechamento])</f>
        <v>0</v>
      </c>
      <c r="T578" s="7">
        <f>SUMPRODUCT(N(Tabela1768[Código]=Tabela8[[#This Row],[Papel]]),Tabela1768[Fechamento])</f>
        <v>0</v>
      </c>
      <c r="U578" s="7">
        <f>SUMPRODUCT(N(Tabela17683[Código]=Tabela8[[#This Row],[Papel]]),Tabela17683[Fechamento])</f>
        <v>0</v>
      </c>
      <c r="V578" s="7">
        <f>IF(MAX(Tabela8[[#This Row],[Cotação 1]]:Tabela8[[#This Row],[Cotação 5]])=0,"",MAX(Tabela8[[#This Row],[Cotação 1]]:Tabela8[[#This Row],[Cotação 5]]))</f>
        <v>13.72</v>
      </c>
      <c r="W578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8" s="19" t="str">
        <f>IF(AND([Ref]=5,[Cotação]&gt;0,[Cotação]&lt;&gt;""),[Total Exercício]/[Cotação],IF([Ref]&lt;4,0,""))</f>
        <v/>
      </c>
      <c r="Y578" s="17">
        <f>IF([Tipo]="div",1,0)</f>
        <v>1</v>
      </c>
      <c r="Z578" s="17">
        <f>IF([Tipo]="jcp",1,0)</f>
        <v>0</v>
      </c>
    </row>
    <row r="579" spans="1:26" hidden="1">
      <c r="A579" s="4" t="s">
        <v>12</v>
      </c>
      <c r="B579" s="131" t="s">
        <v>31</v>
      </c>
      <c r="C579" s="15">
        <v>5</v>
      </c>
      <c r="D579" s="14">
        <v>2012</v>
      </c>
      <c r="E579" s="4" t="s">
        <v>1475</v>
      </c>
      <c r="F579" s="133">
        <v>5.37</v>
      </c>
      <c r="G579" s="145">
        <v>41263</v>
      </c>
      <c r="H579" s="46">
        <v>41289</v>
      </c>
      <c r="I579" s="4">
        <v>1.99377</v>
      </c>
      <c r="J579" s="133">
        <f>IF(Tabela8[[#This Row],[Tipo]]="jcp",Tabela8[[#This Row],[Provento p/Ação]]*85%,Tabela8[[#This Row],[Provento p/Ação]])</f>
        <v>1.6947045000000001</v>
      </c>
      <c r="K579" s="133">
        <f>IF([Lucro p/Ação]&lt;&gt;0,SUMPRODUCT(N([Papel]=Tabela8[[#This Row],[Papel]]),N([Exercício]=Tabela8[[#This Row],[Exercício]]),[Líquido p/Ação]),"")</f>
        <v>3.5711944999999998</v>
      </c>
      <c r="L579" s="42">
        <f>IF(Tabela8[[#This Row],[Lucro p/Ação]]="","",IF(Tabela8[[#This Row],[Lucro p/Ação]]&gt;0,Tabela8[[#This Row],[Total Exercício]]/Tabela8[[#This Row],[Lucro p/Ação]],0))</f>
        <v>0.66502690875232773</v>
      </c>
      <c r="M5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4.0722833333333339</v>
      </c>
      <c r="N57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2.0450314999999999</v>
      </c>
      <c r="O579" s="19">
        <f>IF(Tabela8[[#This Row],[Média Lucro p/Ação]]&lt;&gt;"",Tabela8[[#This Row],[Média Pago]]/Tabela8[[#This Row],[Média Lucro p/Ação]],"")</f>
        <v>0.50218300953191686</v>
      </c>
      <c r="P5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79" s="134">
        <f>SUMPRODUCT(N(Tabela1[Código]=Tabela8[[#This Row],[Papel]]),Tabela1[Fechamento])</f>
        <v>13.72</v>
      </c>
      <c r="R579" s="7">
        <f>SUMPRODUCT(N(Tabela17[Código]=Tabela8[[#This Row],[Papel]]),Tabela17[Fechamento])</f>
        <v>0</v>
      </c>
      <c r="S579" s="7">
        <f>SUMPRODUCT(N(Tabela176[Código]=Tabela8[[#This Row],[Papel]]),Tabela176[Fechamento])</f>
        <v>0</v>
      </c>
      <c r="T579" s="7">
        <f>SUMPRODUCT(N(Tabela1768[Código]=Tabela8[[#This Row],[Papel]]),Tabela1768[Fechamento])</f>
        <v>0</v>
      </c>
      <c r="U579" s="7">
        <f>SUMPRODUCT(N(Tabela17683[Código]=Tabela8[[#This Row],[Papel]]),Tabela17683[Fechamento])</f>
        <v>0</v>
      </c>
      <c r="V579" s="7">
        <f>IF(MAX(Tabela8[[#This Row],[Cotação 1]]:Tabela8[[#This Row],[Cotação 5]])=0,"",MAX(Tabela8[[#This Row],[Cotação 1]]:Tabela8[[#This Row],[Cotação 5]]))</f>
        <v>13.72</v>
      </c>
      <c r="W579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79" s="19">
        <f>IF(AND([Ref]=5,[Cotação]&gt;0,[Cotação]&lt;&gt;""),[Total Exercício]/[Cotação],IF([Ref]&lt;4,0,""))</f>
        <v>0.26029114431486877</v>
      </c>
      <c r="Y579" s="17">
        <f>IF([Tipo]="div",1,0)</f>
        <v>0</v>
      </c>
      <c r="Z579" s="17">
        <f>IF([Tipo]="jcp",1,0)</f>
        <v>1</v>
      </c>
    </row>
    <row r="580" spans="1:26" hidden="1">
      <c r="A580" s="4" t="s">
        <v>12</v>
      </c>
      <c r="B580" s="131" t="s">
        <v>31</v>
      </c>
      <c r="C580" s="15">
        <v>5</v>
      </c>
      <c r="D580" s="14">
        <v>2013</v>
      </c>
      <c r="E580" s="4"/>
      <c r="F580" s="133">
        <v>2.36</v>
      </c>
      <c r="I580" s="4"/>
      <c r="J580" s="133">
        <f>IF(Tabela8[[#This Row],[Tipo]]="jcp",Tabela8[[#This Row],[Provento p/Ação]]*85%,Tabela8[[#This Row],[Provento p/Ação]])</f>
        <v>0</v>
      </c>
      <c r="K580" s="133">
        <f>IF([Lucro p/Ação]&lt;&gt;0,SUMPRODUCT(N([Papel]=Tabela8[[#This Row],[Papel]]),N([Exercício]=Tabela8[[#This Row],[Exercício]]),[Líquido p/Ação]),"")</f>
        <v>0</v>
      </c>
      <c r="L580" s="42">
        <f>IF(Tabela8[[#This Row],[Lucro p/Ação]]="","",IF(Tabela8[[#This Row],[Lucro p/Ação]]&gt;0,Tabela8[[#This Row],[Total Exercício]]/Tabela8[[#This Row],[Lucro p/Ação]],0))</f>
        <v>0</v>
      </c>
      <c r="M5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3.6442125000000001</v>
      </c>
      <c r="N58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1.533773625</v>
      </c>
      <c r="O580" s="19">
        <f>IF(Tabela8[[#This Row],[Média Lucro p/Ação]]&lt;&gt;"",Tabela8[[#This Row],[Média Pago]]/Tabela8[[#This Row],[Média Lucro p/Ação]],"")</f>
        <v>0.42087930519968308</v>
      </c>
      <c r="P5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0" s="134">
        <f>SUMPRODUCT(N(Tabela1[Código]=Tabela8[[#This Row],[Papel]]),Tabela1[Fechamento])</f>
        <v>13.72</v>
      </c>
      <c r="R580" s="7">
        <f>SUMPRODUCT(N(Tabela17[Código]=Tabela8[[#This Row],[Papel]]),Tabela17[Fechamento])</f>
        <v>0</v>
      </c>
      <c r="S580" s="7">
        <f>SUMPRODUCT(N(Tabela176[Código]=Tabela8[[#This Row],[Papel]]),Tabela176[Fechamento])</f>
        <v>0</v>
      </c>
      <c r="T580" s="7">
        <f>SUMPRODUCT(N(Tabela1768[Código]=Tabela8[[#This Row],[Papel]]),Tabela1768[Fechamento])</f>
        <v>0</v>
      </c>
      <c r="U580" s="7">
        <f>SUMPRODUCT(N(Tabela17683[Código]=Tabela8[[#This Row],[Papel]]),Tabela17683[Fechamento])</f>
        <v>0</v>
      </c>
      <c r="V580" s="7">
        <f>IF(MAX(Tabela8[[#This Row],[Cotação 1]]:Tabela8[[#This Row],[Cotação 5]])=0,"",MAX(Tabela8[[#This Row],[Cotação 1]]:Tabela8[[#This Row],[Cotação 5]]))</f>
        <v>13.72</v>
      </c>
      <c r="W580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0" s="19">
        <f>IF(AND([Ref]=5,[Cotação]&gt;0,[Cotação]&lt;&gt;""),[Total Exercício]/[Cotação],IF([Ref]&lt;4,0,""))</f>
        <v>0</v>
      </c>
      <c r="Y580" s="17">
        <f>IF([Tipo]="div",1,0)</f>
        <v>0</v>
      </c>
      <c r="Z580" s="17">
        <f>IF([Tipo]="jcp",1,0)</f>
        <v>0</v>
      </c>
    </row>
    <row r="581" spans="1:26" hidden="1">
      <c r="A581" s="4" t="s">
        <v>12</v>
      </c>
      <c r="B581" s="131" t="s">
        <v>30</v>
      </c>
      <c r="C581" s="15">
        <v>5</v>
      </c>
      <c r="D581" s="14">
        <v>2010</v>
      </c>
      <c r="E581" s="4" t="s">
        <v>1468</v>
      </c>
      <c r="F581" s="133">
        <v>3.3088000000000002</v>
      </c>
      <c r="G581" s="46">
        <v>40528</v>
      </c>
      <c r="H581" s="46">
        <v>40539</v>
      </c>
      <c r="I581" s="137">
        <v>1.3188500000000001</v>
      </c>
      <c r="J581" s="133">
        <f>IF(Tabela8[[#This Row],[Tipo]]="jcp",Tabela8[[#This Row],[Provento p/Ação]]*85%,Tabela8[[#This Row],[Provento p/Ação]])</f>
        <v>1.3188500000000001</v>
      </c>
      <c r="K581" s="133">
        <f>IF([Lucro p/Ação]&lt;&gt;0,SUMPRODUCT(N([Papel]=Tabela8[[#This Row],[Papel]]),N([Exercício]=Tabela8[[#This Row],[Exercício]]),[Líquido p/Ação]),"")</f>
        <v>1.3188500000000001</v>
      </c>
      <c r="L581" s="19">
        <f>IF(Tabela8[[#This Row],[Lucro p/Ação]]="","",IF(Tabela8[[#This Row],[Lucro p/Ação]]&gt;0,Tabela8[[#This Row],[Total Exercício]]/Tabela8[[#This Row],[Lucro p/Ação]],0))</f>
        <v>0.39858861218568664</v>
      </c>
      <c r="M58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3.3088000000000002</v>
      </c>
      <c r="N58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1.3188500000000001</v>
      </c>
      <c r="O581" s="19">
        <f>IF(Tabela8[[#This Row],[Média Lucro p/Ação]]&lt;&gt;"",Tabela8[[#This Row],[Média Pago]]/Tabela8[[#This Row],[Média Lucro p/Ação]],"")</f>
        <v>0.39858861218568664</v>
      </c>
      <c r="P581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1" s="17">
        <f>SUMPRODUCT(N(Tabela1[Código]=Tabela8[[#This Row],[Papel]]),Tabela1[Fechamento])</f>
        <v>13.5</v>
      </c>
      <c r="R581" s="17">
        <f>SUMPRODUCT(N(Tabela17[Código]=Tabela8[[#This Row],[Papel]]),Tabela17[Fechamento])</f>
        <v>0</v>
      </c>
      <c r="S581" s="17">
        <f>SUMPRODUCT(N(Tabela176[Código]=Tabela8[[#This Row],[Papel]]),Tabela176[Fechamento])</f>
        <v>0</v>
      </c>
      <c r="T581" s="17">
        <f>SUMPRODUCT(N(Tabela1768[Código]=Tabela8[[#This Row],[Papel]]),Tabela1768[Fechamento])</f>
        <v>0</v>
      </c>
      <c r="U581" s="17">
        <f>SUMPRODUCT(N(Tabela17683[Código]=Tabela8[[#This Row],[Papel]]),Tabela17683[Fechamento])</f>
        <v>0</v>
      </c>
      <c r="V581" s="17">
        <f>IF(MAX(Tabela8[[#This Row],[Cotação 1]]:Tabela8[[#This Row],[Cotação 5]])=0,"",MAX(Tabela8[[#This Row],[Cotação 1]]:Tabela8[[#This Row],[Cotação 5]]))</f>
        <v>13.5</v>
      </c>
      <c r="W5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1" s="19">
        <f>IF(AND([Ref]=5,[Cotação]&gt;0,[Cotação]&lt;&gt;""),[Total Exercício]/[Cotação],IF([Ref]&lt;4,0,""))</f>
        <v>9.7692592592592595E-2</v>
      </c>
      <c r="Y581" s="17">
        <f>IF([Tipo]="div",1,0)</f>
        <v>1</v>
      </c>
      <c r="Z581" s="17">
        <f>IF([Tipo]="jcp",1,0)</f>
        <v>0</v>
      </c>
    </row>
    <row r="582" spans="1:26" hidden="1">
      <c r="A582" s="4" t="s">
        <v>12</v>
      </c>
      <c r="B582" s="131" t="s">
        <v>30</v>
      </c>
      <c r="C582" s="15">
        <v>5</v>
      </c>
      <c r="D582" s="14">
        <v>2011</v>
      </c>
      <c r="E582" s="4" t="s">
        <v>1468</v>
      </c>
      <c r="F582" s="133">
        <v>3.5380500000000001</v>
      </c>
      <c r="G582" s="46">
        <v>40883</v>
      </c>
      <c r="H582" s="46">
        <v>40883</v>
      </c>
      <c r="I582" s="133">
        <v>1.24505</v>
      </c>
      <c r="J582" s="133">
        <f>IF(Tabela8[[#This Row],[Tipo]]="jcp",Tabela8[[#This Row],[Provento p/Ação]]*85%,Tabela8[[#This Row],[Provento p/Ação]])</f>
        <v>1.24505</v>
      </c>
      <c r="K582" s="133">
        <f>IF([Lucro p/Ação]&lt;&gt;0,SUMPRODUCT(N([Papel]=Tabela8[[#This Row],[Papel]]),N([Exercício]=Tabela8[[#This Row],[Exercício]]),[Líquido p/Ação]),"")</f>
        <v>1.24505</v>
      </c>
      <c r="L582" s="19">
        <f>IF(Tabela8[[#This Row],[Lucro p/Ação]]="","",IF(Tabela8[[#This Row],[Lucro p/Ação]]&gt;0,Tabela8[[#This Row],[Total Exercício]]/Tabela8[[#This Row],[Lucro p/Ação]],0))</f>
        <v>0.35190288435720241</v>
      </c>
      <c r="M58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3.4234249999999999</v>
      </c>
      <c r="N58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1.2819500000000001</v>
      </c>
      <c r="O582" s="19">
        <f>IF(Tabela8[[#This Row],[Média Lucro p/Ação]]&lt;&gt;"",Tabela8[[#This Row],[Média Pago]]/Tabela8[[#This Row],[Média Lucro p/Ação]],"")</f>
        <v>0.37446416965465879</v>
      </c>
      <c r="P582" s="13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2" s="17">
        <f>SUMPRODUCT(N(Tabela1[Código]=Tabela8[[#This Row],[Papel]]),Tabela1[Fechamento])</f>
        <v>13.5</v>
      </c>
      <c r="R582" s="17">
        <f>SUMPRODUCT(N(Tabela17[Código]=Tabela8[[#This Row],[Papel]]),Tabela17[Fechamento])</f>
        <v>0</v>
      </c>
      <c r="S582" s="17">
        <f>SUMPRODUCT(N(Tabela176[Código]=Tabela8[[#This Row],[Papel]]),Tabela176[Fechamento])</f>
        <v>0</v>
      </c>
      <c r="T582" s="17">
        <f>SUMPRODUCT(N(Tabela1768[Código]=Tabela8[[#This Row],[Papel]]),Tabela1768[Fechamento])</f>
        <v>0</v>
      </c>
      <c r="U582" s="17">
        <f>SUMPRODUCT(N(Tabela17683[Código]=Tabela8[[#This Row],[Papel]]),Tabela17683[Fechamento])</f>
        <v>0</v>
      </c>
      <c r="V582" s="17">
        <f>IF(MAX(Tabela8[[#This Row],[Cotação 1]]:Tabela8[[#This Row],[Cotação 5]])=0,"",MAX(Tabela8[[#This Row],[Cotação 1]]:Tabela8[[#This Row],[Cotação 5]]))</f>
        <v>13.5</v>
      </c>
      <c r="W5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2" s="19">
        <f>IF(AND([Ref]=5,[Cotação]&gt;0,[Cotação]&lt;&gt;""),[Total Exercício]/[Cotação],IF([Ref]&lt;4,0,""))</f>
        <v>9.222592592592592E-2</v>
      </c>
      <c r="Y582" s="17">
        <f>IF([Tipo]="div",1,0)</f>
        <v>1</v>
      </c>
      <c r="Z582" s="17">
        <f>IF([Tipo]="jcp",1,0)</f>
        <v>0</v>
      </c>
    </row>
    <row r="583" spans="1:26" hidden="1">
      <c r="A583" s="4" t="s">
        <v>12</v>
      </c>
      <c r="B583" s="131" t="s">
        <v>30</v>
      </c>
      <c r="C583" s="15">
        <v>4</v>
      </c>
      <c r="D583" s="14">
        <v>2012</v>
      </c>
      <c r="E583" s="4" t="s">
        <v>1468</v>
      </c>
      <c r="G583" s="145">
        <v>41263</v>
      </c>
      <c r="H583" s="46">
        <v>41289</v>
      </c>
      <c r="I583" s="4">
        <v>1.87649</v>
      </c>
      <c r="J583" s="133">
        <f>IF(Tabela8[[#This Row],[Tipo]]="jcp",Tabela8[[#This Row],[Provento p/Ação]]*85%,Tabela8[[#This Row],[Provento p/Ação]])</f>
        <v>1.87649</v>
      </c>
      <c r="K583" s="133" t="str">
        <f>IF([Lucro p/Ação]&lt;&gt;0,SUMPRODUCT(N([Papel]=Tabela8[[#This Row],[Papel]]),N([Exercício]=Tabela8[[#This Row],[Exercício]]),[Líquido p/Ação]),"")</f>
        <v/>
      </c>
      <c r="L583" s="42" t="str">
        <f>IF(Tabela8[[#This Row],[Lucro p/Ação]]="","",IF(Tabela8[[#This Row],[Lucro p/Ação]]&gt;0,Tabela8[[#This Row],[Total Exercício]]/Tabela8[[#This Row],[Lucro p/Ação]],0))</f>
        <v/>
      </c>
      <c r="M5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3" s="19" t="str">
        <f>IF(Tabela8[[#This Row],[Média Lucro p/Ação]]&lt;&gt;"",Tabela8[[#This Row],[Média Pago]]/Tabela8[[#This Row],[Média Lucro p/Ação]],"")</f>
        <v/>
      </c>
      <c r="P5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3" s="134">
        <f>SUMPRODUCT(N(Tabela1[Código]=Tabela8[[#This Row],[Papel]]),Tabela1[Fechamento])</f>
        <v>13.5</v>
      </c>
      <c r="R583" s="17">
        <f>SUMPRODUCT(N(Tabela17[Código]=Tabela8[[#This Row],[Papel]]),Tabela17[Fechamento])</f>
        <v>0</v>
      </c>
      <c r="S583" s="17">
        <f>SUMPRODUCT(N(Tabela176[Código]=Tabela8[[#This Row],[Papel]]),Tabela176[Fechamento])</f>
        <v>0</v>
      </c>
      <c r="T583" s="17">
        <f>SUMPRODUCT(N(Tabela1768[Código]=Tabela8[[#This Row],[Papel]]),Tabela1768[Fechamento])</f>
        <v>0</v>
      </c>
      <c r="U583" s="17">
        <f>SUMPRODUCT(N(Tabela17683[Código]=Tabela8[[#This Row],[Papel]]),Tabela17683[Fechamento])</f>
        <v>0</v>
      </c>
      <c r="V583" s="17">
        <f>IF(MAX(Tabela8[[#This Row],[Cotação 1]]:Tabela8[[#This Row],[Cotação 5]])=0,"",MAX(Tabela8[[#This Row],[Cotação 1]]:Tabela8[[#This Row],[Cotação 5]]))</f>
        <v>13.5</v>
      </c>
      <c r="W583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3" s="19" t="str">
        <f>IF(AND([Ref]=5,[Cotação]&gt;0,[Cotação]&lt;&gt;""),[Total Exercício]/[Cotação],IF([Ref]&lt;4,0,""))</f>
        <v/>
      </c>
      <c r="Y583" s="17">
        <f>IF([Tipo]="div",1,0)</f>
        <v>1</v>
      </c>
      <c r="Z583" s="17">
        <f>IF([Tipo]="jcp",1,0)</f>
        <v>0</v>
      </c>
    </row>
    <row r="584" spans="1:26" hidden="1">
      <c r="A584" s="4" t="s">
        <v>12</v>
      </c>
      <c r="B584" s="131" t="s">
        <v>30</v>
      </c>
      <c r="C584" s="15">
        <v>5</v>
      </c>
      <c r="D584" s="14">
        <v>2012</v>
      </c>
      <c r="E584" s="4" t="s">
        <v>1475</v>
      </c>
      <c r="F584" s="133">
        <v>5.37</v>
      </c>
      <c r="G584" s="145">
        <v>41263</v>
      </c>
      <c r="H584" s="46">
        <v>41289</v>
      </c>
      <c r="I584" s="4">
        <v>1.99377</v>
      </c>
      <c r="J584" s="133">
        <f>IF(Tabela8[[#This Row],[Tipo]]="jcp",Tabela8[[#This Row],[Provento p/Ação]]*85%,Tabela8[[#This Row],[Provento p/Ação]])</f>
        <v>1.6947045000000001</v>
      </c>
      <c r="K584" s="133">
        <f>IF([Lucro p/Ação]&lt;&gt;0,SUMPRODUCT(N([Papel]=Tabela8[[#This Row],[Papel]]),N([Exercício]=Tabela8[[#This Row],[Exercício]]),[Líquido p/Ação]),"")</f>
        <v>3.5711944999999998</v>
      </c>
      <c r="L584" s="42">
        <f>IF(Tabela8[[#This Row],[Lucro p/Ação]]="","",IF(Tabela8[[#This Row],[Lucro p/Ação]]&gt;0,Tabela8[[#This Row],[Total Exercício]]/Tabela8[[#This Row],[Lucro p/Ação]],0))</f>
        <v>0.66502690875232773</v>
      </c>
      <c r="M58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4.0722833333333339</v>
      </c>
      <c r="N58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2.0450314999999999</v>
      </c>
      <c r="O584" s="19">
        <f>IF(Tabela8[[#This Row],[Média Lucro p/Ação]]&lt;&gt;"",Tabela8[[#This Row],[Média Pago]]/Tabela8[[#This Row],[Média Lucro p/Ação]],"")</f>
        <v>0.50218300953191686</v>
      </c>
      <c r="P5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4" s="134">
        <f>SUMPRODUCT(N(Tabela1[Código]=Tabela8[[#This Row],[Papel]]),Tabela1[Fechamento])</f>
        <v>13.5</v>
      </c>
      <c r="R584" s="17">
        <f>SUMPRODUCT(N(Tabela17[Código]=Tabela8[[#This Row],[Papel]]),Tabela17[Fechamento])</f>
        <v>0</v>
      </c>
      <c r="S584" s="17">
        <f>SUMPRODUCT(N(Tabela176[Código]=Tabela8[[#This Row],[Papel]]),Tabela176[Fechamento])</f>
        <v>0</v>
      </c>
      <c r="T584" s="17">
        <f>SUMPRODUCT(N(Tabela1768[Código]=Tabela8[[#This Row],[Papel]]),Tabela1768[Fechamento])</f>
        <v>0</v>
      </c>
      <c r="U584" s="17">
        <f>SUMPRODUCT(N(Tabela17683[Código]=Tabela8[[#This Row],[Papel]]),Tabela17683[Fechamento])</f>
        <v>0</v>
      </c>
      <c r="V584" s="17">
        <f>IF(MAX(Tabela8[[#This Row],[Cotação 1]]:Tabela8[[#This Row],[Cotação 5]])=0,"",MAX(Tabela8[[#This Row],[Cotação 1]]:Tabela8[[#This Row],[Cotação 5]]))</f>
        <v>13.5</v>
      </c>
      <c r="W584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4" s="19">
        <f>IF(AND([Ref]=5,[Cotação]&gt;0,[Cotação]&lt;&gt;""),[Total Exercício]/[Cotação],IF([Ref]&lt;4,0,""))</f>
        <v>0.26453292592592592</v>
      </c>
      <c r="Y584" s="17">
        <f>IF([Tipo]="div",1,0)</f>
        <v>0</v>
      </c>
      <c r="Z584" s="17">
        <f>IF([Tipo]="jcp",1,0)</f>
        <v>1</v>
      </c>
    </row>
    <row r="585" spans="1:26" hidden="1">
      <c r="A585" s="4" t="s">
        <v>12</v>
      </c>
      <c r="B585" s="131" t="s">
        <v>30</v>
      </c>
      <c r="C585" s="15">
        <v>5</v>
      </c>
      <c r="D585" s="14">
        <v>2013</v>
      </c>
      <c r="E585" s="4"/>
      <c r="F585" s="133">
        <v>2.36</v>
      </c>
      <c r="I585" s="4"/>
      <c r="J585" s="133">
        <f>IF(Tabela8[[#This Row],[Tipo]]="jcp",Tabela8[[#This Row],[Provento p/Ação]]*85%,Tabela8[[#This Row],[Provento p/Ação]])</f>
        <v>0</v>
      </c>
      <c r="K585" s="133">
        <f>IF([Lucro p/Ação]&lt;&gt;0,SUMPRODUCT(N([Papel]=Tabela8[[#This Row],[Papel]]),N([Exercício]=Tabela8[[#This Row],[Exercício]]),[Líquido p/Ação]),"")</f>
        <v>0</v>
      </c>
      <c r="L585" s="42">
        <f>IF(Tabela8[[#This Row],[Lucro p/Ação]]="","",IF(Tabela8[[#This Row],[Lucro p/Ação]]&gt;0,Tabela8[[#This Row],[Total Exercício]]/Tabela8[[#This Row],[Lucro p/Ação]],0))</f>
        <v>0</v>
      </c>
      <c r="M58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3.6442125000000001</v>
      </c>
      <c r="N58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1.533773625</v>
      </c>
      <c r="O585" s="19">
        <f>IF(Tabela8[[#This Row],[Média Lucro p/Ação]]&lt;&gt;"",Tabela8[[#This Row],[Média Pago]]/Tabela8[[#This Row],[Média Lucro p/Ação]],"")</f>
        <v>0.42087930519968308</v>
      </c>
      <c r="P5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5" s="134">
        <f>SUMPRODUCT(N(Tabela1[Código]=Tabela8[[#This Row],[Papel]]),Tabela1[Fechamento])</f>
        <v>13.5</v>
      </c>
      <c r="R585" s="17">
        <f>SUMPRODUCT(N(Tabela17[Código]=Tabela8[[#This Row],[Papel]]),Tabela17[Fechamento])</f>
        <v>0</v>
      </c>
      <c r="S585" s="17">
        <f>SUMPRODUCT(N(Tabela176[Código]=Tabela8[[#This Row],[Papel]]),Tabela176[Fechamento])</f>
        <v>0</v>
      </c>
      <c r="T585" s="17">
        <f>SUMPRODUCT(N(Tabela1768[Código]=Tabela8[[#This Row],[Papel]]),Tabela1768[Fechamento])</f>
        <v>0</v>
      </c>
      <c r="U585" s="17">
        <f>SUMPRODUCT(N(Tabela17683[Código]=Tabela8[[#This Row],[Papel]]),Tabela17683[Fechamento])</f>
        <v>0</v>
      </c>
      <c r="V585" s="17">
        <f>IF(MAX(Tabela8[[#This Row],[Cotação 1]]:Tabela8[[#This Row],[Cotação 5]])=0,"",MAX(Tabela8[[#This Row],[Cotação 1]]:Tabela8[[#This Row],[Cotação 5]]))</f>
        <v>13.5</v>
      </c>
      <c r="W585" s="42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5" s="19">
        <f>IF(AND([Ref]=5,[Cotação]&gt;0,[Cotação]&lt;&gt;""),[Total Exercício]/[Cotação],IF([Ref]&lt;4,0,""))</f>
        <v>0</v>
      </c>
      <c r="Y585" s="17">
        <f>IF([Tipo]="div",1,0)</f>
        <v>0</v>
      </c>
      <c r="Z585" s="17">
        <f>IF([Tipo]="jcp",1,0)</f>
        <v>0</v>
      </c>
    </row>
    <row r="586" spans="1:26" hidden="1">
      <c r="A586" s="4" t="s">
        <v>12</v>
      </c>
      <c r="B586" s="3" t="s">
        <v>437</v>
      </c>
      <c r="C586" s="15">
        <v>4</v>
      </c>
      <c r="D586" s="14">
        <v>2011</v>
      </c>
      <c r="E586" s="14" t="s">
        <v>1468</v>
      </c>
      <c r="G586" s="145">
        <v>40298</v>
      </c>
      <c r="H586" s="46">
        <v>40345</v>
      </c>
      <c r="I586" s="133">
        <v>0.57686999999999999</v>
      </c>
      <c r="J586" s="133">
        <f>IF(Tabela8[[#This Row],[Tipo]]="jcp",Tabela8[[#This Row],[Provento p/Ação]]*85%,Tabela8[[#This Row],[Provento p/Ação]])</f>
        <v>0.57686999999999999</v>
      </c>
      <c r="K586" s="133" t="str">
        <f>IF([Lucro p/Ação]&lt;&gt;0,SUMPRODUCT(N([Papel]=Tabela8[[#This Row],[Papel]]),N([Exercício]=Tabela8[[#This Row],[Exercício]]),[Líquido p/Ação]),"")</f>
        <v/>
      </c>
      <c r="L586" s="42" t="str">
        <f>IF(Tabela8[[#This Row],[Lucro p/Ação]]="","",IF(Tabela8[[#This Row],[Lucro p/Ação]]&gt;0,Tabela8[[#This Row],[Total Exercício]]/Tabela8[[#This Row],[Lucro p/Ação]],0))</f>
        <v/>
      </c>
      <c r="M5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8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86" s="19" t="str">
        <f>IF(Tabela8[[#This Row],[Média Lucro p/Ação]]&lt;&gt;"",Tabela8[[#This Row],[Média Pago]]/Tabela8[[#This Row],[Média Lucro p/Ação]],"")</f>
        <v/>
      </c>
      <c r="P5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6" s="134">
        <f>SUMPRODUCT(N(Tabela1[Código]=Tabela8[[#This Row],[Papel]]),Tabela1[Fechamento])</f>
        <v>0</v>
      </c>
      <c r="R586" s="17">
        <f>SUMPRODUCT(N(Tabela17[Código]=Tabela8[[#This Row],[Papel]]),Tabela17[Fechamento])</f>
        <v>2.5299999999999998</v>
      </c>
      <c r="S586" s="17">
        <f>SUMPRODUCT(N(Tabela176[Código]=Tabela8[[#This Row],[Papel]]),Tabela176[Fechamento])</f>
        <v>0</v>
      </c>
      <c r="T586" s="17">
        <f>SUMPRODUCT(N(Tabela1768[Código]=Tabela8[[#This Row],[Papel]]),Tabela1768[Fechamento])</f>
        <v>0</v>
      </c>
      <c r="U586" s="17">
        <f>SUMPRODUCT(N(Tabela17683[Código]=Tabela8[[#This Row],[Papel]]),Tabela17683[Fechamento])</f>
        <v>0</v>
      </c>
      <c r="V586" s="17">
        <f>IF(MAX(Tabela8[[#This Row],[Cotação 1]]:Tabela8[[#This Row],[Cotação 5]])=0,"",MAX(Tabela8[[#This Row],[Cotação 1]]:Tabela8[[#This Row],[Cotação 5]]))</f>
        <v>2.5299999999999998</v>
      </c>
      <c r="W5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6" s="19" t="str">
        <f>IF(AND([Ref]=5,[Cotação]&gt;0,[Cotação]&lt;&gt;""),[Total Exercício]/[Cotação],IF([Ref]&lt;4,0,""))</f>
        <v/>
      </c>
      <c r="Y586" s="17">
        <f>IF([Tipo]="div",1,0)</f>
        <v>1</v>
      </c>
      <c r="Z586" s="17">
        <f>IF([Tipo]="jcp",1,0)</f>
        <v>0</v>
      </c>
    </row>
    <row r="587" spans="1:26" hidden="1">
      <c r="A587" s="4" t="s">
        <v>12</v>
      </c>
      <c r="B587" s="3" t="s">
        <v>437</v>
      </c>
      <c r="C587" s="15">
        <v>5</v>
      </c>
      <c r="D587" s="14">
        <v>2011</v>
      </c>
      <c r="E587" s="14" t="s">
        <v>1468</v>
      </c>
      <c r="F587" s="133">
        <v>0.34</v>
      </c>
      <c r="G587" s="145">
        <v>40662</v>
      </c>
      <c r="H587" s="46">
        <v>40681</v>
      </c>
      <c r="I587" s="133">
        <v>0.24956</v>
      </c>
      <c r="J587" s="133">
        <f>IF(Tabela8[[#This Row],[Tipo]]="jcp",Tabela8[[#This Row],[Provento p/Ação]]*85%,Tabela8[[#This Row],[Provento p/Ação]])</f>
        <v>0.24956</v>
      </c>
      <c r="K587" s="133">
        <f>IF([Lucro p/Ação]&lt;&gt;0,SUMPRODUCT(N([Papel]=Tabela8[[#This Row],[Papel]]),N([Exercício]=Tabela8[[#This Row],[Exercício]]),[Líquido p/Ação]),"")</f>
        <v>0.82643</v>
      </c>
      <c r="L587" s="42">
        <f>IF(Tabela8[[#This Row],[Lucro p/Ação]]="","",IF(Tabela8[[#This Row],[Lucro p/Ação]]&gt;0,Tabela8[[#This Row],[Total Exercício]]/Tabela8[[#This Row],[Lucro p/Ação]],0))</f>
        <v>2.4306764705882351</v>
      </c>
      <c r="M58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0.32079999999999997</v>
      </c>
      <c r="N58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0.70165</v>
      </c>
      <c r="O587" s="19">
        <f>IF(Tabela8[[#This Row],[Média Lucro p/Ação]]&lt;&gt;"",Tabela8[[#This Row],[Média Pago]]/Tabela8[[#This Row],[Média Lucro p/Ação]],"")</f>
        <v>2.1871882793017456</v>
      </c>
      <c r="P5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7" s="134">
        <f>SUMPRODUCT(N(Tabela1[Código]=Tabela8[[#This Row],[Papel]]),Tabela1[Fechamento])</f>
        <v>0</v>
      </c>
      <c r="R587" s="17">
        <f>SUMPRODUCT(N(Tabela17[Código]=Tabela8[[#This Row],[Papel]]),Tabela17[Fechamento])</f>
        <v>2.5299999999999998</v>
      </c>
      <c r="S587" s="17">
        <f>SUMPRODUCT(N(Tabela176[Código]=Tabela8[[#This Row],[Papel]]),Tabela176[Fechamento])</f>
        <v>0</v>
      </c>
      <c r="T587" s="17">
        <f>SUMPRODUCT(N(Tabela1768[Código]=Tabela8[[#This Row],[Papel]]),Tabela1768[Fechamento])</f>
        <v>0</v>
      </c>
      <c r="U587" s="17">
        <f>SUMPRODUCT(N(Tabela17683[Código]=Tabela8[[#This Row],[Papel]]),Tabela17683[Fechamento])</f>
        <v>0</v>
      </c>
      <c r="V587" s="17">
        <f>IF(MAX(Tabela8[[#This Row],[Cotação 1]]:Tabela8[[#This Row],[Cotação 5]])=0,"",MAX(Tabela8[[#This Row],[Cotação 1]]:Tabela8[[#This Row],[Cotação 5]]))</f>
        <v>2.5299999999999998</v>
      </c>
      <c r="W5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7" s="19">
        <f>IF(AND([Ref]=5,[Cotação]&gt;0,[Cotação]&lt;&gt;""),[Total Exercício]/[Cotação],IF([Ref]&lt;4,0,""))</f>
        <v>0.32665217391304352</v>
      </c>
      <c r="Y587" s="17">
        <f>IF([Tipo]="div",1,0)</f>
        <v>1</v>
      </c>
      <c r="Z587" s="17">
        <f>IF([Tipo]="jcp",1,0)</f>
        <v>0</v>
      </c>
    </row>
    <row r="588" spans="1:26" hidden="1">
      <c r="A588" s="4" t="s">
        <v>12</v>
      </c>
      <c r="B588" s="3" t="s">
        <v>437</v>
      </c>
      <c r="C588" s="15">
        <v>5</v>
      </c>
      <c r="D588" s="14">
        <v>2012</v>
      </c>
      <c r="F588" s="133">
        <v>0.28000000000000003</v>
      </c>
      <c r="J588" s="133">
        <f>IF(Tabela8[[#This Row],[Tipo]]="jcp",Tabela8[[#This Row],[Provento p/Ação]]*85%,Tabela8[[#This Row],[Provento p/Ação]])</f>
        <v>0</v>
      </c>
      <c r="K588" s="133">
        <f>IF([Lucro p/Ação]&lt;&gt;0,SUMPRODUCT(N([Papel]=Tabela8[[#This Row],[Papel]]),N([Exercício]=Tabela8[[#This Row],[Exercício]]),[Líquido p/Ação]),"")</f>
        <v>0</v>
      </c>
      <c r="L588" s="42">
        <f>IF(Tabela8[[#This Row],[Lucro p/Ação]]="","",IF(Tabela8[[#This Row],[Lucro p/Ação]]&gt;0,Tabela8[[#This Row],[Total Exercício]]/Tabela8[[#This Row],[Lucro p/Ação]],0))</f>
        <v>0</v>
      </c>
      <c r="M58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0.30719999999999997</v>
      </c>
      <c r="N58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0.46776666666666666</v>
      </c>
      <c r="O588" s="19">
        <f>IF(Tabela8[[#This Row],[Média Lucro p/Ação]]&lt;&gt;"",Tabela8[[#This Row],[Média Pago]]/Tabela8[[#This Row],[Média Lucro p/Ação]],"")</f>
        <v>1.5226779513888891</v>
      </c>
      <c r="P5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8" s="134">
        <f>SUMPRODUCT(N(Tabela1[Código]=Tabela8[[#This Row],[Papel]]),Tabela1[Fechamento])</f>
        <v>0</v>
      </c>
      <c r="R588" s="17">
        <f>SUMPRODUCT(N(Tabela17[Código]=Tabela8[[#This Row],[Papel]]),Tabela17[Fechamento])</f>
        <v>2.5299999999999998</v>
      </c>
      <c r="S588" s="17">
        <f>SUMPRODUCT(N(Tabela176[Código]=Tabela8[[#This Row],[Papel]]),Tabela176[Fechamento])</f>
        <v>0</v>
      </c>
      <c r="T588" s="17">
        <f>SUMPRODUCT(N(Tabela1768[Código]=Tabela8[[#This Row],[Papel]]),Tabela1768[Fechamento])</f>
        <v>0</v>
      </c>
      <c r="U588" s="17">
        <f>SUMPRODUCT(N(Tabela17683[Código]=Tabela8[[#This Row],[Papel]]),Tabela17683[Fechamento])</f>
        <v>0</v>
      </c>
      <c r="V588" s="17">
        <f>IF(MAX(Tabela8[[#This Row],[Cotação 1]]:Tabela8[[#This Row],[Cotação 5]])=0,"",MAX(Tabela8[[#This Row],[Cotação 1]]:Tabela8[[#This Row],[Cotação 5]]))</f>
        <v>2.5299999999999998</v>
      </c>
      <c r="W5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8" s="19">
        <f>IF(AND([Ref]=5,[Cotação]&gt;0,[Cotação]&lt;&gt;""),[Total Exercício]/[Cotação],IF([Ref]&lt;4,0,""))</f>
        <v>0</v>
      </c>
      <c r="Y588" s="17">
        <f>IF([Tipo]="div",1,0)</f>
        <v>0</v>
      </c>
      <c r="Z588" s="17">
        <f>IF([Tipo]="jcp",1,0)</f>
        <v>0</v>
      </c>
    </row>
    <row r="589" spans="1:26" hidden="1">
      <c r="A589" s="4" t="s">
        <v>12</v>
      </c>
      <c r="B589" s="3" t="s">
        <v>437</v>
      </c>
      <c r="C589" s="15">
        <v>5</v>
      </c>
      <c r="D589" s="14">
        <v>2013</v>
      </c>
      <c r="F589" s="133">
        <v>0.23</v>
      </c>
      <c r="J589" s="134">
        <f>IF(Tabela8[[#This Row],[Tipo]]="jcp",Tabela8[[#This Row],[Provento p/Ação]]*85%,Tabela8[[#This Row],[Provento p/Ação]])</f>
        <v>0</v>
      </c>
      <c r="K589" s="133">
        <f>IF([Lucro p/Ação]&lt;&gt;0,SUMPRODUCT(N([Papel]=Tabela8[[#This Row],[Papel]]),N([Exercício]=Tabela8[[#This Row],[Exercício]]),[Líquido p/Ação]),"")</f>
        <v>0</v>
      </c>
      <c r="L589" s="42">
        <f>IF(Tabela8[[#This Row],[Lucro p/Ação]]="","",IF(Tabela8[[#This Row],[Lucro p/Ação]]&gt;0,Tabela8[[#This Row],[Total Exercício]]/Tabela8[[#This Row],[Lucro p/Ação]],0))</f>
        <v>0</v>
      </c>
      <c r="M5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0.28789999999999999</v>
      </c>
      <c r="N58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0.350825</v>
      </c>
      <c r="O589" s="19">
        <f>IF(Tabela8[[#This Row],[Média Lucro p/Ação]]&lt;&gt;"",Tabela8[[#This Row],[Média Pago]]/Tabela8[[#This Row],[Média Lucro p/Ação]],"")</f>
        <v>1.2185654741229595</v>
      </c>
      <c r="P5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89" s="134">
        <f>SUMPRODUCT(N(Tabela1[Código]=Tabela8[[#This Row],[Papel]]),Tabela1[Fechamento])</f>
        <v>0</v>
      </c>
      <c r="R589" s="17">
        <f>SUMPRODUCT(N(Tabela17[Código]=Tabela8[[#This Row],[Papel]]),Tabela17[Fechamento])</f>
        <v>2.5299999999999998</v>
      </c>
      <c r="S589" s="17">
        <f>SUMPRODUCT(N(Tabela176[Código]=Tabela8[[#This Row],[Papel]]),Tabela176[Fechamento])</f>
        <v>0</v>
      </c>
      <c r="T589" s="17">
        <f>SUMPRODUCT(N(Tabela1768[Código]=Tabela8[[#This Row],[Papel]]),Tabela1768[Fechamento])</f>
        <v>0</v>
      </c>
      <c r="U589" s="17">
        <f>SUMPRODUCT(N(Tabela17683[Código]=Tabela8[[#This Row],[Papel]]),Tabela17683[Fechamento])</f>
        <v>0</v>
      </c>
      <c r="V589" s="17">
        <f>IF(MAX(Tabela8[[#This Row],[Cotação 1]]:Tabela8[[#This Row],[Cotação 5]])=0,"",MAX(Tabela8[[#This Row],[Cotação 1]]:Tabela8[[#This Row],[Cotação 5]]))</f>
        <v>2.5299999999999998</v>
      </c>
      <c r="W5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89" s="19">
        <f>IF(AND([Ref]=5,[Cotação]&gt;0,[Cotação]&lt;&gt;""),[Total Exercício]/[Cotação],IF([Ref]&lt;4,0,""))</f>
        <v>0</v>
      </c>
      <c r="Y589" s="17">
        <f>IF([Tipo]="div",1,0)</f>
        <v>0</v>
      </c>
      <c r="Z589" s="17">
        <f>IF([Tipo]="jcp",1,0)</f>
        <v>0</v>
      </c>
    </row>
    <row r="590" spans="1:26" hidden="1">
      <c r="A590" s="4" t="s">
        <v>12</v>
      </c>
      <c r="B590" s="131" t="s">
        <v>85</v>
      </c>
      <c r="C590" s="15">
        <v>4</v>
      </c>
      <c r="D590" s="14">
        <v>2010</v>
      </c>
      <c r="E590" s="14" t="s">
        <v>1468</v>
      </c>
      <c r="G590" s="145">
        <v>40436</v>
      </c>
      <c r="H590" s="46">
        <v>40449</v>
      </c>
      <c r="I590" s="133">
        <v>0.28000000000000003</v>
      </c>
      <c r="J590" s="133">
        <f>IF(Tabela8[[#This Row],[Tipo]]="jcp",Tabela8[[#This Row],[Provento p/Ação]]*85%,Tabela8[[#This Row],[Provento p/Ação]])</f>
        <v>0.28000000000000003</v>
      </c>
      <c r="K590" s="133" t="str">
        <f>IF([Lucro p/Ação]&lt;&gt;0,SUMPRODUCT(N([Papel]=Tabela8[[#This Row],[Papel]]),N([Exercício]=Tabela8[[#This Row],[Exercício]]),[Líquido p/Ação]),"")</f>
        <v/>
      </c>
      <c r="L590" s="42" t="str">
        <f>IF(Tabela8[[#This Row],[Lucro p/Ação]]="","",IF(Tabela8[[#This Row],[Lucro p/Ação]]&gt;0,Tabela8[[#This Row],[Total Exercício]]/Tabela8[[#This Row],[Lucro p/Ação]],0))</f>
        <v/>
      </c>
      <c r="M5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0" s="19" t="str">
        <f>IF(Tabela8[[#This Row],[Média Lucro p/Ação]]&lt;&gt;"",Tabela8[[#This Row],[Média Pago]]/Tabela8[[#This Row],[Média Lucro p/Ação]],"")</f>
        <v/>
      </c>
      <c r="P5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0" s="134">
        <f>SUMPRODUCT(N(Tabela1[Código]=Tabela8[[#This Row],[Papel]]),Tabela1[Fechamento])</f>
        <v>10.71</v>
      </c>
      <c r="R590" s="7">
        <f>SUMPRODUCT(N(Tabela17[Código]=Tabela8[[#This Row],[Papel]]),Tabela17[Fechamento])</f>
        <v>0</v>
      </c>
      <c r="S590" s="7">
        <f>SUMPRODUCT(N(Tabela176[Código]=Tabela8[[#This Row],[Papel]]),Tabela176[Fechamento])</f>
        <v>0</v>
      </c>
      <c r="T590" s="7">
        <f>SUMPRODUCT(N(Tabela1768[Código]=Tabela8[[#This Row],[Papel]]),Tabela1768[Fechamento])</f>
        <v>0</v>
      </c>
      <c r="U590" s="7">
        <f>SUMPRODUCT(N(Tabela17683[Código]=Tabela8[[#This Row],[Papel]]),Tabela17683[Fechamento])</f>
        <v>0</v>
      </c>
      <c r="V590" s="7">
        <f>IF(MAX(Tabela8[[#This Row],[Cotação 1]]:Tabela8[[#This Row],[Cotação 5]])=0,"",MAX(Tabela8[[#This Row],[Cotação 1]]:Tabela8[[#This Row],[Cotação 5]]))</f>
        <v>10.71</v>
      </c>
      <c r="W5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0" s="19" t="str">
        <f>IF(AND([Ref]=5,[Cotação]&gt;0,[Cotação]&lt;&gt;""),[Total Exercício]/[Cotação],IF([Ref]&lt;4,0,""))</f>
        <v/>
      </c>
      <c r="Y590" s="17">
        <f>IF([Tipo]="div",1,0)</f>
        <v>1</v>
      </c>
      <c r="Z590" s="17">
        <f>IF([Tipo]="jcp",1,0)</f>
        <v>0</v>
      </c>
    </row>
    <row r="591" spans="1:26" hidden="1">
      <c r="A591" s="4" t="s">
        <v>12</v>
      </c>
      <c r="B591" s="131" t="s">
        <v>166</v>
      </c>
      <c r="C591" s="15">
        <v>4</v>
      </c>
      <c r="D591" s="14">
        <v>2010</v>
      </c>
      <c r="E591" s="14" t="s">
        <v>1468</v>
      </c>
      <c r="G591" s="145">
        <v>40436</v>
      </c>
      <c r="H591" s="46">
        <v>40449</v>
      </c>
      <c r="I591" s="133">
        <v>5.6000000000000001E-2</v>
      </c>
      <c r="J591" s="133">
        <f>IF(Tabela8[[#This Row],[Tipo]]="jcp",Tabela8[[#This Row],[Provento p/Ação]]*85%,Tabela8[[#This Row],[Provento p/Ação]])</f>
        <v>5.6000000000000001E-2</v>
      </c>
      <c r="K591" s="133" t="str">
        <f>IF([Lucro p/Ação]&lt;&gt;0,SUMPRODUCT(N([Papel]=Tabela8[[#This Row],[Papel]]),N([Exercício]=Tabela8[[#This Row],[Exercício]]),[Líquido p/Ação]),"")</f>
        <v/>
      </c>
      <c r="L591" s="42" t="str">
        <f>IF(Tabela8[[#This Row],[Lucro p/Ação]]="","",IF(Tabela8[[#This Row],[Lucro p/Ação]]&gt;0,Tabela8[[#This Row],[Total Exercício]]/Tabela8[[#This Row],[Lucro p/Ação]],0))</f>
        <v/>
      </c>
      <c r="M59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1" s="19" t="str">
        <f>IF(Tabela8[[#This Row],[Média Lucro p/Ação]]&lt;&gt;"",Tabela8[[#This Row],[Média Pago]]/Tabela8[[#This Row],[Média Lucro p/Ação]],"")</f>
        <v/>
      </c>
      <c r="P5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1" s="134">
        <f>SUMPRODUCT(N(Tabela1[Código]=Tabela8[[#This Row],[Papel]]),Tabela1[Fechamento])</f>
        <v>2.4700000000000002</v>
      </c>
      <c r="R591" s="7">
        <f>SUMPRODUCT(N(Tabela17[Código]=Tabela8[[#This Row],[Papel]]),Tabela17[Fechamento])</f>
        <v>0</v>
      </c>
      <c r="S591" s="7">
        <f>SUMPRODUCT(N(Tabela176[Código]=Tabela8[[#This Row],[Papel]]),Tabela176[Fechamento])</f>
        <v>0</v>
      </c>
      <c r="T591" s="7">
        <f>SUMPRODUCT(N(Tabela1768[Código]=Tabela8[[#This Row],[Papel]]),Tabela1768[Fechamento])</f>
        <v>0</v>
      </c>
      <c r="U591" s="7">
        <f>SUMPRODUCT(N(Tabela17683[Código]=Tabela8[[#This Row],[Papel]]),Tabela17683[Fechamento])</f>
        <v>0</v>
      </c>
      <c r="V591" s="7">
        <f>IF(MAX(Tabela8[[#This Row],[Cotação 1]]:Tabela8[[#This Row],[Cotação 5]])=0,"",MAX(Tabela8[[#This Row],[Cotação 1]]:Tabela8[[#This Row],[Cotação 5]]))</f>
        <v>2.4700000000000002</v>
      </c>
      <c r="W5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1" s="19" t="str">
        <f>IF(AND([Ref]=5,[Cotação]&gt;0,[Cotação]&lt;&gt;""),[Total Exercício]/[Cotação],IF([Ref]&lt;4,0,""))</f>
        <v/>
      </c>
      <c r="Y591" s="17">
        <f>IF([Tipo]="div",1,0)</f>
        <v>1</v>
      </c>
      <c r="Z591" s="17">
        <f>IF([Tipo]="jcp",1,0)</f>
        <v>0</v>
      </c>
    </row>
    <row r="592" spans="1:26" hidden="1">
      <c r="A592" s="4" t="s">
        <v>12</v>
      </c>
      <c r="B592" s="131" t="s">
        <v>64</v>
      </c>
      <c r="C592" s="15">
        <v>4</v>
      </c>
      <c r="D592" s="14">
        <v>2010</v>
      </c>
      <c r="E592" s="14" t="s">
        <v>1468</v>
      </c>
      <c r="G592" s="145">
        <v>40436</v>
      </c>
      <c r="H592" s="46">
        <v>40449</v>
      </c>
      <c r="I592" s="133">
        <v>5.6000000000000001E-2</v>
      </c>
      <c r="J592" s="133">
        <f>IF(Tabela8[[#This Row],[Tipo]]="jcp",Tabela8[[#This Row],[Provento p/Ação]]*85%,Tabela8[[#This Row],[Provento p/Ação]])</f>
        <v>5.6000000000000001E-2</v>
      </c>
      <c r="K592" s="133" t="str">
        <f>IF([Lucro p/Ação]&lt;&gt;0,SUMPRODUCT(N([Papel]=Tabela8[[#This Row],[Papel]]),N([Exercício]=Tabela8[[#This Row],[Exercício]]),[Líquido p/Ação]),"")</f>
        <v/>
      </c>
      <c r="L592" s="42" t="str">
        <f>IF(Tabela8[[#This Row],[Lucro p/Ação]]="","",IF(Tabela8[[#This Row],[Lucro p/Ação]]&gt;0,Tabela8[[#This Row],[Total Exercício]]/Tabela8[[#This Row],[Lucro p/Ação]],0))</f>
        <v/>
      </c>
      <c r="M5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2" s="19" t="str">
        <f>IF(Tabela8[[#This Row],[Média Lucro p/Ação]]&lt;&gt;"",Tabela8[[#This Row],[Média Pago]]/Tabela8[[#This Row],[Média Lucro p/Ação]],"")</f>
        <v/>
      </c>
      <c r="P5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2" s="134">
        <f>SUMPRODUCT(N(Tabela1[Código]=Tabela8[[#This Row],[Papel]]),Tabela1[Fechamento])</f>
        <v>1.94</v>
      </c>
      <c r="R592" s="17">
        <f>SUMPRODUCT(N(Tabela17[Código]=Tabela8[[#This Row],[Papel]]),Tabela17[Fechamento])</f>
        <v>0</v>
      </c>
      <c r="S592" s="17">
        <f>SUMPRODUCT(N(Tabela176[Código]=Tabela8[[#This Row],[Papel]]),Tabela176[Fechamento])</f>
        <v>0</v>
      </c>
      <c r="T592" s="17">
        <f>SUMPRODUCT(N(Tabela1768[Código]=Tabela8[[#This Row],[Papel]]),Tabela1768[Fechamento])</f>
        <v>0</v>
      </c>
      <c r="U592" s="17">
        <f>SUMPRODUCT(N(Tabela17683[Código]=Tabela8[[#This Row],[Papel]]),Tabela17683[Fechamento])</f>
        <v>0</v>
      </c>
      <c r="V592" s="17">
        <f>IF(MAX(Tabela8[[#This Row],[Cotação 1]]:Tabela8[[#This Row],[Cotação 5]])=0,"",MAX(Tabela8[[#This Row],[Cotação 1]]:Tabela8[[#This Row],[Cotação 5]]))</f>
        <v>1.94</v>
      </c>
      <c r="W5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2" s="19" t="str">
        <f>IF(AND([Ref]=5,[Cotação]&gt;0,[Cotação]&lt;&gt;""),[Total Exercício]/[Cotação],IF([Ref]&lt;4,0,""))</f>
        <v/>
      </c>
      <c r="Y592" s="17">
        <f>IF([Tipo]="div",1,0)</f>
        <v>1</v>
      </c>
      <c r="Z592" s="17">
        <f>IF([Tipo]="jcp",1,0)</f>
        <v>0</v>
      </c>
    </row>
    <row r="593" spans="1:26" hidden="1">
      <c r="A593" s="4" t="s">
        <v>12</v>
      </c>
      <c r="B593" s="131" t="s">
        <v>85</v>
      </c>
      <c r="C593" s="15">
        <v>5</v>
      </c>
      <c r="D593" s="14">
        <v>2010</v>
      </c>
      <c r="E593" s="14" t="s">
        <v>1468</v>
      </c>
      <c r="F593" s="133">
        <v>0.88490000000000002</v>
      </c>
      <c r="G593" s="145">
        <v>40598</v>
      </c>
      <c r="H593" s="46">
        <v>40617</v>
      </c>
      <c r="I593" s="133">
        <v>0.16500000000000001</v>
      </c>
      <c r="J593" s="133">
        <f>IF(Tabela8[[#This Row],[Tipo]]="jcp",Tabela8[[#This Row],[Provento p/Ação]]*85%,Tabela8[[#This Row],[Provento p/Ação]])</f>
        <v>0.16500000000000001</v>
      </c>
      <c r="K593" s="133">
        <f>IF([Lucro p/Ação]&lt;&gt;0,SUMPRODUCT(N([Papel]=Tabela8[[#This Row],[Papel]]),N([Exercício]=Tabela8[[#This Row],[Exercício]]),[Líquido p/Ação]),"")</f>
        <v>0.6100000000000001</v>
      </c>
      <c r="L593" s="42">
        <f>IF(Tabela8[[#This Row],[Lucro p/Ação]]="","",IF(Tabela8[[#This Row],[Lucro p/Ação]]&gt;0,Tabela8[[#This Row],[Total Exercício]]/Tabela8[[#This Row],[Lucro p/Ação]],0))</f>
        <v>0.68934342863600417</v>
      </c>
      <c r="M59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0.88490000000000002</v>
      </c>
      <c r="N59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0.6100000000000001</v>
      </c>
      <c r="O593" s="19">
        <f>IF(Tabela8[[#This Row],[Média Lucro p/Ação]]&lt;&gt;"",Tabela8[[#This Row],[Média Pago]]/Tabela8[[#This Row],[Média Lucro p/Ação]],"")</f>
        <v>0.68934342863600417</v>
      </c>
      <c r="P5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3" s="134">
        <f>SUMPRODUCT(N(Tabela1[Código]=Tabela8[[#This Row],[Papel]]),Tabela1[Fechamento])</f>
        <v>10.71</v>
      </c>
      <c r="R593" s="7">
        <f>SUMPRODUCT(N(Tabela17[Código]=Tabela8[[#This Row],[Papel]]),Tabela17[Fechamento])</f>
        <v>0</v>
      </c>
      <c r="S593" s="7">
        <f>SUMPRODUCT(N(Tabela176[Código]=Tabela8[[#This Row],[Papel]]),Tabela176[Fechamento])</f>
        <v>0</v>
      </c>
      <c r="T593" s="7">
        <f>SUMPRODUCT(N(Tabela1768[Código]=Tabela8[[#This Row],[Papel]]),Tabela1768[Fechamento])</f>
        <v>0</v>
      </c>
      <c r="U593" s="7">
        <f>SUMPRODUCT(N(Tabela17683[Código]=Tabela8[[#This Row],[Papel]]),Tabela17683[Fechamento])</f>
        <v>0</v>
      </c>
      <c r="V593" s="7">
        <f>IF(MAX(Tabela8[[#This Row],[Cotação 1]]:Tabela8[[#This Row],[Cotação 5]])=0,"",MAX(Tabela8[[#This Row],[Cotação 1]]:Tabela8[[#This Row],[Cotação 5]]))</f>
        <v>10.71</v>
      </c>
      <c r="W5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3" s="19">
        <f>IF(AND([Ref]=5,[Cotação]&gt;0,[Cotação]&lt;&gt;""),[Total Exercício]/[Cotação],IF([Ref]&lt;4,0,""))</f>
        <v>5.6956115779645197E-2</v>
      </c>
      <c r="Y593" s="17">
        <f>IF([Tipo]="div",1,0)</f>
        <v>1</v>
      </c>
      <c r="Z593" s="17">
        <f>IF([Tipo]="jcp",1,0)</f>
        <v>0</v>
      </c>
    </row>
    <row r="594" spans="1:26" hidden="1">
      <c r="A594" s="4" t="s">
        <v>12</v>
      </c>
      <c r="B594" s="131" t="s">
        <v>166</v>
      </c>
      <c r="C594" s="15">
        <v>5</v>
      </c>
      <c r="D594" s="14">
        <v>2010</v>
      </c>
      <c r="E594" s="14" t="s">
        <v>1468</v>
      </c>
      <c r="F594" s="133">
        <v>0.17698</v>
      </c>
      <c r="G594" s="145">
        <v>40598</v>
      </c>
      <c r="H594" s="46">
        <v>40617</v>
      </c>
      <c r="I594" s="133">
        <v>3.3000000000000002E-2</v>
      </c>
      <c r="J594" s="133">
        <f>IF(Tabela8[[#This Row],[Tipo]]="jcp",Tabela8[[#This Row],[Provento p/Ação]]*85%,Tabela8[[#This Row],[Provento p/Ação]])</f>
        <v>3.3000000000000002E-2</v>
      </c>
      <c r="K594" s="133">
        <f>IF([Lucro p/Ação]&lt;&gt;0,SUMPRODUCT(N([Papel]=Tabela8[[#This Row],[Papel]]),N([Exercício]=Tabela8[[#This Row],[Exercício]]),[Líquido p/Ação]),"")</f>
        <v>0.122</v>
      </c>
      <c r="L594" s="42">
        <f>IF(Tabela8[[#This Row],[Lucro p/Ação]]="","",IF(Tabela8[[#This Row],[Lucro p/Ação]]&gt;0,Tabela8[[#This Row],[Total Exercício]]/Tabela8[[#This Row],[Lucro p/Ação]],0))</f>
        <v>0.68934342863600406</v>
      </c>
      <c r="M59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0.17698</v>
      </c>
      <c r="N59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0.122</v>
      </c>
      <c r="O594" s="19">
        <f>IF(Tabela8[[#This Row],[Média Lucro p/Ação]]&lt;&gt;"",Tabela8[[#This Row],[Média Pago]]/Tabela8[[#This Row],[Média Lucro p/Ação]],"")</f>
        <v>0.68934342863600406</v>
      </c>
      <c r="P5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4" s="134">
        <f>SUMPRODUCT(N(Tabela1[Código]=Tabela8[[#This Row],[Papel]]),Tabela1[Fechamento])</f>
        <v>2.4700000000000002</v>
      </c>
      <c r="R594" s="7">
        <f>SUMPRODUCT(N(Tabela17[Código]=Tabela8[[#This Row],[Papel]]),Tabela17[Fechamento])</f>
        <v>0</v>
      </c>
      <c r="S594" s="7">
        <f>SUMPRODUCT(N(Tabela176[Código]=Tabela8[[#This Row],[Papel]]),Tabela176[Fechamento])</f>
        <v>0</v>
      </c>
      <c r="T594" s="7">
        <f>SUMPRODUCT(N(Tabela1768[Código]=Tabela8[[#This Row],[Papel]]),Tabela1768[Fechamento])</f>
        <v>0</v>
      </c>
      <c r="U594" s="7">
        <f>SUMPRODUCT(N(Tabela17683[Código]=Tabela8[[#This Row],[Papel]]),Tabela17683[Fechamento])</f>
        <v>0</v>
      </c>
      <c r="V594" s="7">
        <f>IF(MAX(Tabela8[[#This Row],[Cotação 1]]:Tabela8[[#This Row],[Cotação 5]])=0,"",MAX(Tabela8[[#This Row],[Cotação 1]]:Tabela8[[#This Row],[Cotação 5]]))</f>
        <v>2.4700000000000002</v>
      </c>
      <c r="W5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4" s="19">
        <f>IF(AND([Ref]=5,[Cotação]&gt;0,[Cotação]&lt;&gt;""),[Total Exercício]/[Cotação],IF([Ref]&lt;4,0,""))</f>
        <v>4.939271255060728E-2</v>
      </c>
      <c r="Y594" s="17">
        <f>IF([Tipo]="div",1,0)</f>
        <v>1</v>
      </c>
      <c r="Z594" s="17">
        <f>IF([Tipo]="jcp",1,0)</f>
        <v>0</v>
      </c>
    </row>
    <row r="595" spans="1:26" hidden="1">
      <c r="A595" s="4" t="s">
        <v>12</v>
      </c>
      <c r="B595" s="131" t="s">
        <v>64</v>
      </c>
      <c r="C595" s="15">
        <v>5</v>
      </c>
      <c r="D595" s="14">
        <v>2010</v>
      </c>
      <c r="E595" s="14" t="s">
        <v>1468</v>
      </c>
      <c r="F595" s="133">
        <v>0.17698</v>
      </c>
      <c r="G595" s="145">
        <v>40598</v>
      </c>
      <c r="H595" s="46">
        <v>40617</v>
      </c>
      <c r="I595" s="133">
        <v>3.3000000000000002E-2</v>
      </c>
      <c r="J595" s="133">
        <f>IF(Tabela8[[#This Row],[Tipo]]="jcp",Tabela8[[#This Row],[Provento p/Ação]]*85%,Tabela8[[#This Row],[Provento p/Ação]])</f>
        <v>3.3000000000000002E-2</v>
      </c>
      <c r="K595" s="133">
        <f>IF([Lucro p/Ação]&lt;&gt;0,SUMPRODUCT(N([Papel]=Tabela8[[#This Row],[Papel]]),N([Exercício]=Tabela8[[#This Row],[Exercício]]),[Líquido p/Ação]),"")</f>
        <v>0.122</v>
      </c>
      <c r="L595" s="42">
        <f>IF(Tabela8[[#This Row],[Lucro p/Ação]]="","",IF(Tabela8[[#This Row],[Lucro p/Ação]]&gt;0,Tabela8[[#This Row],[Total Exercício]]/Tabela8[[#This Row],[Lucro p/Ação]],0))</f>
        <v>0.68934342863600406</v>
      </c>
      <c r="M59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0.17698</v>
      </c>
      <c r="N59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0.122</v>
      </c>
      <c r="O595" s="19">
        <f>IF(Tabela8[[#This Row],[Média Lucro p/Ação]]&lt;&gt;"",Tabela8[[#This Row],[Média Pago]]/Tabela8[[#This Row],[Média Lucro p/Ação]],"")</f>
        <v>0.68934342863600406</v>
      </c>
      <c r="P5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5" s="134">
        <f>SUMPRODUCT(N(Tabela1[Código]=Tabela8[[#This Row],[Papel]]),Tabela1[Fechamento])</f>
        <v>1.94</v>
      </c>
      <c r="R595" s="17">
        <f>SUMPRODUCT(N(Tabela17[Código]=Tabela8[[#This Row],[Papel]]),Tabela17[Fechamento])</f>
        <v>0</v>
      </c>
      <c r="S595" s="17">
        <f>SUMPRODUCT(N(Tabela176[Código]=Tabela8[[#This Row],[Papel]]),Tabela176[Fechamento])</f>
        <v>0</v>
      </c>
      <c r="T595" s="17">
        <f>SUMPRODUCT(N(Tabela1768[Código]=Tabela8[[#This Row],[Papel]]),Tabela1768[Fechamento])</f>
        <v>0</v>
      </c>
      <c r="U595" s="17">
        <f>SUMPRODUCT(N(Tabela17683[Código]=Tabela8[[#This Row],[Papel]]),Tabela17683[Fechamento])</f>
        <v>0</v>
      </c>
      <c r="V595" s="17">
        <f>IF(MAX(Tabela8[[#This Row],[Cotação 1]]:Tabela8[[#This Row],[Cotação 5]])=0,"",MAX(Tabela8[[#This Row],[Cotação 1]]:Tabela8[[#This Row],[Cotação 5]]))</f>
        <v>1.94</v>
      </c>
      <c r="W5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5" s="19">
        <f>IF(AND([Ref]=5,[Cotação]&gt;0,[Cotação]&lt;&gt;""),[Total Exercício]/[Cotação],IF([Ref]&lt;4,0,""))</f>
        <v>6.2886597938144329E-2</v>
      </c>
      <c r="Y595" s="17">
        <f>IF([Tipo]="div",1,0)</f>
        <v>1</v>
      </c>
      <c r="Z595" s="17">
        <f>IF([Tipo]="jcp",1,0)</f>
        <v>0</v>
      </c>
    </row>
    <row r="596" spans="1:26" hidden="1">
      <c r="A596" s="4" t="s">
        <v>12</v>
      </c>
      <c r="B596" s="131" t="s">
        <v>85</v>
      </c>
      <c r="C596" s="15">
        <v>4</v>
      </c>
      <c r="D596" s="14">
        <v>2011</v>
      </c>
      <c r="E596" s="14" t="s">
        <v>1468</v>
      </c>
      <c r="G596" s="145">
        <v>40765</v>
      </c>
      <c r="H596" s="46">
        <v>40788</v>
      </c>
      <c r="I596" s="133">
        <v>0.28000000000000003</v>
      </c>
      <c r="J596" s="133">
        <f>IF(Tabela8[[#This Row],[Tipo]]="jcp",Tabela8[[#This Row],[Provento p/Ação]]*85%,Tabela8[[#This Row],[Provento p/Ação]])</f>
        <v>0.28000000000000003</v>
      </c>
      <c r="K596" s="133" t="str">
        <f>IF([Lucro p/Ação]&lt;&gt;0,SUMPRODUCT(N([Papel]=Tabela8[[#This Row],[Papel]]),N([Exercício]=Tabela8[[#This Row],[Exercício]]),[Líquido p/Ação]),"")</f>
        <v/>
      </c>
      <c r="L596" s="42" t="str">
        <f>IF(Tabela8[[#This Row],[Lucro p/Ação]]="","",IF(Tabela8[[#This Row],[Lucro p/Ação]]&gt;0,Tabela8[[#This Row],[Total Exercício]]/Tabela8[[#This Row],[Lucro p/Ação]],0))</f>
        <v/>
      </c>
      <c r="M5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6" s="19" t="str">
        <f>IF(Tabela8[[#This Row],[Média Lucro p/Ação]]&lt;&gt;"",Tabela8[[#This Row],[Média Pago]]/Tabela8[[#This Row],[Média Lucro p/Ação]],"")</f>
        <v/>
      </c>
      <c r="P5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6" s="134">
        <f>SUMPRODUCT(N(Tabela1[Código]=Tabela8[[#This Row],[Papel]]),Tabela1[Fechamento])</f>
        <v>10.71</v>
      </c>
      <c r="R596" s="7">
        <f>SUMPRODUCT(N(Tabela17[Código]=Tabela8[[#This Row],[Papel]]),Tabela17[Fechamento])</f>
        <v>0</v>
      </c>
      <c r="S596" s="7">
        <f>SUMPRODUCT(N(Tabela176[Código]=Tabela8[[#This Row],[Papel]]),Tabela176[Fechamento])</f>
        <v>0</v>
      </c>
      <c r="T596" s="7">
        <f>SUMPRODUCT(N(Tabela1768[Código]=Tabela8[[#This Row],[Papel]]),Tabela1768[Fechamento])</f>
        <v>0</v>
      </c>
      <c r="U596" s="7">
        <f>SUMPRODUCT(N(Tabela17683[Código]=Tabela8[[#This Row],[Papel]]),Tabela17683[Fechamento])</f>
        <v>0</v>
      </c>
      <c r="V596" s="7">
        <f>IF(MAX(Tabela8[[#This Row],[Cotação 1]]:Tabela8[[#This Row],[Cotação 5]])=0,"",MAX(Tabela8[[#This Row],[Cotação 1]]:Tabela8[[#This Row],[Cotação 5]]))</f>
        <v>10.71</v>
      </c>
      <c r="W5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6" s="19" t="str">
        <f>IF(AND([Ref]=5,[Cotação]&gt;0,[Cotação]&lt;&gt;""),[Total Exercício]/[Cotação],IF([Ref]&lt;4,0,""))</f>
        <v/>
      </c>
      <c r="Y596" s="17">
        <f>IF([Tipo]="div",1,0)</f>
        <v>1</v>
      </c>
      <c r="Z596" s="17">
        <f>IF([Tipo]="jcp",1,0)</f>
        <v>0</v>
      </c>
    </row>
    <row r="597" spans="1:26" hidden="1">
      <c r="A597" s="4" t="s">
        <v>12</v>
      </c>
      <c r="B597" s="131" t="s">
        <v>166</v>
      </c>
      <c r="C597" s="15">
        <v>4</v>
      </c>
      <c r="D597" s="14">
        <v>2011</v>
      </c>
      <c r="E597" s="14" t="s">
        <v>1468</v>
      </c>
      <c r="G597" s="145">
        <v>40765</v>
      </c>
      <c r="H597" s="46">
        <v>40788</v>
      </c>
      <c r="I597" s="133">
        <v>5.6000000000000001E-2</v>
      </c>
      <c r="J597" s="133">
        <f>IF(Tabela8[[#This Row],[Tipo]]="jcp",Tabela8[[#This Row],[Provento p/Ação]]*85%,Tabela8[[#This Row],[Provento p/Ação]])</f>
        <v>5.6000000000000001E-2</v>
      </c>
      <c r="K597" s="133" t="str">
        <f>IF([Lucro p/Ação]&lt;&gt;0,SUMPRODUCT(N([Papel]=Tabela8[[#This Row],[Papel]]),N([Exercício]=Tabela8[[#This Row],[Exercício]]),[Líquido p/Ação]),"")</f>
        <v/>
      </c>
      <c r="L597" s="42" t="str">
        <f>IF(Tabela8[[#This Row],[Lucro p/Ação]]="","",IF(Tabela8[[#This Row],[Lucro p/Ação]]&gt;0,Tabela8[[#This Row],[Total Exercício]]/Tabela8[[#This Row],[Lucro p/Ação]],0))</f>
        <v/>
      </c>
      <c r="M5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7" s="19" t="str">
        <f>IF(Tabela8[[#This Row],[Média Lucro p/Ação]]&lt;&gt;"",Tabela8[[#This Row],[Média Pago]]/Tabela8[[#This Row],[Média Lucro p/Ação]],"")</f>
        <v/>
      </c>
      <c r="P5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7" s="134">
        <f>SUMPRODUCT(N(Tabela1[Código]=Tabela8[[#This Row],[Papel]]),Tabela1[Fechamento])</f>
        <v>2.4700000000000002</v>
      </c>
      <c r="R597" s="7">
        <f>SUMPRODUCT(N(Tabela17[Código]=Tabela8[[#This Row],[Papel]]),Tabela17[Fechamento])</f>
        <v>0</v>
      </c>
      <c r="S597" s="7">
        <f>SUMPRODUCT(N(Tabela176[Código]=Tabela8[[#This Row],[Papel]]),Tabela176[Fechamento])</f>
        <v>0</v>
      </c>
      <c r="T597" s="7">
        <f>SUMPRODUCT(N(Tabela1768[Código]=Tabela8[[#This Row],[Papel]]),Tabela1768[Fechamento])</f>
        <v>0</v>
      </c>
      <c r="U597" s="7">
        <f>SUMPRODUCT(N(Tabela17683[Código]=Tabela8[[#This Row],[Papel]]),Tabela17683[Fechamento])</f>
        <v>0</v>
      </c>
      <c r="V597" s="7">
        <f>IF(MAX(Tabela8[[#This Row],[Cotação 1]]:Tabela8[[#This Row],[Cotação 5]])=0,"",MAX(Tabela8[[#This Row],[Cotação 1]]:Tabela8[[#This Row],[Cotação 5]]))</f>
        <v>2.4700000000000002</v>
      </c>
      <c r="W5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7" s="19" t="str">
        <f>IF(AND([Ref]=5,[Cotação]&gt;0,[Cotação]&lt;&gt;""),[Total Exercício]/[Cotação],IF([Ref]&lt;4,0,""))</f>
        <v/>
      </c>
      <c r="Y597" s="17">
        <f>IF([Tipo]="div",1,0)</f>
        <v>1</v>
      </c>
      <c r="Z597" s="17">
        <f>IF([Tipo]="jcp",1,0)</f>
        <v>0</v>
      </c>
    </row>
    <row r="598" spans="1:26" hidden="1">
      <c r="A598" s="4" t="s">
        <v>12</v>
      </c>
      <c r="B598" s="131" t="s">
        <v>64</v>
      </c>
      <c r="C598" s="15">
        <v>4</v>
      </c>
      <c r="D598" s="14">
        <v>2011</v>
      </c>
      <c r="E598" s="14" t="s">
        <v>1468</v>
      </c>
      <c r="G598" s="145">
        <v>40765</v>
      </c>
      <c r="H598" s="46">
        <v>40788</v>
      </c>
      <c r="I598" s="133">
        <v>5.6000000000000001E-2</v>
      </c>
      <c r="J598" s="133">
        <f>IF(Tabela8[[#This Row],[Tipo]]="jcp",Tabela8[[#This Row],[Provento p/Ação]]*85%,Tabela8[[#This Row],[Provento p/Ação]])</f>
        <v>5.6000000000000001E-2</v>
      </c>
      <c r="K598" s="133" t="str">
        <f>IF([Lucro p/Ação]&lt;&gt;0,SUMPRODUCT(N([Papel]=Tabela8[[#This Row],[Papel]]),N([Exercício]=Tabela8[[#This Row],[Exercício]]),[Líquido p/Ação]),"")</f>
        <v/>
      </c>
      <c r="L598" s="42" t="str">
        <f>IF(Tabela8[[#This Row],[Lucro p/Ação]]="","",IF(Tabela8[[#This Row],[Lucro p/Ação]]&gt;0,Tabela8[[#This Row],[Total Exercício]]/Tabela8[[#This Row],[Lucro p/Ação]],0))</f>
        <v/>
      </c>
      <c r="M5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59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598" s="19" t="str">
        <f>IF(Tabela8[[#This Row],[Média Lucro p/Ação]]&lt;&gt;"",Tabela8[[#This Row],[Média Pago]]/Tabela8[[#This Row],[Média Lucro p/Ação]],"")</f>
        <v/>
      </c>
      <c r="P5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8" s="134">
        <f>SUMPRODUCT(N(Tabela1[Código]=Tabela8[[#This Row],[Papel]]),Tabela1[Fechamento])</f>
        <v>1.94</v>
      </c>
      <c r="R598" s="7">
        <f>SUMPRODUCT(N(Tabela17[Código]=Tabela8[[#This Row],[Papel]]),Tabela17[Fechamento])</f>
        <v>0</v>
      </c>
      <c r="S598" s="7">
        <f>SUMPRODUCT(N(Tabela176[Código]=Tabela8[[#This Row],[Papel]]),Tabela176[Fechamento])</f>
        <v>0</v>
      </c>
      <c r="T598" s="7">
        <f>SUMPRODUCT(N(Tabela1768[Código]=Tabela8[[#This Row],[Papel]]),Tabela1768[Fechamento])</f>
        <v>0</v>
      </c>
      <c r="U598" s="7">
        <f>SUMPRODUCT(N(Tabela17683[Código]=Tabela8[[#This Row],[Papel]]),Tabela17683[Fechamento])</f>
        <v>0</v>
      </c>
      <c r="V598" s="7">
        <f>IF(MAX(Tabela8[[#This Row],[Cotação 1]]:Tabela8[[#This Row],[Cotação 5]])=0,"",MAX(Tabela8[[#This Row],[Cotação 1]]:Tabela8[[#This Row],[Cotação 5]]))</f>
        <v>1.94</v>
      </c>
      <c r="W5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8" s="19" t="str">
        <f>IF(AND([Ref]=5,[Cotação]&gt;0,[Cotação]&lt;&gt;""),[Total Exercício]/[Cotação],IF([Ref]&lt;4,0,""))</f>
        <v/>
      </c>
      <c r="Y598" s="17">
        <f>IF([Tipo]="div",1,0)</f>
        <v>1</v>
      </c>
      <c r="Z598" s="17">
        <f>IF([Tipo]="jcp",1,0)</f>
        <v>0</v>
      </c>
    </row>
    <row r="599" spans="1:26" hidden="1">
      <c r="A599" s="4" t="s">
        <v>12</v>
      </c>
      <c r="B599" s="131" t="s">
        <v>85</v>
      </c>
      <c r="C599" s="15">
        <v>5</v>
      </c>
      <c r="D599" s="14">
        <v>2011</v>
      </c>
      <c r="E599" s="14" t="s">
        <v>1468</v>
      </c>
      <c r="F599" s="133">
        <v>0.96399999999999997</v>
      </c>
      <c r="G599" s="145">
        <v>40976</v>
      </c>
      <c r="H599" s="46">
        <v>41003</v>
      </c>
      <c r="I599" s="133">
        <v>0.2</v>
      </c>
      <c r="J599" s="133">
        <f>IF(Tabela8[[#This Row],[Tipo]]="jcp",Tabela8[[#This Row],[Provento p/Ação]]*85%,Tabela8[[#This Row],[Provento p/Ação]])</f>
        <v>0.2</v>
      </c>
      <c r="K599" s="133">
        <f>IF([Lucro p/Ação]&lt;&gt;0,SUMPRODUCT(N([Papel]=Tabela8[[#This Row],[Papel]]),N([Exercício]=Tabela8[[#This Row],[Exercício]]),[Líquido p/Ação]),"")</f>
        <v>0.48000000000000004</v>
      </c>
      <c r="L599" s="42">
        <f>IF(Tabela8[[#This Row],[Lucro p/Ação]]="","",IF(Tabela8[[#This Row],[Lucro p/Ação]]&gt;0,Tabela8[[#This Row],[Total Exercício]]/Tabela8[[#This Row],[Lucro p/Ação]],0))</f>
        <v>0.49792531120331956</v>
      </c>
      <c r="M5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0.92444999999999999</v>
      </c>
      <c r="N59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0.54500000000000004</v>
      </c>
      <c r="O599" s="19">
        <f>IF(Tabela8[[#This Row],[Média Lucro p/Ação]]&lt;&gt;"",Tabela8[[#This Row],[Média Pago]]/Tabela8[[#This Row],[Média Lucro p/Ação]],"")</f>
        <v>0.58953972632376017</v>
      </c>
      <c r="P5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599" s="134">
        <f>SUMPRODUCT(N(Tabela1[Código]=Tabela8[[#This Row],[Papel]]),Tabela1[Fechamento])</f>
        <v>10.71</v>
      </c>
      <c r="R599" s="7">
        <f>SUMPRODUCT(N(Tabela17[Código]=Tabela8[[#This Row],[Papel]]),Tabela17[Fechamento])</f>
        <v>0</v>
      </c>
      <c r="S599" s="7">
        <f>SUMPRODUCT(N(Tabela176[Código]=Tabela8[[#This Row],[Papel]]),Tabela176[Fechamento])</f>
        <v>0</v>
      </c>
      <c r="T599" s="7">
        <f>SUMPRODUCT(N(Tabela1768[Código]=Tabela8[[#This Row],[Papel]]),Tabela1768[Fechamento])</f>
        <v>0</v>
      </c>
      <c r="U599" s="7">
        <f>SUMPRODUCT(N(Tabela17683[Código]=Tabela8[[#This Row],[Papel]]),Tabela17683[Fechamento])</f>
        <v>0</v>
      </c>
      <c r="V599" s="7">
        <f>IF(MAX(Tabela8[[#This Row],[Cotação 1]]:Tabela8[[#This Row],[Cotação 5]])=0,"",MAX(Tabela8[[#This Row],[Cotação 1]]:Tabela8[[#This Row],[Cotação 5]]))</f>
        <v>10.71</v>
      </c>
      <c r="W5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599" s="19">
        <f>IF(AND([Ref]=5,[Cotação]&gt;0,[Cotação]&lt;&gt;""),[Total Exercício]/[Cotação],IF([Ref]&lt;4,0,""))</f>
        <v>4.4817927170868348E-2</v>
      </c>
      <c r="Y599" s="17">
        <f>IF([Tipo]="div",1,0)</f>
        <v>1</v>
      </c>
      <c r="Z599" s="17">
        <f>IF([Tipo]="jcp",1,0)</f>
        <v>0</v>
      </c>
    </row>
    <row r="600" spans="1:26" hidden="1">
      <c r="A600" s="4" t="s">
        <v>12</v>
      </c>
      <c r="B600" s="131" t="s">
        <v>166</v>
      </c>
      <c r="C600" s="15">
        <v>5</v>
      </c>
      <c r="D600" s="14">
        <v>2011</v>
      </c>
      <c r="E600" s="14" t="s">
        <v>1468</v>
      </c>
      <c r="F600" s="133">
        <v>0.1928</v>
      </c>
      <c r="G600" s="145">
        <v>40976</v>
      </c>
      <c r="H600" s="46">
        <v>41003</v>
      </c>
      <c r="I600" s="133">
        <v>0.04</v>
      </c>
      <c r="J600" s="133">
        <f>IF(Tabela8[[#This Row],[Tipo]]="jcp",Tabela8[[#This Row],[Provento p/Ação]]*85%,Tabela8[[#This Row],[Provento p/Ação]])</f>
        <v>0.04</v>
      </c>
      <c r="K600" s="133">
        <f>IF([Lucro p/Ação]&lt;&gt;0,SUMPRODUCT(N([Papel]=Tabela8[[#This Row],[Papel]]),N([Exercício]=Tabela8[[#This Row],[Exercício]]),[Líquido p/Ação]),"")</f>
        <v>9.6000000000000002E-2</v>
      </c>
      <c r="L600" s="42">
        <f>IF(Tabela8[[#This Row],[Lucro p/Ação]]="","",IF(Tabela8[[#This Row],[Lucro p/Ação]]&gt;0,Tabela8[[#This Row],[Total Exercício]]/Tabela8[[#This Row],[Lucro p/Ação]],0))</f>
        <v>0.49792531120331951</v>
      </c>
      <c r="M60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0.18489</v>
      </c>
      <c r="N60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</v>
      </c>
      <c r="O600" s="19">
        <f>IF(Tabela8[[#This Row],[Média Lucro p/Ação]]&lt;&gt;"",Tabela8[[#This Row],[Média Pago]]/Tabela8[[#This Row],[Média Lucro p/Ação]],"")</f>
        <v>0.58953972632376006</v>
      </c>
      <c r="P6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0" s="134">
        <f>SUMPRODUCT(N(Tabela1[Código]=Tabela8[[#This Row],[Papel]]),Tabela1[Fechamento])</f>
        <v>2.4700000000000002</v>
      </c>
      <c r="R600" s="7">
        <f>SUMPRODUCT(N(Tabela17[Código]=Tabela8[[#This Row],[Papel]]),Tabela17[Fechamento])</f>
        <v>0</v>
      </c>
      <c r="S600" s="7">
        <f>SUMPRODUCT(N(Tabela176[Código]=Tabela8[[#This Row],[Papel]]),Tabela176[Fechamento])</f>
        <v>0</v>
      </c>
      <c r="T600" s="7">
        <f>SUMPRODUCT(N(Tabela1768[Código]=Tabela8[[#This Row],[Papel]]),Tabela1768[Fechamento])</f>
        <v>0</v>
      </c>
      <c r="U600" s="7">
        <f>SUMPRODUCT(N(Tabela17683[Código]=Tabela8[[#This Row],[Papel]]),Tabela17683[Fechamento])</f>
        <v>0</v>
      </c>
      <c r="V600" s="7">
        <f>IF(MAX(Tabela8[[#This Row],[Cotação 1]]:Tabela8[[#This Row],[Cotação 5]])=0,"",MAX(Tabela8[[#This Row],[Cotação 1]]:Tabela8[[#This Row],[Cotação 5]]))</f>
        <v>2.4700000000000002</v>
      </c>
      <c r="W6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0" s="19">
        <f>IF(AND([Ref]=5,[Cotação]&gt;0,[Cotação]&lt;&gt;""),[Total Exercício]/[Cotação],IF([Ref]&lt;4,0,""))</f>
        <v>3.8866396761133598E-2</v>
      </c>
      <c r="Y600" s="17">
        <f>IF([Tipo]="div",1,0)</f>
        <v>1</v>
      </c>
      <c r="Z600" s="17">
        <f>IF([Tipo]="jcp",1,0)</f>
        <v>0</v>
      </c>
    </row>
    <row r="601" spans="1:26" hidden="1">
      <c r="A601" s="4" t="s">
        <v>12</v>
      </c>
      <c r="B601" s="131" t="s">
        <v>64</v>
      </c>
      <c r="C601" s="15">
        <v>5</v>
      </c>
      <c r="D601" s="14">
        <v>2011</v>
      </c>
      <c r="E601" s="14" t="s">
        <v>1468</v>
      </c>
      <c r="F601" s="133">
        <v>0.1928</v>
      </c>
      <c r="G601" s="145">
        <v>40976</v>
      </c>
      <c r="H601" s="46">
        <v>41003</v>
      </c>
      <c r="I601" s="133">
        <v>0.04</v>
      </c>
      <c r="J601" s="133">
        <f>IF(Tabela8[[#This Row],[Tipo]]="jcp",Tabela8[[#This Row],[Provento p/Ação]]*85%,Tabela8[[#This Row],[Provento p/Ação]])</f>
        <v>0.04</v>
      </c>
      <c r="K601" s="133">
        <f>IF([Lucro p/Ação]&lt;&gt;0,SUMPRODUCT(N([Papel]=Tabela8[[#This Row],[Papel]]),N([Exercício]=Tabela8[[#This Row],[Exercício]]),[Líquido p/Ação]),"")</f>
        <v>9.6000000000000002E-2</v>
      </c>
      <c r="L601" s="42">
        <f>IF(Tabela8[[#This Row],[Lucro p/Ação]]="","",IF(Tabela8[[#This Row],[Lucro p/Ação]]&gt;0,Tabela8[[#This Row],[Total Exercício]]/Tabela8[[#This Row],[Lucro p/Ação]],0))</f>
        <v>0.49792531120331951</v>
      </c>
      <c r="M60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0.18489</v>
      </c>
      <c r="N60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</v>
      </c>
      <c r="O601" s="19">
        <f>IF(Tabela8[[#This Row],[Média Lucro p/Ação]]&lt;&gt;"",Tabela8[[#This Row],[Média Pago]]/Tabela8[[#This Row],[Média Lucro p/Ação]],"")</f>
        <v>0.58953972632376006</v>
      </c>
      <c r="P6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1" s="134">
        <f>SUMPRODUCT(N(Tabela1[Código]=Tabela8[[#This Row],[Papel]]),Tabela1[Fechamento])</f>
        <v>1.94</v>
      </c>
      <c r="R601" s="17">
        <f>SUMPRODUCT(N(Tabela17[Código]=Tabela8[[#This Row],[Papel]]),Tabela17[Fechamento])</f>
        <v>0</v>
      </c>
      <c r="S601" s="17">
        <f>SUMPRODUCT(N(Tabela176[Código]=Tabela8[[#This Row],[Papel]]),Tabela176[Fechamento])</f>
        <v>0</v>
      </c>
      <c r="T601" s="17">
        <f>SUMPRODUCT(N(Tabela1768[Código]=Tabela8[[#This Row],[Papel]]),Tabela1768[Fechamento])</f>
        <v>0</v>
      </c>
      <c r="U601" s="17">
        <f>SUMPRODUCT(N(Tabela17683[Código]=Tabela8[[#This Row],[Papel]]),Tabela17683[Fechamento])</f>
        <v>0</v>
      </c>
      <c r="V601" s="17">
        <f>IF(MAX(Tabela8[[#This Row],[Cotação 1]]:Tabela8[[#This Row],[Cotação 5]])=0,"",MAX(Tabela8[[#This Row],[Cotação 1]]:Tabela8[[#This Row],[Cotação 5]]))</f>
        <v>1.94</v>
      </c>
      <c r="W6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1" s="19">
        <f>IF(AND([Ref]=5,[Cotação]&gt;0,[Cotação]&lt;&gt;""),[Total Exercício]/[Cotação],IF([Ref]&lt;4,0,""))</f>
        <v>4.9484536082474231E-2</v>
      </c>
      <c r="Y601" s="17">
        <f>IF([Tipo]="div",1,0)</f>
        <v>1</v>
      </c>
      <c r="Z601" s="17">
        <f>IF([Tipo]="jcp",1,0)</f>
        <v>0</v>
      </c>
    </row>
    <row r="602" spans="1:26" hidden="1">
      <c r="A602" s="4" t="s">
        <v>12</v>
      </c>
      <c r="B602" s="131" t="s">
        <v>85</v>
      </c>
      <c r="C602" s="15">
        <v>4</v>
      </c>
      <c r="D602" s="14">
        <v>2012</v>
      </c>
      <c r="E602" s="14" t="s">
        <v>1468</v>
      </c>
      <c r="G602" s="145">
        <v>41130</v>
      </c>
      <c r="H602" s="46">
        <v>41141</v>
      </c>
      <c r="I602" s="133">
        <v>0.28000000000000003</v>
      </c>
      <c r="J602" s="133">
        <f>IF(Tabela8[[#This Row],[Tipo]]="jcp",Tabela8[[#This Row],[Provento p/Ação]]*85%,Tabela8[[#This Row],[Provento p/Ação]])</f>
        <v>0.28000000000000003</v>
      </c>
      <c r="K602" s="133" t="str">
        <f>IF([Lucro p/Ação]&lt;&gt;0,SUMPRODUCT(N([Papel]=Tabela8[[#This Row],[Papel]]),N([Exercício]=Tabela8[[#This Row],[Exercício]]),[Líquido p/Ação]),"")</f>
        <v/>
      </c>
      <c r="L602" s="42" t="str">
        <f>IF(Tabela8[[#This Row],[Lucro p/Ação]]="","",IF(Tabela8[[#This Row],[Lucro p/Ação]]&gt;0,Tabela8[[#This Row],[Total Exercício]]/Tabela8[[#This Row],[Lucro p/Ação]],0))</f>
        <v/>
      </c>
      <c r="M6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2" s="19" t="str">
        <f>IF(Tabela8[[#This Row],[Média Lucro p/Ação]]&lt;&gt;"",Tabela8[[#This Row],[Média Pago]]/Tabela8[[#This Row],[Média Lucro p/Ação]],"")</f>
        <v/>
      </c>
      <c r="P6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2" s="134">
        <f>SUMPRODUCT(N(Tabela1[Código]=Tabela8[[#This Row],[Papel]]),Tabela1[Fechamento])</f>
        <v>10.71</v>
      </c>
      <c r="R602" s="7">
        <f>SUMPRODUCT(N(Tabela17[Código]=Tabela8[[#This Row],[Papel]]),Tabela17[Fechamento])</f>
        <v>0</v>
      </c>
      <c r="S602" s="7">
        <f>SUMPRODUCT(N(Tabela176[Código]=Tabela8[[#This Row],[Papel]]),Tabela176[Fechamento])</f>
        <v>0</v>
      </c>
      <c r="T602" s="7">
        <f>SUMPRODUCT(N(Tabela1768[Código]=Tabela8[[#This Row],[Papel]]),Tabela1768[Fechamento])</f>
        <v>0</v>
      </c>
      <c r="U602" s="7">
        <f>SUMPRODUCT(N(Tabela17683[Código]=Tabela8[[#This Row],[Papel]]),Tabela17683[Fechamento])</f>
        <v>0</v>
      </c>
      <c r="V602" s="7">
        <f>IF(MAX(Tabela8[[#This Row],[Cotação 1]]:Tabela8[[#This Row],[Cotação 5]])=0,"",MAX(Tabela8[[#This Row],[Cotação 1]]:Tabela8[[#This Row],[Cotação 5]]))</f>
        <v>10.71</v>
      </c>
      <c r="W6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2" s="19" t="str">
        <f>IF(AND([Ref]=5,[Cotação]&gt;0,[Cotação]&lt;&gt;""),[Total Exercício]/[Cotação],IF([Ref]&lt;4,0,""))</f>
        <v/>
      </c>
      <c r="Y602" s="17">
        <f>IF([Tipo]="div",1,0)</f>
        <v>1</v>
      </c>
      <c r="Z602" s="17">
        <f>IF([Tipo]="jcp",1,0)</f>
        <v>0</v>
      </c>
    </row>
    <row r="603" spans="1:26" hidden="1">
      <c r="A603" s="4" t="s">
        <v>12</v>
      </c>
      <c r="B603" s="131" t="s">
        <v>166</v>
      </c>
      <c r="C603" s="15">
        <v>4</v>
      </c>
      <c r="D603" s="14">
        <v>2012</v>
      </c>
      <c r="E603" s="14" t="s">
        <v>1468</v>
      </c>
      <c r="G603" s="145">
        <v>41130</v>
      </c>
      <c r="H603" s="46">
        <v>41141</v>
      </c>
      <c r="I603" s="133">
        <v>5.6000000000000001E-2</v>
      </c>
      <c r="J603" s="133">
        <f>IF(Tabela8[[#This Row],[Tipo]]="jcp",Tabela8[[#This Row],[Provento p/Ação]]*85%,Tabela8[[#This Row],[Provento p/Ação]])</f>
        <v>5.6000000000000001E-2</v>
      </c>
      <c r="K603" s="133" t="str">
        <f>IF([Lucro p/Ação]&lt;&gt;0,SUMPRODUCT(N([Papel]=Tabela8[[#This Row],[Papel]]),N([Exercício]=Tabela8[[#This Row],[Exercício]]),[Líquido p/Ação]),"")</f>
        <v/>
      </c>
      <c r="L603" s="42" t="str">
        <f>IF(Tabela8[[#This Row],[Lucro p/Ação]]="","",IF(Tabela8[[#This Row],[Lucro p/Ação]]&gt;0,Tabela8[[#This Row],[Total Exercício]]/Tabela8[[#This Row],[Lucro p/Ação]],0))</f>
        <v/>
      </c>
      <c r="M6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3" s="19" t="str">
        <f>IF(Tabela8[[#This Row],[Média Lucro p/Ação]]&lt;&gt;"",Tabela8[[#This Row],[Média Pago]]/Tabela8[[#This Row],[Média Lucro p/Ação]],"")</f>
        <v/>
      </c>
      <c r="P6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3" s="134">
        <f>SUMPRODUCT(N(Tabela1[Código]=Tabela8[[#This Row],[Papel]]),Tabela1[Fechamento])</f>
        <v>2.4700000000000002</v>
      </c>
      <c r="R603" s="7">
        <f>SUMPRODUCT(N(Tabela17[Código]=Tabela8[[#This Row],[Papel]]),Tabela17[Fechamento])</f>
        <v>0</v>
      </c>
      <c r="S603" s="7">
        <f>SUMPRODUCT(N(Tabela176[Código]=Tabela8[[#This Row],[Papel]]),Tabela176[Fechamento])</f>
        <v>0</v>
      </c>
      <c r="T603" s="7">
        <f>SUMPRODUCT(N(Tabela1768[Código]=Tabela8[[#This Row],[Papel]]),Tabela1768[Fechamento])</f>
        <v>0</v>
      </c>
      <c r="U603" s="7">
        <f>SUMPRODUCT(N(Tabela17683[Código]=Tabela8[[#This Row],[Papel]]),Tabela17683[Fechamento])</f>
        <v>0</v>
      </c>
      <c r="V603" s="7">
        <f>IF(MAX(Tabela8[[#This Row],[Cotação 1]]:Tabela8[[#This Row],[Cotação 5]])=0,"",MAX(Tabela8[[#This Row],[Cotação 1]]:Tabela8[[#This Row],[Cotação 5]]))</f>
        <v>2.4700000000000002</v>
      </c>
      <c r="W6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3" s="19" t="str">
        <f>IF(AND([Ref]=5,[Cotação]&gt;0,[Cotação]&lt;&gt;""),[Total Exercício]/[Cotação],IF([Ref]&lt;4,0,""))</f>
        <v/>
      </c>
      <c r="Y603" s="17">
        <f>IF([Tipo]="div",1,0)</f>
        <v>1</v>
      </c>
      <c r="Z603" s="17">
        <f>IF([Tipo]="jcp",1,0)</f>
        <v>0</v>
      </c>
    </row>
    <row r="604" spans="1:26" hidden="1">
      <c r="A604" s="4" t="s">
        <v>12</v>
      </c>
      <c r="B604" s="131" t="s">
        <v>64</v>
      </c>
      <c r="C604" s="15">
        <v>4</v>
      </c>
      <c r="D604" s="14">
        <v>2012</v>
      </c>
      <c r="E604" s="14" t="s">
        <v>1468</v>
      </c>
      <c r="G604" s="145">
        <v>41130</v>
      </c>
      <c r="H604" s="46">
        <v>41141</v>
      </c>
      <c r="I604" s="133">
        <v>5.6000000000000001E-2</v>
      </c>
      <c r="J604" s="133">
        <f>IF(Tabela8[[#This Row],[Tipo]]="jcp",Tabela8[[#This Row],[Provento p/Ação]]*85%,Tabela8[[#This Row],[Provento p/Ação]])</f>
        <v>5.6000000000000001E-2</v>
      </c>
      <c r="K604" s="133" t="str">
        <f>IF([Lucro p/Ação]&lt;&gt;0,SUMPRODUCT(N([Papel]=Tabela8[[#This Row],[Papel]]),N([Exercício]=Tabela8[[#This Row],[Exercício]]),[Líquido p/Ação]),"")</f>
        <v/>
      </c>
      <c r="L604" s="42" t="str">
        <f>IF(Tabela8[[#This Row],[Lucro p/Ação]]="","",IF(Tabela8[[#This Row],[Lucro p/Ação]]&gt;0,Tabela8[[#This Row],[Total Exercício]]/Tabela8[[#This Row],[Lucro p/Ação]],0))</f>
        <v/>
      </c>
      <c r="M6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4" s="19" t="str">
        <f>IF(Tabela8[[#This Row],[Média Lucro p/Ação]]&lt;&gt;"",Tabela8[[#This Row],[Média Pago]]/Tabela8[[#This Row],[Média Lucro p/Ação]],"")</f>
        <v/>
      </c>
      <c r="P6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4" s="134">
        <f>SUMPRODUCT(N(Tabela1[Código]=Tabela8[[#This Row],[Papel]]),Tabela1[Fechamento])</f>
        <v>1.94</v>
      </c>
      <c r="R604" s="7">
        <f>SUMPRODUCT(N(Tabela17[Código]=Tabela8[[#This Row],[Papel]]),Tabela17[Fechamento])</f>
        <v>0</v>
      </c>
      <c r="S604" s="7">
        <f>SUMPRODUCT(N(Tabela176[Código]=Tabela8[[#This Row],[Papel]]),Tabela176[Fechamento])</f>
        <v>0</v>
      </c>
      <c r="T604" s="7">
        <f>SUMPRODUCT(N(Tabela1768[Código]=Tabela8[[#This Row],[Papel]]),Tabela1768[Fechamento])</f>
        <v>0</v>
      </c>
      <c r="U604" s="7">
        <f>SUMPRODUCT(N(Tabela17683[Código]=Tabela8[[#This Row],[Papel]]),Tabela17683[Fechamento])</f>
        <v>0</v>
      </c>
      <c r="V604" s="7">
        <f>IF(MAX(Tabela8[[#This Row],[Cotação 1]]:Tabela8[[#This Row],[Cotação 5]])=0,"",MAX(Tabela8[[#This Row],[Cotação 1]]:Tabela8[[#This Row],[Cotação 5]]))</f>
        <v>1.94</v>
      </c>
      <c r="W6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4" s="19" t="str">
        <f>IF(AND([Ref]=5,[Cotação]&gt;0,[Cotação]&lt;&gt;""),[Total Exercício]/[Cotação],IF([Ref]&lt;4,0,""))</f>
        <v/>
      </c>
      <c r="Y604" s="17">
        <f>IF([Tipo]="div",1,0)</f>
        <v>1</v>
      </c>
      <c r="Z604" s="17">
        <f>IF([Tipo]="jcp",1,0)</f>
        <v>0</v>
      </c>
    </row>
    <row r="605" spans="1:26" hidden="1">
      <c r="A605" s="4" t="s">
        <v>12</v>
      </c>
      <c r="B605" s="131" t="s">
        <v>85</v>
      </c>
      <c r="C605" s="15">
        <v>5</v>
      </c>
      <c r="D605" s="14">
        <v>2012</v>
      </c>
      <c r="E605" s="14" t="s">
        <v>1468</v>
      </c>
      <c r="F605" s="133">
        <v>1.347</v>
      </c>
      <c r="G605" s="145">
        <v>41303</v>
      </c>
      <c r="H605" s="46">
        <v>41312</v>
      </c>
      <c r="I605" s="133">
        <v>0.51500000000000001</v>
      </c>
      <c r="J605" s="133">
        <f>IF(Tabela8[[#This Row],[Tipo]]="jcp",Tabela8[[#This Row],[Provento p/Ação]]*85%,Tabela8[[#This Row],[Provento p/Ação]])</f>
        <v>0.51500000000000001</v>
      </c>
      <c r="K605" s="133">
        <f>IF([Lucro p/Ação]&lt;&gt;0,SUMPRODUCT(N([Papel]=Tabela8[[#This Row],[Papel]]),N([Exercício]=Tabela8[[#This Row],[Exercício]]),[Líquido p/Ação]),"")</f>
        <v>0.79500000000000004</v>
      </c>
      <c r="L605" s="42">
        <f>IF(Tabela8[[#This Row],[Lucro p/Ação]]="","",IF(Tabela8[[#This Row],[Lucro p/Ação]]&gt;0,Tabela8[[#This Row],[Total Exercício]]/Tabela8[[#This Row],[Lucro p/Ação]],0))</f>
        <v>0.5902004454342985</v>
      </c>
      <c r="M60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1.0652999999999999</v>
      </c>
      <c r="N60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0.62833333333333341</v>
      </c>
      <c r="O605" s="19">
        <f>IF(Tabela8[[#This Row],[Média Lucro p/Ação]]&lt;&gt;"",Tabela8[[#This Row],[Média Pago]]/Tabela8[[#This Row],[Média Lucro p/Ação]],"")</f>
        <v>0.58981820457461132</v>
      </c>
      <c r="P6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5" s="134">
        <f>SUMPRODUCT(N(Tabela1[Código]=Tabela8[[#This Row],[Papel]]),Tabela1[Fechamento])</f>
        <v>10.71</v>
      </c>
      <c r="R605" s="7">
        <f>SUMPRODUCT(N(Tabela17[Código]=Tabela8[[#This Row],[Papel]]),Tabela17[Fechamento])</f>
        <v>0</v>
      </c>
      <c r="S605" s="7">
        <f>SUMPRODUCT(N(Tabela176[Código]=Tabela8[[#This Row],[Papel]]),Tabela176[Fechamento])</f>
        <v>0</v>
      </c>
      <c r="T605" s="7">
        <f>SUMPRODUCT(N(Tabela1768[Código]=Tabela8[[#This Row],[Papel]]),Tabela1768[Fechamento])</f>
        <v>0</v>
      </c>
      <c r="U605" s="7">
        <f>SUMPRODUCT(N(Tabela17683[Código]=Tabela8[[#This Row],[Papel]]),Tabela17683[Fechamento])</f>
        <v>0</v>
      </c>
      <c r="V605" s="7">
        <f>IF(MAX(Tabela8[[#This Row],[Cotação 1]]:Tabela8[[#This Row],[Cotação 5]])=0,"",MAX(Tabela8[[#This Row],[Cotação 1]]:Tabela8[[#This Row],[Cotação 5]]))</f>
        <v>10.71</v>
      </c>
      <c r="W6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5" s="19">
        <f>IF(AND([Ref]=5,[Cotação]&gt;0,[Cotação]&lt;&gt;""),[Total Exercício]/[Cotação],IF([Ref]&lt;4,0,""))</f>
        <v>7.42296918767507E-2</v>
      </c>
      <c r="Y605" s="17">
        <f>IF([Tipo]="div",1,0)</f>
        <v>1</v>
      </c>
      <c r="Z605" s="17">
        <f>IF([Tipo]="jcp",1,0)</f>
        <v>0</v>
      </c>
    </row>
    <row r="606" spans="1:26" hidden="1">
      <c r="A606" s="4" t="s">
        <v>12</v>
      </c>
      <c r="B606" s="131" t="s">
        <v>166</v>
      </c>
      <c r="C606" s="15">
        <v>5</v>
      </c>
      <c r="D606" s="14">
        <v>2012</v>
      </c>
      <c r="E606" s="14" t="s">
        <v>1468</v>
      </c>
      <c r="F606" s="133">
        <v>0.26939999999999997</v>
      </c>
      <c r="G606" s="145">
        <v>41303</v>
      </c>
      <c r="H606" s="46">
        <v>41312</v>
      </c>
      <c r="I606" s="133">
        <v>0.10299999999999999</v>
      </c>
      <c r="J606" s="133">
        <f>IF(Tabela8[[#This Row],[Tipo]]="jcp",Tabela8[[#This Row],[Provento p/Ação]]*85%,Tabela8[[#This Row],[Provento p/Ação]])</f>
        <v>0.10299999999999999</v>
      </c>
      <c r="K606" s="133">
        <f>IF([Lucro p/Ação]&lt;&gt;0,SUMPRODUCT(N([Papel]=Tabela8[[#This Row],[Papel]]),N([Exercício]=Tabela8[[#This Row],[Exercício]]),[Líquido p/Ação]),"")</f>
        <v>0.159</v>
      </c>
      <c r="L606" s="42">
        <f>IF(Tabela8[[#This Row],[Lucro p/Ação]]="","",IF(Tabela8[[#This Row],[Lucro p/Ação]]&gt;0,Tabela8[[#This Row],[Total Exercício]]/Tabela8[[#This Row],[Lucro p/Ação]],0))</f>
        <v>0.5902004454342985</v>
      </c>
      <c r="M60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0.21306</v>
      </c>
      <c r="N60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0.12566666666666668</v>
      </c>
      <c r="O606" s="19">
        <f>IF(Tabela8[[#This Row],[Média Lucro p/Ação]]&lt;&gt;"",Tabela8[[#This Row],[Média Pago]]/Tabela8[[#This Row],[Média Lucro p/Ação]],"")</f>
        <v>0.58981820457461132</v>
      </c>
      <c r="P6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6" s="134">
        <f>SUMPRODUCT(N(Tabela1[Código]=Tabela8[[#This Row],[Papel]]),Tabela1[Fechamento])</f>
        <v>2.4700000000000002</v>
      </c>
      <c r="R606" s="7">
        <f>SUMPRODUCT(N(Tabela17[Código]=Tabela8[[#This Row],[Papel]]),Tabela17[Fechamento])</f>
        <v>0</v>
      </c>
      <c r="S606" s="7">
        <f>SUMPRODUCT(N(Tabela176[Código]=Tabela8[[#This Row],[Papel]]),Tabela176[Fechamento])</f>
        <v>0</v>
      </c>
      <c r="T606" s="7">
        <f>SUMPRODUCT(N(Tabela1768[Código]=Tabela8[[#This Row],[Papel]]),Tabela1768[Fechamento])</f>
        <v>0</v>
      </c>
      <c r="U606" s="7">
        <f>SUMPRODUCT(N(Tabela17683[Código]=Tabela8[[#This Row],[Papel]]),Tabela17683[Fechamento])</f>
        <v>0</v>
      </c>
      <c r="V606" s="7">
        <f>IF(MAX(Tabela8[[#This Row],[Cotação 1]]:Tabela8[[#This Row],[Cotação 5]])=0,"",MAX(Tabela8[[#This Row],[Cotação 1]]:Tabela8[[#This Row],[Cotação 5]]))</f>
        <v>2.4700000000000002</v>
      </c>
      <c r="W6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6" s="19">
        <f>IF(AND([Ref]=5,[Cotação]&gt;0,[Cotação]&lt;&gt;""),[Total Exercício]/[Cotação],IF([Ref]&lt;4,0,""))</f>
        <v>6.4372469635627524E-2</v>
      </c>
      <c r="Y606" s="17">
        <f>IF([Tipo]="div",1,0)</f>
        <v>1</v>
      </c>
      <c r="Z606" s="17">
        <f>IF([Tipo]="jcp",1,0)</f>
        <v>0</v>
      </c>
    </row>
    <row r="607" spans="1:26" hidden="1">
      <c r="A607" s="4" t="s">
        <v>12</v>
      </c>
      <c r="B607" s="131" t="s">
        <v>64</v>
      </c>
      <c r="C607" s="15">
        <v>5</v>
      </c>
      <c r="D607" s="14">
        <v>2012</v>
      </c>
      <c r="E607" s="14" t="s">
        <v>1468</v>
      </c>
      <c r="F607" s="133">
        <v>0.26939999999999997</v>
      </c>
      <c r="G607" s="145">
        <v>41303</v>
      </c>
      <c r="H607" s="46">
        <v>41312</v>
      </c>
      <c r="I607" s="133">
        <v>0.10299999999999999</v>
      </c>
      <c r="J607" s="133">
        <f>IF(Tabela8[[#This Row],[Tipo]]="jcp",Tabela8[[#This Row],[Provento p/Ação]]*85%,Tabela8[[#This Row],[Provento p/Ação]])</f>
        <v>0.10299999999999999</v>
      </c>
      <c r="K607" s="133">
        <f>IF([Lucro p/Ação]&lt;&gt;0,SUMPRODUCT(N([Papel]=Tabela8[[#This Row],[Papel]]),N([Exercício]=Tabela8[[#This Row],[Exercício]]),[Líquido p/Ação]),"")</f>
        <v>0.159</v>
      </c>
      <c r="L607" s="42">
        <f>IF(Tabela8[[#This Row],[Lucro p/Ação]]="","",IF(Tabela8[[#This Row],[Lucro p/Ação]]&gt;0,Tabela8[[#This Row],[Total Exercício]]/Tabela8[[#This Row],[Lucro p/Ação]],0))</f>
        <v>0.5902004454342985</v>
      </c>
      <c r="M60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0.21306</v>
      </c>
      <c r="N60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0.12566666666666668</v>
      </c>
      <c r="O607" s="19">
        <f>IF(Tabela8[[#This Row],[Média Lucro p/Ação]]&lt;&gt;"",Tabela8[[#This Row],[Média Pago]]/Tabela8[[#This Row],[Média Lucro p/Ação]],"")</f>
        <v>0.58981820457461132</v>
      </c>
      <c r="P6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7" s="134">
        <f>SUMPRODUCT(N(Tabela1[Código]=Tabela8[[#This Row],[Papel]]),Tabela1[Fechamento])</f>
        <v>1.94</v>
      </c>
      <c r="R607" s="17">
        <f>SUMPRODUCT(N(Tabela17[Código]=Tabela8[[#This Row],[Papel]]),Tabela17[Fechamento])</f>
        <v>0</v>
      </c>
      <c r="S607" s="17">
        <f>SUMPRODUCT(N(Tabela176[Código]=Tabela8[[#This Row],[Papel]]),Tabela176[Fechamento])</f>
        <v>0</v>
      </c>
      <c r="T607" s="17">
        <f>SUMPRODUCT(N(Tabela1768[Código]=Tabela8[[#This Row],[Papel]]),Tabela1768[Fechamento])</f>
        <v>0</v>
      </c>
      <c r="U607" s="17">
        <f>SUMPRODUCT(N(Tabela17683[Código]=Tabela8[[#This Row],[Papel]]),Tabela17683[Fechamento])</f>
        <v>0</v>
      </c>
      <c r="V607" s="17">
        <f>IF(MAX(Tabela8[[#This Row],[Cotação 1]]:Tabela8[[#This Row],[Cotação 5]])=0,"",MAX(Tabela8[[#This Row],[Cotação 1]]:Tabela8[[#This Row],[Cotação 5]]))</f>
        <v>1.94</v>
      </c>
      <c r="W6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7" s="19">
        <f>IF(AND([Ref]=5,[Cotação]&gt;0,[Cotação]&lt;&gt;""),[Total Exercício]/[Cotação],IF([Ref]&lt;4,0,""))</f>
        <v>8.1958762886597938E-2</v>
      </c>
      <c r="Y607" s="17">
        <f>IF([Tipo]="div",1,0)</f>
        <v>1</v>
      </c>
      <c r="Z607" s="17">
        <f>IF([Tipo]="jcp",1,0)</f>
        <v>0</v>
      </c>
    </row>
    <row r="608" spans="1:26" hidden="1">
      <c r="A608" s="4" t="s">
        <v>12</v>
      </c>
      <c r="B608" s="131" t="s">
        <v>85</v>
      </c>
      <c r="C608" s="15">
        <v>4</v>
      </c>
      <c r="D608" s="14">
        <v>2013</v>
      </c>
      <c r="E608" s="14" t="s">
        <v>1468</v>
      </c>
      <c r="G608" s="145">
        <v>41418</v>
      </c>
      <c r="H608" s="46">
        <v>41428</v>
      </c>
      <c r="I608" s="133">
        <v>0.16350000000000001</v>
      </c>
      <c r="J608" s="133">
        <f>IF(Tabela8[[#This Row],[Tipo]]="jcp",Tabela8[[#This Row],[Provento p/Ação]]*85%,Tabela8[[#This Row],[Provento p/Ação]])</f>
        <v>0.16350000000000001</v>
      </c>
      <c r="K608" s="133" t="str">
        <f>IF([Lucro p/Ação]&lt;&gt;0,SUMPRODUCT(N([Papel]=Tabela8[[#This Row],[Papel]]),N([Exercício]=Tabela8[[#This Row],[Exercício]]),[Líquido p/Ação]),"")</f>
        <v/>
      </c>
      <c r="L608" s="42" t="str">
        <f>IF(Tabela8[[#This Row],[Lucro p/Ação]]="","",IF(Tabela8[[#This Row],[Lucro p/Ação]]&gt;0,Tabela8[[#This Row],[Total Exercício]]/Tabela8[[#This Row],[Lucro p/Ação]],0))</f>
        <v/>
      </c>
      <c r="M6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8" s="19" t="str">
        <f>IF(Tabela8[[#This Row],[Média Lucro p/Ação]]&lt;&gt;"",Tabela8[[#This Row],[Média Pago]]/Tabela8[[#This Row],[Média Lucro p/Ação]],"")</f>
        <v/>
      </c>
      <c r="P6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8" s="134">
        <f>SUMPRODUCT(N(Tabela1[Código]=Tabela8[[#This Row],[Papel]]),Tabela1[Fechamento])</f>
        <v>10.71</v>
      </c>
      <c r="R608" s="7">
        <f>SUMPRODUCT(N(Tabela17[Código]=Tabela8[[#This Row],[Papel]]),Tabela17[Fechamento])</f>
        <v>0</v>
      </c>
      <c r="S608" s="7">
        <f>SUMPRODUCT(N(Tabela176[Código]=Tabela8[[#This Row],[Papel]]),Tabela176[Fechamento])</f>
        <v>0</v>
      </c>
      <c r="T608" s="7">
        <f>SUMPRODUCT(N(Tabela1768[Código]=Tabela8[[#This Row],[Papel]]),Tabela1768[Fechamento])</f>
        <v>0</v>
      </c>
      <c r="U608" s="7">
        <f>SUMPRODUCT(N(Tabela17683[Código]=Tabela8[[#This Row],[Papel]]),Tabela17683[Fechamento])</f>
        <v>0</v>
      </c>
      <c r="V608" s="7">
        <f>IF(MAX(Tabela8[[#This Row],[Cotação 1]]:Tabela8[[#This Row],[Cotação 5]])=0,"",MAX(Tabela8[[#This Row],[Cotação 1]]:Tabela8[[#This Row],[Cotação 5]]))</f>
        <v>10.71</v>
      </c>
      <c r="W6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8" s="19" t="str">
        <f>IF(AND([Ref]=5,[Cotação]&gt;0,[Cotação]&lt;&gt;""),[Total Exercício]/[Cotação],IF([Ref]&lt;4,0,""))</f>
        <v/>
      </c>
      <c r="Y608" s="17">
        <f>IF([Tipo]="div",1,0)</f>
        <v>1</v>
      </c>
      <c r="Z608" s="17">
        <f>IF([Tipo]="jcp",1,0)</f>
        <v>0</v>
      </c>
    </row>
    <row r="609" spans="1:26" hidden="1">
      <c r="A609" s="4" t="s">
        <v>12</v>
      </c>
      <c r="B609" s="131" t="s">
        <v>166</v>
      </c>
      <c r="C609" s="15">
        <v>4</v>
      </c>
      <c r="D609" s="14">
        <v>2013</v>
      </c>
      <c r="E609" s="14" t="s">
        <v>1468</v>
      </c>
      <c r="G609" s="145">
        <v>41418</v>
      </c>
      <c r="H609" s="46">
        <v>41428</v>
      </c>
      <c r="I609" s="133">
        <v>3.27E-2</v>
      </c>
      <c r="J609" s="133">
        <f>IF(Tabela8[[#This Row],[Tipo]]="jcp",Tabela8[[#This Row],[Provento p/Ação]]*85%,Tabela8[[#This Row],[Provento p/Ação]])</f>
        <v>3.27E-2</v>
      </c>
      <c r="K609" s="133" t="str">
        <f>IF([Lucro p/Ação]&lt;&gt;0,SUMPRODUCT(N([Papel]=Tabela8[[#This Row],[Papel]]),N([Exercício]=Tabela8[[#This Row],[Exercício]]),[Líquido p/Ação]),"")</f>
        <v/>
      </c>
      <c r="L609" s="42" t="str">
        <f>IF(Tabela8[[#This Row],[Lucro p/Ação]]="","",IF(Tabela8[[#This Row],[Lucro p/Ação]]&gt;0,Tabela8[[#This Row],[Total Exercício]]/Tabela8[[#This Row],[Lucro p/Ação]],0))</f>
        <v/>
      </c>
      <c r="M6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09" s="19" t="str">
        <f>IF(Tabela8[[#This Row],[Média Lucro p/Ação]]&lt;&gt;"",Tabela8[[#This Row],[Média Pago]]/Tabela8[[#This Row],[Média Lucro p/Ação]],"")</f>
        <v/>
      </c>
      <c r="P6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09" s="134">
        <f>SUMPRODUCT(N(Tabela1[Código]=Tabela8[[#This Row],[Papel]]),Tabela1[Fechamento])</f>
        <v>2.4700000000000002</v>
      </c>
      <c r="R609" s="7">
        <f>SUMPRODUCT(N(Tabela17[Código]=Tabela8[[#This Row],[Papel]]),Tabela17[Fechamento])</f>
        <v>0</v>
      </c>
      <c r="S609" s="7">
        <f>SUMPRODUCT(N(Tabela176[Código]=Tabela8[[#This Row],[Papel]]),Tabela176[Fechamento])</f>
        <v>0</v>
      </c>
      <c r="T609" s="7">
        <f>SUMPRODUCT(N(Tabela1768[Código]=Tabela8[[#This Row],[Papel]]),Tabela1768[Fechamento])</f>
        <v>0</v>
      </c>
      <c r="U609" s="7">
        <f>SUMPRODUCT(N(Tabela17683[Código]=Tabela8[[#This Row],[Papel]]),Tabela17683[Fechamento])</f>
        <v>0</v>
      </c>
      <c r="V609" s="7">
        <f>IF(MAX(Tabela8[[#This Row],[Cotação 1]]:Tabela8[[#This Row],[Cotação 5]])=0,"",MAX(Tabela8[[#This Row],[Cotação 1]]:Tabela8[[#This Row],[Cotação 5]]))</f>
        <v>2.4700000000000002</v>
      </c>
      <c r="W6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09" s="19" t="str">
        <f>IF(AND([Ref]=5,[Cotação]&gt;0,[Cotação]&lt;&gt;""),[Total Exercício]/[Cotação],IF([Ref]&lt;4,0,""))</f>
        <v/>
      </c>
      <c r="Y609" s="17">
        <f>IF([Tipo]="div",1,0)</f>
        <v>1</v>
      </c>
      <c r="Z609" s="17">
        <f>IF([Tipo]="jcp",1,0)</f>
        <v>0</v>
      </c>
    </row>
    <row r="610" spans="1:26" hidden="1">
      <c r="A610" s="4" t="s">
        <v>12</v>
      </c>
      <c r="B610" s="131" t="s">
        <v>64</v>
      </c>
      <c r="C610" s="15">
        <v>4</v>
      </c>
      <c r="D610" s="14">
        <v>2013</v>
      </c>
      <c r="E610" s="14" t="s">
        <v>1468</v>
      </c>
      <c r="G610" s="145">
        <v>41418</v>
      </c>
      <c r="H610" s="46">
        <v>41428</v>
      </c>
      <c r="I610" s="133">
        <v>3.27E-2</v>
      </c>
      <c r="J610" s="133">
        <f>IF(Tabela8[[#This Row],[Tipo]]="jcp",Tabela8[[#This Row],[Provento p/Ação]]*85%,Tabela8[[#This Row],[Provento p/Ação]])</f>
        <v>3.27E-2</v>
      </c>
      <c r="K610" s="133" t="str">
        <f>IF([Lucro p/Ação]&lt;&gt;0,SUMPRODUCT(N([Papel]=Tabela8[[#This Row],[Papel]]),N([Exercício]=Tabela8[[#This Row],[Exercício]]),[Líquido p/Ação]),"")</f>
        <v/>
      </c>
      <c r="L610" s="42" t="str">
        <f>IF(Tabela8[[#This Row],[Lucro p/Ação]]="","",IF(Tabela8[[#This Row],[Lucro p/Ação]]&gt;0,Tabela8[[#This Row],[Total Exercício]]/Tabela8[[#This Row],[Lucro p/Ação]],0))</f>
        <v/>
      </c>
      <c r="M6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0" s="19" t="str">
        <f>IF(Tabela8[[#This Row],[Média Lucro p/Ação]]&lt;&gt;"",Tabela8[[#This Row],[Média Pago]]/Tabela8[[#This Row],[Média Lucro p/Ação]],"")</f>
        <v/>
      </c>
      <c r="P6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0" s="134">
        <f>SUMPRODUCT(N(Tabela1[Código]=Tabela8[[#This Row],[Papel]]),Tabela1[Fechamento])</f>
        <v>1.94</v>
      </c>
      <c r="R610" s="7">
        <f>SUMPRODUCT(N(Tabela17[Código]=Tabela8[[#This Row],[Papel]]),Tabela17[Fechamento])</f>
        <v>0</v>
      </c>
      <c r="S610" s="7">
        <f>SUMPRODUCT(N(Tabela176[Código]=Tabela8[[#This Row],[Papel]]),Tabela176[Fechamento])</f>
        <v>0</v>
      </c>
      <c r="T610" s="7">
        <f>SUMPRODUCT(N(Tabela1768[Código]=Tabela8[[#This Row],[Papel]]),Tabela1768[Fechamento])</f>
        <v>0</v>
      </c>
      <c r="U610" s="7">
        <f>SUMPRODUCT(N(Tabela17683[Código]=Tabela8[[#This Row],[Papel]]),Tabela17683[Fechamento])</f>
        <v>0</v>
      </c>
      <c r="V610" s="7">
        <f>IF(MAX(Tabela8[[#This Row],[Cotação 1]]:Tabela8[[#This Row],[Cotação 5]])=0,"",MAX(Tabela8[[#This Row],[Cotação 1]]:Tabela8[[#This Row],[Cotação 5]]))</f>
        <v>1.94</v>
      </c>
      <c r="W6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0" s="19" t="str">
        <f>IF(AND([Ref]=5,[Cotação]&gt;0,[Cotação]&lt;&gt;""),[Total Exercício]/[Cotação],IF([Ref]&lt;4,0,""))</f>
        <v/>
      </c>
      <c r="Y610" s="17">
        <f>IF([Tipo]="div",1,0)</f>
        <v>1</v>
      </c>
      <c r="Z610" s="17">
        <f>IF([Tipo]="jcp",1,0)</f>
        <v>0</v>
      </c>
    </row>
    <row r="611" spans="1:26" hidden="1">
      <c r="A611" s="4" t="s">
        <v>12</v>
      </c>
      <c r="B611" s="131" t="s">
        <v>85</v>
      </c>
      <c r="C611" s="15">
        <v>5</v>
      </c>
      <c r="D611" s="14">
        <v>2013</v>
      </c>
      <c r="E611" s="14" t="s">
        <v>1468</v>
      </c>
      <c r="F611" s="133">
        <v>0.81499999999999995</v>
      </c>
      <c r="G611" s="145">
        <v>41494</v>
      </c>
      <c r="H611" s="46">
        <v>41507</v>
      </c>
      <c r="I611" s="133">
        <v>0.11650000000000001</v>
      </c>
      <c r="J611" s="133">
        <f>IF(Tabela8[[#This Row],[Tipo]]="jcp",Tabela8[[#This Row],[Provento p/Ação]]*85%,Tabela8[[#This Row],[Provento p/Ação]])</f>
        <v>0.11650000000000001</v>
      </c>
      <c r="K611" s="133">
        <f>IF([Lucro p/Ação]&lt;&gt;0,SUMPRODUCT(N([Papel]=Tabela8[[#This Row],[Papel]]),N([Exercício]=Tabela8[[#This Row],[Exercício]]),[Líquido p/Ação]),"")</f>
        <v>0.28000000000000003</v>
      </c>
      <c r="L611" s="42">
        <f>IF(Tabela8[[#This Row],[Lucro p/Ação]]="","",IF(Tabela8[[#This Row],[Lucro p/Ação]]&gt;0,Tabela8[[#This Row],[Total Exercício]]/Tabela8[[#This Row],[Lucro p/Ação]],0))</f>
        <v>0.34355828220858903</v>
      </c>
      <c r="M61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1.0027249999999999</v>
      </c>
      <c r="N61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0.54125000000000001</v>
      </c>
      <c r="O611" s="19">
        <f>IF(Tabela8[[#This Row],[Média Lucro p/Ação]]&lt;&gt;"",Tabela8[[#This Row],[Média Pago]]/Tabela8[[#This Row],[Média Lucro p/Ação]],"")</f>
        <v>0.53977910194719403</v>
      </c>
      <c r="P6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1" s="134">
        <f>SUMPRODUCT(N(Tabela1[Código]=Tabela8[[#This Row],[Papel]]),Tabela1[Fechamento])</f>
        <v>10.71</v>
      </c>
      <c r="R611" s="7">
        <f>SUMPRODUCT(N(Tabela17[Código]=Tabela8[[#This Row],[Papel]]),Tabela17[Fechamento])</f>
        <v>0</v>
      </c>
      <c r="S611" s="7">
        <f>SUMPRODUCT(N(Tabela176[Código]=Tabela8[[#This Row],[Papel]]),Tabela176[Fechamento])</f>
        <v>0</v>
      </c>
      <c r="T611" s="7">
        <f>SUMPRODUCT(N(Tabela1768[Código]=Tabela8[[#This Row],[Papel]]),Tabela1768[Fechamento])</f>
        <v>0</v>
      </c>
      <c r="U611" s="7">
        <f>SUMPRODUCT(N(Tabela17683[Código]=Tabela8[[#This Row],[Papel]]),Tabela17683[Fechamento])</f>
        <v>0</v>
      </c>
      <c r="V611" s="7">
        <f>IF(MAX(Tabela8[[#This Row],[Cotação 1]]:Tabela8[[#This Row],[Cotação 5]])=0,"",MAX(Tabela8[[#This Row],[Cotação 1]]:Tabela8[[#This Row],[Cotação 5]]))</f>
        <v>10.71</v>
      </c>
      <c r="W6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1" s="19">
        <f>IF(AND([Ref]=5,[Cotação]&gt;0,[Cotação]&lt;&gt;""),[Total Exercício]/[Cotação],IF([Ref]&lt;4,0,""))</f>
        <v>2.6143790849673203E-2</v>
      </c>
      <c r="Y611" s="17">
        <f>IF([Tipo]="div",1,0)</f>
        <v>1</v>
      </c>
      <c r="Z611" s="17">
        <f>IF([Tipo]="jcp",1,0)</f>
        <v>0</v>
      </c>
    </row>
    <row r="612" spans="1:26" hidden="1">
      <c r="A612" s="4" t="s">
        <v>12</v>
      </c>
      <c r="B612" s="131" t="s">
        <v>166</v>
      </c>
      <c r="C612" s="15">
        <v>5</v>
      </c>
      <c r="D612" s="14">
        <v>2013</v>
      </c>
      <c r="E612" s="14" t="s">
        <v>1468</v>
      </c>
      <c r="F612" s="133">
        <v>0.16300000000000001</v>
      </c>
      <c r="G612" s="145">
        <v>41494</v>
      </c>
      <c r="H612" s="46">
        <v>41507</v>
      </c>
      <c r="I612" s="133">
        <v>2.3300000000000001E-2</v>
      </c>
      <c r="J612" s="133">
        <f>IF(Tabela8[[#This Row],[Tipo]]="jcp",Tabela8[[#This Row],[Provento p/Ação]]*85%,Tabela8[[#This Row],[Provento p/Ação]])</f>
        <v>2.3300000000000001E-2</v>
      </c>
      <c r="K612" s="133">
        <f>IF([Lucro p/Ação]&lt;&gt;0,SUMPRODUCT(N([Papel]=Tabela8[[#This Row],[Papel]]),N([Exercício]=Tabela8[[#This Row],[Exercício]]),[Líquido p/Ação]),"")</f>
        <v>5.6000000000000001E-2</v>
      </c>
      <c r="L612" s="42">
        <f>IF(Tabela8[[#This Row],[Lucro p/Ação]]="","",IF(Tabela8[[#This Row],[Lucro p/Ação]]&gt;0,Tabela8[[#This Row],[Total Exercício]]/Tabela8[[#This Row],[Lucro p/Ação]],0))</f>
        <v>0.34355828220858897</v>
      </c>
      <c r="M61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0.200545</v>
      </c>
      <c r="N61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0.10825</v>
      </c>
      <c r="O612" s="19">
        <f>IF(Tabela8[[#This Row],[Média Lucro p/Ação]]&lt;&gt;"",Tabela8[[#This Row],[Média Pago]]/Tabela8[[#This Row],[Média Lucro p/Ação]],"")</f>
        <v>0.53977910194719392</v>
      </c>
      <c r="P6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2" s="134">
        <f>SUMPRODUCT(N(Tabela1[Código]=Tabela8[[#This Row],[Papel]]),Tabela1[Fechamento])</f>
        <v>2.4700000000000002</v>
      </c>
      <c r="R612" s="7">
        <f>SUMPRODUCT(N(Tabela17[Código]=Tabela8[[#This Row],[Papel]]),Tabela17[Fechamento])</f>
        <v>0</v>
      </c>
      <c r="S612" s="7">
        <f>SUMPRODUCT(N(Tabela176[Código]=Tabela8[[#This Row],[Papel]]),Tabela176[Fechamento])</f>
        <v>0</v>
      </c>
      <c r="T612" s="7">
        <f>SUMPRODUCT(N(Tabela1768[Código]=Tabela8[[#This Row],[Papel]]),Tabela1768[Fechamento])</f>
        <v>0</v>
      </c>
      <c r="U612" s="7">
        <f>SUMPRODUCT(N(Tabela17683[Código]=Tabela8[[#This Row],[Papel]]),Tabela17683[Fechamento])</f>
        <v>0</v>
      </c>
      <c r="V612" s="7">
        <f>IF(MAX(Tabela8[[#This Row],[Cotação 1]]:Tabela8[[#This Row],[Cotação 5]])=0,"",MAX(Tabela8[[#This Row],[Cotação 1]]:Tabela8[[#This Row],[Cotação 5]]))</f>
        <v>2.4700000000000002</v>
      </c>
      <c r="W6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2" s="19">
        <f>IF(AND([Ref]=5,[Cotação]&gt;0,[Cotação]&lt;&gt;""),[Total Exercício]/[Cotação],IF([Ref]&lt;4,0,""))</f>
        <v>2.2672064777327933E-2</v>
      </c>
      <c r="Y612" s="17">
        <f>IF([Tipo]="div",1,0)</f>
        <v>1</v>
      </c>
      <c r="Z612" s="17">
        <f>IF([Tipo]="jcp",1,0)</f>
        <v>0</v>
      </c>
    </row>
    <row r="613" spans="1:26" hidden="1">
      <c r="A613" s="4" t="s">
        <v>12</v>
      </c>
      <c r="B613" s="131" t="s">
        <v>64</v>
      </c>
      <c r="C613" s="15">
        <v>5</v>
      </c>
      <c r="D613" s="14">
        <v>2013</v>
      </c>
      <c r="E613" s="14" t="s">
        <v>1468</v>
      </c>
      <c r="F613" s="133">
        <v>0.16300000000000001</v>
      </c>
      <c r="G613" s="145">
        <v>41494</v>
      </c>
      <c r="H613" s="46">
        <v>41507</v>
      </c>
      <c r="I613" s="133">
        <v>2.3300000000000001E-2</v>
      </c>
      <c r="J613" s="133">
        <f>IF(Tabela8[[#This Row],[Tipo]]="jcp",Tabela8[[#This Row],[Provento p/Ação]]*85%,Tabela8[[#This Row],[Provento p/Ação]])</f>
        <v>2.3300000000000001E-2</v>
      </c>
      <c r="K613" s="133">
        <f>IF([Lucro p/Ação]&lt;&gt;0,SUMPRODUCT(N([Papel]=Tabela8[[#This Row],[Papel]]),N([Exercício]=Tabela8[[#This Row],[Exercício]]),[Líquido p/Ação]),"")</f>
        <v>5.6000000000000001E-2</v>
      </c>
      <c r="L613" s="42">
        <f>IF(Tabela8[[#This Row],[Lucro p/Ação]]="","",IF(Tabela8[[#This Row],[Lucro p/Ação]]&gt;0,Tabela8[[#This Row],[Total Exercício]]/Tabela8[[#This Row],[Lucro p/Ação]],0))</f>
        <v>0.34355828220858897</v>
      </c>
      <c r="M61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0.200545</v>
      </c>
      <c r="N61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0.10825</v>
      </c>
      <c r="O613" s="19">
        <f>IF(Tabela8[[#This Row],[Média Lucro p/Ação]]&lt;&gt;"",Tabela8[[#This Row],[Média Pago]]/Tabela8[[#This Row],[Média Lucro p/Ação]],"")</f>
        <v>0.53977910194719392</v>
      </c>
      <c r="P6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3" s="134">
        <f>SUMPRODUCT(N(Tabela1[Código]=Tabela8[[#This Row],[Papel]]),Tabela1[Fechamento])</f>
        <v>1.94</v>
      </c>
      <c r="R613" s="17">
        <f>SUMPRODUCT(N(Tabela17[Código]=Tabela8[[#This Row],[Papel]]),Tabela17[Fechamento])</f>
        <v>0</v>
      </c>
      <c r="S613" s="17">
        <f>SUMPRODUCT(N(Tabela176[Código]=Tabela8[[#This Row],[Papel]]),Tabela176[Fechamento])</f>
        <v>0</v>
      </c>
      <c r="T613" s="17">
        <f>SUMPRODUCT(N(Tabela1768[Código]=Tabela8[[#This Row],[Papel]]),Tabela1768[Fechamento])</f>
        <v>0</v>
      </c>
      <c r="U613" s="17">
        <f>SUMPRODUCT(N(Tabela17683[Código]=Tabela8[[#This Row],[Papel]]),Tabela17683[Fechamento])</f>
        <v>0</v>
      </c>
      <c r="V613" s="17">
        <f>IF(MAX(Tabela8[[#This Row],[Cotação 1]]:Tabela8[[#This Row],[Cotação 5]])=0,"",MAX(Tabela8[[#This Row],[Cotação 1]]:Tabela8[[#This Row],[Cotação 5]]))</f>
        <v>1.94</v>
      </c>
      <c r="W6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3" s="19">
        <f>IF(AND([Ref]=5,[Cotação]&gt;0,[Cotação]&lt;&gt;""),[Total Exercício]/[Cotação],IF([Ref]&lt;4,0,""))</f>
        <v>2.88659793814433E-2</v>
      </c>
      <c r="Y613" s="17">
        <f>IF([Tipo]="div",1,0)</f>
        <v>1</v>
      </c>
      <c r="Z613" s="17">
        <f>IF([Tipo]="jcp",1,0)</f>
        <v>0</v>
      </c>
    </row>
    <row r="614" spans="1:26" hidden="1">
      <c r="A614" s="4" t="s">
        <v>12</v>
      </c>
      <c r="B614" s="3" t="s">
        <v>445</v>
      </c>
      <c r="C614" s="15">
        <v>4</v>
      </c>
      <c r="D614" s="14">
        <v>2010</v>
      </c>
      <c r="E614" s="4" t="s">
        <v>1468</v>
      </c>
      <c r="G614" s="46">
        <v>39932</v>
      </c>
      <c r="H614" s="46">
        <v>40116</v>
      </c>
      <c r="I614" s="133">
        <v>0.02</v>
      </c>
      <c r="J614" s="133">
        <f>IF(Tabela8[[#This Row],[Tipo]]="jcp",Tabela8[[#This Row],[Provento p/Ação]]*85%,Tabela8[[#This Row],[Provento p/Ação]])</f>
        <v>0.02</v>
      </c>
      <c r="K614" s="133" t="str">
        <f>IF([Lucro p/Ação]&lt;&gt;0,SUMPRODUCT(N([Papel]=Tabela8[[#This Row],[Papel]]),N([Exercício]=Tabela8[[#This Row],[Exercício]]),[Líquido p/Ação]),"")</f>
        <v/>
      </c>
      <c r="L614" s="42" t="str">
        <f>IF(Tabela8[[#This Row],[Lucro p/Ação]]="","",IF(Tabela8[[#This Row],[Lucro p/Ação]]&gt;0,Tabela8[[#This Row],[Total Exercício]]/Tabela8[[#This Row],[Lucro p/Ação]],0))</f>
        <v/>
      </c>
      <c r="M6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4" s="19" t="str">
        <f>IF(Tabela8[[#This Row],[Média Lucro p/Ação]]&lt;&gt;"",Tabela8[[#This Row],[Média Pago]]/Tabela8[[#This Row],[Média Lucro p/Ação]],"")</f>
        <v/>
      </c>
      <c r="P6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4" s="134">
        <f>SUMPRODUCT(N(Tabela1[Código]=Tabela8[[#This Row],[Papel]]),Tabela1[Fechamento])</f>
        <v>0</v>
      </c>
      <c r="R614" s="17">
        <f>SUMPRODUCT(N(Tabela17[Código]=Tabela8[[#This Row],[Papel]]),Tabela17[Fechamento])</f>
        <v>1.07</v>
      </c>
      <c r="S614" s="17">
        <f>SUMPRODUCT(N(Tabela176[Código]=Tabela8[[#This Row],[Papel]]),Tabela176[Fechamento])</f>
        <v>0</v>
      </c>
      <c r="T614" s="17">
        <f>SUMPRODUCT(N(Tabela1768[Código]=Tabela8[[#This Row],[Papel]]),Tabela1768[Fechamento])</f>
        <v>0</v>
      </c>
      <c r="U614" s="17">
        <f>SUMPRODUCT(N(Tabela17683[Código]=Tabela8[[#This Row],[Papel]]),Tabela17683[Fechamento])</f>
        <v>0</v>
      </c>
      <c r="V614" s="17">
        <f>IF(MAX(Tabela8[[#This Row],[Cotação 1]]:Tabela8[[#This Row],[Cotação 5]])=0,"",MAX(Tabela8[[#This Row],[Cotação 1]]:Tabela8[[#This Row],[Cotação 5]]))</f>
        <v>1.07</v>
      </c>
      <c r="W6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4" s="19" t="str">
        <f>IF(AND([Ref]=5,[Cotação]&gt;0,[Cotação]&lt;&gt;""),[Total Exercício]/[Cotação],IF([Ref]&lt;4,0,""))</f>
        <v/>
      </c>
      <c r="Y614" s="17">
        <f>IF([Tipo]="div",1,0)</f>
        <v>1</v>
      </c>
      <c r="Z614" s="17">
        <f>IF([Tipo]="jcp",1,0)</f>
        <v>0</v>
      </c>
    </row>
    <row r="615" spans="1:26" hidden="1">
      <c r="A615" s="4" t="s">
        <v>12</v>
      </c>
      <c r="B615" s="3" t="s">
        <v>445</v>
      </c>
      <c r="C615" s="15">
        <v>4</v>
      </c>
      <c r="D615" s="14">
        <v>2010</v>
      </c>
      <c r="E615" s="4" t="s">
        <v>1468</v>
      </c>
      <c r="G615" s="145">
        <v>40134</v>
      </c>
      <c r="H615" s="46">
        <v>40147</v>
      </c>
      <c r="I615" s="133">
        <v>0.05</v>
      </c>
      <c r="J615" s="133">
        <f>IF(Tabela8[[#This Row],[Tipo]]="jcp",Tabela8[[#This Row],[Provento p/Ação]]*85%,Tabela8[[#This Row],[Provento p/Ação]])</f>
        <v>0.05</v>
      </c>
      <c r="K615" s="133" t="str">
        <f>IF([Lucro p/Ação]&lt;&gt;0,SUMPRODUCT(N([Papel]=Tabela8[[#This Row],[Papel]]),N([Exercício]=Tabela8[[#This Row],[Exercício]]),[Líquido p/Ação]),"")</f>
        <v/>
      </c>
      <c r="L615" s="42" t="str">
        <f>IF(Tabela8[[#This Row],[Lucro p/Ação]]="","",IF(Tabela8[[#This Row],[Lucro p/Ação]]&gt;0,Tabela8[[#This Row],[Total Exercício]]/Tabela8[[#This Row],[Lucro p/Ação]],0))</f>
        <v/>
      </c>
      <c r="M6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5" s="19" t="str">
        <f>IF(Tabela8[[#This Row],[Média Lucro p/Ação]]&lt;&gt;"",Tabela8[[#This Row],[Média Pago]]/Tabela8[[#This Row],[Média Lucro p/Ação]],"")</f>
        <v/>
      </c>
      <c r="P6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5" s="134">
        <f>SUMPRODUCT(N(Tabela1[Código]=Tabela8[[#This Row],[Papel]]),Tabela1[Fechamento])</f>
        <v>0</v>
      </c>
      <c r="R615" s="17">
        <f>SUMPRODUCT(N(Tabela17[Código]=Tabela8[[#This Row],[Papel]]),Tabela17[Fechamento])</f>
        <v>1.07</v>
      </c>
      <c r="S615" s="17">
        <f>SUMPRODUCT(N(Tabela176[Código]=Tabela8[[#This Row],[Papel]]),Tabela176[Fechamento])</f>
        <v>0</v>
      </c>
      <c r="T615" s="17">
        <f>SUMPRODUCT(N(Tabela1768[Código]=Tabela8[[#This Row],[Papel]]),Tabela1768[Fechamento])</f>
        <v>0</v>
      </c>
      <c r="U615" s="17">
        <f>SUMPRODUCT(N(Tabela17683[Código]=Tabela8[[#This Row],[Papel]]),Tabela17683[Fechamento])</f>
        <v>0</v>
      </c>
      <c r="V615" s="17">
        <f>IF(MAX(Tabela8[[#This Row],[Cotação 1]]:Tabela8[[#This Row],[Cotação 5]])=0,"",MAX(Tabela8[[#This Row],[Cotação 1]]:Tabela8[[#This Row],[Cotação 5]]))</f>
        <v>1.07</v>
      </c>
      <c r="W6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5" s="19" t="str">
        <f>IF(AND([Ref]=5,[Cotação]&gt;0,[Cotação]&lt;&gt;""),[Total Exercício]/[Cotação],IF([Ref]&lt;4,0,""))</f>
        <v/>
      </c>
      <c r="Y615" s="17">
        <f>IF([Tipo]="div",1,0)</f>
        <v>1</v>
      </c>
      <c r="Z615" s="17">
        <f>IF([Tipo]="jcp",1,0)</f>
        <v>0</v>
      </c>
    </row>
    <row r="616" spans="1:26" hidden="1">
      <c r="A616" s="4" t="s">
        <v>12</v>
      </c>
      <c r="B616" s="3" t="s">
        <v>445</v>
      </c>
      <c r="C616" s="15">
        <v>5</v>
      </c>
      <c r="D616" s="14">
        <v>2010</v>
      </c>
      <c r="E616" s="4" t="s">
        <v>1468</v>
      </c>
      <c r="F616" s="133">
        <v>0.06</v>
      </c>
      <c r="G616" s="145">
        <v>40298</v>
      </c>
      <c r="H616" s="46">
        <v>40350</v>
      </c>
      <c r="I616" s="133">
        <v>0.03</v>
      </c>
      <c r="J616" s="133">
        <f>IF(Tabela8[[#This Row],[Tipo]]="jcp",Tabela8[[#This Row],[Provento p/Ação]]*85%,Tabela8[[#This Row],[Provento p/Ação]])</f>
        <v>0.03</v>
      </c>
      <c r="K616" s="133">
        <f>IF([Lucro p/Ação]&lt;&gt;0,SUMPRODUCT(N([Papel]=Tabela8[[#This Row],[Papel]]),N([Exercício]=Tabela8[[#This Row],[Exercício]]),[Líquido p/Ação]),"")</f>
        <v>0.11</v>
      </c>
      <c r="L616" s="42">
        <f>IF(Tabela8[[#This Row],[Lucro p/Ação]]="","",IF(Tabela8[[#This Row],[Lucro p/Ação]]&gt;0,Tabela8[[#This Row],[Total Exercício]]/Tabela8[[#This Row],[Lucro p/Ação]],0))</f>
        <v>1.8333333333333335</v>
      </c>
      <c r="M61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0.06</v>
      </c>
      <c r="N61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</v>
      </c>
      <c r="O616" s="19">
        <f>IF(Tabela8[[#This Row],[Média Lucro p/Ação]]&lt;&gt;"",Tabela8[[#This Row],[Média Pago]]/Tabela8[[#This Row],[Média Lucro p/Ação]],"")</f>
        <v>1.8333333333333335</v>
      </c>
      <c r="P6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6" s="134">
        <f>SUMPRODUCT(N(Tabela1[Código]=Tabela8[[#This Row],[Papel]]),Tabela1[Fechamento])</f>
        <v>0</v>
      </c>
      <c r="R616" s="17">
        <f>SUMPRODUCT(N(Tabela17[Código]=Tabela8[[#This Row],[Papel]]),Tabela17[Fechamento])</f>
        <v>1.07</v>
      </c>
      <c r="S616" s="17">
        <f>SUMPRODUCT(N(Tabela176[Código]=Tabela8[[#This Row],[Papel]]),Tabela176[Fechamento])</f>
        <v>0</v>
      </c>
      <c r="T616" s="17">
        <f>SUMPRODUCT(N(Tabela1768[Código]=Tabela8[[#This Row],[Papel]]),Tabela1768[Fechamento])</f>
        <v>0</v>
      </c>
      <c r="U616" s="17">
        <f>SUMPRODUCT(N(Tabela17683[Código]=Tabela8[[#This Row],[Papel]]),Tabela17683[Fechamento])</f>
        <v>0</v>
      </c>
      <c r="V616" s="17">
        <f>IF(MAX(Tabela8[[#This Row],[Cotação 1]]:Tabela8[[#This Row],[Cotação 5]])=0,"",MAX(Tabela8[[#This Row],[Cotação 1]]:Tabela8[[#This Row],[Cotação 5]]))</f>
        <v>1.07</v>
      </c>
      <c r="W6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6" s="19">
        <f>IF(AND([Ref]=5,[Cotação]&gt;0,[Cotação]&lt;&gt;""),[Total Exercício]/[Cotação],IF([Ref]&lt;4,0,""))</f>
        <v>0.10280373831775701</v>
      </c>
      <c r="Y616" s="17">
        <f>IF([Tipo]="div",1,0)</f>
        <v>1</v>
      </c>
      <c r="Z616" s="17">
        <f>IF([Tipo]="jcp",1,0)</f>
        <v>0</v>
      </c>
    </row>
    <row r="617" spans="1:26" hidden="1">
      <c r="A617" s="4" t="s">
        <v>12</v>
      </c>
      <c r="B617" s="3" t="s">
        <v>445</v>
      </c>
      <c r="C617" s="15">
        <v>4</v>
      </c>
      <c r="D617" s="14">
        <v>2011</v>
      </c>
      <c r="E617" s="4" t="s">
        <v>1468</v>
      </c>
      <c r="G617" s="46">
        <v>39932</v>
      </c>
      <c r="H617" s="46">
        <v>40116</v>
      </c>
      <c r="I617" s="133">
        <v>0.02</v>
      </c>
      <c r="J617" s="133">
        <f>IF(Tabela8[[#This Row],[Tipo]]="jcp",Tabela8[[#This Row],[Provento p/Ação]]*85%,Tabela8[[#This Row],[Provento p/Ação]])</f>
        <v>0.02</v>
      </c>
      <c r="K617" s="133" t="str">
        <f>IF([Lucro p/Ação]&lt;&gt;0,SUMPRODUCT(N([Papel]=Tabela8[[#This Row],[Papel]]),N([Exercício]=Tabela8[[#This Row],[Exercício]]),[Líquido p/Ação]),"")</f>
        <v/>
      </c>
      <c r="L617" s="42" t="str">
        <f>IF(Tabela8[[#This Row],[Lucro p/Ação]]="","",IF(Tabela8[[#This Row],[Lucro p/Ação]]&gt;0,Tabela8[[#This Row],[Total Exercício]]/Tabela8[[#This Row],[Lucro p/Ação]],0))</f>
        <v/>
      </c>
      <c r="M61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7" s="19" t="str">
        <f>IF(Tabela8[[#This Row],[Média Lucro p/Ação]]&lt;&gt;"",Tabela8[[#This Row],[Média Pago]]/Tabela8[[#This Row],[Média Lucro p/Ação]],"")</f>
        <v/>
      </c>
      <c r="P6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7" s="134">
        <f>SUMPRODUCT(N(Tabela1[Código]=Tabela8[[#This Row],[Papel]]),Tabela1[Fechamento])</f>
        <v>0</v>
      </c>
      <c r="R617" s="17">
        <f>SUMPRODUCT(N(Tabela17[Código]=Tabela8[[#This Row],[Papel]]),Tabela17[Fechamento])</f>
        <v>1.07</v>
      </c>
      <c r="S617" s="17">
        <f>SUMPRODUCT(N(Tabela176[Código]=Tabela8[[#This Row],[Papel]]),Tabela176[Fechamento])</f>
        <v>0</v>
      </c>
      <c r="T617" s="17">
        <f>SUMPRODUCT(N(Tabela1768[Código]=Tabela8[[#This Row],[Papel]]),Tabela1768[Fechamento])</f>
        <v>0</v>
      </c>
      <c r="U617" s="17">
        <f>SUMPRODUCT(N(Tabela17683[Código]=Tabela8[[#This Row],[Papel]]),Tabela17683[Fechamento])</f>
        <v>0</v>
      </c>
      <c r="V617" s="17">
        <f>IF(MAX(Tabela8[[#This Row],[Cotação 1]]:Tabela8[[#This Row],[Cotação 5]])=0,"",MAX(Tabela8[[#This Row],[Cotação 1]]:Tabela8[[#This Row],[Cotação 5]]))</f>
        <v>1.07</v>
      </c>
      <c r="W6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7" s="19" t="str">
        <f>IF(AND([Ref]=5,[Cotação]&gt;0,[Cotação]&lt;&gt;""),[Total Exercício]/[Cotação],IF([Ref]&lt;4,0,""))</f>
        <v/>
      </c>
      <c r="Y617" s="17">
        <f>IF([Tipo]="div",1,0)</f>
        <v>1</v>
      </c>
      <c r="Z617" s="17">
        <f>IF([Tipo]="jcp",1,0)</f>
        <v>0</v>
      </c>
    </row>
    <row r="618" spans="1:26" hidden="1">
      <c r="A618" s="4" t="s">
        <v>12</v>
      </c>
      <c r="B618" s="3" t="s">
        <v>445</v>
      </c>
      <c r="C618" s="15">
        <v>4</v>
      </c>
      <c r="D618" s="14">
        <v>2011</v>
      </c>
      <c r="E618" s="4" t="s">
        <v>1468</v>
      </c>
      <c r="G618" s="145">
        <v>40134</v>
      </c>
      <c r="H618" s="46">
        <v>40147</v>
      </c>
      <c r="I618" s="133">
        <v>0.05</v>
      </c>
      <c r="J618" s="133">
        <f>IF(Tabela8[[#This Row],[Tipo]]="jcp",Tabela8[[#This Row],[Provento p/Ação]]*85%,Tabela8[[#This Row],[Provento p/Ação]])</f>
        <v>0.05</v>
      </c>
      <c r="K618" s="133" t="str">
        <f>IF([Lucro p/Ação]&lt;&gt;0,SUMPRODUCT(N([Papel]=Tabela8[[#This Row],[Papel]]),N([Exercício]=Tabela8[[#This Row],[Exercício]]),[Líquido p/Ação]),"")</f>
        <v/>
      </c>
      <c r="L618" s="42" t="str">
        <f>IF(Tabela8[[#This Row],[Lucro p/Ação]]="","",IF(Tabela8[[#This Row],[Lucro p/Ação]]&gt;0,Tabela8[[#This Row],[Total Exercício]]/Tabela8[[#This Row],[Lucro p/Ação]],0))</f>
        <v/>
      </c>
      <c r="M6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8" s="19" t="str">
        <f>IF(Tabela8[[#This Row],[Média Lucro p/Ação]]&lt;&gt;"",Tabela8[[#This Row],[Média Pago]]/Tabela8[[#This Row],[Média Lucro p/Ação]],"")</f>
        <v/>
      </c>
      <c r="P6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8" s="134">
        <f>SUMPRODUCT(N(Tabela1[Código]=Tabela8[[#This Row],[Papel]]),Tabela1[Fechamento])</f>
        <v>0</v>
      </c>
      <c r="R618" s="7">
        <f>SUMPRODUCT(N(Tabela17[Código]=Tabela8[[#This Row],[Papel]]),Tabela17[Fechamento])</f>
        <v>1.07</v>
      </c>
      <c r="S618" s="7">
        <f>SUMPRODUCT(N(Tabela176[Código]=Tabela8[[#This Row],[Papel]]),Tabela176[Fechamento])</f>
        <v>0</v>
      </c>
      <c r="T618" s="7">
        <f>SUMPRODUCT(N(Tabela1768[Código]=Tabela8[[#This Row],[Papel]]),Tabela1768[Fechamento])</f>
        <v>0</v>
      </c>
      <c r="U618" s="7">
        <f>SUMPRODUCT(N(Tabela17683[Código]=Tabela8[[#This Row],[Papel]]),Tabela17683[Fechamento])</f>
        <v>0</v>
      </c>
      <c r="V618" s="7">
        <f>IF(MAX(Tabela8[[#This Row],[Cotação 1]]:Tabela8[[#This Row],[Cotação 5]])=0,"",MAX(Tabela8[[#This Row],[Cotação 1]]:Tabela8[[#This Row],[Cotação 5]]))</f>
        <v>1.07</v>
      </c>
      <c r="W6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8" s="19" t="str">
        <f>IF(AND([Ref]=5,[Cotação]&gt;0,[Cotação]&lt;&gt;""),[Total Exercício]/[Cotação],IF([Ref]&lt;4,0,""))</f>
        <v/>
      </c>
      <c r="Y618" s="17">
        <f>IF([Tipo]="div",1,0)</f>
        <v>1</v>
      </c>
      <c r="Z618" s="17">
        <f>IF([Tipo]="jcp",1,0)</f>
        <v>0</v>
      </c>
    </row>
    <row r="619" spans="1:26" hidden="1">
      <c r="A619" s="4" t="s">
        <v>12</v>
      </c>
      <c r="B619" s="3" t="s">
        <v>445</v>
      </c>
      <c r="C619" s="15">
        <v>4</v>
      </c>
      <c r="D619" s="14">
        <v>2011</v>
      </c>
      <c r="E619" s="4" t="s">
        <v>1468</v>
      </c>
      <c r="G619" s="145">
        <v>40298</v>
      </c>
      <c r="H619" s="46">
        <v>40350</v>
      </c>
      <c r="I619" s="133">
        <v>0.03</v>
      </c>
      <c r="J619" s="133">
        <f>IF(Tabela8[[#This Row],[Tipo]]="jcp",Tabela8[[#This Row],[Provento p/Ação]]*85%,Tabela8[[#This Row],[Provento p/Ação]])</f>
        <v>0.03</v>
      </c>
      <c r="K619" s="133" t="str">
        <f>IF([Lucro p/Ação]&lt;&gt;0,SUMPRODUCT(N([Papel]=Tabela8[[#This Row],[Papel]]),N([Exercício]=Tabela8[[#This Row],[Exercício]]),[Líquido p/Ação]),"")</f>
        <v/>
      </c>
      <c r="L619" s="42" t="str">
        <f>IF(Tabela8[[#This Row],[Lucro p/Ação]]="","",IF(Tabela8[[#This Row],[Lucro p/Ação]]&gt;0,Tabela8[[#This Row],[Total Exercício]]/Tabela8[[#This Row],[Lucro p/Ação]],0))</f>
        <v/>
      </c>
      <c r="M6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19" s="19" t="str">
        <f>IF(Tabela8[[#This Row],[Média Lucro p/Ação]]&lt;&gt;"",Tabela8[[#This Row],[Média Pago]]/Tabela8[[#This Row],[Média Lucro p/Ação]],"")</f>
        <v/>
      </c>
      <c r="P6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19" s="134">
        <f>SUMPRODUCT(N(Tabela1[Código]=Tabela8[[#This Row],[Papel]]),Tabela1[Fechamento])</f>
        <v>0</v>
      </c>
      <c r="R619" s="7">
        <f>SUMPRODUCT(N(Tabela17[Código]=Tabela8[[#This Row],[Papel]]),Tabela17[Fechamento])</f>
        <v>1.07</v>
      </c>
      <c r="S619" s="7">
        <f>SUMPRODUCT(N(Tabela176[Código]=Tabela8[[#This Row],[Papel]]),Tabela176[Fechamento])</f>
        <v>0</v>
      </c>
      <c r="T619" s="7">
        <f>SUMPRODUCT(N(Tabela1768[Código]=Tabela8[[#This Row],[Papel]]),Tabela1768[Fechamento])</f>
        <v>0</v>
      </c>
      <c r="U619" s="7">
        <f>SUMPRODUCT(N(Tabela17683[Código]=Tabela8[[#This Row],[Papel]]),Tabela17683[Fechamento])</f>
        <v>0</v>
      </c>
      <c r="V619" s="7">
        <f>IF(MAX(Tabela8[[#This Row],[Cotação 1]]:Tabela8[[#This Row],[Cotação 5]])=0,"",MAX(Tabela8[[#This Row],[Cotação 1]]:Tabela8[[#This Row],[Cotação 5]]))</f>
        <v>1.07</v>
      </c>
      <c r="W6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19" s="19" t="str">
        <f>IF(AND([Ref]=5,[Cotação]&gt;0,[Cotação]&lt;&gt;""),[Total Exercício]/[Cotação],IF([Ref]&lt;4,0,""))</f>
        <v/>
      </c>
      <c r="Y619" s="17">
        <f>IF([Tipo]="div",1,0)</f>
        <v>1</v>
      </c>
      <c r="Z619" s="17">
        <f>IF([Tipo]="jcp",1,0)</f>
        <v>0</v>
      </c>
    </row>
    <row r="620" spans="1:26" hidden="1">
      <c r="A620" s="4" t="s">
        <v>12</v>
      </c>
      <c r="B620" s="3" t="s">
        <v>445</v>
      </c>
      <c r="C620" s="15">
        <v>5</v>
      </c>
      <c r="D620" s="14">
        <v>2011</v>
      </c>
      <c r="E620" s="4" t="s">
        <v>1468</v>
      </c>
      <c r="F620" s="133">
        <v>0.05</v>
      </c>
      <c r="G620" s="145">
        <v>40662</v>
      </c>
      <c r="H620" s="46">
        <v>40908</v>
      </c>
      <c r="I620" s="133">
        <v>0.01</v>
      </c>
      <c r="J620" s="133">
        <f>IF(Tabela8[[#This Row],[Tipo]]="jcp",Tabela8[[#This Row],[Provento p/Ação]]*85%,Tabela8[[#This Row],[Provento p/Ação]])</f>
        <v>0.01</v>
      </c>
      <c r="K620" s="133">
        <f>IF([Lucro p/Ação]&lt;&gt;0,SUMPRODUCT(N([Papel]=Tabela8[[#This Row],[Papel]]),N([Exercício]=Tabela8[[#This Row],[Exercício]]),[Líquido p/Ação]),"")</f>
        <v>0.11</v>
      </c>
      <c r="L620" s="42">
        <f>IF(Tabela8[[#This Row],[Lucro p/Ação]]="","",IF(Tabela8[[#This Row],[Lucro p/Ação]]&gt;0,Tabela8[[#This Row],[Total Exercício]]/Tabela8[[#This Row],[Lucro p/Ação]],0))</f>
        <v>2.1999999999999997</v>
      </c>
      <c r="M6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5.5E-2</v>
      </c>
      <c r="N6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</v>
      </c>
      <c r="O620" s="19">
        <f>IF(Tabela8[[#This Row],[Média Lucro p/Ação]]&lt;&gt;"",Tabela8[[#This Row],[Média Pago]]/Tabela8[[#This Row],[Média Lucro p/Ação]],"")</f>
        <v>2</v>
      </c>
      <c r="P6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0" s="134">
        <f>SUMPRODUCT(N(Tabela1[Código]=Tabela8[[#This Row],[Papel]]),Tabela1[Fechamento])</f>
        <v>0</v>
      </c>
      <c r="R620" s="17">
        <f>SUMPRODUCT(N(Tabela17[Código]=Tabela8[[#This Row],[Papel]]),Tabela17[Fechamento])</f>
        <v>1.07</v>
      </c>
      <c r="S620" s="17">
        <f>SUMPRODUCT(N(Tabela176[Código]=Tabela8[[#This Row],[Papel]]),Tabela176[Fechamento])</f>
        <v>0</v>
      </c>
      <c r="T620" s="17">
        <f>SUMPRODUCT(N(Tabela1768[Código]=Tabela8[[#This Row],[Papel]]),Tabela1768[Fechamento])</f>
        <v>0</v>
      </c>
      <c r="U620" s="17">
        <f>SUMPRODUCT(N(Tabela17683[Código]=Tabela8[[#This Row],[Papel]]),Tabela17683[Fechamento])</f>
        <v>0</v>
      </c>
      <c r="V620" s="17">
        <f>IF(MAX(Tabela8[[#This Row],[Cotação 1]]:Tabela8[[#This Row],[Cotação 5]])=0,"",MAX(Tabela8[[#This Row],[Cotação 1]]:Tabela8[[#This Row],[Cotação 5]]))</f>
        <v>1.07</v>
      </c>
      <c r="W6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0" s="19">
        <f>IF(AND([Ref]=5,[Cotação]&gt;0,[Cotação]&lt;&gt;""),[Total Exercício]/[Cotação],IF([Ref]&lt;4,0,""))</f>
        <v>0.10280373831775701</v>
      </c>
      <c r="Y620" s="17">
        <f>IF([Tipo]="div",1,0)</f>
        <v>1</v>
      </c>
      <c r="Z620" s="17">
        <f>IF([Tipo]="jcp",1,0)</f>
        <v>0</v>
      </c>
    </row>
    <row r="621" spans="1:26" hidden="1">
      <c r="A621" s="4" t="s">
        <v>12</v>
      </c>
      <c r="B621" s="3" t="s">
        <v>445</v>
      </c>
      <c r="C621" s="15">
        <v>4</v>
      </c>
      <c r="D621" s="14">
        <v>2012</v>
      </c>
      <c r="E621" s="4" t="s">
        <v>1468</v>
      </c>
      <c r="G621" s="46">
        <v>39932</v>
      </c>
      <c r="H621" s="46">
        <v>40116</v>
      </c>
      <c r="I621" s="133">
        <v>0.02</v>
      </c>
      <c r="J621" s="133">
        <f>IF(Tabela8[[#This Row],[Tipo]]="jcp",Tabela8[[#This Row],[Provento p/Ação]]*85%,Tabela8[[#This Row],[Provento p/Ação]])</f>
        <v>0.02</v>
      </c>
      <c r="K621" s="133" t="str">
        <f>IF([Lucro p/Ação]&lt;&gt;0,SUMPRODUCT(N([Papel]=Tabela8[[#This Row],[Papel]]),N([Exercício]=Tabela8[[#This Row],[Exercício]]),[Líquido p/Ação]),"")</f>
        <v/>
      </c>
      <c r="L621" s="42" t="str">
        <f>IF(Tabela8[[#This Row],[Lucro p/Ação]]="","",IF(Tabela8[[#This Row],[Lucro p/Ação]]&gt;0,Tabela8[[#This Row],[Total Exercício]]/Tabela8[[#This Row],[Lucro p/Ação]],0))</f>
        <v/>
      </c>
      <c r="M6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1" s="19" t="str">
        <f>IF(Tabela8[[#This Row],[Média Lucro p/Ação]]&lt;&gt;"",Tabela8[[#This Row],[Média Pago]]/Tabela8[[#This Row],[Média Lucro p/Ação]],"")</f>
        <v/>
      </c>
      <c r="P6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1" s="134">
        <f>SUMPRODUCT(N(Tabela1[Código]=Tabela8[[#This Row],[Papel]]),Tabela1[Fechamento])</f>
        <v>0</v>
      </c>
      <c r="R621" s="7">
        <f>SUMPRODUCT(N(Tabela17[Código]=Tabela8[[#This Row],[Papel]]),Tabela17[Fechamento])</f>
        <v>1.07</v>
      </c>
      <c r="S621" s="7">
        <f>SUMPRODUCT(N(Tabela176[Código]=Tabela8[[#This Row],[Papel]]),Tabela176[Fechamento])</f>
        <v>0</v>
      </c>
      <c r="T621" s="7">
        <f>SUMPRODUCT(N(Tabela1768[Código]=Tabela8[[#This Row],[Papel]]),Tabela1768[Fechamento])</f>
        <v>0</v>
      </c>
      <c r="U621" s="7">
        <f>SUMPRODUCT(N(Tabela17683[Código]=Tabela8[[#This Row],[Papel]]),Tabela17683[Fechamento])</f>
        <v>0</v>
      </c>
      <c r="V621" s="7">
        <f>IF(MAX(Tabela8[[#This Row],[Cotação 1]]:Tabela8[[#This Row],[Cotação 5]])=0,"",MAX(Tabela8[[#This Row],[Cotação 1]]:Tabela8[[#This Row],[Cotação 5]]))</f>
        <v>1.07</v>
      </c>
      <c r="W6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1" s="19" t="str">
        <f>IF(AND([Ref]=5,[Cotação]&gt;0,[Cotação]&lt;&gt;""),[Total Exercício]/[Cotação],IF([Ref]&lt;4,0,""))</f>
        <v/>
      </c>
      <c r="Y621" s="17">
        <f>IF([Tipo]="div",1,0)</f>
        <v>1</v>
      </c>
      <c r="Z621" s="17">
        <f>IF([Tipo]="jcp",1,0)</f>
        <v>0</v>
      </c>
    </row>
    <row r="622" spans="1:26" hidden="1">
      <c r="A622" s="4" t="s">
        <v>12</v>
      </c>
      <c r="B622" s="3" t="s">
        <v>445</v>
      </c>
      <c r="C622" s="15">
        <v>4</v>
      </c>
      <c r="D622" s="14">
        <v>2012</v>
      </c>
      <c r="E622" s="4" t="s">
        <v>1468</v>
      </c>
      <c r="G622" s="145">
        <v>40134</v>
      </c>
      <c r="H622" s="46">
        <v>40147</v>
      </c>
      <c r="I622" s="133">
        <v>0.05</v>
      </c>
      <c r="J622" s="133">
        <f>IF(Tabela8[[#This Row],[Tipo]]="jcp",Tabela8[[#This Row],[Provento p/Ação]]*85%,Tabela8[[#This Row],[Provento p/Ação]])</f>
        <v>0.05</v>
      </c>
      <c r="K622" s="133" t="str">
        <f>IF([Lucro p/Ação]&lt;&gt;0,SUMPRODUCT(N([Papel]=Tabela8[[#This Row],[Papel]]),N([Exercício]=Tabela8[[#This Row],[Exercício]]),[Líquido p/Ação]),"")</f>
        <v/>
      </c>
      <c r="L622" s="42" t="str">
        <f>IF(Tabela8[[#This Row],[Lucro p/Ação]]="","",IF(Tabela8[[#This Row],[Lucro p/Ação]]&gt;0,Tabela8[[#This Row],[Total Exercício]]/Tabela8[[#This Row],[Lucro p/Ação]],0))</f>
        <v/>
      </c>
      <c r="M62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2" s="19" t="str">
        <f>IF(Tabela8[[#This Row],[Média Lucro p/Ação]]&lt;&gt;"",Tabela8[[#This Row],[Média Pago]]/Tabela8[[#This Row],[Média Lucro p/Ação]],"")</f>
        <v/>
      </c>
      <c r="P6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2" s="134">
        <f>SUMPRODUCT(N(Tabela1[Código]=Tabela8[[#This Row],[Papel]]),Tabela1[Fechamento])</f>
        <v>0</v>
      </c>
      <c r="R622" s="7">
        <f>SUMPRODUCT(N(Tabela17[Código]=Tabela8[[#This Row],[Papel]]),Tabela17[Fechamento])</f>
        <v>1.07</v>
      </c>
      <c r="S622" s="7">
        <f>SUMPRODUCT(N(Tabela176[Código]=Tabela8[[#This Row],[Papel]]),Tabela176[Fechamento])</f>
        <v>0</v>
      </c>
      <c r="T622" s="7">
        <f>SUMPRODUCT(N(Tabela1768[Código]=Tabela8[[#This Row],[Papel]]),Tabela1768[Fechamento])</f>
        <v>0</v>
      </c>
      <c r="U622" s="7">
        <f>SUMPRODUCT(N(Tabela17683[Código]=Tabela8[[#This Row],[Papel]]),Tabela17683[Fechamento])</f>
        <v>0</v>
      </c>
      <c r="V622" s="7">
        <f>IF(MAX(Tabela8[[#This Row],[Cotação 1]]:Tabela8[[#This Row],[Cotação 5]])=0,"",MAX(Tabela8[[#This Row],[Cotação 1]]:Tabela8[[#This Row],[Cotação 5]]))</f>
        <v>1.07</v>
      </c>
      <c r="W6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2" s="19" t="str">
        <f>IF(AND([Ref]=5,[Cotação]&gt;0,[Cotação]&lt;&gt;""),[Total Exercício]/[Cotação],IF([Ref]&lt;4,0,""))</f>
        <v/>
      </c>
      <c r="Y622" s="17">
        <f>IF([Tipo]="div",1,0)</f>
        <v>1</v>
      </c>
      <c r="Z622" s="17">
        <f>IF([Tipo]="jcp",1,0)</f>
        <v>0</v>
      </c>
    </row>
    <row r="623" spans="1:26" hidden="1">
      <c r="A623" s="4" t="s">
        <v>12</v>
      </c>
      <c r="B623" s="3" t="s">
        <v>445</v>
      </c>
      <c r="C623" s="15">
        <v>4</v>
      </c>
      <c r="D623" s="14">
        <v>2012</v>
      </c>
      <c r="E623" s="4" t="s">
        <v>1468</v>
      </c>
      <c r="G623" s="145">
        <v>40298</v>
      </c>
      <c r="H623" s="46">
        <v>40350</v>
      </c>
      <c r="I623" s="133">
        <v>0.03</v>
      </c>
      <c r="J623" s="133">
        <f>IF(Tabela8[[#This Row],[Tipo]]="jcp",Tabela8[[#This Row],[Provento p/Ação]]*85%,Tabela8[[#This Row],[Provento p/Ação]])</f>
        <v>0.03</v>
      </c>
      <c r="K623" s="133" t="str">
        <f>IF([Lucro p/Ação]&lt;&gt;0,SUMPRODUCT(N([Papel]=Tabela8[[#This Row],[Papel]]),N([Exercício]=Tabela8[[#This Row],[Exercício]]),[Líquido p/Ação]),"")</f>
        <v/>
      </c>
      <c r="L623" s="42" t="str">
        <f>IF(Tabela8[[#This Row],[Lucro p/Ação]]="","",IF(Tabela8[[#This Row],[Lucro p/Ação]]&gt;0,Tabela8[[#This Row],[Total Exercício]]/Tabela8[[#This Row],[Lucro p/Ação]],0))</f>
        <v/>
      </c>
      <c r="M62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3" s="19" t="str">
        <f>IF(Tabela8[[#This Row],[Média Lucro p/Ação]]&lt;&gt;"",Tabela8[[#This Row],[Média Pago]]/Tabela8[[#This Row],[Média Lucro p/Ação]],"")</f>
        <v/>
      </c>
      <c r="P6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3" s="134">
        <f>SUMPRODUCT(N(Tabela1[Código]=Tabela8[[#This Row],[Papel]]),Tabela1[Fechamento])</f>
        <v>0</v>
      </c>
      <c r="R623" s="7">
        <f>SUMPRODUCT(N(Tabela17[Código]=Tabela8[[#This Row],[Papel]]),Tabela17[Fechamento])</f>
        <v>1.07</v>
      </c>
      <c r="S623" s="7">
        <f>SUMPRODUCT(N(Tabela176[Código]=Tabela8[[#This Row],[Papel]]),Tabela176[Fechamento])</f>
        <v>0</v>
      </c>
      <c r="T623" s="7">
        <f>SUMPRODUCT(N(Tabela1768[Código]=Tabela8[[#This Row],[Papel]]),Tabela1768[Fechamento])</f>
        <v>0</v>
      </c>
      <c r="U623" s="7">
        <f>SUMPRODUCT(N(Tabela17683[Código]=Tabela8[[#This Row],[Papel]]),Tabela17683[Fechamento])</f>
        <v>0</v>
      </c>
      <c r="V623" s="7">
        <f>IF(MAX(Tabela8[[#This Row],[Cotação 1]]:Tabela8[[#This Row],[Cotação 5]])=0,"",MAX(Tabela8[[#This Row],[Cotação 1]]:Tabela8[[#This Row],[Cotação 5]]))</f>
        <v>1.07</v>
      </c>
      <c r="W6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3" s="19" t="str">
        <f>IF(AND([Ref]=5,[Cotação]&gt;0,[Cotação]&lt;&gt;""),[Total Exercício]/[Cotação],IF([Ref]&lt;4,0,""))</f>
        <v/>
      </c>
      <c r="Y623" s="17">
        <f>IF([Tipo]="div",1,0)</f>
        <v>1</v>
      </c>
      <c r="Z623" s="17">
        <f>IF([Tipo]="jcp",1,0)</f>
        <v>0</v>
      </c>
    </row>
    <row r="624" spans="1:26" hidden="1">
      <c r="A624" s="4" t="s">
        <v>12</v>
      </c>
      <c r="B624" s="3" t="s">
        <v>445</v>
      </c>
      <c r="C624" s="15">
        <v>4</v>
      </c>
      <c r="D624" s="14">
        <v>2012</v>
      </c>
      <c r="E624" s="4" t="s">
        <v>1468</v>
      </c>
      <c r="G624" s="145">
        <v>40662</v>
      </c>
      <c r="H624" s="46">
        <v>40908</v>
      </c>
      <c r="I624" s="133">
        <v>0.01</v>
      </c>
      <c r="J624" s="133">
        <f>IF(Tabela8[[#This Row],[Tipo]]="jcp",Tabela8[[#This Row],[Provento p/Ação]]*85%,Tabela8[[#This Row],[Provento p/Ação]])</f>
        <v>0.01</v>
      </c>
      <c r="K624" s="133" t="str">
        <f>IF([Lucro p/Ação]&lt;&gt;0,SUMPRODUCT(N([Papel]=Tabela8[[#This Row],[Papel]]),N([Exercício]=Tabela8[[#This Row],[Exercício]]),[Líquido p/Ação]),"")</f>
        <v/>
      </c>
      <c r="L624" s="42" t="str">
        <f>IF(Tabela8[[#This Row],[Lucro p/Ação]]="","",IF(Tabela8[[#This Row],[Lucro p/Ação]]&gt;0,Tabela8[[#This Row],[Total Exercício]]/Tabela8[[#This Row],[Lucro p/Ação]],0))</f>
        <v/>
      </c>
      <c r="M62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4" s="19" t="str">
        <f>IF(Tabela8[[#This Row],[Média Lucro p/Ação]]&lt;&gt;"",Tabela8[[#This Row],[Média Pago]]/Tabela8[[#This Row],[Média Lucro p/Ação]],"")</f>
        <v/>
      </c>
      <c r="P6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4" s="134">
        <f>SUMPRODUCT(N(Tabela1[Código]=Tabela8[[#This Row],[Papel]]),Tabela1[Fechamento])</f>
        <v>0</v>
      </c>
      <c r="R624" s="17">
        <f>SUMPRODUCT(N(Tabela17[Código]=Tabela8[[#This Row],[Papel]]),Tabela17[Fechamento])</f>
        <v>1.07</v>
      </c>
      <c r="S624" s="17">
        <f>SUMPRODUCT(N(Tabela176[Código]=Tabela8[[#This Row],[Papel]]),Tabela176[Fechamento])</f>
        <v>0</v>
      </c>
      <c r="T624" s="17">
        <f>SUMPRODUCT(N(Tabela1768[Código]=Tabela8[[#This Row],[Papel]]),Tabela1768[Fechamento])</f>
        <v>0</v>
      </c>
      <c r="U624" s="17">
        <f>SUMPRODUCT(N(Tabela17683[Código]=Tabela8[[#This Row],[Papel]]),Tabela17683[Fechamento])</f>
        <v>0</v>
      </c>
      <c r="V624" s="17">
        <f>IF(MAX(Tabela8[[#This Row],[Cotação 1]]:Tabela8[[#This Row],[Cotação 5]])=0,"",MAX(Tabela8[[#This Row],[Cotação 1]]:Tabela8[[#This Row],[Cotação 5]]))</f>
        <v>1.07</v>
      </c>
      <c r="W6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4" s="19" t="str">
        <f>IF(AND([Ref]=5,[Cotação]&gt;0,[Cotação]&lt;&gt;""),[Total Exercício]/[Cotação],IF([Ref]&lt;4,0,""))</f>
        <v/>
      </c>
      <c r="Y624" s="17">
        <f>IF([Tipo]="div",1,0)</f>
        <v>1</v>
      </c>
      <c r="Z624" s="17">
        <f>IF([Tipo]="jcp",1,0)</f>
        <v>0</v>
      </c>
    </row>
    <row r="625" spans="1:26" hidden="1">
      <c r="A625" s="4" t="s">
        <v>12</v>
      </c>
      <c r="B625" s="3" t="s">
        <v>445</v>
      </c>
      <c r="C625" s="15">
        <v>5</v>
      </c>
      <c r="D625" s="14">
        <v>2012</v>
      </c>
      <c r="E625" s="4" t="s">
        <v>1468</v>
      </c>
      <c r="F625" s="133">
        <v>0.14000000000000001</v>
      </c>
      <c r="G625" s="145">
        <v>41026</v>
      </c>
      <c r="H625" s="46">
        <v>41253</v>
      </c>
      <c r="I625" s="133">
        <v>0.01</v>
      </c>
      <c r="J625" s="133">
        <f>IF(Tabela8[[#This Row],[Tipo]]="jcp",Tabela8[[#This Row],[Provento p/Ação]]*85%,Tabela8[[#This Row],[Provento p/Ação]])</f>
        <v>0.01</v>
      </c>
      <c r="K625" s="133">
        <f>IF([Lucro p/Ação]&lt;&gt;0,SUMPRODUCT(N([Papel]=Tabela8[[#This Row],[Papel]]),N([Exercício]=Tabela8[[#This Row],[Exercício]]),[Líquido p/Ação]),"")</f>
        <v>0.12</v>
      </c>
      <c r="L625" s="42">
        <f>IF(Tabela8[[#This Row],[Lucro p/Ação]]="","",IF(Tabela8[[#This Row],[Lucro p/Ação]]&gt;0,Tabela8[[#This Row],[Total Exercício]]/Tabela8[[#This Row],[Lucro p/Ação]],0))</f>
        <v>0.85714285714285698</v>
      </c>
      <c r="M6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8.3333333333333329E-2</v>
      </c>
      <c r="N62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0.11333333333333333</v>
      </c>
      <c r="O625" s="19">
        <f>IF(Tabela8[[#This Row],[Média Lucro p/Ação]]&lt;&gt;"",Tabela8[[#This Row],[Média Pago]]/Tabela8[[#This Row],[Média Lucro p/Ação]],"")</f>
        <v>1.36</v>
      </c>
      <c r="P6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5" s="134">
        <f>SUMPRODUCT(N(Tabela1[Código]=Tabela8[[#This Row],[Papel]]),Tabela1[Fechamento])</f>
        <v>0</v>
      </c>
      <c r="R625" s="17">
        <f>SUMPRODUCT(N(Tabela17[Código]=Tabela8[[#This Row],[Papel]]),Tabela17[Fechamento])</f>
        <v>1.07</v>
      </c>
      <c r="S625" s="17">
        <f>SUMPRODUCT(N(Tabela176[Código]=Tabela8[[#This Row],[Papel]]),Tabela176[Fechamento])</f>
        <v>0</v>
      </c>
      <c r="T625" s="17">
        <f>SUMPRODUCT(N(Tabela1768[Código]=Tabela8[[#This Row],[Papel]]),Tabela1768[Fechamento])</f>
        <v>0</v>
      </c>
      <c r="U625" s="17">
        <f>SUMPRODUCT(N(Tabela17683[Código]=Tabela8[[#This Row],[Papel]]),Tabela17683[Fechamento])</f>
        <v>0</v>
      </c>
      <c r="V625" s="17">
        <f>IF(MAX(Tabela8[[#This Row],[Cotação 1]]:Tabela8[[#This Row],[Cotação 5]])=0,"",MAX(Tabela8[[#This Row],[Cotação 1]]:Tabela8[[#This Row],[Cotação 5]]))</f>
        <v>1.07</v>
      </c>
      <c r="W6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5" s="19">
        <f>IF(AND([Ref]=5,[Cotação]&gt;0,[Cotação]&lt;&gt;""),[Total Exercício]/[Cotação],IF([Ref]&lt;4,0,""))</f>
        <v>0.11214953271028036</v>
      </c>
      <c r="Y625" s="17">
        <f>IF([Tipo]="div",1,0)</f>
        <v>1</v>
      </c>
      <c r="Z625" s="17">
        <f>IF([Tipo]="jcp",1,0)</f>
        <v>0</v>
      </c>
    </row>
    <row r="626" spans="1:26" hidden="1">
      <c r="A626" s="4" t="s">
        <v>12</v>
      </c>
      <c r="B626" s="3" t="s">
        <v>445</v>
      </c>
      <c r="C626" s="15">
        <v>5</v>
      </c>
      <c r="D626" s="14">
        <v>2013</v>
      </c>
      <c r="E626" s="14" t="s">
        <v>1468</v>
      </c>
      <c r="F626" s="133">
        <v>0.13131000000000001</v>
      </c>
      <c r="G626" s="145">
        <v>41394</v>
      </c>
      <c r="I626" s="133">
        <v>2.9870000000000001E-2</v>
      </c>
      <c r="J626" s="133">
        <f>IF(Tabela8[[#This Row],[Tipo]]="jcp",Tabela8[[#This Row],[Provento p/Ação]]*85%,Tabela8[[#This Row],[Provento p/Ação]])</f>
        <v>2.9870000000000001E-2</v>
      </c>
      <c r="K626" s="133">
        <f>IF([Lucro p/Ação]&lt;&gt;0,SUMPRODUCT(N([Papel]=Tabela8[[#This Row],[Papel]]),N([Exercício]=Tabela8[[#This Row],[Exercício]]),[Líquido p/Ação]),"")</f>
        <v>2.9870000000000001E-2</v>
      </c>
      <c r="L626" s="42">
        <f>IF(Tabela8[[#This Row],[Lucro p/Ação]]="","",IF(Tabela8[[#This Row],[Lucro p/Ação]]&gt;0,Tabela8[[#This Row],[Total Exercício]]/Tabela8[[#This Row],[Lucro p/Ação]],0))</f>
        <v>0.22747696291219252</v>
      </c>
      <c r="M6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9.5327500000000009E-2</v>
      </c>
      <c r="N62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9.2467499999999994E-2</v>
      </c>
      <c r="O626" s="19">
        <f>IF(Tabela8[[#This Row],[Média Lucro p/Ação]]&lt;&gt;"",Tabela8[[#This Row],[Média Pago]]/Tabela8[[#This Row],[Média Lucro p/Ação]],"")</f>
        <v>0.96999816422333518</v>
      </c>
      <c r="P6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6" s="134">
        <f>SUMPRODUCT(N(Tabela1[Código]=Tabela8[[#This Row],[Papel]]),Tabela1[Fechamento])</f>
        <v>0</v>
      </c>
      <c r="R626" s="17">
        <f>SUMPRODUCT(N(Tabela17[Código]=Tabela8[[#This Row],[Papel]]),Tabela17[Fechamento])</f>
        <v>1.07</v>
      </c>
      <c r="S626" s="17">
        <f>SUMPRODUCT(N(Tabela176[Código]=Tabela8[[#This Row],[Papel]]),Tabela176[Fechamento])</f>
        <v>0</v>
      </c>
      <c r="T626" s="17">
        <f>SUMPRODUCT(N(Tabela1768[Código]=Tabela8[[#This Row],[Papel]]),Tabela1768[Fechamento])</f>
        <v>0</v>
      </c>
      <c r="U626" s="17">
        <f>SUMPRODUCT(N(Tabela17683[Código]=Tabela8[[#This Row],[Papel]]),Tabela17683[Fechamento])</f>
        <v>0</v>
      </c>
      <c r="V626" s="17">
        <f>IF(MAX(Tabela8[[#This Row],[Cotação 1]]:Tabela8[[#This Row],[Cotação 5]])=0,"",MAX(Tabela8[[#This Row],[Cotação 1]]:Tabela8[[#This Row],[Cotação 5]]))</f>
        <v>1.07</v>
      </c>
      <c r="W6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6" s="19">
        <f>IF(AND([Ref]=5,[Cotação]&gt;0,[Cotação]&lt;&gt;""),[Total Exercício]/[Cotação],IF([Ref]&lt;4,0,""))</f>
        <v>2.7915887850467287E-2</v>
      </c>
      <c r="Y626" s="17">
        <f>IF([Tipo]="div",1,0)</f>
        <v>1</v>
      </c>
      <c r="Z626" s="17">
        <f>IF([Tipo]="jcp",1,0)</f>
        <v>0</v>
      </c>
    </row>
    <row r="627" spans="1:26" hidden="1">
      <c r="A627" s="4" t="s">
        <v>12</v>
      </c>
      <c r="B627" s="3" t="s">
        <v>168</v>
      </c>
      <c r="C627" s="15">
        <v>4</v>
      </c>
      <c r="D627" s="14">
        <v>2010</v>
      </c>
      <c r="E627" s="4" t="s">
        <v>1468</v>
      </c>
      <c r="G627" s="46">
        <v>40298</v>
      </c>
      <c r="H627" s="46">
        <v>40358</v>
      </c>
      <c r="I627" s="133">
        <v>1.111E-2</v>
      </c>
      <c r="J627" s="132">
        <f>IF(Tabela8[[#This Row],[Tipo]]="jcp",Tabela8[[#This Row],[Provento p/Ação]]*85%,Tabela8[[#This Row],[Provento p/Ação]])</f>
        <v>1.111E-2</v>
      </c>
      <c r="K627" s="133" t="str">
        <f>IF([Lucro p/Ação]&lt;&gt;0,SUMPRODUCT(N([Papel]=Tabela8[[#This Row],[Papel]]),N([Exercício]=Tabela8[[#This Row],[Exercício]]),[Líquido p/Ação]),"")</f>
        <v/>
      </c>
      <c r="L627" s="42" t="str">
        <f>IF(Tabela8[[#This Row],[Lucro p/Ação]]="","",IF(Tabela8[[#This Row],[Lucro p/Ação]]&gt;0,Tabela8[[#This Row],[Total Exercício]]/Tabela8[[#This Row],[Lucro p/Ação]],0))</f>
        <v/>
      </c>
      <c r="M62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7" s="19" t="str">
        <f>IF(Tabela8[[#This Row],[Média Lucro p/Ação]]&lt;&gt;"",Tabela8[[#This Row],[Média Pago]]/Tabela8[[#This Row],[Média Lucro p/Ação]],"")</f>
        <v/>
      </c>
      <c r="P6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7" s="134">
        <f>SUMPRODUCT(N(Tabela1[Código]=Tabela8[[#This Row],[Papel]]),Tabela1[Fechamento])</f>
        <v>0.12</v>
      </c>
      <c r="R627" s="7">
        <f>SUMPRODUCT(N(Tabela17[Código]=Tabela8[[#This Row],[Papel]]),Tabela17[Fechamento])</f>
        <v>0</v>
      </c>
      <c r="S627" s="7">
        <f>SUMPRODUCT(N(Tabela176[Código]=Tabela8[[#This Row],[Papel]]),Tabela176[Fechamento])</f>
        <v>0</v>
      </c>
      <c r="T627" s="7">
        <f>SUMPRODUCT(N(Tabela1768[Código]=Tabela8[[#This Row],[Papel]]),Tabela1768[Fechamento])</f>
        <v>0</v>
      </c>
      <c r="U627" s="7">
        <f>SUMPRODUCT(N(Tabela17683[Código]=Tabela8[[#This Row],[Papel]]),Tabela17683[Fechamento])</f>
        <v>0</v>
      </c>
      <c r="V627" s="7">
        <f>IF(MAX(Tabela8[[#This Row],[Cotação 1]]:Tabela8[[#This Row],[Cotação 5]])=0,"",MAX(Tabela8[[#This Row],[Cotação 1]]:Tabela8[[#This Row],[Cotação 5]]))</f>
        <v>0.12</v>
      </c>
      <c r="W6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7" s="19" t="str">
        <f>IF(AND([Ref]=5,[Cotação]&gt;0,[Cotação]&lt;&gt;""),[Total Exercício]/[Cotação],IF([Ref]&lt;4,0,""))</f>
        <v/>
      </c>
      <c r="Y627" s="17">
        <f>IF([Tipo]="div",1,0)</f>
        <v>1</v>
      </c>
      <c r="Z627" s="17">
        <f>IF([Tipo]="jcp",1,0)</f>
        <v>0</v>
      </c>
    </row>
    <row r="628" spans="1:26" hidden="1">
      <c r="A628" s="4" t="s">
        <v>12</v>
      </c>
      <c r="B628" s="3" t="s">
        <v>168</v>
      </c>
      <c r="C628" s="15">
        <v>5</v>
      </c>
      <c r="D628" s="14">
        <v>2010</v>
      </c>
      <c r="E628" s="4" t="s">
        <v>1475</v>
      </c>
      <c r="F628" s="133">
        <v>1.515E-2</v>
      </c>
      <c r="G628" s="46">
        <v>40541</v>
      </c>
      <c r="H628" s="4"/>
      <c r="I628" s="133">
        <v>2.8900000000000002E-3</v>
      </c>
      <c r="J628" s="132">
        <f>IF(Tabela8[[#This Row],[Tipo]]="jcp",Tabela8[[#This Row],[Provento p/Ação]]*85%,Tabela8[[#This Row],[Provento p/Ação]])</f>
        <v>2.4564999999999999E-3</v>
      </c>
      <c r="K628" s="133">
        <f>IF([Lucro p/Ação]&lt;&gt;0,SUMPRODUCT(N([Papel]=Tabela8[[#This Row],[Papel]]),N([Exercício]=Tabela8[[#This Row],[Exercício]]),[Líquido p/Ação]),"")</f>
        <v>1.35665E-2</v>
      </c>
      <c r="L628" s="42">
        <f>IF(Tabela8[[#This Row],[Lucro p/Ação]]="","",IF(Tabela8[[#This Row],[Lucro p/Ação]]&gt;0,Tabela8[[#This Row],[Total Exercício]]/Tabela8[[#This Row],[Lucro p/Ação]],0))</f>
        <v>0.89547854785478553</v>
      </c>
      <c r="M62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1.515E-2</v>
      </c>
      <c r="N62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1.35665E-2</v>
      </c>
      <c r="O628" s="19">
        <f>IF(Tabela8[[#This Row],[Média Lucro p/Ação]]&lt;&gt;"",Tabela8[[#This Row],[Média Pago]]/Tabela8[[#This Row],[Média Lucro p/Ação]],"")</f>
        <v>0.89547854785478553</v>
      </c>
      <c r="P6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8" s="134">
        <f>SUMPRODUCT(N(Tabela1[Código]=Tabela8[[#This Row],[Papel]]),Tabela1[Fechamento])</f>
        <v>0.12</v>
      </c>
      <c r="R628" s="17">
        <f>SUMPRODUCT(N(Tabela17[Código]=Tabela8[[#This Row],[Papel]]),Tabela17[Fechamento])</f>
        <v>0</v>
      </c>
      <c r="S628" s="17">
        <f>SUMPRODUCT(N(Tabela176[Código]=Tabela8[[#This Row],[Papel]]),Tabela176[Fechamento])</f>
        <v>0</v>
      </c>
      <c r="T628" s="17">
        <f>SUMPRODUCT(N(Tabela1768[Código]=Tabela8[[#This Row],[Papel]]),Tabela1768[Fechamento])</f>
        <v>0</v>
      </c>
      <c r="U628" s="17">
        <f>SUMPRODUCT(N(Tabela17683[Código]=Tabela8[[#This Row],[Papel]]),Tabela17683[Fechamento])</f>
        <v>0</v>
      </c>
      <c r="V628" s="17">
        <f>IF(MAX(Tabela8[[#This Row],[Cotação 1]]:Tabela8[[#This Row],[Cotação 5]])=0,"",MAX(Tabela8[[#This Row],[Cotação 1]]:Tabela8[[#This Row],[Cotação 5]]))</f>
        <v>0.12</v>
      </c>
      <c r="W6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8" s="19">
        <f>IF(AND([Ref]=5,[Cotação]&gt;0,[Cotação]&lt;&gt;""),[Total Exercício]/[Cotação],IF([Ref]&lt;4,0,""))</f>
        <v>0.11305416666666668</v>
      </c>
      <c r="Y628" s="17">
        <f>IF([Tipo]="div",1,0)</f>
        <v>0</v>
      </c>
      <c r="Z628" s="17">
        <f>IF([Tipo]="jcp",1,0)</f>
        <v>1</v>
      </c>
    </row>
    <row r="629" spans="1:26" hidden="1">
      <c r="A629" s="4" t="s">
        <v>12</v>
      </c>
      <c r="B629" s="3" t="s">
        <v>168</v>
      </c>
      <c r="C629" s="15">
        <v>4</v>
      </c>
      <c r="D629" s="14">
        <v>2011</v>
      </c>
      <c r="E629" s="4" t="s">
        <v>1468</v>
      </c>
      <c r="G629" s="145">
        <v>40682</v>
      </c>
      <c r="H629" s="46">
        <v>40742</v>
      </c>
      <c r="I629" s="133">
        <v>1.1E-4</v>
      </c>
      <c r="J629" s="132">
        <f>IF(Tabela8[[#This Row],[Tipo]]="jcp",Tabela8[[#This Row],[Provento p/Ação]]*85%,Tabela8[[#This Row],[Provento p/Ação]])</f>
        <v>1.1E-4</v>
      </c>
      <c r="K629" s="133" t="str">
        <f>IF([Lucro p/Ação]&lt;&gt;0,SUMPRODUCT(N([Papel]=Tabela8[[#This Row],[Papel]]),N([Exercício]=Tabela8[[#This Row],[Exercício]]),[Líquido p/Ação]),"")</f>
        <v/>
      </c>
      <c r="L629" s="42" t="str">
        <f>IF(Tabela8[[#This Row],[Lucro p/Ação]]="","",IF(Tabela8[[#This Row],[Lucro p/Ação]]&gt;0,Tabela8[[#This Row],[Total Exercício]]/Tabela8[[#This Row],[Lucro p/Ação]],0))</f>
        <v/>
      </c>
      <c r="M62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2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29" s="19" t="str">
        <f>IF(Tabela8[[#This Row],[Média Lucro p/Ação]]&lt;&gt;"",Tabela8[[#This Row],[Média Pago]]/Tabela8[[#This Row],[Média Lucro p/Ação]],"")</f>
        <v/>
      </c>
      <c r="P6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29" s="134">
        <f>SUMPRODUCT(N(Tabela1[Código]=Tabela8[[#This Row],[Papel]]),Tabela1[Fechamento])</f>
        <v>0.12</v>
      </c>
      <c r="R629" s="7">
        <f>SUMPRODUCT(N(Tabela17[Código]=Tabela8[[#This Row],[Papel]]),Tabela17[Fechamento])</f>
        <v>0</v>
      </c>
      <c r="S629" s="7">
        <f>SUMPRODUCT(N(Tabela176[Código]=Tabela8[[#This Row],[Papel]]),Tabela176[Fechamento])</f>
        <v>0</v>
      </c>
      <c r="T629" s="7">
        <f>SUMPRODUCT(N(Tabela1768[Código]=Tabela8[[#This Row],[Papel]]),Tabela1768[Fechamento])</f>
        <v>0</v>
      </c>
      <c r="U629" s="7">
        <f>SUMPRODUCT(N(Tabela17683[Código]=Tabela8[[#This Row],[Papel]]),Tabela17683[Fechamento])</f>
        <v>0</v>
      </c>
      <c r="V629" s="7">
        <f>IF(MAX(Tabela8[[#This Row],[Cotação 1]]:Tabela8[[#This Row],[Cotação 5]])=0,"",MAX(Tabela8[[#This Row],[Cotação 1]]:Tabela8[[#This Row],[Cotação 5]]))</f>
        <v>0.12</v>
      </c>
      <c r="W6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29" s="19" t="str">
        <f>IF(AND([Ref]=5,[Cotação]&gt;0,[Cotação]&lt;&gt;""),[Total Exercício]/[Cotação],IF([Ref]&lt;4,0,""))</f>
        <v/>
      </c>
      <c r="Y629" s="17">
        <f>IF([Tipo]="div",1,0)</f>
        <v>1</v>
      </c>
      <c r="Z629" s="17">
        <f>IF([Tipo]="jcp",1,0)</f>
        <v>0</v>
      </c>
    </row>
    <row r="630" spans="1:26" hidden="1">
      <c r="A630" s="4" t="s">
        <v>12</v>
      </c>
      <c r="B630" s="3" t="s">
        <v>167</v>
      </c>
      <c r="C630" s="15">
        <v>4</v>
      </c>
      <c r="D630" s="14">
        <v>2011</v>
      </c>
      <c r="E630" s="4" t="s">
        <v>1468</v>
      </c>
      <c r="G630" s="145">
        <v>40682</v>
      </c>
      <c r="H630" s="46">
        <v>40742</v>
      </c>
      <c r="I630" s="133">
        <v>1E-4</v>
      </c>
      <c r="J630" s="132">
        <f>IF(Tabela8[[#This Row],[Tipo]]="jcp",Tabela8[[#This Row],[Provento p/Ação]]*85%,Tabela8[[#This Row],[Provento p/Ação]])</f>
        <v>1E-4</v>
      </c>
      <c r="K630" s="133" t="str">
        <f>IF([Lucro p/Ação]&lt;&gt;0,SUMPRODUCT(N([Papel]=Tabela8[[#This Row],[Papel]]),N([Exercício]=Tabela8[[#This Row],[Exercício]]),[Líquido p/Ação]),"")</f>
        <v/>
      </c>
      <c r="L630" s="42" t="str">
        <f>IF(Tabela8[[#This Row],[Lucro p/Ação]]="","",IF(Tabela8[[#This Row],[Lucro p/Ação]]&gt;0,Tabela8[[#This Row],[Total Exercício]]/Tabela8[[#This Row],[Lucro p/Ação]],0))</f>
        <v/>
      </c>
      <c r="M63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0" s="19" t="str">
        <f>IF(Tabela8[[#This Row],[Média Lucro p/Ação]]&lt;&gt;"",Tabela8[[#This Row],[Média Pago]]/Tabela8[[#This Row],[Média Lucro p/Ação]],"")</f>
        <v/>
      </c>
      <c r="P6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0" s="134">
        <f>SUMPRODUCT(N(Tabela1[Código]=Tabela8[[#This Row],[Papel]]),Tabela1[Fechamento])</f>
        <v>0.12</v>
      </c>
      <c r="R630" s="17">
        <f>SUMPRODUCT(N(Tabela17[Código]=Tabela8[[#This Row],[Papel]]),Tabela17[Fechamento])</f>
        <v>0</v>
      </c>
      <c r="S630" s="17">
        <f>SUMPRODUCT(N(Tabela176[Código]=Tabela8[[#This Row],[Papel]]),Tabela176[Fechamento])</f>
        <v>0</v>
      </c>
      <c r="T630" s="17">
        <f>SUMPRODUCT(N(Tabela1768[Código]=Tabela8[[#This Row],[Papel]]),Tabela1768[Fechamento])</f>
        <v>0</v>
      </c>
      <c r="U630" s="17">
        <f>SUMPRODUCT(N(Tabela17683[Código]=Tabela8[[#This Row],[Papel]]),Tabela17683[Fechamento])</f>
        <v>0</v>
      </c>
      <c r="V630" s="17">
        <f>IF(MAX(Tabela8[[#This Row],[Cotação 1]]:Tabela8[[#This Row],[Cotação 5]])=0,"",MAX(Tabela8[[#This Row],[Cotação 1]]:Tabela8[[#This Row],[Cotação 5]]))</f>
        <v>0.12</v>
      </c>
      <c r="W6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0" s="19" t="str">
        <f>IF(AND([Ref]=5,[Cotação]&gt;0,[Cotação]&lt;&gt;""),[Total Exercício]/[Cotação],IF([Ref]&lt;4,0,""))</f>
        <v/>
      </c>
      <c r="Y630" s="17">
        <f>IF([Tipo]="div",1,0)</f>
        <v>1</v>
      </c>
      <c r="Z630" s="17">
        <f>IF([Tipo]="jcp",1,0)</f>
        <v>0</v>
      </c>
    </row>
    <row r="631" spans="1:26" hidden="1">
      <c r="A631" s="4" t="s">
        <v>12</v>
      </c>
      <c r="B631" s="3" t="s">
        <v>167</v>
      </c>
      <c r="C631" s="15">
        <v>5</v>
      </c>
      <c r="D631" s="14">
        <v>2011</v>
      </c>
      <c r="E631" s="4" t="s">
        <v>1475</v>
      </c>
      <c r="F631" s="133">
        <v>1.528E-2</v>
      </c>
      <c r="G631" s="145">
        <v>40907</v>
      </c>
      <c r="I631" s="133">
        <v>6.2500000000000003E-3</v>
      </c>
      <c r="J631" s="132">
        <f>IF(Tabela8[[#This Row],[Tipo]]="jcp",Tabela8[[#This Row],[Provento p/Ação]]*85%,Tabela8[[#This Row],[Provento p/Ação]])</f>
        <v>5.3125000000000004E-3</v>
      </c>
      <c r="K631" s="133">
        <f>IF([Lucro p/Ação]&lt;&gt;0,SUMPRODUCT(N([Papel]=Tabela8[[#This Row],[Papel]]),N([Exercício]=Tabela8[[#This Row],[Exercício]]),[Líquido p/Ação]),"")</f>
        <v>5.4125000000000006E-3</v>
      </c>
      <c r="L631" s="42">
        <f>IF(Tabela8[[#This Row],[Lucro p/Ação]]="","",IF(Tabela8[[#This Row],[Lucro p/Ação]]&gt;0,Tabela8[[#This Row],[Total Exercício]]/Tabela8[[#This Row],[Lucro p/Ação]],0))</f>
        <v>0.35422120418848169</v>
      </c>
      <c r="M6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1.4525E-2</v>
      </c>
      <c r="N63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8.8739999999999999E-3</v>
      </c>
      <c r="O631" s="19">
        <f>IF(Tabela8[[#This Row],[Média Lucro p/Ação]]&lt;&gt;"",Tabela8[[#This Row],[Média Pago]]/Tabela8[[#This Row],[Média Lucro p/Ação]],"")</f>
        <v>0.61094664371772811</v>
      </c>
      <c r="P6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1" s="134">
        <f>SUMPRODUCT(N(Tabela1[Código]=Tabela8[[#This Row],[Papel]]),Tabela1[Fechamento])</f>
        <v>0.12</v>
      </c>
      <c r="R631" s="7">
        <f>SUMPRODUCT(N(Tabela17[Código]=Tabela8[[#This Row],[Papel]]),Tabela17[Fechamento])</f>
        <v>0</v>
      </c>
      <c r="S631" s="7">
        <f>SUMPRODUCT(N(Tabela176[Código]=Tabela8[[#This Row],[Papel]]),Tabela176[Fechamento])</f>
        <v>0</v>
      </c>
      <c r="T631" s="7">
        <f>SUMPRODUCT(N(Tabela1768[Código]=Tabela8[[#This Row],[Papel]]),Tabela1768[Fechamento])</f>
        <v>0</v>
      </c>
      <c r="U631" s="7">
        <f>SUMPRODUCT(N(Tabela17683[Código]=Tabela8[[#This Row],[Papel]]),Tabela17683[Fechamento])</f>
        <v>0</v>
      </c>
      <c r="V631" s="7">
        <f>IF(MAX(Tabela8[[#This Row],[Cotação 1]]:Tabela8[[#This Row],[Cotação 5]])=0,"",MAX(Tabela8[[#This Row],[Cotação 1]]:Tabela8[[#This Row],[Cotação 5]]))</f>
        <v>0.12</v>
      </c>
      <c r="W6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1" s="19">
        <f>IF(AND([Ref]=5,[Cotação]&gt;0,[Cotação]&lt;&gt;""),[Total Exercício]/[Cotação],IF([Ref]&lt;4,0,""))</f>
        <v>4.5104166666666674E-2</v>
      </c>
      <c r="Y631" s="17">
        <f>IF([Tipo]="div",1,0)</f>
        <v>0</v>
      </c>
      <c r="Z631" s="17">
        <f>IF([Tipo]="jcp",1,0)</f>
        <v>1</v>
      </c>
    </row>
    <row r="632" spans="1:26" hidden="1">
      <c r="A632" s="4" t="s">
        <v>12</v>
      </c>
      <c r="B632" s="3" t="s">
        <v>168</v>
      </c>
      <c r="C632" s="15">
        <v>5</v>
      </c>
      <c r="D632" s="14">
        <v>2011</v>
      </c>
      <c r="E632" s="4" t="s">
        <v>1475</v>
      </c>
      <c r="F632" s="133">
        <v>1.6809999999999999E-2</v>
      </c>
      <c r="G632" s="145">
        <v>40907</v>
      </c>
      <c r="I632" s="133">
        <v>6.8700000000000002E-3</v>
      </c>
      <c r="J632" s="132">
        <f>IF(Tabela8[[#This Row],[Tipo]]="jcp",Tabela8[[#This Row],[Provento p/Ação]]*85%,Tabela8[[#This Row],[Provento p/Ação]])</f>
        <v>5.8395000000000001E-3</v>
      </c>
      <c r="K632" s="133">
        <f>IF([Lucro p/Ação]&lt;&gt;0,SUMPRODUCT(N([Papel]=Tabela8[[#This Row],[Papel]]),N([Exercício]=Tabela8[[#This Row],[Exercício]]),[Líquido p/Ação]),"")</f>
        <v>5.9494999999999999E-3</v>
      </c>
      <c r="L632" s="42">
        <f>IF(Tabela8[[#This Row],[Lucro p/Ação]]="","",IF(Tabela8[[#This Row],[Lucro p/Ação]]&gt;0,Tabela8[[#This Row],[Total Exercício]]/Tabela8[[#This Row],[Lucro p/Ação]],0))</f>
        <v>0.3539262343842951</v>
      </c>
      <c r="M63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1.5980000000000001E-2</v>
      </c>
      <c r="N63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9.7579999999999993E-3</v>
      </c>
      <c r="O632" s="19">
        <f>IF(Tabela8[[#This Row],[Média Lucro p/Ação]]&lt;&gt;"",Tabela8[[#This Row],[Média Pago]]/Tabela8[[#This Row],[Média Lucro p/Ação]],"")</f>
        <v>0.61063829787234036</v>
      </c>
      <c r="P6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2" s="134">
        <f>SUMPRODUCT(N(Tabela1[Código]=Tabela8[[#This Row],[Papel]]),Tabela1[Fechamento])</f>
        <v>0.12</v>
      </c>
      <c r="R632" s="17">
        <f>SUMPRODUCT(N(Tabela17[Código]=Tabela8[[#This Row],[Papel]]),Tabela17[Fechamento])</f>
        <v>0</v>
      </c>
      <c r="S632" s="17">
        <f>SUMPRODUCT(N(Tabela176[Código]=Tabela8[[#This Row],[Papel]]),Tabela176[Fechamento])</f>
        <v>0</v>
      </c>
      <c r="T632" s="17">
        <f>SUMPRODUCT(N(Tabela1768[Código]=Tabela8[[#This Row],[Papel]]),Tabela1768[Fechamento])</f>
        <v>0</v>
      </c>
      <c r="U632" s="17">
        <f>SUMPRODUCT(N(Tabela17683[Código]=Tabela8[[#This Row],[Papel]]),Tabela17683[Fechamento])</f>
        <v>0</v>
      </c>
      <c r="V632" s="17">
        <f>IF(MAX(Tabela8[[#This Row],[Cotação 1]]:Tabela8[[#This Row],[Cotação 5]])=0,"",MAX(Tabela8[[#This Row],[Cotação 1]]:Tabela8[[#This Row],[Cotação 5]]))</f>
        <v>0.12</v>
      </c>
      <c r="W6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2" s="19">
        <f>IF(AND([Ref]=5,[Cotação]&gt;0,[Cotação]&lt;&gt;""),[Total Exercício]/[Cotação],IF([Ref]&lt;4,0,""))</f>
        <v>4.9579166666666667E-2</v>
      </c>
      <c r="Y632" s="17">
        <f>IF([Tipo]="div",1,0)</f>
        <v>0</v>
      </c>
      <c r="Z632" s="17">
        <f>IF([Tipo]="jcp",1,0)</f>
        <v>1</v>
      </c>
    </row>
    <row r="633" spans="1:26" hidden="1">
      <c r="A633" s="4" t="s">
        <v>12</v>
      </c>
      <c r="B633" s="3" t="s">
        <v>167</v>
      </c>
      <c r="C633" s="15">
        <v>4</v>
      </c>
      <c r="D633" s="14">
        <v>2012</v>
      </c>
      <c r="E633" s="4" t="s">
        <v>1468</v>
      </c>
      <c r="G633" s="145">
        <v>41026</v>
      </c>
      <c r="H633" s="46">
        <v>41085</v>
      </c>
      <c r="I633" s="133">
        <v>8.2699999999999996E-3</v>
      </c>
      <c r="J633" s="132">
        <f>IF(Tabela8[[#This Row],[Tipo]]="jcp",Tabela8[[#This Row],[Provento p/Ação]]*85%,Tabela8[[#This Row],[Provento p/Ação]])</f>
        <v>8.2699999999999996E-3</v>
      </c>
      <c r="K633" s="133" t="str">
        <f>IF([Lucro p/Ação]&lt;&gt;0,SUMPRODUCT(N([Papel]=Tabela8[[#This Row],[Papel]]),N([Exercício]=Tabela8[[#This Row],[Exercício]]),[Líquido p/Ação]),"")</f>
        <v/>
      </c>
      <c r="L633" s="42" t="str">
        <f>IF(Tabela8[[#This Row],[Lucro p/Ação]]="","",IF(Tabela8[[#This Row],[Lucro p/Ação]]&gt;0,Tabela8[[#This Row],[Total Exercício]]/Tabela8[[#This Row],[Lucro p/Ação]],0))</f>
        <v/>
      </c>
      <c r="M6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3" s="19" t="str">
        <f>IF(Tabela8[[#This Row],[Média Lucro p/Ação]]&lt;&gt;"",Tabela8[[#This Row],[Média Pago]]/Tabela8[[#This Row],[Média Lucro p/Ação]],"")</f>
        <v/>
      </c>
      <c r="P6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3" s="134">
        <f>SUMPRODUCT(N(Tabela1[Código]=Tabela8[[#This Row],[Papel]]),Tabela1[Fechamento])</f>
        <v>0.12</v>
      </c>
      <c r="R633" s="7">
        <f>SUMPRODUCT(N(Tabela17[Código]=Tabela8[[#This Row],[Papel]]),Tabela17[Fechamento])</f>
        <v>0</v>
      </c>
      <c r="S633" s="7">
        <f>SUMPRODUCT(N(Tabela176[Código]=Tabela8[[#This Row],[Papel]]),Tabela176[Fechamento])</f>
        <v>0</v>
      </c>
      <c r="T633" s="7">
        <f>SUMPRODUCT(N(Tabela1768[Código]=Tabela8[[#This Row],[Papel]]),Tabela1768[Fechamento])</f>
        <v>0</v>
      </c>
      <c r="U633" s="7">
        <f>SUMPRODUCT(N(Tabela17683[Código]=Tabela8[[#This Row],[Papel]]),Tabela17683[Fechamento])</f>
        <v>0</v>
      </c>
      <c r="V633" s="7">
        <f>IF(MAX(Tabela8[[#This Row],[Cotação 1]]:Tabela8[[#This Row],[Cotação 5]])=0,"",MAX(Tabela8[[#This Row],[Cotação 1]]:Tabela8[[#This Row],[Cotação 5]]))</f>
        <v>0.12</v>
      </c>
      <c r="W6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3" s="19" t="str">
        <f>IF(AND([Ref]=5,[Cotação]&gt;0,[Cotação]&lt;&gt;""),[Total Exercício]/[Cotação],IF([Ref]&lt;4,0,""))</f>
        <v/>
      </c>
      <c r="Y633" s="17">
        <f>IF([Tipo]="div",1,0)</f>
        <v>1</v>
      </c>
      <c r="Z633" s="17">
        <f>IF([Tipo]="jcp",1,0)</f>
        <v>0</v>
      </c>
    </row>
    <row r="634" spans="1:26" hidden="1">
      <c r="A634" s="4" t="s">
        <v>12</v>
      </c>
      <c r="B634" s="3" t="s">
        <v>168</v>
      </c>
      <c r="C634" s="15">
        <v>4</v>
      </c>
      <c r="D634" s="14">
        <v>2012</v>
      </c>
      <c r="E634" s="4" t="s">
        <v>1468</v>
      </c>
      <c r="G634" s="145">
        <v>41026</v>
      </c>
      <c r="H634" s="46">
        <v>41085</v>
      </c>
      <c r="I634" s="133">
        <v>9.1000000000000004E-3</v>
      </c>
      <c r="J634" s="132">
        <f>IF(Tabela8[[#This Row],[Tipo]]="jcp",Tabela8[[#This Row],[Provento p/Ação]]*85%,Tabela8[[#This Row],[Provento p/Ação]])</f>
        <v>9.1000000000000004E-3</v>
      </c>
      <c r="K634" s="133" t="str">
        <f>IF([Lucro p/Ação]&lt;&gt;0,SUMPRODUCT(N([Papel]=Tabela8[[#This Row],[Papel]]),N([Exercício]=Tabela8[[#This Row],[Exercício]]),[Líquido p/Ação]),"")</f>
        <v/>
      </c>
      <c r="L634" s="42" t="str">
        <f>IF(Tabela8[[#This Row],[Lucro p/Ação]]="","",IF(Tabela8[[#This Row],[Lucro p/Ação]]&gt;0,Tabela8[[#This Row],[Total Exercício]]/Tabela8[[#This Row],[Lucro p/Ação]],0))</f>
        <v/>
      </c>
      <c r="M6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4" s="19" t="str">
        <f>IF(Tabela8[[#This Row],[Média Lucro p/Ação]]&lt;&gt;"",Tabela8[[#This Row],[Média Pago]]/Tabela8[[#This Row],[Média Lucro p/Ação]],"")</f>
        <v/>
      </c>
      <c r="P6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4" s="134">
        <f>SUMPRODUCT(N(Tabela1[Código]=Tabela8[[#This Row],[Papel]]),Tabela1[Fechamento])</f>
        <v>0.12</v>
      </c>
      <c r="R634" s="7">
        <f>SUMPRODUCT(N(Tabela17[Código]=Tabela8[[#This Row],[Papel]]),Tabela17[Fechamento])</f>
        <v>0</v>
      </c>
      <c r="S634" s="7">
        <f>SUMPRODUCT(N(Tabela176[Código]=Tabela8[[#This Row],[Papel]]),Tabela176[Fechamento])</f>
        <v>0</v>
      </c>
      <c r="T634" s="7">
        <f>SUMPRODUCT(N(Tabela1768[Código]=Tabela8[[#This Row],[Papel]]),Tabela1768[Fechamento])</f>
        <v>0</v>
      </c>
      <c r="U634" s="7">
        <f>SUMPRODUCT(N(Tabela17683[Código]=Tabela8[[#This Row],[Papel]]),Tabela17683[Fechamento])</f>
        <v>0</v>
      </c>
      <c r="V634" s="7">
        <f>IF(MAX(Tabela8[[#This Row],[Cotação 1]]:Tabela8[[#This Row],[Cotação 5]])=0,"",MAX(Tabela8[[#This Row],[Cotação 1]]:Tabela8[[#This Row],[Cotação 5]]))</f>
        <v>0.12</v>
      </c>
      <c r="W6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4" s="19" t="str">
        <f>IF(AND([Ref]=5,[Cotação]&gt;0,[Cotação]&lt;&gt;""),[Total Exercício]/[Cotação],IF([Ref]&lt;4,0,""))</f>
        <v/>
      </c>
      <c r="Y634" s="17">
        <f>IF([Tipo]="div",1,0)</f>
        <v>1</v>
      </c>
      <c r="Z634" s="17">
        <f>IF([Tipo]="jcp",1,0)</f>
        <v>0</v>
      </c>
    </row>
    <row r="635" spans="1:26" hidden="1">
      <c r="A635" s="4" t="s">
        <v>12</v>
      </c>
      <c r="B635" s="3" t="s">
        <v>167</v>
      </c>
      <c r="C635" s="15">
        <v>5</v>
      </c>
      <c r="D635" s="14">
        <v>2012</v>
      </c>
      <c r="E635" s="4" t="s">
        <v>1475</v>
      </c>
      <c r="F635" s="133">
        <v>1.754E-2</v>
      </c>
      <c r="G635" s="145">
        <v>41149</v>
      </c>
      <c r="I635" s="133">
        <v>5.9100000000000003E-3</v>
      </c>
      <c r="J635" s="132">
        <f>IF(Tabela8[[#This Row],[Tipo]]="jcp",Tabela8[[#This Row],[Provento p/Ação]]*85%,Tabela8[[#This Row],[Provento p/Ação]])</f>
        <v>5.0235000000000002E-3</v>
      </c>
      <c r="K635" s="133">
        <f>IF([Lucro p/Ação]&lt;&gt;0,SUMPRODUCT(N([Papel]=Tabela8[[#This Row],[Papel]]),N([Exercício]=Tabela8[[#This Row],[Exercício]]),[Líquido p/Ação]),"")</f>
        <v>1.32935E-2</v>
      </c>
      <c r="L635" s="42">
        <f>IF(Tabela8[[#This Row],[Lucro p/Ação]]="","",IF(Tabela8[[#This Row],[Lucro p/Ação]]&gt;0,Tabela8[[#This Row],[Total Exercício]]/Tabela8[[#This Row],[Lucro p/Ação]],0))</f>
        <v>0.75789623717217791</v>
      </c>
      <c r="M6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1.553E-2</v>
      </c>
      <c r="N63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1.0347166666666666E-2</v>
      </c>
      <c r="O635" s="19">
        <f>IF(Tabela8[[#This Row],[Média Lucro p/Ação]]&lt;&gt;"",Tabela8[[#This Row],[Média Pago]]/Tabela8[[#This Row],[Média Lucro p/Ação]],"")</f>
        <v>0.66626958574801454</v>
      </c>
      <c r="P6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5" s="134">
        <f>SUMPRODUCT(N(Tabela1[Código]=Tabela8[[#This Row],[Papel]]),Tabela1[Fechamento])</f>
        <v>0.12</v>
      </c>
      <c r="R635" s="7">
        <f>SUMPRODUCT(N(Tabela17[Código]=Tabela8[[#This Row],[Papel]]),Tabela17[Fechamento])</f>
        <v>0</v>
      </c>
      <c r="S635" s="7">
        <f>SUMPRODUCT(N(Tabela176[Código]=Tabela8[[#This Row],[Papel]]),Tabela176[Fechamento])</f>
        <v>0</v>
      </c>
      <c r="T635" s="7">
        <f>SUMPRODUCT(N(Tabela1768[Código]=Tabela8[[#This Row],[Papel]]),Tabela1768[Fechamento])</f>
        <v>0</v>
      </c>
      <c r="U635" s="7">
        <f>SUMPRODUCT(N(Tabela17683[Código]=Tabela8[[#This Row],[Papel]]),Tabela17683[Fechamento])</f>
        <v>0</v>
      </c>
      <c r="V635" s="7">
        <f>IF(MAX(Tabela8[[#This Row],[Cotação 1]]:Tabela8[[#This Row],[Cotação 5]])=0,"",MAX(Tabela8[[#This Row],[Cotação 1]]:Tabela8[[#This Row],[Cotação 5]]))</f>
        <v>0.12</v>
      </c>
      <c r="W6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5" s="19">
        <f>IF(AND([Ref]=5,[Cotação]&gt;0,[Cotação]&lt;&gt;""),[Total Exercício]/[Cotação],IF([Ref]&lt;4,0,""))</f>
        <v>0.11077916666666666</v>
      </c>
      <c r="Y635" s="17">
        <f>IF([Tipo]="div",1,0)</f>
        <v>0</v>
      </c>
      <c r="Z635" s="17">
        <f>IF([Tipo]="jcp",1,0)</f>
        <v>1</v>
      </c>
    </row>
    <row r="636" spans="1:26" hidden="1">
      <c r="A636" s="4" t="s">
        <v>12</v>
      </c>
      <c r="B636" s="3" t="s">
        <v>168</v>
      </c>
      <c r="C636" s="15">
        <v>5</v>
      </c>
      <c r="D636" s="14">
        <v>2012</v>
      </c>
      <c r="E636" s="4" t="s">
        <v>1475</v>
      </c>
      <c r="F636" s="133">
        <v>1.9300000000000001E-2</v>
      </c>
      <c r="G636" s="145">
        <v>41149</v>
      </c>
      <c r="I636" s="133">
        <v>6.5100000000000002E-3</v>
      </c>
      <c r="J636" s="132">
        <f>IF(Tabela8[[#This Row],[Tipo]]="jcp",Tabela8[[#This Row],[Provento p/Ação]]*85%,Tabela8[[#This Row],[Provento p/Ação]])</f>
        <v>5.5335000000000002E-3</v>
      </c>
      <c r="K636" s="133">
        <f>IF([Lucro p/Ação]&lt;&gt;0,SUMPRODUCT(N([Papel]=Tabela8[[#This Row],[Papel]]),N([Exercício]=Tabela8[[#This Row],[Exercício]]),[Líquido p/Ação]),"")</f>
        <v>1.4633500000000001E-2</v>
      </c>
      <c r="L636" s="42">
        <f>IF(Tabela8[[#This Row],[Lucro p/Ação]]="","",IF(Tabela8[[#This Row],[Lucro p/Ação]]&gt;0,Tabela8[[#This Row],[Total Exercício]]/Tabela8[[#This Row],[Lucro p/Ação]],0))</f>
        <v>0.75821243523316062</v>
      </c>
      <c r="M63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1.7086666666666667E-2</v>
      </c>
      <c r="N63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1.1383166666666666E-2</v>
      </c>
      <c r="O636" s="19">
        <f>IF(Tabela8[[#This Row],[Média Lucro p/Ação]]&lt;&gt;"",Tabela8[[#This Row],[Média Pago]]/Tabela8[[#This Row],[Média Lucro p/Ação]],"")</f>
        <v>0.66620171673819739</v>
      </c>
      <c r="P6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6" s="134">
        <f>SUMPRODUCT(N(Tabela1[Código]=Tabela8[[#This Row],[Papel]]),Tabela1[Fechamento])</f>
        <v>0.12</v>
      </c>
      <c r="R636" s="17">
        <f>SUMPRODUCT(N(Tabela17[Código]=Tabela8[[#This Row],[Papel]]),Tabela17[Fechamento])</f>
        <v>0</v>
      </c>
      <c r="S636" s="17">
        <f>SUMPRODUCT(N(Tabela176[Código]=Tabela8[[#This Row],[Papel]]),Tabela176[Fechamento])</f>
        <v>0</v>
      </c>
      <c r="T636" s="17">
        <f>SUMPRODUCT(N(Tabela1768[Código]=Tabela8[[#This Row],[Papel]]),Tabela1768[Fechamento])</f>
        <v>0</v>
      </c>
      <c r="U636" s="17">
        <f>SUMPRODUCT(N(Tabela17683[Código]=Tabela8[[#This Row],[Papel]]),Tabela17683[Fechamento])</f>
        <v>0</v>
      </c>
      <c r="V636" s="17">
        <f>IF(MAX(Tabela8[[#This Row],[Cotação 1]]:Tabela8[[#This Row],[Cotação 5]])=0,"",MAX(Tabela8[[#This Row],[Cotação 1]]:Tabela8[[#This Row],[Cotação 5]]))</f>
        <v>0.12</v>
      </c>
      <c r="W6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6" s="19">
        <f>IF(AND([Ref]=5,[Cotação]&gt;0,[Cotação]&lt;&gt;""),[Total Exercício]/[Cotação],IF([Ref]&lt;4,0,""))</f>
        <v>0.12194583333333334</v>
      </c>
      <c r="Y636" s="17">
        <f>IF([Tipo]="div",1,0)</f>
        <v>0</v>
      </c>
      <c r="Z636" s="17">
        <f>IF([Tipo]="jcp",1,0)</f>
        <v>1</v>
      </c>
    </row>
    <row r="637" spans="1:26" hidden="1">
      <c r="A637" s="4" t="s">
        <v>12</v>
      </c>
      <c r="B637" s="3" t="s">
        <v>167</v>
      </c>
      <c r="C637" s="15">
        <v>4</v>
      </c>
      <c r="D637" s="14">
        <v>2013</v>
      </c>
      <c r="E637" s="4" t="s">
        <v>1468</v>
      </c>
      <c r="G637" s="145">
        <v>41393</v>
      </c>
      <c r="H637" s="46">
        <v>41494</v>
      </c>
      <c r="I637" s="133">
        <v>1.0749999999999999E-2</v>
      </c>
      <c r="J637" s="132">
        <f>IF(Tabela8[[#This Row],[Tipo]]="jcp",Tabela8[[#This Row],[Provento p/Ação]]*85%,Tabela8[[#This Row],[Provento p/Ação]])</f>
        <v>1.0749999999999999E-2</v>
      </c>
      <c r="K637" s="133" t="str">
        <f>IF([Lucro p/Ação]&lt;&gt;0,SUMPRODUCT(N([Papel]=Tabela8[[#This Row],[Papel]]),N([Exercício]=Tabela8[[#This Row],[Exercício]]),[Líquido p/Ação]),"")</f>
        <v/>
      </c>
      <c r="L637" s="42" t="str">
        <f>IF(Tabela8[[#This Row],[Lucro p/Ação]]="","",IF(Tabela8[[#This Row],[Lucro p/Ação]]&gt;0,Tabela8[[#This Row],[Total Exercício]]/Tabela8[[#This Row],[Lucro p/Ação]],0))</f>
        <v/>
      </c>
      <c r="M6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7" s="19" t="str">
        <f>IF(Tabela8[[#This Row],[Média Lucro p/Ação]]&lt;&gt;"",Tabela8[[#This Row],[Média Pago]]/Tabela8[[#This Row],[Média Lucro p/Ação]],"")</f>
        <v/>
      </c>
      <c r="P6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7" s="134">
        <f>SUMPRODUCT(N(Tabela1[Código]=Tabela8[[#This Row],[Papel]]),Tabela1[Fechamento])</f>
        <v>0.12</v>
      </c>
      <c r="R637" s="7">
        <f>SUMPRODUCT(N(Tabela17[Código]=Tabela8[[#This Row],[Papel]]),Tabela17[Fechamento])</f>
        <v>0</v>
      </c>
      <c r="S637" s="7">
        <f>SUMPRODUCT(N(Tabela176[Código]=Tabela8[[#This Row],[Papel]]),Tabela176[Fechamento])</f>
        <v>0</v>
      </c>
      <c r="T637" s="7">
        <f>SUMPRODUCT(N(Tabela1768[Código]=Tabela8[[#This Row],[Papel]]),Tabela1768[Fechamento])</f>
        <v>0</v>
      </c>
      <c r="U637" s="7">
        <f>SUMPRODUCT(N(Tabela17683[Código]=Tabela8[[#This Row],[Papel]]),Tabela17683[Fechamento])</f>
        <v>0</v>
      </c>
      <c r="V637" s="7">
        <f>IF(MAX(Tabela8[[#This Row],[Cotação 1]]:Tabela8[[#This Row],[Cotação 5]])=0,"",MAX(Tabela8[[#This Row],[Cotação 1]]:Tabela8[[#This Row],[Cotação 5]]))</f>
        <v>0.12</v>
      </c>
      <c r="W6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7" s="19" t="str">
        <f>IF(AND([Ref]=5,[Cotação]&gt;0,[Cotação]&lt;&gt;""),[Total Exercício]/[Cotação],IF([Ref]&lt;4,0,""))</f>
        <v/>
      </c>
      <c r="Y637" s="17">
        <f>IF([Tipo]="div",1,0)</f>
        <v>1</v>
      </c>
      <c r="Z637" s="17">
        <f>IF([Tipo]="jcp",1,0)</f>
        <v>0</v>
      </c>
    </row>
    <row r="638" spans="1:26" hidden="1">
      <c r="A638" s="4" t="s">
        <v>12</v>
      </c>
      <c r="B638" s="3" t="s">
        <v>168</v>
      </c>
      <c r="C638" s="15">
        <v>4</v>
      </c>
      <c r="D638" s="14">
        <v>2013</v>
      </c>
      <c r="E638" s="4" t="s">
        <v>1468</v>
      </c>
      <c r="G638" s="145">
        <v>41393</v>
      </c>
      <c r="H638" s="46">
        <v>41494</v>
      </c>
      <c r="I638" s="133">
        <v>1.1820000000000001E-2</v>
      </c>
      <c r="J638" s="132">
        <f>IF(Tabela8[[#This Row],[Tipo]]="jcp",Tabela8[[#This Row],[Provento p/Ação]]*85%,Tabela8[[#This Row],[Provento p/Ação]])</f>
        <v>1.1820000000000001E-2</v>
      </c>
      <c r="K638" s="133" t="str">
        <f>IF([Lucro p/Ação]&lt;&gt;0,SUMPRODUCT(N([Papel]=Tabela8[[#This Row],[Papel]]),N([Exercício]=Tabela8[[#This Row],[Exercício]]),[Líquido p/Ação]),"")</f>
        <v/>
      </c>
      <c r="L638" s="42" t="str">
        <f>IF(Tabela8[[#This Row],[Lucro p/Ação]]="","",IF(Tabela8[[#This Row],[Lucro p/Ação]]&gt;0,Tabela8[[#This Row],[Total Exercício]]/Tabela8[[#This Row],[Lucro p/Ação]],0))</f>
        <v/>
      </c>
      <c r="M63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3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38" s="19" t="str">
        <f>IF(Tabela8[[#This Row],[Média Lucro p/Ação]]&lt;&gt;"",Tabela8[[#This Row],[Média Pago]]/Tabela8[[#This Row],[Média Lucro p/Ação]],"")</f>
        <v/>
      </c>
      <c r="P6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8" s="134">
        <f>SUMPRODUCT(N(Tabela1[Código]=Tabela8[[#This Row],[Papel]]),Tabela1[Fechamento])</f>
        <v>0.12</v>
      </c>
      <c r="R638" s="7">
        <f>SUMPRODUCT(N(Tabela17[Código]=Tabela8[[#This Row],[Papel]]),Tabela17[Fechamento])</f>
        <v>0</v>
      </c>
      <c r="S638" s="7">
        <f>SUMPRODUCT(N(Tabela176[Código]=Tabela8[[#This Row],[Papel]]),Tabela176[Fechamento])</f>
        <v>0</v>
      </c>
      <c r="T638" s="7">
        <f>SUMPRODUCT(N(Tabela1768[Código]=Tabela8[[#This Row],[Papel]]),Tabela1768[Fechamento])</f>
        <v>0</v>
      </c>
      <c r="U638" s="7">
        <f>SUMPRODUCT(N(Tabela17683[Código]=Tabela8[[#This Row],[Papel]]),Tabela17683[Fechamento])</f>
        <v>0</v>
      </c>
      <c r="V638" s="7">
        <f>IF(MAX(Tabela8[[#This Row],[Cotação 1]]:Tabela8[[#This Row],[Cotação 5]])=0,"",MAX(Tabela8[[#This Row],[Cotação 1]]:Tabela8[[#This Row],[Cotação 5]]))</f>
        <v>0.12</v>
      </c>
      <c r="W6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8" s="19" t="str">
        <f>IF(AND([Ref]=5,[Cotação]&gt;0,[Cotação]&lt;&gt;""),[Total Exercício]/[Cotação],IF([Ref]&lt;4,0,""))</f>
        <v/>
      </c>
      <c r="Y638" s="17">
        <f>IF([Tipo]="div",1,0)</f>
        <v>1</v>
      </c>
      <c r="Z638" s="17">
        <f>IF([Tipo]="jcp",1,0)</f>
        <v>0</v>
      </c>
    </row>
    <row r="639" spans="1:26" hidden="1">
      <c r="A639" s="4" t="s">
        <v>12</v>
      </c>
      <c r="B639" s="3" t="s">
        <v>167</v>
      </c>
      <c r="C639" s="15">
        <v>5</v>
      </c>
      <c r="D639" s="14">
        <v>2013</v>
      </c>
      <c r="E639" s="4" t="s">
        <v>1475</v>
      </c>
      <c r="F639" s="133">
        <v>2.2249999999999999E-2</v>
      </c>
      <c r="G639" s="145">
        <v>41635</v>
      </c>
      <c r="I639" s="133">
        <v>7.2000000000000005E-4</v>
      </c>
      <c r="J639" s="132">
        <f>IF(Tabela8[[#This Row],[Tipo]]="jcp",Tabela8[[#This Row],[Provento p/Ação]]*85%,Tabela8[[#This Row],[Provento p/Ação]])</f>
        <v>6.1200000000000002E-4</v>
      </c>
      <c r="K639" s="133">
        <f>IF([Lucro p/Ação]&lt;&gt;0,SUMPRODUCT(N([Papel]=Tabela8[[#This Row],[Papel]]),N([Exercício]=Tabela8[[#This Row],[Exercício]]),[Líquido p/Ação]),"")</f>
        <v>1.1361999999999999E-2</v>
      </c>
      <c r="L639" s="42">
        <f>IF(Tabela8[[#This Row],[Lucro p/Ação]]="","",IF(Tabela8[[#This Row],[Lucro p/Ação]]&gt;0,Tabela8[[#This Row],[Total Exercício]]/Tabela8[[#This Row],[Lucro p/Ação]],0))</f>
        <v>0.51065168539325845</v>
      </c>
      <c r="M63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1.721E-2</v>
      </c>
      <c r="N63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1.0600874999999999E-2</v>
      </c>
      <c r="O639" s="19">
        <f>IF(Tabela8[[#This Row],[Média Lucro p/Ação]]&lt;&gt;"",Tabela8[[#This Row],[Média Pago]]/Tabela8[[#This Row],[Média Lucro p/Ação]],"")</f>
        <v>0.61597181871005224</v>
      </c>
      <c r="P6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39" s="134">
        <f>SUMPRODUCT(N(Tabela1[Código]=Tabela8[[#This Row],[Papel]]),Tabela1[Fechamento])</f>
        <v>0.12</v>
      </c>
      <c r="R639" s="7">
        <f>SUMPRODUCT(N(Tabela17[Código]=Tabela8[[#This Row],[Papel]]),Tabela17[Fechamento])</f>
        <v>0</v>
      </c>
      <c r="S639" s="7">
        <f>SUMPRODUCT(N(Tabela176[Código]=Tabela8[[#This Row],[Papel]]),Tabela176[Fechamento])</f>
        <v>0</v>
      </c>
      <c r="T639" s="7">
        <f>SUMPRODUCT(N(Tabela1768[Código]=Tabela8[[#This Row],[Papel]]),Tabela1768[Fechamento])</f>
        <v>0</v>
      </c>
      <c r="U639" s="7">
        <f>SUMPRODUCT(N(Tabela17683[Código]=Tabela8[[#This Row],[Papel]]),Tabela17683[Fechamento])</f>
        <v>0</v>
      </c>
      <c r="V639" s="7">
        <f>IF(MAX(Tabela8[[#This Row],[Cotação 1]]:Tabela8[[#This Row],[Cotação 5]])=0,"",MAX(Tabela8[[#This Row],[Cotação 1]]:Tabela8[[#This Row],[Cotação 5]]))</f>
        <v>0.12</v>
      </c>
      <c r="W6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39" s="19">
        <f>IF(AND([Ref]=5,[Cotação]&gt;0,[Cotação]&lt;&gt;""),[Total Exercício]/[Cotação],IF([Ref]&lt;4,0,""))</f>
        <v>9.4683333333333328E-2</v>
      </c>
      <c r="Y639" s="17">
        <f>IF([Tipo]="div",1,0)</f>
        <v>0</v>
      </c>
      <c r="Z639" s="17">
        <f>IF([Tipo]="jcp",1,0)</f>
        <v>1</v>
      </c>
    </row>
    <row r="640" spans="1:26" hidden="1">
      <c r="A640" s="4" t="s">
        <v>12</v>
      </c>
      <c r="B640" s="3" t="s">
        <v>168</v>
      </c>
      <c r="C640" s="15">
        <v>5</v>
      </c>
      <c r="D640" s="14">
        <v>2013</v>
      </c>
      <c r="E640" s="4" t="s">
        <v>1475</v>
      </c>
      <c r="F640" s="133">
        <v>2.4479999999999998E-2</v>
      </c>
      <c r="G640" s="145">
        <v>41635</v>
      </c>
      <c r="I640" s="133">
        <v>7.9000000000000001E-4</v>
      </c>
      <c r="J640" s="132">
        <f>IF(Tabela8[[#This Row],[Tipo]]="jcp",Tabela8[[#This Row],[Provento p/Ação]]*85%,Tabela8[[#This Row],[Provento p/Ação]])</f>
        <v>6.715E-4</v>
      </c>
      <c r="K640" s="133">
        <f>IF([Lucro p/Ação]&lt;&gt;0,SUMPRODUCT(N([Papel]=Tabela8[[#This Row],[Papel]]),N([Exercício]=Tabela8[[#This Row],[Exercício]]),[Líquido p/Ação]),"")</f>
        <v>1.2491500000000001E-2</v>
      </c>
      <c r="L640" s="42">
        <f>IF(Tabela8[[#This Row],[Lucro p/Ação]]="","",IF(Tabela8[[#This Row],[Lucro p/Ação]]&gt;0,Tabela8[[#This Row],[Total Exercício]]/Tabela8[[#This Row],[Lucro p/Ação]],0))</f>
        <v>0.51027369281045754</v>
      </c>
      <c r="M64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1.8935E-2</v>
      </c>
      <c r="N64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1.166025E-2</v>
      </c>
      <c r="O640" s="19">
        <f>IF(Tabela8[[#This Row],[Média Lucro p/Ação]]&lt;&gt;"",Tabela8[[#This Row],[Média Pago]]/Tabela8[[#This Row],[Média Lucro p/Ação]],"")</f>
        <v>0.61580406654343811</v>
      </c>
      <c r="P6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0" s="134">
        <f>SUMPRODUCT(N(Tabela1[Código]=Tabela8[[#This Row],[Papel]]),Tabela1[Fechamento])</f>
        <v>0.12</v>
      </c>
      <c r="R640" s="17">
        <f>SUMPRODUCT(N(Tabela17[Código]=Tabela8[[#This Row],[Papel]]),Tabela17[Fechamento])</f>
        <v>0</v>
      </c>
      <c r="S640" s="17">
        <f>SUMPRODUCT(N(Tabela176[Código]=Tabela8[[#This Row],[Papel]]),Tabela176[Fechamento])</f>
        <v>0</v>
      </c>
      <c r="T640" s="17">
        <f>SUMPRODUCT(N(Tabela1768[Código]=Tabela8[[#This Row],[Papel]]),Tabela1768[Fechamento])</f>
        <v>0</v>
      </c>
      <c r="U640" s="17">
        <f>SUMPRODUCT(N(Tabela17683[Código]=Tabela8[[#This Row],[Papel]]),Tabela17683[Fechamento])</f>
        <v>0</v>
      </c>
      <c r="V640" s="17">
        <f>IF(MAX(Tabela8[[#This Row],[Cotação 1]]:Tabela8[[#This Row],[Cotação 5]])=0,"",MAX(Tabela8[[#This Row],[Cotação 1]]:Tabela8[[#This Row],[Cotação 5]]))</f>
        <v>0.12</v>
      </c>
      <c r="W6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0" s="19">
        <f>IF(AND([Ref]=5,[Cotação]&gt;0,[Cotação]&lt;&gt;""),[Total Exercício]/[Cotação],IF([Ref]&lt;4,0,""))</f>
        <v>0.10409583333333335</v>
      </c>
      <c r="Y640" s="17">
        <f>IF([Tipo]="div",1,0)</f>
        <v>0</v>
      </c>
      <c r="Z640" s="17">
        <f>IF([Tipo]="jcp",1,0)</f>
        <v>1</v>
      </c>
    </row>
    <row r="641" spans="1:26" hidden="1">
      <c r="A641" s="4" t="s">
        <v>12</v>
      </c>
      <c r="B641" s="3" t="s">
        <v>162</v>
      </c>
      <c r="C641" s="15">
        <v>4</v>
      </c>
      <c r="D641" s="14">
        <v>2000</v>
      </c>
      <c r="E641" s="14" t="s">
        <v>1468</v>
      </c>
      <c r="G641" s="145">
        <v>36608</v>
      </c>
      <c r="H641" s="46">
        <v>36706</v>
      </c>
      <c r="I641" s="133">
        <f>0.00102*250</f>
        <v>0.255</v>
      </c>
      <c r="J641" s="134">
        <f>IF(Tabela8[[#This Row],[Tipo]]="jcp",Tabela8[[#This Row],[Provento p/Ação]]*85%,Tabela8[[#This Row],[Provento p/Ação]])</f>
        <v>0.255</v>
      </c>
      <c r="K641" s="133" t="str">
        <f>IF([Lucro p/Ação]&lt;&gt;0,SUMPRODUCT(N([Papel]=Tabela8[[#This Row],[Papel]]),N([Exercício]=Tabela8[[#This Row],[Exercício]]),[Líquido p/Ação]),"")</f>
        <v/>
      </c>
      <c r="L641" s="42" t="str">
        <f>IF(Tabela8[[#This Row],[Lucro p/Ação]]="","",IF(Tabela8[[#This Row],[Lucro p/Ação]]&gt;0,Tabela8[[#This Row],[Total Exercício]]/Tabela8[[#This Row],[Lucro p/Ação]],0))</f>
        <v/>
      </c>
      <c r="M64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1" s="19" t="str">
        <f>IF(Tabela8[[#This Row],[Média Lucro p/Ação]]&lt;&gt;"",Tabela8[[#This Row],[Média Pago]]/Tabela8[[#This Row],[Média Lucro p/Ação]],"")</f>
        <v/>
      </c>
      <c r="P6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1" s="134">
        <f>SUMPRODUCT(N(Tabela1[Código]=Tabela8[[#This Row],[Papel]]),Tabela1[Fechamento])</f>
        <v>15</v>
      </c>
      <c r="R641" s="7">
        <f>SUMPRODUCT(N(Tabela17[Código]=Tabela8[[#This Row],[Papel]]),Tabela17[Fechamento])</f>
        <v>0</v>
      </c>
      <c r="S641" s="7">
        <f>SUMPRODUCT(N(Tabela176[Código]=Tabela8[[#This Row],[Papel]]),Tabela176[Fechamento])</f>
        <v>0</v>
      </c>
      <c r="T641" s="7">
        <f>SUMPRODUCT(N(Tabela1768[Código]=Tabela8[[#This Row],[Papel]]),Tabela1768[Fechamento])</f>
        <v>0</v>
      </c>
      <c r="U641" s="7">
        <f>SUMPRODUCT(N(Tabela17683[Código]=Tabela8[[#This Row],[Papel]]),Tabela17683[Fechamento])</f>
        <v>0</v>
      </c>
      <c r="V641" s="7">
        <f>IF(MAX(Tabela8[[#This Row],[Cotação 1]]:Tabela8[[#This Row],[Cotação 5]])=0,"",MAX(Tabela8[[#This Row],[Cotação 1]]:Tabela8[[#This Row],[Cotação 5]]))</f>
        <v>15</v>
      </c>
      <c r="W6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1" s="19" t="str">
        <f>IF(AND([Ref]=5,[Cotação]&gt;0,[Cotação]&lt;&gt;""),[Total Exercício]/[Cotação],IF([Ref]&lt;4,0,""))</f>
        <v/>
      </c>
      <c r="Y641" s="14">
        <f>IF([Tipo]="div",1,0)</f>
        <v>1</v>
      </c>
      <c r="Z641" s="14">
        <f>IF([Tipo]="jcp",1,0)</f>
        <v>0</v>
      </c>
    </row>
    <row r="642" spans="1:26" hidden="1">
      <c r="A642" s="4" t="s">
        <v>12</v>
      </c>
      <c r="B642" s="3" t="s">
        <v>1</v>
      </c>
      <c r="C642" s="15">
        <v>4</v>
      </c>
      <c r="D642" s="14">
        <v>2000</v>
      </c>
      <c r="E642" s="14" t="s">
        <v>1468</v>
      </c>
      <c r="G642" s="145">
        <v>36608</v>
      </c>
      <c r="H642" s="46">
        <v>36706</v>
      </c>
      <c r="I642" s="133">
        <f>0.00112*250</f>
        <v>0.27999999999999997</v>
      </c>
      <c r="J642" s="134">
        <f>IF(Tabela8[[#This Row],[Tipo]]="jcp",Tabela8[[#This Row],[Provento p/Ação]]*85%,Tabela8[[#This Row],[Provento p/Ação]])</f>
        <v>0.27999999999999997</v>
      </c>
      <c r="K642" s="133" t="str">
        <f>IF([Lucro p/Ação]&lt;&gt;0,SUMPRODUCT(N([Papel]=Tabela8[[#This Row],[Papel]]),N([Exercício]=Tabela8[[#This Row],[Exercício]]),[Líquido p/Ação]),"")</f>
        <v/>
      </c>
      <c r="L642" s="42" t="str">
        <f>IF(Tabela8[[#This Row],[Lucro p/Ação]]="","",IF(Tabela8[[#This Row],[Lucro p/Ação]]&gt;0,Tabela8[[#This Row],[Total Exercício]]/Tabela8[[#This Row],[Lucro p/Ação]],0))</f>
        <v/>
      </c>
      <c r="M64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2" s="19" t="str">
        <f>IF(Tabela8[[#This Row],[Média Lucro p/Ação]]&lt;&gt;"",Tabela8[[#This Row],[Média Pago]]/Tabela8[[#This Row],[Média Lucro p/Ação]],"")</f>
        <v/>
      </c>
      <c r="P6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2" s="134">
        <f>SUMPRODUCT(N(Tabela1[Código]=Tabela8[[#This Row],[Papel]]),Tabela1[Fechamento])</f>
        <v>7.94</v>
      </c>
      <c r="R642" s="7">
        <f>SUMPRODUCT(N(Tabela17[Código]=Tabela8[[#This Row],[Papel]]),Tabela17[Fechamento])</f>
        <v>0</v>
      </c>
      <c r="S642" s="7">
        <f>SUMPRODUCT(N(Tabela176[Código]=Tabela8[[#This Row],[Papel]]),Tabela176[Fechamento])</f>
        <v>0</v>
      </c>
      <c r="T642" s="7">
        <f>SUMPRODUCT(N(Tabela1768[Código]=Tabela8[[#This Row],[Papel]]),Tabela1768[Fechamento])</f>
        <v>0</v>
      </c>
      <c r="U642" s="7">
        <f>SUMPRODUCT(N(Tabela17683[Código]=Tabela8[[#This Row],[Papel]]),Tabela17683[Fechamento])</f>
        <v>0</v>
      </c>
      <c r="V642" s="7">
        <f>IF(MAX(Tabela8[[#This Row],[Cotação 1]]:Tabela8[[#This Row],[Cotação 5]])=0,"",MAX(Tabela8[[#This Row],[Cotação 1]]:Tabela8[[#This Row],[Cotação 5]]))</f>
        <v>7.94</v>
      </c>
      <c r="W6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2" s="19" t="str">
        <f>IF(AND([Ref]=5,[Cotação]&gt;0,[Cotação]&lt;&gt;""),[Total Exercício]/[Cotação],IF([Ref]&lt;4,0,""))</f>
        <v/>
      </c>
      <c r="Y642" s="14">
        <f>IF([Tipo]="div",1,0)</f>
        <v>1</v>
      </c>
      <c r="Z642" s="14">
        <f>IF([Tipo]="jcp",1,0)</f>
        <v>0</v>
      </c>
    </row>
    <row r="643" spans="1:26" hidden="1">
      <c r="A643" s="4" t="s">
        <v>12</v>
      </c>
      <c r="B643" s="3" t="s">
        <v>162</v>
      </c>
      <c r="C643" s="15">
        <v>4</v>
      </c>
      <c r="D643" s="14">
        <v>2000</v>
      </c>
      <c r="E643" s="14" t="s">
        <v>1468</v>
      </c>
      <c r="G643" s="145">
        <v>36865</v>
      </c>
      <c r="H643" s="46">
        <v>36875</v>
      </c>
      <c r="I643" s="133">
        <f>0.00522*250</f>
        <v>1.3049999999999999</v>
      </c>
      <c r="J643" s="134">
        <f>IF(Tabela8[[#This Row],[Tipo]]="jcp",Tabela8[[#This Row],[Provento p/Ação]]*85%,Tabela8[[#This Row],[Provento p/Ação]])</f>
        <v>1.3049999999999999</v>
      </c>
      <c r="K643" s="133" t="str">
        <f>IF([Lucro p/Ação]&lt;&gt;0,SUMPRODUCT(N([Papel]=Tabela8[[#This Row],[Papel]]),N([Exercício]=Tabela8[[#This Row],[Exercício]]),[Líquido p/Ação]),"")</f>
        <v/>
      </c>
      <c r="L643" s="42" t="str">
        <f>IF(Tabela8[[#This Row],[Lucro p/Ação]]="","",IF(Tabela8[[#This Row],[Lucro p/Ação]]&gt;0,Tabela8[[#This Row],[Total Exercício]]/Tabela8[[#This Row],[Lucro p/Ação]],0))</f>
        <v/>
      </c>
      <c r="M64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3" s="19" t="str">
        <f>IF(Tabela8[[#This Row],[Média Lucro p/Ação]]&lt;&gt;"",Tabela8[[#This Row],[Média Pago]]/Tabela8[[#This Row],[Média Lucro p/Ação]],"")</f>
        <v/>
      </c>
      <c r="P6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3" s="134">
        <f>SUMPRODUCT(N(Tabela1[Código]=Tabela8[[#This Row],[Papel]]),Tabela1[Fechamento])</f>
        <v>15</v>
      </c>
      <c r="R643" s="7">
        <f>SUMPRODUCT(N(Tabela17[Código]=Tabela8[[#This Row],[Papel]]),Tabela17[Fechamento])</f>
        <v>0</v>
      </c>
      <c r="S643" s="7">
        <f>SUMPRODUCT(N(Tabela176[Código]=Tabela8[[#This Row],[Papel]]),Tabela176[Fechamento])</f>
        <v>0</v>
      </c>
      <c r="T643" s="7">
        <f>SUMPRODUCT(N(Tabela1768[Código]=Tabela8[[#This Row],[Papel]]),Tabela1768[Fechamento])</f>
        <v>0</v>
      </c>
      <c r="U643" s="7">
        <f>SUMPRODUCT(N(Tabela17683[Código]=Tabela8[[#This Row],[Papel]]),Tabela17683[Fechamento])</f>
        <v>0</v>
      </c>
      <c r="V643" s="7">
        <f>IF(MAX(Tabela8[[#This Row],[Cotação 1]]:Tabela8[[#This Row],[Cotação 5]])=0,"",MAX(Tabela8[[#This Row],[Cotação 1]]:Tabela8[[#This Row],[Cotação 5]]))</f>
        <v>15</v>
      </c>
      <c r="W6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3" s="19" t="str">
        <f>IF(AND([Ref]=5,[Cotação]&gt;0,[Cotação]&lt;&gt;""),[Total Exercício]/[Cotação],IF([Ref]&lt;4,0,""))</f>
        <v/>
      </c>
      <c r="Y643" s="14">
        <f>IF([Tipo]="div",1,0)</f>
        <v>1</v>
      </c>
      <c r="Z643" s="14">
        <f>IF([Tipo]="jcp",1,0)</f>
        <v>0</v>
      </c>
    </row>
    <row r="644" spans="1:26" hidden="1">
      <c r="A644" s="4" t="s">
        <v>12</v>
      </c>
      <c r="B644" s="3" t="s">
        <v>1</v>
      </c>
      <c r="C644" s="15">
        <v>4</v>
      </c>
      <c r="D644" s="14">
        <v>2000</v>
      </c>
      <c r="E644" s="14" t="s">
        <v>1468</v>
      </c>
      <c r="G644" s="145">
        <v>36865</v>
      </c>
      <c r="H644" s="46">
        <v>36875</v>
      </c>
      <c r="I644" s="133">
        <f>0.00574*250</f>
        <v>1.4350000000000001</v>
      </c>
      <c r="J644" s="134">
        <f>IF(Tabela8[[#This Row],[Tipo]]="jcp",Tabela8[[#This Row],[Provento p/Ação]]*85%,Tabela8[[#This Row],[Provento p/Ação]])</f>
        <v>1.4350000000000001</v>
      </c>
      <c r="K644" s="133" t="str">
        <f>IF([Lucro p/Ação]&lt;&gt;0,SUMPRODUCT(N([Papel]=Tabela8[[#This Row],[Papel]]),N([Exercício]=Tabela8[[#This Row],[Exercício]]),[Líquido p/Ação]),"")</f>
        <v/>
      </c>
      <c r="L644" s="42" t="str">
        <f>IF(Tabela8[[#This Row],[Lucro p/Ação]]="","",IF(Tabela8[[#This Row],[Lucro p/Ação]]&gt;0,Tabela8[[#This Row],[Total Exercício]]/Tabela8[[#This Row],[Lucro p/Ação]],0))</f>
        <v/>
      </c>
      <c r="M64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4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44" s="19" t="str">
        <f>IF(Tabela8[[#This Row],[Média Lucro p/Ação]]&lt;&gt;"",Tabela8[[#This Row],[Média Pago]]/Tabela8[[#This Row],[Média Lucro p/Ação]],"")</f>
        <v/>
      </c>
      <c r="P6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4" s="134">
        <f>SUMPRODUCT(N(Tabela1[Código]=Tabela8[[#This Row],[Papel]]),Tabela1[Fechamento])</f>
        <v>7.94</v>
      </c>
      <c r="R644" s="7">
        <f>SUMPRODUCT(N(Tabela17[Código]=Tabela8[[#This Row],[Papel]]),Tabela17[Fechamento])</f>
        <v>0</v>
      </c>
      <c r="S644" s="7">
        <f>SUMPRODUCT(N(Tabela176[Código]=Tabela8[[#This Row],[Papel]]),Tabela176[Fechamento])</f>
        <v>0</v>
      </c>
      <c r="T644" s="7">
        <f>SUMPRODUCT(N(Tabela1768[Código]=Tabela8[[#This Row],[Papel]]),Tabela1768[Fechamento])</f>
        <v>0</v>
      </c>
      <c r="U644" s="7">
        <f>SUMPRODUCT(N(Tabela17683[Código]=Tabela8[[#This Row],[Papel]]),Tabela17683[Fechamento])</f>
        <v>0</v>
      </c>
      <c r="V644" s="7">
        <f>IF(MAX(Tabela8[[#This Row],[Cotação 1]]:Tabela8[[#This Row],[Cotação 5]])=0,"",MAX(Tabela8[[#This Row],[Cotação 1]]:Tabela8[[#This Row],[Cotação 5]]))</f>
        <v>7.94</v>
      </c>
      <c r="W6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4" s="19" t="str">
        <f>IF(AND([Ref]=5,[Cotação]&gt;0,[Cotação]&lt;&gt;""),[Total Exercício]/[Cotação],IF([Ref]&lt;4,0,""))</f>
        <v/>
      </c>
      <c r="Y644" s="14">
        <f>IF([Tipo]="div",1,0)</f>
        <v>1</v>
      </c>
      <c r="Z644" s="14">
        <f>IF([Tipo]="jcp",1,0)</f>
        <v>0</v>
      </c>
    </row>
    <row r="645" spans="1:26" hidden="1">
      <c r="A645" s="4" t="s">
        <v>12</v>
      </c>
      <c r="B645" s="3" t="s">
        <v>162</v>
      </c>
      <c r="C645" s="15">
        <v>5</v>
      </c>
      <c r="D645" s="14">
        <v>2000</v>
      </c>
      <c r="E645" s="14" t="s">
        <v>1475</v>
      </c>
      <c r="F645" s="133">
        <f>0.00571*250</f>
        <v>1.4275</v>
      </c>
      <c r="G645" s="145">
        <v>36865</v>
      </c>
      <c r="H645" s="46">
        <v>36875</v>
      </c>
      <c r="I645" s="133">
        <f>0.00354*250</f>
        <v>0.88500000000000001</v>
      </c>
      <c r="J645" s="134">
        <f>IF(Tabela8[[#This Row],[Tipo]]="jcp",Tabela8[[#This Row],[Provento p/Ação]]*85%,Tabela8[[#This Row],[Provento p/Ação]])</f>
        <v>0.75224999999999997</v>
      </c>
      <c r="K645" s="133">
        <f>IF([Lucro p/Ação]&lt;&gt;0,SUMPRODUCT(N([Papel]=Tabela8[[#This Row],[Papel]]),N([Exercício]=Tabela8[[#This Row],[Exercício]]),[Líquido p/Ação]),"")</f>
        <v>2.96225</v>
      </c>
      <c r="L645" s="42">
        <f>IF(Tabela8[[#This Row],[Lucro p/Ação]]="","",IF(Tabela8[[#This Row],[Lucro p/Ação]]&gt;0,Tabela8[[#This Row],[Total Exercício]]/Tabela8[[#This Row],[Lucro p/Ação]],0))</f>
        <v>2.0751313485113836</v>
      </c>
      <c r="M64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0.30374999999999996</v>
      </c>
      <c r="N64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0.95662500000000006</v>
      </c>
      <c r="O645" s="19">
        <f>IF(Tabela8[[#This Row],[Média Lucro p/Ação]]&lt;&gt;"",Tabela8[[#This Row],[Média Pago]]/Tabela8[[#This Row],[Média Lucro p/Ação]],"")</f>
        <v>3.1493827160493835</v>
      </c>
      <c r="P6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5" s="134">
        <f>SUMPRODUCT(N(Tabela1[Código]=Tabela8[[#This Row],[Papel]]),Tabela1[Fechamento])</f>
        <v>15</v>
      </c>
      <c r="R645" s="7">
        <f>SUMPRODUCT(N(Tabela17[Código]=Tabela8[[#This Row],[Papel]]),Tabela17[Fechamento])</f>
        <v>0</v>
      </c>
      <c r="S645" s="7">
        <f>SUMPRODUCT(N(Tabela176[Código]=Tabela8[[#This Row],[Papel]]),Tabela176[Fechamento])</f>
        <v>0</v>
      </c>
      <c r="T645" s="7">
        <f>SUMPRODUCT(N(Tabela1768[Código]=Tabela8[[#This Row],[Papel]]),Tabela1768[Fechamento])</f>
        <v>0</v>
      </c>
      <c r="U645" s="7">
        <f>SUMPRODUCT(N(Tabela17683[Código]=Tabela8[[#This Row],[Papel]]),Tabela17683[Fechamento])</f>
        <v>0</v>
      </c>
      <c r="V645" s="7">
        <f>IF(MAX(Tabela8[[#This Row],[Cotação 1]]:Tabela8[[#This Row],[Cotação 5]])=0,"",MAX(Tabela8[[#This Row],[Cotação 1]]:Tabela8[[#This Row],[Cotação 5]]))</f>
        <v>15</v>
      </c>
      <c r="W6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5" s="19">
        <f>IF(AND([Ref]=5,[Cotação]&gt;0,[Cotação]&lt;&gt;""),[Total Exercício]/[Cotação],IF([Ref]&lt;4,0,""))</f>
        <v>0.19748333333333334</v>
      </c>
      <c r="Y645" s="14">
        <f>IF([Tipo]="div",1,0)</f>
        <v>0</v>
      </c>
      <c r="Z645" s="14">
        <f>IF([Tipo]="jcp",1,0)</f>
        <v>1</v>
      </c>
    </row>
    <row r="646" spans="1:26" hidden="1">
      <c r="A646" s="4" t="s">
        <v>12</v>
      </c>
      <c r="B646" s="3" t="s">
        <v>1</v>
      </c>
      <c r="C646" s="16">
        <v>5</v>
      </c>
      <c r="D646" s="14">
        <v>2000</v>
      </c>
      <c r="E646" s="14" t="s">
        <v>1475</v>
      </c>
      <c r="F646" s="133">
        <f>0.00571*250</f>
        <v>1.4275</v>
      </c>
      <c r="G646" s="145">
        <v>36865</v>
      </c>
      <c r="H646" s="46">
        <v>36875</v>
      </c>
      <c r="I646" s="133">
        <f>0.00389*250</f>
        <v>0.97249999999999992</v>
      </c>
      <c r="J646" s="134">
        <f>IF(Tabela8[[#This Row],[Tipo]]="jcp",Tabela8[[#This Row],[Provento p/Ação]]*85%,Tabela8[[#This Row],[Provento p/Ação]])</f>
        <v>0.82662499999999994</v>
      </c>
      <c r="K646" s="133">
        <f>IF([Lucro p/Ação]&lt;&gt;0,SUMPRODUCT(N([Papel]=Tabela8[[#This Row],[Papel]]),N([Exercício]=Tabela8[[#This Row],[Exercício]]),[Líquido p/Ação]),"")</f>
        <v>3.2566250000000001</v>
      </c>
      <c r="L646" s="42">
        <f>IF(Tabela8[[#This Row],[Lucro p/Ação]]="","",IF(Tabela8[[#This Row],[Lucro p/Ação]]&gt;0,Tabela8[[#This Row],[Total Exercício]]/Tabela8[[#This Row],[Lucro p/Ação]],0))</f>
        <v>2.2813485113835377</v>
      </c>
      <c r="M64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0.30374999999999996</v>
      </c>
      <c r="N64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1.0518437500000002</v>
      </c>
      <c r="O646" s="19">
        <f>IF(Tabela8[[#This Row],[Média Lucro p/Ação]]&lt;&gt;"",Tabela8[[#This Row],[Média Pago]]/Tabela8[[#This Row],[Média Lucro p/Ação]],"")</f>
        <v>3.4628600823045277</v>
      </c>
      <c r="P6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6" s="134">
        <f>SUMPRODUCT(N(Tabela1[Código]=Tabela8[[#This Row],[Papel]]),Tabela1[Fechamento])</f>
        <v>7.94</v>
      </c>
      <c r="R646" s="17">
        <f>SUMPRODUCT(N(Tabela17[Código]=Tabela8[[#This Row],[Papel]]),Tabela17[Fechamento])</f>
        <v>0</v>
      </c>
      <c r="S646" s="17">
        <f>SUMPRODUCT(N(Tabela176[Código]=Tabela8[[#This Row],[Papel]]),Tabela176[Fechamento])</f>
        <v>0</v>
      </c>
      <c r="T646" s="17">
        <f>SUMPRODUCT(N(Tabela1768[Código]=Tabela8[[#This Row],[Papel]]),Tabela1768[Fechamento])</f>
        <v>0</v>
      </c>
      <c r="U646" s="17">
        <f>SUMPRODUCT(N(Tabela17683[Código]=Tabela8[[#This Row],[Papel]]),Tabela17683[Fechamento])</f>
        <v>0</v>
      </c>
      <c r="V646" s="17">
        <f>IF(MAX(Tabela8[[#This Row],[Cotação 1]]:Tabela8[[#This Row],[Cotação 5]])=0,"",MAX(Tabela8[[#This Row],[Cotação 1]]:Tabela8[[#This Row],[Cotação 5]]))</f>
        <v>7.94</v>
      </c>
      <c r="W6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6" s="19">
        <f>IF(AND([Ref]=5,[Cotação]&gt;0,[Cotação]&lt;&gt;""),[Total Exercício]/[Cotação],IF([Ref]&lt;4,0,""))</f>
        <v>0.41015428211586902</v>
      </c>
      <c r="Y646" s="14">
        <f>IF([Tipo]="div",1,0)</f>
        <v>0</v>
      </c>
      <c r="Z646" s="14">
        <f>IF([Tipo]="jcp",1,0)</f>
        <v>1</v>
      </c>
    </row>
    <row r="647" spans="1:26" hidden="1">
      <c r="A647" s="4" t="s">
        <v>12</v>
      </c>
      <c r="B647" s="3" t="s">
        <v>162</v>
      </c>
      <c r="C647" s="15">
        <v>5</v>
      </c>
      <c r="D647" s="14">
        <v>2001</v>
      </c>
      <c r="E647" s="14" t="s">
        <v>1475</v>
      </c>
      <c r="F647" s="133">
        <f>0.01356*250</f>
        <v>3.3899999999999997</v>
      </c>
      <c r="G647" s="145">
        <v>36977</v>
      </c>
      <c r="I647" s="133">
        <f>0.00284*250</f>
        <v>0.71</v>
      </c>
      <c r="J647" s="134">
        <f>IF(Tabela8[[#This Row],[Tipo]]="jcp",Tabela8[[#This Row],[Provento p/Ação]]*85%,Tabela8[[#This Row],[Provento p/Ação]])</f>
        <v>0.60349999999999993</v>
      </c>
      <c r="K647" s="133">
        <f>IF([Lucro p/Ação]&lt;&gt;0,SUMPRODUCT(N([Papel]=Tabela8[[#This Row],[Papel]]),N([Exercício]=Tabela8[[#This Row],[Exercício]]),[Líquido p/Ação]),"")</f>
        <v>0.60349999999999993</v>
      </c>
      <c r="L647" s="42">
        <f>IF(Tabela8[[#This Row],[Lucro p/Ação]]="","",IF(Tabela8[[#This Row],[Lucro p/Ação]]&gt;0,Tabela8[[#This Row],[Total Exercício]]/Tabela8[[#This Row],[Lucro p/Ação]],0))</f>
        <v>0.178023598820059</v>
      </c>
      <c r="M64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0.92099999999999993</v>
      </c>
      <c r="N64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0.8859999999999999</v>
      </c>
      <c r="O647" s="19">
        <f>IF(Tabela8[[#This Row],[Média Lucro p/Ação]]&lt;&gt;"",Tabela8[[#This Row],[Média Pago]]/Tabela8[[#This Row],[Média Lucro p/Ação]],"")</f>
        <v>0.96199782844733983</v>
      </c>
      <c r="P6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7" s="134">
        <f>SUMPRODUCT(N(Tabela1[Código]=Tabela8[[#This Row],[Papel]]),Tabela1[Fechamento])</f>
        <v>15</v>
      </c>
      <c r="R647" s="7">
        <f>SUMPRODUCT(N(Tabela17[Código]=Tabela8[[#This Row],[Papel]]),Tabela17[Fechamento])</f>
        <v>0</v>
      </c>
      <c r="S647" s="7">
        <f>SUMPRODUCT(N(Tabela176[Código]=Tabela8[[#This Row],[Papel]]),Tabela176[Fechamento])</f>
        <v>0</v>
      </c>
      <c r="T647" s="7">
        <f>SUMPRODUCT(N(Tabela1768[Código]=Tabela8[[#This Row],[Papel]]),Tabela1768[Fechamento])</f>
        <v>0</v>
      </c>
      <c r="U647" s="7">
        <f>SUMPRODUCT(N(Tabela17683[Código]=Tabela8[[#This Row],[Papel]]),Tabela17683[Fechamento])</f>
        <v>0</v>
      </c>
      <c r="V647" s="7">
        <f>IF(MAX(Tabela8[[#This Row],[Cotação 1]]:Tabela8[[#This Row],[Cotação 5]])=0,"",MAX(Tabela8[[#This Row],[Cotação 1]]:Tabela8[[#This Row],[Cotação 5]]))</f>
        <v>15</v>
      </c>
      <c r="W6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7" s="19">
        <f>IF(AND([Ref]=5,[Cotação]&gt;0,[Cotação]&lt;&gt;""),[Total Exercício]/[Cotação],IF([Ref]&lt;4,0,""))</f>
        <v>4.0233333333333329E-2</v>
      </c>
      <c r="Y647" s="14">
        <f>IF([Tipo]="div",1,0)</f>
        <v>0</v>
      </c>
      <c r="Z647" s="14">
        <f>IF([Tipo]="jcp",1,0)</f>
        <v>1</v>
      </c>
    </row>
    <row r="648" spans="1:26" hidden="1">
      <c r="A648" s="4" t="s">
        <v>12</v>
      </c>
      <c r="B648" s="3" t="s">
        <v>1</v>
      </c>
      <c r="C648" s="16">
        <v>5</v>
      </c>
      <c r="D648" s="14">
        <v>2001</v>
      </c>
      <c r="E648" s="14" t="s">
        <v>1475</v>
      </c>
      <c r="F648" s="133">
        <f>0.01356*250</f>
        <v>3.3899999999999997</v>
      </c>
      <c r="G648" s="145">
        <v>36977</v>
      </c>
      <c r="I648" s="133">
        <f>0.00312*250</f>
        <v>0.78</v>
      </c>
      <c r="J648" s="134">
        <f>IF(Tabela8[[#This Row],[Tipo]]="jcp",Tabela8[[#This Row],[Provento p/Ação]]*85%,Tabela8[[#This Row],[Provento p/Ação]])</f>
        <v>0.66300000000000003</v>
      </c>
      <c r="K648" s="133">
        <f>IF([Lucro p/Ação]&lt;&gt;0,SUMPRODUCT(N([Papel]=Tabela8[[#This Row],[Papel]]),N([Exercício]=Tabela8[[#This Row],[Exercício]]),[Líquido p/Ação]),"")</f>
        <v>0.66300000000000003</v>
      </c>
      <c r="L648" s="42">
        <f>IF(Tabela8[[#This Row],[Lucro p/Ação]]="","",IF(Tabela8[[#This Row],[Lucro p/Ação]]&gt;0,Tabela8[[#This Row],[Total Exercício]]/Tabela8[[#This Row],[Lucro p/Ação]],0))</f>
        <v>0.19557522123893809</v>
      </c>
      <c r="M64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0.92099999999999993</v>
      </c>
      <c r="N64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0.97407500000000002</v>
      </c>
      <c r="O648" s="19">
        <f>IF(Tabela8[[#This Row],[Média Lucro p/Ação]]&lt;&gt;"",Tabela8[[#This Row],[Média Pago]]/Tabela8[[#This Row],[Média Lucro p/Ação]],"")</f>
        <v>1.0576275787187841</v>
      </c>
      <c r="P6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8" s="134">
        <f>SUMPRODUCT(N(Tabela1[Código]=Tabela8[[#This Row],[Papel]]),Tabela1[Fechamento])</f>
        <v>7.94</v>
      </c>
      <c r="R648" s="17">
        <f>SUMPRODUCT(N(Tabela17[Código]=Tabela8[[#This Row],[Papel]]),Tabela17[Fechamento])</f>
        <v>0</v>
      </c>
      <c r="S648" s="17">
        <f>SUMPRODUCT(N(Tabela176[Código]=Tabela8[[#This Row],[Papel]]),Tabela176[Fechamento])</f>
        <v>0</v>
      </c>
      <c r="T648" s="17">
        <f>SUMPRODUCT(N(Tabela1768[Código]=Tabela8[[#This Row],[Papel]]),Tabela1768[Fechamento])</f>
        <v>0</v>
      </c>
      <c r="U648" s="17">
        <f>SUMPRODUCT(N(Tabela17683[Código]=Tabela8[[#This Row],[Papel]]),Tabela17683[Fechamento])</f>
        <v>0</v>
      </c>
      <c r="V648" s="17">
        <f>IF(MAX(Tabela8[[#This Row],[Cotação 1]]:Tabela8[[#This Row],[Cotação 5]])=0,"",MAX(Tabela8[[#This Row],[Cotação 1]]:Tabela8[[#This Row],[Cotação 5]]))</f>
        <v>7.94</v>
      </c>
      <c r="W6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8" s="19">
        <f>IF(AND([Ref]=5,[Cotação]&gt;0,[Cotação]&lt;&gt;""),[Total Exercício]/[Cotação],IF([Ref]&lt;4,0,""))</f>
        <v>8.3501259445843828E-2</v>
      </c>
      <c r="Y648" s="14">
        <f>IF([Tipo]="div",1,0)</f>
        <v>0</v>
      </c>
      <c r="Z648" s="14">
        <f>IF([Tipo]="jcp",1,0)</f>
        <v>1</v>
      </c>
    </row>
    <row r="649" spans="1:26" hidden="1">
      <c r="A649" s="4" t="s">
        <v>12</v>
      </c>
      <c r="B649" s="3" t="s">
        <v>162</v>
      </c>
      <c r="C649" s="15">
        <v>5</v>
      </c>
      <c r="D649" s="14">
        <v>2002</v>
      </c>
      <c r="F649" s="133">
        <f>-0.02082*250</f>
        <v>-5.2050000000000001</v>
      </c>
      <c r="J649" s="134">
        <f>IF(Tabela8[[#This Row],[Tipo]]="jcp",Tabela8[[#This Row],[Provento p/Ação]]*85%,Tabela8[[#This Row],[Provento p/Ação]])</f>
        <v>0</v>
      </c>
      <c r="K649" s="133">
        <f>IF([Lucro p/Ação]&lt;&gt;0,SUMPRODUCT(N([Papel]=Tabela8[[#This Row],[Papel]]),N([Exercício]=Tabela8[[#This Row],[Exercício]]),[Líquido p/Ação]),"")</f>
        <v>0</v>
      </c>
      <c r="L649" s="42">
        <f>IF(Tabela8[[#This Row],[Lucro p/Ação]]="","",IF(Tabela8[[#This Row],[Lucro p/Ação]]&gt;0,Tabela8[[#This Row],[Total Exercício]]/Tabela8[[#This Row],[Lucro p/Ação]],0))</f>
        <v>0</v>
      </c>
      <c r="M64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-0.10000000000000003</v>
      </c>
      <c r="N64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0.73833333333333329</v>
      </c>
      <c r="O649" s="19">
        <f>IF(Tabela8[[#This Row],[Média Lucro p/Ação]]&lt;&gt;"",Tabela8[[#This Row],[Média Pago]]/Tabela8[[#This Row],[Média Lucro p/Ação]],"")</f>
        <v>-7.3833333333333302</v>
      </c>
      <c r="P6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49" s="134">
        <f>SUMPRODUCT(N(Tabela1[Código]=Tabela8[[#This Row],[Papel]]),Tabela1[Fechamento])</f>
        <v>15</v>
      </c>
      <c r="R649" s="7">
        <f>SUMPRODUCT(N(Tabela17[Código]=Tabela8[[#This Row],[Papel]]),Tabela17[Fechamento])</f>
        <v>0</v>
      </c>
      <c r="S649" s="7">
        <f>SUMPRODUCT(N(Tabela176[Código]=Tabela8[[#This Row],[Papel]]),Tabela176[Fechamento])</f>
        <v>0</v>
      </c>
      <c r="T649" s="7">
        <f>SUMPRODUCT(N(Tabela1768[Código]=Tabela8[[#This Row],[Papel]]),Tabela1768[Fechamento])</f>
        <v>0</v>
      </c>
      <c r="U649" s="7">
        <f>SUMPRODUCT(N(Tabela17683[Código]=Tabela8[[#This Row],[Papel]]),Tabela17683[Fechamento])</f>
        <v>0</v>
      </c>
      <c r="V649" s="7">
        <f>IF(MAX(Tabela8[[#This Row],[Cotação 1]]:Tabela8[[#This Row],[Cotação 5]])=0,"",MAX(Tabela8[[#This Row],[Cotação 1]]:Tabela8[[#This Row],[Cotação 5]]))</f>
        <v>15</v>
      </c>
      <c r="W6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49" s="19">
        <f>IF(AND([Ref]=5,[Cotação]&gt;0,[Cotação]&lt;&gt;""),[Total Exercício]/[Cotação],IF([Ref]&lt;4,0,""))</f>
        <v>0</v>
      </c>
      <c r="Y649" s="14">
        <f>IF([Tipo]="div",1,0)</f>
        <v>0</v>
      </c>
      <c r="Z649" s="14">
        <f>IF([Tipo]="jcp",1,0)</f>
        <v>0</v>
      </c>
    </row>
    <row r="650" spans="1:26" hidden="1">
      <c r="A650" s="4" t="s">
        <v>12</v>
      </c>
      <c r="B650" s="3" t="s">
        <v>1</v>
      </c>
      <c r="C650" s="16">
        <v>5</v>
      </c>
      <c r="D650" s="14">
        <v>2002</v>
      </c>
      <c r="F650" s="133">
        <f>-0.02082*250</f>
        <v>-5.2050000000000001</v>
      </c>
      <c r="J650" s="134">
        <f>IF(Tabela8[[#This Row],[Tipo]]="jcp",Tabela8[[#This Row],[Provento p/Ação]]*85%,Tabela8[[#This Row],[Provento p/Ação]])</f>
        <v>0</v>
      </c>
      <c r="K650" s="133">
        <f>IF([Lucro p/Ação]&lt;&gt;0,SUMPRODUCT(N([Papel]=Tabela8[[#This Row],[Papel]]),N([Exercício]=Tabela8[[#This Row],[Exercício]]),[Líquido p/Ação]),"")</f>
        <v>0</v>
      </c>
      <c r="L650" s="42">
        <f>IF(Tabela8[[#This Row],[Lucro p/Ação]]="","",IF(Tabela8[[#This Row],[Lucro p/Ação]]&gt;0,Tabela8[[#This Row],[Total Exercício]]/Tabela8[[#This Row],[Lucro p/Ação]],0))</f>
        <v>0</v>
      </c>
      <c r="M65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-0.10000000000000003</v>
      </c>
      <c r="N65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0.81172916666666672</v>
      </c>
      <c r="O650" s="19">
        <f>IF(Tabela8[[#This Row],[Média Lucro p/Ação]]&lt;&gt;"",Tabela8[[#This Row],[Média Pago]]/Tabela8[[#This Row],[Média Lucro p/Ação]],"")</f>
        <v>-8.1172916666666648</v>
      </c>
      <c r="P6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0" s="134">
        <f>SUMPRODUCT(N(Tabela1[Código]=Tabela8[[#This Row],[Papel]]),Tabela1[Fechamento])</f>
        <v>7.94</v>
      </c>
      <c r="R650" s="17">
        <f>SUMPRODUCT(N(Tabela17[Código]=Tabela8[[#This Row],[Papel]]),Tabela17[Fechamento])</f>
        <v>0</v>
      </c>
      <c r="S650" s="17">
        <f>SUMPRODUCT(N(Tabela176[Código]=Tabela8[[#This Row],[Papel]]),Tabela176[Fechamento])</f>
        <v>0</v>
      </c>
      <c r="T650" s="17">
        <f>SUMPRODUCT(N(Tabela1768[Código]=Tabela8[[#This Row],[Papel]]),Tabela1768[Fechamento])</f>
        <v>0</v>
      </c>
      <c r="U650" s="17">
        <f>SUMPRODUCT(N(Tabela17683[Código]=Tabela8[[#This Row],[Papel]]),Tabela17683[Fechamento])</f>
        <v>0</v>
      </c>
      <c r="V650" s="17">
        <f>IF(MAX(Tabela8[[#This Row],[Cotação 1]]:Tabela8[[#This Row],[Cotação 5]])=0,"",MAX(Tabela8[[#This Row],[Cotação 1]]:Tabela8[[#This Row],[Cotação 5]]))</f>
        <v>7.94</v>
      </c>
      <c r="W6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0" s="19">
        <f>IF(AND([Ref]=5,[Cotação]&gt;0,[Cotação]&lt;&gt;""),[Total Exercício]/[Cotação],IF([Ref]&lt;4,0,""))</f>
        <v>0</v>
      </c>
      <c r="Y650" s="14">
        <f>IF([Tipo]="div",1,0)</f>
        <v>0</v>
      </c>
      <c r="Z650" s="14">
        <f>IF([Tipo]="jcp",1,0)</f>
        <v>0</v>
      </c>
    </row>
    <row r="651" spans="1:26" hidden="1">
      <c r="A651" s="4" t="s">
        <v>12</v>
      </c>
      <c r="B651" s="3" t="s">
        <v>162</v>
      </c>
      <c r="C651" s="15">
        <v>5</v>
      </c>
      <c r="D651" s="14">
        <v>2003</v>
      </c>
      <c r="F651" s="133">
        <f>0.00206*250</f>
        <v>0.51500000000000001</v>
      </c>
      <c r="J651" s="134">
        <f>IF(Tabela8[[#This Row],[Tipo]]="jcp",Tabela8[[#This Row],[Provento p/Ação]]*85%,Tabela8[[#This Row],[Provento p/Ação]])</f>
        <v>0</v>
      </c>
      <c r="K651" s="133">
        <f>IF([Lucro p/Ação]&lt;&gt;0,SUMPRODUCT(N([Papel]=Tabela8[[#This Row],[Papel]]),N([Exercício]=Tabela8[[#This Row],[Exercício]]),[Líquido p/Ação]),"")</f>
        <v>0</v>
      </c>
      <c r="L651" s="42">
        <f>IF(Tabela8[[#This Row],[Lucro p/Ação]]="","",IF(Tabela8[[#This Row],[Lucro p/Ação]]&gt;0,Tabela8[[#This Row],[Total Exercício]]/Tabela8[[#This Row],[Lucro p/Ação]],0))</f>
        <v>0</v>
      </c>
      <c r="M65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-1.2142857142857153E-2</v>
      </c>
      <c r="N65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0.63285714285714278</v>
      </c>
      <c r="O651" s="19">
        <f>IF(Tabela8[[#This Row],[Média Lucro p/Ação]]&lt;&gt;"",Tabela8[[#This Row],[Média Pago]]/Tabela8[[#This Row],[Média Lucro p/Ação]],"")</f>
        <v>-52.117647058823479</v>
      </c>
      <c r="P6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1" s="134">
        <f>SUMPRODUCT(N(Tabela1[Código]=Tabela8[[#This Row],[Papel]]),Tabela1[Fechamento])</f>
        <v>15</v>
      </c>
      <c r="R651" s="7">
        <f>SUMPRODUCT(N(Tabela17[Código]=Tabela8[[#This Row],[Papel]]),Tabela17[Fechamento])</f>
        <v>0</v>
      </c>
      <c r="S651" s="7">
        <f>SUMPRODUCT(N(Tabela176[Código]=Tabela8[[#This Row],[Papel]]),Tabela176[Fechamento])</f>
        <v>0</v>
      </c>
      <c r="T651" s="7">
        <f>SUMPRODUCT(N(Tabela1768[Código]=Tabela8[[#This Row],[Papel]]),Tabela1768[Fechamento])</f>
        <v>0</v>
      </c>
      <c r="U651" s="7">
        <f>SUMPRODUCT(N(Tabela17683[Código]=Tabela8[[#This Row],[Papel]]),Tabela17683[Fechamento])</f>
        <v>0</v>
      </c>
      <c r="V651" s="7">
        <f>IF(MAX(Tabela8[[#This Row],[Cotação 1]]:Tabela8[[#This Row],[Cotação 5]])=0,"",MAX(Tabela8[[#This Row],[Cotação 1]]:Tabela8[[#This Row],[Cotação 5]]))</f>
        <v>15</v>
      </c>
      <c r="W6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1" s="19">
        <f>IF(AND([Ref]=5,[Cotação]&gt;0,[Cotação]&lt;&gt;""),[Total Exercício]/[Cotação],IF([Ref]&lt;4,0,""))</f>
        <v>0</v>
      </c>
      <c r="Y651" s="14">
        <f>IF([Tipo]="div",1,0)</f>
        <v>0</v>
      </c>
      <c r="Z651" s="14">
        <f>IF([Tipo]="jcp",1,0)</f>
        <v>0</v>
      </c>
    </row>
    <row r="652" spans="1:26" hidden="1">
      <c r="A652" s="4" t="s">
        <v>12</v>
      </c>
      <c r="B652" s="3" t="s">
        <v>1</v>
      </c>
      <c r="C652" s="16">
        <v>5</v>
      </c>
      <c r="D652" s="14">
        <v>2003</v>
      </c>
      <c r="F652" s="133">
        <f>0.00206*250</f>
        <v>0.51500000000000001</v>
      </c>
      <c r="J652" s="134">
        <f>IF(Tabela8[[#This Row],[Tipo]]="jcp",Tabela8[[#This Row],[Provento p/Ação]]*85%,Tabela8[[#This Row],[Provento p/Ação]])</f>
        <v>0</v>
      </c>
      <c r="K652" s="133">
        <f>IF([Lucro p/Ação]&lt;&gt;0,SUMPRODUCT(N([Papel]=Tabela8[[#This Row],[Papel]]),N([Exercício]=Tabela8[[#This Row],[Exercício]]),[Líquido p/Ação]),"")</f>
        <v>0</v>
      </c>
      <c r="L652" s="42">
        <f>IF(Tabela8[[#This Row],[Lucro p/Ação]]="","",IF(Tabela8[[#This Row],[Lucro p/Ação]]&gt;0,Tabela8[[#This Row],[Total Exercício]]/Tabela8[[#This Row],[Lucro p/Ação]],0))</f>
        <v>0</v>
      </c>
      <c r="M65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-1.2142857142857153E-2</v>
      </c>
      <c r="N65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0.69576785714285716</v>
      </c>
      <c r="O652" s="19">
        <f>IF(Tabela8[[#This Row],[Média Lucro p/Ação]]&lt;&gt;"",Tabela8[[#This Row],[Média Pago]]/Tabela8[[#This Row],[Média Lucro p/Ação]],"")</f>
        <v>-57.298529411764662</v>
      </c>
      <c r="P6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2" s="134">
        <f>SUMPRODUCT(N(Tabela1[Código]=Tabela8[[#This Row],[Papel]]),Tabela1[Fechamento])</f>
        <v>7.94</v>
      </c>
      <c r="R652" s="17">
        <f>SUMPRODUCT(N(Tabela17[Código]=Tabela8[[#This Row],[Papel]]),Tabela17[Fechamento])</f>
        <v>0</v>
      </c>
      <c r="S652" s="17">
        <f>SUMPRODUCT(N(Tabela176[Código]=Tabela8[[#This Row],[Papel]]),Tabela176[Fechamento])</f>
        <v>0</v>
      </c>
      <c r="T652" s="17">
        <f>SUMPRODUCT(N(Tabela1768[Código]=Tabela8[[#This Row],[Papel]]),Tabela1768[Fechamento])</f>
        <v>0</v>
      </c>
      <c r="U652" s="17">
        <f>SUMPRODUCT(N(Tabela17683[Código]=Tabela8[[#This Row],[Papel]]),Tabela17683[Fechamento])</f>
        <v>0</v>
      </c>
      <c r="V652" s="17">
        <f>IF(MAX(Tabela8[[#This Row],[Cotação 1]]:Tabela8[[#This Row],[Cotação 5]])=0,"",MAX(Tabela8[[#This Row],[Cotação 1]]:Tabela8[[#This Row],[Cotação 5]]))</f>
        <v>7.94</v>
      </c>
      <c r="W6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2" s="19">
        <f>IF(AND([Ref]=5,[Cotação]&gt;0,[Cotação]&lt;&gt;""),[Total Exercício]/[Cotação],IF([Ref]&lt;4,0,""))</f>
        <v>0</v>
      </c>
      <c r="Y652" s="14">
        <f>IF([Tipo]="div",1,0)</f>
        <v>0</v>
      </c>
      <c r="Z652" s="14">
        <f>IF([Tipo]="jcp",1,0)</f>
        <v>0</v>
      </c>
    </row>
    <row r="653" spans="1:26" hidden="1">
      <c r="A653" s="4" t="s">
        <v>12</v>
      </c>
      <c r="B653" s="3" t="s">
        <v>162</v>
      </c>
      <c r="C653" s="15">
        <v>5</v>
      </c>
      <c r="D653" s="14">
        <v>2004</v>
      </c>
      <c r="F653" s="133">
        <f>0.00013*250</f>
        <v>3.2499999999999994E-2</v>
      </c>
      <c r="J653" s="134">
        <f>IF(Tabela8[[#This Row],[Tipo]]="jcp",Tabela8[[#This Row],[Provento p/Ação]]*85%,Tabela8[[#This Row],[Provento p/Ação]])</f>
        <v>0</v>
      </c>
      <c r="K653" s="133">
        <f>IF([Lucro p/Ação]&lt;&gt;0,SUMPRODUCT(N([Papel]=Tabela8[[#This Row],[Papel]]),N([Exercício]=Tabela8[[#This Row],[Exercício]]),[Líquido p/Ação]),"")</f>
        <v>0</v>
      </c>
      <c r="L653" s="42">
        <f>IF(Tabela8[[#This Row],[Lucro p/Ação]]="","",IF(Tabela8[[#This Row],[Lucro p/Ação]]&gt;0,Tabela8[[#This Row],[Total Exercício]]/Tabela8[[#This Row],[Lucro p/Ação]],0))</f>
        <v>0</v>
      </c>
      <c r="M65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-6.5625000000000405E-3</v>
      </c>
      <c r="N65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0.55374999999999996</v>
      </c>
      <c r="O653" s="19">
        <f>IF(Tabela8[[#This Row],[Média Lucro p/Ação]]&lt;&gt;"",Tabela8[[#This Row],[Média Pago]]/Tabela8[[#This Row],[Média Lucro p/Ação]],"")</f>
        <v>-84.380952380951854</v>
      </c>
      <c r="P6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3" s="134">
        <f>SUMPRODUCT(N(Tabela1[Código]=Tabela8[[#This Row],[Papel]]),Tabela1[Fechamento])</f>
        <v>15</v>
      </c>
      <c r="R653" s="7">
        <f>SUMPRODUCT(N(Tabela17[Código]=Tabela8[[#This Row],[Papel]]),Tabela17[Fechamento])</f>
        <v>0</v>
      </c>
      <c r="S653" s="7">
        <f>SUMPRODUCT(N(Tabela176[Código]=Tabela8[[#This Row],[Papel]]),Tabela176[Fechamento])</f>
        <v>0</v>
      </c>
      <c r="T653" s="7">
        <f>SUMPRODUCT(N(Tabela1768[Código]=Tabela8[[#This Row],[Papel]]),Tabela1768[Fechamento])</f>
        <v>0</v>
      </c>
      <c r="U653" s="7">
        <f>SUMPRODUCT(N(Tabela17683[Código]=Tabela8[[#This Row],[Papel]]),Tabela17683[Fechamento])</f>
        <v>0</v>
      </c>
      <c r="V653" s="7">
        <f>IF(MAX(Tabela8[[#This Row],[Cotação 1]]:Tabela8[[#This Row],[Cotação 5]])=0,"",MAX(Tabela8[[#This Row],[Cotação 1]]:Tabela8[[#This Row],[Cotação 5]]))</f>
        <v>15</v>
      </c>
      <c r="W6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3" s="19">
        <f>IF(AND([Ref]=5,[Cotação]&gt;0,[Cotação]&lt;&gt;""),[Total Exercício]/[Cotação],IF([Ref]&lt;4,0,""))</f>
        <v>0</v>
      </c>
      <c r="Y653" s="14">
        <f>IF([Tipo]="div",1,0)</f>
        <v>0</v>
      </c>
      <c r="Z653" s="14">
        <f>IF([Tipo]="jcp",1,0)</f>
        <v>0</v>
      </c>
    </row>
    <row r="654" spans="1:26" hidden="1">
      <c r="A654" s="4" t="s">
        <v>12</v>
      </c>
      <c r="B654" s="3" t="s">
        <v>1</v>
      </c>
      <c r="C654" s="16">
        <v>5</v>
      </c>
      <c r="D654" s="14">
        <v>2004</v>
      </c>
      <c r="F654" s="133">
        <f>0.00013*250</f>
        <v>3.2499999999999994E-2</v>
      </c>
      <c r="J654" s="134">
        <f>IF(Tabela8[[#This Row],[Tipo]]="jcp",Tabela8[[#This Row],[Provento p/Ação]]*85%,Tabela8[[#This Row],[Provento p/Ação]])</f>
        <v>0</v>
      </c>
      <c r="K654" s="133">
        <f>IF([Lucro p/Ação]&lt;&gt;0,SUMPRODUCT(N([Papel]=Tabela8[[#This Row],[Papel]]),N([Exercício]=Tabela8[[#This Row],[Exercício]]),[Líquido p/Ação]),"")</f>
        <v>0</v>
      </c>
      <c r="L654" s="42">
        <f>IF(Tabela8[[#This Row],[Lucro p/Ação]]="","",IF(Tabela8[[#This Row],[Lucro p/Ação]]&gt;0,Tabela8[[#This Row],[Total Exercício]]/Tabela8[[#This Row],[Lucro p/Ação]],0))</f>
        <v>0</v>
      </c>
      <c r="M65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-6.5625000000000405E-3</v>
      </c>
      <c r="N65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0.60879687500000002</v>
      </c>
      <c r="O654" s="19">
        <f>IF(Tabela8[[#This Row],[Média Lucro p/Ação]]&lt;&gt;"",Tabela8[[#This Row],[Média Pago]]/Tabela8[[#This Row],[Média Lucro p/Ação]],"")</f>
        <v>-92.769047619047043</v>
      </c>
      <c r="P6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4" s="134">
        <f>SUMPRODUCT(N(Tabela1[Código]=Tabela8[[#This Row],[Papel]]),Tabela1[Fechamento])</f>
        <v>7.94</v>
      </c>
      <c r="R654" s="17">
        <f>SUMPRODUCT(N(Tabela17[Código]=Tabela8[[#This Row],[Papel]]),Tabela17[Fechamento])</f>
        <v>0</v>
      </c>
      <c r="S654" s="17">
        <f>SUMPRODUCT(N(Tabela176[Código]=Tabela8[[#This Row],[Papel]]),Tabela176[Fechamento])</f>
        <v>0</v>
      </c>
      <c r="T654" s="17">
        <f>SUMPRODUCT(N(Tabela1768[Código]=Tabela8[[#This Row],[Papel]]),Tabela1768[Fechamento])</f>
        <v>0</v>
      </c>
      <c r="U654" s="17">
        <f>SUMPRODUCT(N(Tabela17683[Código]=Tabela8[[#This Row],[Papel]]),Tabela17683[Fechamento])</f>
        <v>0</v>
      </c>
      <c r="V654" s="17">
        <f>IF(MAX(Tabela8[[#This Row],[Cotação 1]]:Tabela8[[#This Row],[Cotação 5]])=0,"",MAX(Tabela8[[#This Row],[Cotação 1]]:Tabela8[[#This Row],[Cotação 5]]))</f>
        <v>7.94</v>
      </c>
      <c r="W6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4" s="19">
        <f>IF(AND([Ref]=5,[Cotação]&gt;0,[Cotação]&lt;&gt;""),[Total Exercício]/[Cotação],IF([Ref]&lt;4,0,""))</f>
        <v>0</v>
      </c>
      <c r="Y654" s="14">
        <f>IF([Tipo]="div",1,0)</f>
        <v>0</v>
      </c>
      <c r="Z654" s="14">
        <f>IF([Tipo]="jcp",1,0)</f>
        <v>0</v>
      </c>
    </row>
    <row r="655" spans="1:26" hidden="1">
      <c r="A655" s="4" t="s">
        <v>12</v>
      </c>
      <c r="B655" s="3" t="s">
        <v>162</v>
      </c>
      <c r="C655" s="15">
        <v>5</v>
      </c>
      <c r="D655" s="14">
        <v>2005</v>
      </c>
      <c r="F655" s="133">
        <f>-0.00441*250</f>
        <v>-1.1025</v>
      </c>
      <c r="J655" s="134">
        <f>IF(Tabela8[[#This Row],[Tipo]]="jcp",Tabela8[[#This Row],[Provento p/Ação]]*85%,Tabela8[[#This Row],[Provento p/Ação]])</f>
        <v>0</v>
      </c>
      <c r="K655" s="133">
        <f>IF([Lucro p/Ação]&lt;&gt;0,SUMPRODUCT(N([Papel]=Tabela8[[#This Row],[Papel]]),N([Exercício]=Tabela8[[#This Row],[Exercício]]),[Líquido p/Ação]),"")</f>
        <v>0</v>
      </c>
      <c r="L655" s="42">
        <f>IF(Tabela8[[#This Row],[Lucro p/Ação]]="","",IF(Tabela8[[#This Row],[Lucro p/Ação]]&gt;0,Tabela8[[#This Row],[Total Exercício]]/Tabela8[[#This Row],[Lucro p/Ação]],0))</f>
        <v>0</v>
      </c>
      <c r="M65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-0.12833333333333335</v>
      </c>
      <c r="N65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0.49222222222222217</v>
      </c>
      <c r="O655" s="19">
        <f>IF(Tabela8[[#This Row],[Média Lucro p/Ação]]&lt;&gt;"",Tabela8[[#This Row],[Média Pago]]/Tabela8[[#This Row],[Média Lucro p/Ação]],"")</f>
        <v>-3.8354978354978346</v>
      </c>
      <c r="P6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5" s="134">
        <f>SUMPRODUCT(N(Tabela1[Código]=Tabela8[[#This Row],[Papel]]),Tabela1[Fechamento])</f>
        <v>15</v>
      </c>
      <c r="R655" s="7">
        <f>SUMPRODUCT(N(Tabela17[Código]=Tabela8[[#This Row],[Papel]]),Tabela17[Fechamento])</f>
        <v>0</v>
      </c>
      <c r="S655" s="7">
        <f>SUMPRODUCT(N(Tabela176[Código]=Tabela8[[#This Row],[Papel]]),Tabela176[Fechamento])</f>
        <v>0</v>
      </c>
      <c r="T655" s="7">
        <f>SUMPRODUCT(N(Tabela1768[Código]=Tabela8[[#This Row],[Papel]]),Tabela1768[Fechamento])</f>
        <v>0</v>
      </c>
      <c r="U655" s="7">
        <f>SUMPRODUCT(N(Tabela17683[Código]=Tabela8[[#This Row],[Papel]]),Tabela17683[Fechamento])</f>
        <v>0</v>
      </c>
      <c r="V655" s="7">
        <f>IF(MAX(Tabela8[[#This Row],[Cotação 1]]:Tabela8[[#This Row],[Cotação 5]])=0,"",MAX(Tabela8[[#This Row],[Cotação 1]]:Tabela8[[#This Row],[Cotação 5]]))</f>
        <v>15</v>
      </c>
      <c r="W6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5" s="19">
        <f>IF(AND([Ref]=5,[Cotação]&gt;0,[Cotação]&lt;&gt;""),[Total Exercício]/[Cotação],IF([Ref]&lt;4,0,""))</f>
        <v>0</v>
      </c>
      <c r="Y655" s="14">
        <f>IF([Tipo]="div",1,0)</f>
        <v>0</v>
      </c>
      <c r="Z655" s="14">
        <f>IF([Tipo]="jcp",1,0)</f>
        <v>0</v>
      </c>
    </row>
    <row r="656" spans="1:26" hidden="1">
      <c r="A656" s="4" t="s">
        <v>12</v>
      </c>
      <c r="B656" s="3" t="s">
        <v>1</v>
      </c>
      <c r="C656" s="16">
        <v>5</v>
      </c>
      <c r="D656" s="14">
        <v>2005</v>
      </c>
      <c r="F656" s="133">
        <f>-0.00441*250</f>
        <v>-1.1025</v>
      </c>
      <c r="J656" s="134">
        <f>IF(Tabela8[[#This Row],[Tipo]]="jcp",Tabela8[[#This Row],[Provento p/Ação]]*85%,Tabela8[[#This Row],[Provento p/Ação]])</f>
        <v>0</v>
      </c>
      <c r="K656" s="133">
        <f>IF([Lucro p/Ação]&lt;&gt;0,SUMPRODUCT(N([Papel]=Tabela8[[#This Row],[Papel]]),N([Exercício]=Tabela8[[#This Row],[Exercício]]),[Líquido p/Ação]),"")</f>
        <v>0</v>
      </c>
      <c r="L656" s="42">
        <f>IF(Tabela8[[#This Row],[Lucro p/Ação]]="","",IF(Tabela8[[#This Row],[Lucro p/Ação]]&gt;0,Tabela8[[#This Row],[Total Exercício]]/Tabela8[[#This Row],[Lucro p/Ação]],0))</f>
        <v>0</v>
      </c>
      <c r="M65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-0.12833333333333335</v>
      </c>
      <c r="N65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0.54115277777777782</v>
      </c>
      <c r="O656" s="19">
        <f>IF(Tabela8[[#This Row],[Média Lucro p/Ação]]&lt;&gt;"",Tabela8[[#This Row],[Média Pago]]/Tabela8[[#This Row],[Média Lucro p/Ação]],"")</f>
        <v>-4.2167748917748913</v>
      </c>
      <c r="P6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6" s="134">
        <f>SUMPRODUCT(N(Tabela1[Código]=Tabela8[[#This Row],[Papel]]),Tabela1[Fechamento])</f>
        <v>7.94</v>
      </c>
      <c r="R656" s="17">
        <f>SUMPRODUCT(N(Tabela17[Código]=Tabela8[[#This Row],[Papel]]),Tabela17[Fechamento])</f>
        <v>0</v>
      </c>
      <c r="S656" s="17">
        <f>SUMPRODUCT(N(Tabela176[Código]=Tabela8[[#This Row],[Papel]]),Tabela176[Fechamento])</f>
        <v>0</v>
      </c>
      <c r="T656" s="17">
        <f>SUMPRODUCT(N(Tabela1768[Código]=Tabela8[[#This Row],[Papel]]),Tabela1768[Fechamento])</f>
        <v>0</v>
      </c>
      <c r="U656" s="17">
        <f>SUMPRODUCT(N(Tabela17683[Código]=Tabela8[[#This Row],[Papel]]),Tabela17683[Fechamento])</f>
        <v>0</v>
      </c>
      <c r="V656" s="17">
        <f>IF(MAX(Tabela8[[#This Row],[Cotação 1]]:Tabela8[[#This Row],[Cotação 5]])=0,"",MAX(Tabela8[[#This Row],[Cotação 1]]:Tabela8[[#This Row],[Cotação 5]]))</f>
        <v>7.94</v>
      </c>
      <c r="W6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6" s="19">
        <f>IF(AND([Ref]=5,[Cotação]&gt;0,[Cotação]&lt;&gt;""),[Total Exercício]/[Cotação],IF([Ref]&lt;4,0,""))</f>
        <v>0</v>
      </c>
      <c r="Y656" s="14">
        <f>IF([Tipo]="div",1,0)</f>
        <v>0</v>
      </c>
      <c r="Z656" s="14">
        <f>IF([Tipo]="jcp",1,0)</f>
        <v>0</v>
      </c>
    </row>
    <row r="657" spans="1:26" hidden="1">
      <c r="A657" s="4" t="s">
        <v>12</v>
      </c>
      <c r="B657" s="3" t="s">
        <v>162</v>
      </c>
      <c r="C657" s="15">
        <v>5</v>
      </c>
      <c r="D657" s="14">
        <v>2006</v>
      </c>
      <c r="F657" s="133">
        <f>0.00892*250</f>
        <v>2.2300000000000004</v>
      </c>
      <c r="J657" s="134">
        <f>IF(Tabela8[[#This Row],[Tipo]]="jcp",Tabela8[[#This Row],[Provento p/Ação]]*85%,Tabela8[[#This Row],[Provento p/Ação]])</f>
        <v>0</v>
      </c>
      <c r="K657" s="133">
        <f>IF([Lucro p/Ação]&lt;&gt;0,SUMPRODUCT(N([Papel]=Tabela8[[#This Row],[Papel]]),N([Exercício]=Tabela8[[#This Row],[Exercício]]),[Líquido p/Ação]),"")</f>
        <v>0</v>
      </c>
      <c r="L657" s="42">
        <f>IF(Tabela8[[#This Row],[Lucro p/Ação]]="","",IF(Tabela8[[#This Row],[Lucro p/Ação]]&gt;0,Tabela8[[#This Row],[Total Exercício]]/Tabela8[[#This Row],[Lucro p/Ação]],0))</f>
        <v>0</v>
      </c>
      <c r="M65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0.10750000000000001</v>
      </c>
      <c r="N65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0.44299999999999995</v>
      </c>
      <c r="O657" s="19">
        <f>IF(Tabela8[[#This Row],[Média Lucro p/Ação]]&lt;&gt;"",Tabela8[[#This Row],[Média Pago]]/Tabela8[[#This Row],[Média Lucro p/Ação]],"")</f>
        <v>4.1209302325581385</v>
      </c>
      <c r="P6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7" s="134">
        <f>SUMPRODUCT(N(Tabela1[Código]=Tabela8[[#This Row],[Papel]]),Tabela1[Fechamento])</f>
        <v>15</v>
      </c>
      <c r="R657" s="7">
        <f>SUMPRODUCT(N(Tabela17[Código]=Tabela8[[#This Row],[Papel]]),Tabela17[Fechamento])</f>
        <v>0</v>
      </c>
      <c r="S657" s="7">
        <f>SUMPRODUCT(N(Tabela176[Código]=Tabela8[[#This Row],[Papel]]),Tabela176[Fechamento])</f>
        <v>0</v>
      </c>
      <c r="T657" s="7">
        <f>SUMPRODUCT(N(Tabela1768[Código]=Tabela8[[#This Row],[Papel]]),Tabela1768[Fechamento])</f>
        <v>0</v>
      </c>
      <c r="U657" s="7">
        <f>SUMPRODUCT(N(Tabela17683[Código]=Tabela8[[#This Row],[Papel]]),Tabela17683[Fechamento])</f>
        <v>0</v>
      </c>
      <c r="V657" s="7">
        <f>IF(MAX(Tabela8[[#This Row],[Cotação 1]]:Tabela8[[#This Row],[Cotação 5]])=0,"",MAX(Tabela8[[#This Row],[Cotação 1]]:Tabela8[[#This Row],[Cotação 5]]))</f>
        <v>15</v>
      </c>
      <c r="W6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7" s="19">
        <f>IF(AND([Ref]=5,[Cotação]&gt;0,[Cotação]&lt;&gt;""),[Total Exercício]/[Cotação],IF([Ref]&lt;4,0,""))</f>
        <v>0</v>
      </c>
      <c r="Y657" s="14">
        <f>IF([Tipo]="div",1,0)</f>
        <v>0</v>
      </c>
      <c r="Z657" s="14">
        <f>IF([Tipo]="jcp",1,0)</f>
        <v>0</v>
      </c>
    </row>
    <row r="658" spans="1:26" hidden="1">
      <c r="A658" s="4" t="s">
        <v>12</v>
      </c>
      <c r="B658" s="3" t="s">
        <v>1</v>
      </c>
      <c r="C658" s="16">
        <v>5</v>
      </c>
      <c r="D658" s="14">
        <v>2006</v>
      </c>
      <c r="F658" s="133">
        <f>0.00892*250</f>
        <v>2.2300000000000004</v>
      </c>
      <c r="J658" s="134">
        <f>IF(Tabela8[[#This Row],[Tipo]]="jcp",Tabela8[[#This Row],[Provento p/Ação]]*85%,Tabela8[[#This Row],[Provento p/Ação]])</f>
        <v>0</v>
      </c>
      <c r="K658" s="133">
        <f>IF([Lucro p/Ação]&lt;&gt;0,SUMPRODUCT(N([Papel]=Tabela8[[#This Row],[Papel]]),N([Exercício]=Tabela8[[#This Row],[Exercício]]),[Líquido p/Ação]),"")</f>
        <v>0</v>
      </c>
      <c r="L658" s="42">
        <f>IF(Tabela8[[#This Row],[Lucro p/Ação]]="","",IF(Tabela8[[#This Row],[Lucro p/Ação]]&gt;0,Tabela8[[#This Row],[Total Exercício]]/Tabela8[[#This Row],[Lucro p/Ação]],0))</f>
        <v>0</v>
      </c>
      <c r="M65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0.10750000000000001</v>
      </c>
      <c r="N65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0.48703750000000001</v>
      </c>
      <c r="O658" s="19">
        <f>IF(Tabela8[[#This Row],[Média Lucro p/Ação]]&lt;&gt;"",Tabela8[[#This Row],[Média Pago]]/Tabela8[[#This Row],[Média Lucro p/Ação]],"")</f>
        <v>4.530581395348837</v>
      </c>
      <c r="P6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8" s="134">
        <f>SUMPRODUCT(N(Tabela1[Código]=Tabela8[[#This Row],[Papel]]),Tabela1[Fechamento])</f>
        <v>7.94</v>
      </c>
      <c r="R658" s="17">
        <f>SUMPRODUCT(N(Tabela17[Código]=Tabela8[[#This Row],[Papel]]),Tabela17[Fechamento])</f>
        <v>0</v>
      </c>
      <c r="S658" s="17">
        <f>SUMPRODUCT(N(Tabela176[Código]=Tabela8[[#This Row],[Papel]]),Tabela176[Fechamento])</f>
        <v>0</v>
      </c>
      <c r="T658" s="17">
        <f>SUMPRODUCT(N(Tabela1768[Código]=Tabela8[[#This Row],[Papel]]),Tabela1768[Fechamento])</f>
        <v>0</v>
      </c>
      <c r="U658" s="17">
        <f>SUMPRODUCT(N(Tabela17683[Código]=Tabela8[[#This Row],[Papel]]),Tabela17683[Fechamento])</f>
        <v>0</v>
      </c>
      <c r="V658" s="17">
        <f>IF(MAX(Tabela8[[#This Row],[Cotação 1]]:Tabela8[[#This Row],[Cotação 5]])=0,"",MAX(Tabela8[[#This Row],[Cotação 1]]:Tabela8[[#This Row],[Cotação 5]]))</f>
        <v>7.94</v>
      </c>
      <c r="W6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8" s="19">
        <f>IF(AND([Ref]=5,[Cotação]&gt;0,[Cotação]&lt;&gt;""),[Total Exercício]/[Cotação],IF([Ref]&lt;4,0,""))</f>
        <v>0</v>
      </c>
      <c r="Y658" s="14">
        <f>IF([Tipo]="div",1,0)</f>
        <v>0</v>
      </c>
      <c r="Z658" s="14">
        <f>IF([Tipo]="jcp",1,0)</f>
        <v>0</v>
      </c>
    </row>
    <row r="659" spans="1:26" hidden="1">
      <c r="A659" s="4" t="s">
        <v>12</v>
      </c>
      <c r="B659" s="3" t="s">
        <v>162</v>
      </c>
      <c r="C659" s="15">
        <v>4</v>
      </c>
      <c r="D659" s="14">
        <v>2007</v>
      </c>
      <c r="E659" s="14" t="s">
        <v>1468</v>
      </c>
      <c r="G659" s="145">
        <v>39304</v>
      </c>
      <c r="H659" s="46">
        <v>39328</v>
      </c>
      <c r="I659" s="133">
        <f>0.0101*250</f>
        <v>2.5249999999999999</v>
      </c>
      <c r="J659" s="134">
        <f>IF(Tabela8[[#This Row],[Tipo]]="jcp",Tabela8[[#This Row],[Provento p/Ação]]*85%,Tabela8[[#This Row],[Provento p/Ação]])</f>
        <v>2.5249999999999999</v>
      </c>
      <c r="K659" s="133" t="str">
        <f>IF([Lucro p/Ação]&lt;&gt;0,SUMPRODUCT(N([Papel]=Tabela8[[#This Row],[Papel]]),N([Exercício]=Tabela8[[#This Row],[Exercício]]),[Líquido p/Ação]),"")</f>
        <v/>
      </c>
      <c r="L659" s="42" t="str">
        <f>IF(Tabela8[[#This Row],[Lucro p/Ação]]="","",IF(Tabela8[[#This Row],[Lucro p/Ação]]&gt;0,Tabela8[[#This Row],[Total Exercício]]/Tabela8[[#This Row],[Lucro p/Ação]],0))</f>
        <v/>
      </c>
      <c r="M6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5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59" s="19" t="str">
        <f>IF(Tabela8[[#This Row],[Média Lucro p/Ação]]&lt;&gt;"",Tabela8[[#This Row],[Média Pago]]/Tabela8[[#This Row],[Média Lucro p/Ação]],"")</f>
        <v/>
      </c>
      <c r="P6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59" s="134">
        <f>SUMPRODUCT(N(Tabela1[Código]=Tabela8[[#This Row],[Papel]]),Tabela1[Fechamento])</f>
        <v>15</v>
      </c>
      <c r="R659" s="7">
        <f>SUMPRODUCT(N(Tabela17[Código]=Tabela8[[#This Row],[Papel]]),Tabela17[Fechamento])</f>
        <v>0</v>
      </c>
      <c r="S659" s="7">
        <f>SUMPRODUCT(N(Tabela176[Código]=Tabela8[[#This Row],[Papel]]),Tabela176[Fechamento])</f>
        <v>0</v>
      </c>
      <c r="T659" s="7">
        <f>SUMPRODUCT(N(Tabela1768[Código]=Tabela8[[#This Row],[Papel]]),Tabela1768[Fechamento])</f>
        <v>0</v>
      </c>
      <c r="U659" s="7">
        <f>SUMPRODUCT(N(Tabela17683[Código]=Tabela8[[#This Row],[Papel]]),Tabela17683[Fechamento])</f>
        <v>0</v>
      </c>
      <c r="V659" s="7">
        <f>IF(MAX(Tabela8[[#This Row],[Cotação 1]]:Tabela8[[#This Row],[Cotação 5]])=0,"",MAX(Tabela8[[#This Row],[Cotação 1]]:Tabela8[[#This Row],[Cotação 5]]))</f>
        <v>15</v>
      </c>
      <c r="W6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59" s="19" t="str">
        <f>IF(AND([Ref]=5,[Cotação]&gt;0,[Cotação]&lt;&gt;""),[Total Exercício]/[Cotação],IF([Ref]&lt;4,0,""))</f>
        <v/>
      </c>
      <c r="Y659" s="14">
        <f>IF([Tipo]="div",1,0)</f>
        <v>1</v>
      </c>
      <c r="Z659" s="14">
        <f>IF([Tipo]="jcp",1,0)</f>
        <v>0</v>
      </c>
    </row>
    <row r="660" spans="1:26" hidden="1">
      <c r="A660" s="4" t="s">
        <v>12</v>
      </c>
      <c r="B660" s="3" t="s">
        <v>1</v>
      </c>
      <c r="C660" s="15">
        <v>4</v>
      </c>
      <c r="D660" s="14">
        <v>2007</v>
      </c>
      <c r="E660" s="14" t="s">
        <v>1468</v>
      </c>
      <c r="G660" s="145">
        <v>39304</v>
      </c>
      <c r="H660" s="46">
        <v>39328</v>
      </c>
      <c r="I660" s="133">
        <f>0.01209*250</f>
        <v>3.0225</v>
      </c>
      <c r="J660" s="134">
        <f>IF(Tabela8[[#This Row],[Tipo]]="jcp",Tabela8[[#This Row],[Provento p/Ação]]*85%,Tabela8[[#This Row],[Provento p/Ação]])</f>
        <v>3.0225</v>
      </c>
      <c r="K660" s="133" t="str">
        <f>IF([Lucro p/Ação]&lt;&gt;0,SUMPRODUCT(N([Papel]=Tabela8[[#This Row],[Papel]]),N([Exercício]=Tabela8[[#This Row],[Exercício]]),[Líquido p/Ação]),"")</f>
        <v/>
      </c>
      <c r="L660" s="42" t="str">
        <f>IF(Tabela8[[#This Row],[Lucro p/Ação]]="","",IF(Tabela8[[#This Row],[Lucro p/Ação]]&gt;0,Tabela8[[#This Row],[Total Exercício]]/Tabela8[[#This Row],[Lucro p/Ação]],0))</f>
        <v/>
      </c>
      <c r="M6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0" s="19" t="str">
        <f>IF(Tabela8[[#This Row],[Média Lucro p/Ação]]&lt;&gt;"",Tabela8[[#This Row],[Média Pago]]/Tabela8[[#This Row],[Média Lucro p/Ação]],"")</f>
        <v/>
      </c>
      <c r="P6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0" s="134">
        <f>SUMPRODUCT(N(Tabela1[Código]=Tabela8[[#This Row],[Papel]]),Tabela1[Fechamento])</f>
        <v>7.94</v>
      </c>
      <c r="R660" s="7">
        <f>SUMPRODUCT(N(Tabela17[Código]=Tabela8[[#This Row],[Papel]]),Tabela17[Fechamento])</f>
        <v>0</v>
      </c>
      <c r="S660" s="7">
        <f>SUMPRODUCT(N(Tabela176[Código]=Tabela8[[#This Row],[Papel]]),Tabela176[Fechamento])</f>
        <v>0</v>
      </c>
      <c r="T660" s="7">
        <f>SUMPRODUCT(N(Tabela1768[Código]=Tabela8[[#This Row],[Papel]]),Tabela1768[Fechamento])</f>
        <v>0</v>
      </c>
      <c r="U660" s="7">
        <f>SUMPRODUCT(N(Tabela17683[Código]=Tabela8[[#This Row],[Papel]]),Tabela17683[Fechamento])</f>
        <v>0</v>
      </c>
      <c r="V660" s="7">
        <f>IF(MAX(Tabela8[[#This Row],[Cotação 1]]:Tabela8[[#This Row],[Cotação 5]])=0,"",MAX(Tabela8[[#This Row],[Cotação 1]]:Tabela8[[#This Row],[Cotação 5]]))</f>
        <v>7.94</v>
      </c>
      <c r="W6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0" s="19" t="str">
        <f>IF(AND([Ref]=5,[Cotação]&gt;0,[Cotação]&lt;&gt;""),[Total Exercício]/[Cotação],IF([Ref]&lt;4,0,""))</f>
        <v/>
      </c>
      <c r="Y660" s="14">
        <f>IF([Tipo]="div",1,0)</f>
        <v>1</v>
      </c>
      <c r="Z660" s="14">
        <f>IF([Tipo]="jcp",1,0)</f>
        <v>0</v>
      </c>
    </row>
    <row r="661" spans="1:26" hidden="1">
      <c r="A661" s="4" t="s">
        <v>12</v>
      </c>
      <c r="B661" s="3" t="s">
        <v>162</v>
      </c>
      <c r="C661" s="15">
        <v>4</v>
      </c>
      <c r="D661" s="14">
        <v>2007</v>
      </c>
      <c r="E661" s="4" t="s">
        <v>1475</v>
      </c>
      <c r="G661" s="145">
        <v>39525</v>
      </c>
      <c r="H661" s="46">
        <v>39576</v>
      </c>
      <c r="I661" s="133">
        <f>0.00153*250</f>
        <v>0.38249999999999995</v>
      </c>
      <c r="J661" s="134">
        <f>IF(Tabela8[[#This Row],[Tipo]]="jcp",Tabela8[[#This Row],[Provento p/Ação]]*85%,Tabela8[[#This Row],[Provento p/Ação]])</f>
        <v>0.32512499999999994</v>
      </c>
      <c r="K661" s="133" t="str">
        <f>IF([Lucro p/Ação]&lt;&gt;0,SUMPRODUCT(N([Papel]=Tabela8[[#This Row],[Papel]]),N([Exercício]=Tabela8[[#This Row],[Exercício]]),[Líquido p/Ação]),"")</f>
        <v/>
      </c>
      <c r="L661" s="42" t="str">
        <f>IF(Tabela8[[#This Row],[Lucro p/Ação]]="","",IF(Tabela8[[#This Row],[Lucro p/Ação]]&gt;0,Tabela8[[#This Row],[Total Exercício]]/Tabela8[[#This Row],[Lucro p/Ação]],0))</f>
        <v/>
      </c>
      <c r="M6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1" s="19" t="str">
        <f>IF(Tabela8[[#This Row],[Média Lucro p/Ação]]&lt;&gt;"",Tabela8[[#This Row],[Média Pago]]/Tabela8[[#This Row],[Média Lucro p/Ação]],"")</f>
        <v/>
      </c>
      <c r="P6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1" s="134">
        <f>SUMPRODUCT(N(Tabela1[Código]=Tabela8[[#This Row],[Papel]]),Tabela1[Fechamento])</f>
        <v>15</v>
      </c>
      <c r="R661" s="7">
        <f>SUMPRODUCT(N(Tabela17[Código]=Tabela8[[#This Row],[Papel]]),Tabela17[Fechamento])</f>
        <v>0</v>
      </c>
      <c r="S661" s="7">
        <f>SUMPRODUCT(N(Tabela176[Código]=Tabela8[[#This Row],[Papel]]),Tabela176[Fechamento])</f>
        <v>0</v>
      </c>
      <c r="T661" s="7">
        <f>SUMPRODUCT(N(Tabela1768[Código]=Tabela8[[#This Row],[Papel]]),Tabela1768[Fechamento])</f>
        <v>0</v>
      </c>
      <c r="U661" s="7">
        <f>SUMPRODUCT(N(Tabela17683[Código]=Tabela8[[#This Row],[Papel]]),Tabela17683[Fechamento])</f>
        <v>0</v>
      </c>
      <c r="V661" s="7">
        <f>IF(MAX(Tabela8[[#This Row],[Cotação 1]]:Tabela8[[#This Row],[Cotação 5]])=0,"",MAX(Tabela8[[#This Row],[Cotação 1]]:Tabela8[[#This Row],[Cotação 5]]))</f>
        <v>15</v>
      </c>
      <c r="W6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1" s="19" t="str">
        <f>IF(AND([Ref]=5,[Cotação]&gt;0,[Cotação]&lt;&gt;""),[Total Exercício]/[Cotação],IF([Ref]&lt;4,0,""))</f>
        <v/>
      </c>
      <c r="Y661" s="14">
        <f>IF([Tipo]="div",1,0)</f>
        <v>0</v>
      </c>
      <c r="Z661" s="14">
        <f>IF([Tipo]="jcp",1,0)</f>
        <v>1</v>
      </c>
    </row>
    <row r="662" spans="1:26" hidden="1">
      <c r="A662" s="4" t="s">
        <v>12</v>
      </c>
      <c r="B662" s="3" t="s">
        <v>1</v>
      </c>
      <c r="C662" s="15">
        <v>4</v>
      </c>
      <c r="D662" s="14">
        <v>2007</v>
      </c>
      <c r="E662" s="4" t="s">
        <v>1475</v>
      </c>
      <c r="G662" s="145">
        <v>39525</v>
      </c>
      <c r="H662" s="46">
        <v>39576</v>
      </c>
      <c r="I662" s="133">
        <f>0.00168*250</f>
        <v>0.42000000000000004</v>
      </c>
      <c r="J662" s="134">
        <f>IF(Tabela8[[#This Row],[Tipo]]="jcp",Tabela8[[#This Row],[Provento p/Ação]]*85%,Tabela8[[#This Row],[Provento p/Ação]])</f>
        <v>0.35700000000000004</v>
      </c>
      <c r="K662" s="133" t="str">
        <f>IF([Lucro p/Ação]&lt;&gt;0,SUMPRODUCT(N([Papel]=Tabela8[[#This Row],[Papel]]),N([Exercício]=Tabela8[[#This Row],[Exercício]]),[Líquido p/Ação]),"")</f>
        <v/>
      </c>
      <c r="L662" s="42" t="str">
        <f>IF(Tabela8[[#This Row],[Lucro p/Ação]]="","",IF(Tabela8[[#This Row],[Lucro p/Ação]]&gt;0,Tabela8[[#This Row],[Total Exercício]]/Tabela8[[#This Row],[Lucro p/Ação]],0))</f>
        <v/>
      </c>
      <c r="M66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2" s="19" t="str">
        <f>IF(Tabela8[[#This Row],[Média Lucro p/Ação]]&lt;&gt;"",Tabela8[[#This Row],[Média Pago]]/Tabela8[[#This Row],[Média Lucro p/Ação]],"")</f>
        <v/>
      </c>
      <c r="P6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2" s="134">
        <f>SUMPRODUCT(N(Tabela1[Código]=Tabela8[[#This Row],[Papel]]),Tabela1[Fechamento])</f>
        <v>7.94</v>
      </c>
      <c r="R662" s="7">
        <f>SUMPRODUCT(N(Tabela17[Código]=Tabela8[[#This Row],[Papel]]),Tabela17[Fechamento])</f>
        <v>0</v>
      </c>
      <c r="S662" s="7">
        <f>SUMPRODUCT(N(Tabela176[Código]=Tabela8[[#This Row],[Papel]]),Tabela176[Fechamento])</f>
        <v>0</v>
      </c>
      <c r="T662" s="7">
        <f>SUMPRODUCT(N(Tabela1768[Código]=Tabela8[[#This Row],[Papel]]),Tabela1768[Fechamento])</f>
        <v>0</v>
      </c>
      <c r="U662" s="7">
        <f>SUMPRODUCT(N(Tabela17683[Código]=Tabela8[[#This Row],[Papel]]),Tabela17683[Fechamento])</f>
        <v>0</v>
      </c>
      <c r="V662" s="7">
        <f>IF(MAX(Tabela8[[#This Row],[Cotação 1]]:Tabela8[[#This Row],[Cotação 5]])=0,"",MAX(Tabela8[[#This Row],[Cotação 1]]:Tabela8[[#This Row],[Cotação 5]]))</f>
        <v>7.94</v>
      </c>
      <c r="W6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2" s="19" t="str">
        <f>IF(AND([Ref]=5,[Cotação]&gt;0,[Cotação]&lt;&gt;""),[Total Exercício]/[Cotação],IF([Ref]&lt;4,0,""))</f>
        <v/>
      </c>
      <c r="Y662" s="14">
        <f>IF([Tipo]="div",1,0)</f>
        <v>0</v>
      </c>
      <c r="Z662" s="14">
        <f>IF([Tipo]="jcp",1,0)</f>
        <v>1</v>
      </c>
    </row>
    <row r="663" spans="1:26" hidden="1">
      <c r="A663" s="4" t="s">
        <v>12</v>
      </c>
      <c r="B663" s="139" t="s">
        <v>2</v>
      </c>
      <c r="C663" s="15">
        <v>4</v>
      </c>
      <c r="D663" s="14">
        <v>2010</v>
      </c>
      <c r="E663" s="4" t="s">
        <v>1468</v>
      </c>
      <c r="G663" s="145">
        <v>40200</v>
      </c>
      <c r="H663" s="46">
        <v>40235</v>
      </c>
      <c r="I663" s="133">
        <v>2.8579400000000001</v>
      </c>
      <c r="J663" s="133">
        <f>IF(Tabela8[[#This Row],[Tipo]]="jcp",Tabela8[[#This Row],[Provento p/Ação]]*85%,Tabela8[[#This Row],[Provento p/Ação]])</f>
        <v>2.8579400000000001</v>
      </c>
      <c r="K663" s="133" t="str">
        <f>IF([Lucro p/Ação]&lt;&gt;0,SUMPRODUCT(N([Papel]=Tabela8[[#This Row],[Papel]]),N([Exercício]=Tabela8[[#This Row],[Exercício]]),[Líquido p/Ação]),"")</f>
        <v/>
      </c>
      <c r="L663" s="42" t="str">
        <f>IF(Tabela8[[#This Row],[Lucro p/Ação]]="","",IF(Tabela8[[#This Row],[Lucro p/Ação]]&gt;0,Tabela8[[#This Row],[Total Exercício]]/Tabela8[[#This Row],[Lucro p/Ação]],0))</f>
        <v/>
      </c>
      <c r="M6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3" s="19" t="str">
        <f>IF(Tabela8[[#This Row],[Média Lucro p/Ação]]&lt;&gt;"",Tabela8[[#This Row],[Média Pago]]/Tabela8[[#This Row],[Média Lucro p/Ação]],"")</f>
        <v/>
      </c>
      <c r="P6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3" s="134">
        <f>SUMPRODUCT(N(Tabela1[Código]=Tabela8[[#This Row],[Papel]]),Tabela1[Fechamento])</f>
        <v>5.35</v>
      </c>
      <c r="R663" s="7">
        <f>SUMPRODUCT(N(Tabela17[Código]=Tabela8[[#This Row],[Papel]]),Tabela17[Fechamento])</f>
        <v>0</v>
      </c>
      <c r="S663" s="7">
        <f>SUMPRODUCT(N(Tabela176[Código]=Tabela8[[#This Row],[Papel]]),Tabela176[Fechamento])</f>
        <v>0</v>
      </c>
      <c r="T663" s="7">
        <f>SUMPRODUCT(N(Tabela1768[Código]=Tabela8[[#This Row],[Papel]]),Tabela1768[Fechamento])</f>
        <v>0</v>
      </c>
      <c r="U663" s="7">
        <f>SUMPRODUCT(N(Tabela17683[Código]=Tabela8[[#This Row],[Papel]]),Tabela17683[Fechamento])</f>
        <v>0</v>
      </c>
      <c r="V663" s="7">
        <f>IF(MAX(Tabela8[[#This Row],[Cotação 1]]:Tabela8[[#This Row],[Cotação 5]])=0,"",MAX(Tabela8[[#This Row],[Cotação 1]]:Tabela8[[#This Row],[Cotação 5]]))</f>
        <v>5.35</v>
      </c>
      <c r="W6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3" s="19" t="str">
        <f>IF(AND([Ref]=5,[Cotação]&gt;0,[Cotação]&lt;&gt;""),[Total Exercício]/[Cotação],IF([Ref]&lt;4,0,""))</f>
        <v/>
      </c>
      <c r="Y663" s="17">
        <f>IF([Tipo]="div",1,0)</f>
        <v>1</v>
      </c>
      <c r="Z663" s="17">
        <f>IF([Tipo]="jcp",1,0)</f>
        <v>0</v>
      </c>
    </row>
    <row r="664" spans="1:26" hidden="1">
      <c r="A664" s="4" t="s">
        <v>12</v>
      </c>
      <c r="B664" s="139" t="s">
        <v>450</v>
      </c>
      <c r="C664" s="15">
        <v>4</v>
      </c>
      <c r="D664" s="14">
        <v>2010</v>
      </c>
      <c r="E664" s="4" t="s">
        <v>1468</v>
      </c>
      <c r="G664" s="145">
        <v>40200</v>
      </c>
      <c r="H664" s="46">
        <v>40235</v>
      </c>
      <c r="I664" s="133">
        <v>3.6338300000000001</v>
      </c>
      <c r="J664" s="133">
        <f>IF(Tabela8[[#This Row],[Tipo]]="jcp",Tabela8[[#This Row],[Provento p/Ação]]*85%,Tabela8[[#This Row],[Provento p/Ação]])</f>
        <v>3.6338300000000001</v>
      </c>
      <c r="K664" s="133" t="str">
        <f>IF([Lucro p/Ação]&lt;&gt;0,SUMPRODUCT(N([Papel]=Tabela8[[#This Row],[Papel]]),N([Exercício]=Tabela8[[#This Row],[Exercício]]),[Líquido p/Ação]),"")</f>
        <v/>
      </c>
      <c r="L664" s="42" t="str">
        <f>IF(Tabela8[[#This Row],[Lucro p/Ação]]="","",IF(Tabela8[[#This Row],[Lucro p/Ação]]&gt;0,Tabela8[[#This Row],[Total Exercício]]/Tabela8[[#This Row],[Lucro p/Ação]],0))</f>
        <v/>
      </c>
      <c r="M6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4" s="19" t="str">
        <f>IF(Tabela8[[#This Row],[Média Lucro p/Ação]]&lt;&gt;"",Tabela8[[#This Row],[Média Pago]]/Tabela8[[#This Row],[Média Lucro p/Ação]],"")</f>
        <v/>
      </c>
      <c r="P6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4" s="134">
        <f>SUMPRODUCT(N(Tabela1[Código]=Tabela8[[#This Row],[Papel]]),Tabela1[Fechamento])</f>
        <v>0</v>
      </c>
      <c r="R664" s="7">
        <f>SUMPRODUCT(N(Tabela17[Código]=Tabela8[[#This Row],[Papel]]),Tabela17[Fechamento])</f>
        <v>23.01</v>
      </c>
      <c r="S664" s="7">
        <f>SUMPRODUCT(N(Tabela176[Código]=Tabela8[[#This Row],[Papel]]),Tabela176[Fechamento])</f>
        <v>0</v>
      </c>
      <c r="T664" s="7">
        <f>SUMPRODUCT(N(Tabela1768[Código]=Tabela8[[#This Row],[Papel]]),Tabela1768[Fechamento])</f>
        <v>0</v>
      </c>
      <c r="U664" s="7">
        <f>SUMPRODUCT(N(Tabela17683[Código]=Tabela8[[#This Row],[Papel]]),Tabela17683[Fechamento])</f>
        <v>0</v>
      </c>
      <c r="V664" s="7">
        <f>IF(MAX(Tabela8[[#This Row],[Cotação 1]]:Tabela8[[#This Row],[Cotação 5]])=0,"",MAX(Tabela8[[#This Row],[Cotação 1]]:Tabela8[[#This Row],[Cotação 5]]))</f>
        <v>23.01</v>
      </c>
      <c r="W6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4" s="19" t="str">
        <f>IF(AND([Ref]=5,[Cotação]&gt;0,[Cotação]&lt;&gt;""),[Total Exercício]/[Cotação],IF([Ref]&lt;4,0,""))</f>
        <v/>
      </c>
      <c r="Y664" s="17">
        <f>IF([Tipo]="div",1,0)</f>
        <v>1</v>
      </c>
      <c r="Z664" s="17">
        <f>IF([Tipo]="jcp",1,0)</f>
        <v>0</v>
      </c>
    </row>
    <row r="665" spans="1:26" hidden="1">
      <c r="A665" s="4" t="s">
        <v>12</v>
      </c>
      <c r="B665" s="131" t="s">
        <v>27</v>
      </c>
      <c r="C665" s="15">
        <v>4</v>
      </c>
      <c r="D665" s="14">
        <v>2010</v>
      </c>
      <c r="E665" s="4" t="s">
        <v>1468</v>
      </c>
      <c r="G665" s="145">
        <v>40200</v>
      </c>
      <c r="H665" s="46">
        <v>40235</v>
      </c>
      <c r="I665" s="133">
        <v>4.5879999999999997E-2</v>
      </c>
      <c r="J665" s="133">
        <f>IF(Tabela8[[#This Row],[Tipo]]="jcp",Tabela8[[#This Row],[Provento p/Ação]]*85%,Tabela8[[#This Row],[Provento p/Ação]])</f>
        <v>4.5879999999999997E-2</v>
      </c>
      <c r="K665" s="133" t="str">
        <f>IF([Lucro p/Ação]&lt;&gt;0,SUMPRODUCT(N([Papel]=Tabela8[[#This Row],[Papel]]),N([Exercício]=Tabela8[[#This Row],[Exercício]]),[Líquido p/Ação]),"")</f>
        <v/>
      </c>
      <c r="L665" s="42" t="str">
        <f>IF(Tabela8[[#This Row],[Lucro p/Ação]]="","",IF(Tabela8[[#This Row],[Lucro p/Ação]]&gt;0,Tabela8[[#This Row],[Total Exercício]]/Tabela8[[#This Row],[Lucro p/Ação]],0))</f>
        <v/>
      </c>
      <c r="M6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6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65" s="19" t="str">
        <f>IF(Tabela8[[#This Row],[Média Lucro p/Ação]]&lt;&gt;"",Tabela8[[#This Row],[Média Pago]]/Tabela8[[#This Row],[Média Lucro p/Ação]],"")</f>
        <v/>
      </c>
      <c r="P6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5" s="134">
        <f>SUMPRODUCT(N(Tabela1[Código]=Tabela8[[#This Row],[Papel]]),Tabela1[Fechamento])</f>
        <v>9.67</v>
      </c>
      <c r="R665" s="17">
        <f>SUMPRODUCT(N(Tabela17[Código]=Tabela8[[#This Row],[Papel]]),Tabela17[Fechamento])</f>
        <v>0</v>
      </c>
      <c r="S665" s="17">
        <f>SUMPRODUCT(N(Tabela176[Código]=Tabela8[[#This Row],[Papel]]),Tabela176[Fechamento])</f>
        <v>0</v>
      </c>
      <c r="T665" s="17">
        <f>SUMPRODUCT(N(Tabela1768[Código]=Tabela8[[#This Row],[Papel]]),Tabela1768[Fechamento])</f>
        <v>0</v>
      </c>
      <c r="U665" s="17">
        <f>SUMPRODUCT(N(Tabela17683[Código]=Tabela8[[#This Row],[Papel]]),Tabela17683[Fechamento])</f>
        <v>0</v>
      </c>
      <c r="V665" s="17">
        <f>IF(MAX(Tabela8[[#This Row],[Cotação 1]]:Tabela8[[#This Row],[Cotação 5]])=0,"",MAX(Tabela8[[#This Row],[Cotação 1]]:Tabela8[[#This Row],[Cotação 5]]))</f>
        <v>9.67</v>
      </c>
      <c r="W6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5" s="19" t="str">
        <f>IF(AND([Ref]=5,[Cotação]&gt;0,[Cotação]&lt;&gt;""),[Total Exercício]/[Cotação],IF([Ref]&lt;4,0,""))</f>
        <v/>
      </c>
      <c r="Y665" s="17">
        <f>IF([Tipo]="div",1,0)</f>
        <v>1</v>
      </c>
      <c r="Z665" s="17">
        <f>IF([Tipo]="jcp",1,0)</f>
        <v>0</v>
      </c>
    </row>
    <row r="666" spans="1:26" hidden="1">
      <c r="A666" s="4" t="s">
        <v>12</v>
      </c>
      <c r="B666" s="139" t="s">
        <v>2</v>
      </c>
      <c r="C666" s="15">
        <v>5</v>
      </c>
      <c r="D666" s="14">
        <v>2010</v>
      </c>
      <c r="E666" s="14" t="s">
        <v>1475</v>
      </c>
      <c r="F666" s="133">
        <v>1.98516</v>
      </c>
      <c r="G666" s="145">
        <v>40298</v>
      </c>
      <c r="H666" s="46">
        <v>40316</v>
      </c>
      <c r="I666" s="133">
        <v>0.42254999999999998</v>
      </c>
      <c r="J666" s="133">
        <f>IF(Tabela8[[#This Row],[Tipo]]="jcp",Tabela8[[#This Row],[Provento p/Ação]]*85%,Tabela8[[#This Row],[Provento p/Ação]])</f>
        <v>0.35916749999999997</v>
      </c>
      <c r="K666" s="133">
        <f>IF([Lucro p/Ação]&lt;&gt;0,SUMPRODUCT(N([Papel]=Tabela8[[#This Row],[Papel]]),N([Exercício]=Tabela8[[#This Row],[Exercício]]),[Líquido p/Ação]),"")</f>
        <v>3.2171075</v>
      </c>
      <c r="L666" s="42">
        <f>IF(Tabela8[[#This Row],[Lucro p/Ação]]="","",IF(Tabela8[[#This Row],[Lucro p/Ação]]&gt;0,Tabela8[[#This Row],[Total Exercício]]/Tabela8[[#This Row],[Lucro p/Ação]],0))</f>
        <v>1.6205784420399363</v>
      </c>
      <c r="M6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1.7285971428571429</v>
      </c>
      <c r="N6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0.22979339285714287</v>
      </c>
      <c r="O666" s="19">
        <f>IF(Tabela8[[#This Row],[Média Lucro p/Ação]]&lt;&gt;"",Tabela8[[#This Row],[Média Pago]]/Tabela8[[#This Row],[Média Lucro p/Ação]],"")</f>
        <v>0.13293634888076045</v>
      </c>
      <c r="P6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6" s="134">
        <f>SUMPRODUCT(N(Tabela1[Código]=Tabela8[[#This Row],[Papel]]),Tabela1[Fechamento])</f>
        <v>5.35</v>
      </c>
      <c r="R666" s="7">
        <f>SUMPRODUCT(N(Tabela17[Código]=Tabela8[[#This Row],[Papel]]),Tabela17[Fechamento])</f>
        <v>0</v>
      </c>
      <c r="S666" s="7">
        <f>SUMPRODUCT(N(Tabela176[Código]=Tabela8[[#This Row],[Papel]]),Tabela176[Fechamento])</f>
        <v>0</v>
      </c>
      <c r="T666" s="7">
        <f>SUMPRODUCT(N(Tabela1768[Código]=Tabela8[[#This Row],[Papel]]),Tabela1768[Fechamento])</f>
        <v>0</v>
      </c>
      <c r="U666" s="7">
        <f>SUMPRODUCT(N(Tabela17683[Código]=Tabela8[[#This Row],[Papel]]),Tabela17683[Fechamento])</f>
        <v>0</v>
      </c>
      <c r="V666" s="7">
        <f>IF(MAX(Tabela8[[#This Row],[Cotação 1]]:Tabela8[[#This Row],[Cotação 5]])=0,"",MAX(Tabela8[[#This Row],[Cotação 1]]:Tabela8[[#This Row],[Cotação 5]]))</f>
        <v>5.35</v>
      </c>
      <c r="W6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6" s="19">
        <f>IF(AND([Ref]=5,[Cotação]&gt;0,[Cotação]&lt;&gt;""),[Total Exercício]/[Cotação],IF([Ref]&lt;4,0,""))</f>
        <v>0.60132850467289722</v>
      </c>
      <c r="Y666" s="17">
        <f>IF([Tipo]="div",1,0)</f>
        <v>0</v>
      </c>
      <c r="Z666" s="17">
        <f>IF([Tipo]="jcp",1,0)</f>
        <v>1</v>
      </c>
    </row>
    <row r="667" spans="1:26" hidden="1">
      <c r="A667" s="4" t="s">
        <v>12</v>
      </c>
      <c r="B667" s="139" t="s">
        <v>450</v>
      </c>
      <c r="C667" s="15">
        <v>5</v>
      </c>
      <c r="D667" s="14">
        <v>2010</v>
      </c>
      <c r="E667" s="14" t="s">
        <v>1475</v>
      </c>
      <c r="F667" s="133">
        <v>1.98516</v>
      </c>
      <c r="G667" s="145">
        <v>40298</v>
      </c>
      <c r="H667" s="46">
        <v>40316</v>
      </c>
      <c r="I667" s="133">
        <v>2.2424300000000001</v>
      </c>
      <c r="J667" s="133">
        <f>IF(Tabela8[[#This Row],[Tipo]]="jcp",Tabela8[[#This Row],[Provento p/Ação]]*85%,Tabela8[[#This Row],[Provento p/Ação]])</f>
        <v>1.9060655</v>
      </c>
      <c r="K667" s="133">
        <f>IF([Lucro p/Ação]&lt;&gt;0,SUMPRODUCT(N([Papel]=Tabela8[[#This Row],[Papel]]),N([Exercício]=Tabela8[[#This Row],[Exercício]]),[Líquido p/Ação]),"")</f>
        <v>5.5398955000000001</v>
      </c>
      <c r="L667" s="42">
        <f>IF(Tabela8[[#This Row],[Lucro p/Ação]]="","",IF(Tabela8[[#This Row],[Lucro p/Ação]]&gt;0,Tabela8[[#This Row],[Total Exercício]]/Tabela8[[#This Row],[Lucro p/Ação]],0))</f>
        <v>2.7906544056902214</v>
      </c>
      <c r="M6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1.7285971428571429</v>
      </c>
      <c r="N66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0.39570682142857144</v>
      </c>
      <c r="O667" s="19">
        <f>IF(Tabela8[[#This Row],[Média Lucro p/Ação]]&lt;&gt;"",Tabela8[[#This Row],[Média Pago]]/Tabela8[[#This Row],[Média Lucro p/Ação]],"")</f>
        <v>0.22891789626270023</v>
      </c>
      <c r="P6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7" s="134">
        <f>SUMPRODUCT(N(Tabela1[Código]=Tabela8[[#This Row],[Papel]]),Tabela1[Fechamento])</f>
        <v>0</v>
      </c>
      <c r="R667" s="7">
        <f>SUMPRODUCT(N(Tabela17[Código]=Tabela8[[#This Row],[Papel]]),Tabela17[Fechamento])</f>
        <v>23.01</v>
      </c>
      <c r="S667" s="7">
        <f>SUMPRODUCT(N(Tabela176[Código]=Tabela8[[#This Row],[Papel]]),Tabela176[Fechamento])</f>
        <v>0</v>
      </c>
      <c r="T667" s="7">
        <f>SUMPRODUCT(N(Tabela1768[Código]=Tabela8[[#This Row],[Papel]]),Tabela1768[Fechamento])</f>
        <v>0</v>
      </c>
      <c r="U667" s="7">
        <f>SUMPRODUCT(N(Tabela17683[Código]=Tabela8[[#This Row],[Papel]]),Tabela17683[Fechamento])</f>
        <v>0</v>
      </c>
      <c r="V667" s="7">
        <f>IF(MAX(Tabela8[[#This Row],[Cotação 1]]:Tabela8[[#This Row],[Cotação 5]])=0,"",MAX(Tabela8[[#This Row],[Cotação 1]]:Tabela8[[#This Row],[Cotação 5]]))</f>
        <v>23.01</v>
      </c>
      <c r="W6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7" s="19">
        <f>IF(AND([Ref]=5,[Cotação]&gt;0,[Cotação]&lt;&gt;""),[Total Exercício]/[Cotação],IF([Ref]&lt;4,0,""))</f>
        <v>0.24076034332898738</v>
      </c>
      <c r="Y667" s="17">
        <f>IF([Tipo]="div",1,0)</f>
        <v>0</v>
      </c>
      <c r="Z667" s="17">
        <f>IF([Tipo]="jcp",1,0)</f>
        <v>1</v>
      </c>
    </row>
    <row r="668" spans="1:26" hidden="1">
      <c r="A668" s="4" t="s">
        <v>12</v>
      </c>
      <c r="B668" s="131" t="s">
        <v>27</v>
      </c>
      <c r="C668" s="15">
        <v>5</v>
      </c>
      <c r="D668" s="14">
        <v>2010</v>
      </c>
      <c r="E668" s="14" t="s">
        <v>1475</v>
      </c>
      <c r="F668" s="133">
        <v>1.98516</v>
      </c>
      <c r="G668" s="145">
        <v>40298</v>
      </c>
      <c r="H668" s="46">
        <v>40316</v>
      </c>
      <c r="I668" s="133">
        <v>1.6818200000000001</v>
      </c>
      <c r="J668" s="133">
        <f>IF(Tabela8[[#This Row],[Tipo]]="jcp",Tabela8[[#This Row],[Provento p/Ação]]*85%,Tabela8[[#This Row],[Provento p/Ação]])</f>
        <v>1.4295470000000001</v>
      </c>
      <c r="K668" s="133">
        <f>IF([Lucro p/Ação]&lt;&gt;0,SUMPRODUCT(N([Papel]=Tabela8[[#This Row],[Papel]]),N([Exercício]=Tabela8[[#This Row],[Exercício]]),[Líquido p/Ação]),"")</f>
        <v>1.475427</v>
      </c>
      <c r="L668" s="42">
        <f>IF(Tabela8[[#This Row],[Lucro p/Ação]]="","",IF(Tabela8[[#This Row],[Lucro p/Ação]]&gt;0,Tabela8[[#This Row],[Total Exercício]]/Tabela8[[#This Row],[Lucro p/Ação]],0))</f>
        <v>0.74322825364202383</v>
      </c>
      <c r="M66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1.7285971428571429</v>
      </c>
      <c r="N66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0.10538764285714286</v>
      </c>
      <c r="O668" s="19">
        <f>IF(Tabela8[[#This Row],[Média Lucro p/Ação]]&lt;&gt;"",Tabela8[[#This Row],[Média Pago]]/Tabela8[[#This Row],[Média Lucro p/Ação]],"")</f>
        <v>6.096715090188741E-2</v>
      </c>
      <c r="P6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8" s="134">
        <f>SUMPRODUCT(N(Tabela1[Código]=Tabela8[[#This Row],[Papel]]),Tabela1[Fechamento])</f>
        <v>9.67</v>
      </c>
      <c r="R668" s="17">
        <f>SUMPRODUCT(N(Tabela17[Código]=Tabela8[[#This Row],[Papel]]),Tabela17[Fechamento])</f>
        <v>0</v>
      </c>
      <c r="S668" s="17">
        <f>SUMPRODUCT(N(Tabela176[Código]=Tabela8[[#This Row],[Papel]]),Tabela176[Fechamento])</f>
        <v>0</v>
      </c>
      <c r="T668" s="17">
        <f>SUMPRODUCT(N(Tabela1768[Código]=Tabela8[[#This Row],[Papel]]),Tabela1768[Fechamento])</f>
        <v>0</v>
      </c>
      <c r="U668" s="17">
        <f>SUMPRODUCT(N(Tabela17683[Código]=Tabela8[[#This Row],[Papel]]),Tabela17683[Fechamento])</f>
        <v>0</v>
      </c>
      <c r="V668" s="17">
        <f>IF(MAX(Tabela8[[#This Row],[Cotação 1]]:Tabela8[[#This Row],[Cotação 5]])=0,"",MAX(Tabela8[[#This Row],[Cotação 1]]:Tabela8[[#This Row],[Cotação 5]]))</f>
        <v>9.67</v>
      </c>
      <c r="W6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8" s="19">
        <f>IF(AND([Ref]=5,[Cotação]&gt;0,[Cotação]&lt;&gt;""),[Total Exercício]/[Cotação],IF([Ref]&lt;4,0,""))</f>
        <v>0.15257776628748707</v>
      </c>
      <c r="Y668" s="17">
        <f>IF([Tipo]="div",1,0)</f>
        <v>0</v>
      </c>
      <c r="Z668" s="17">
        <f>IF([Tipo]="jcp",1,0)</f>
        <v>1</v>
      </c>
    </row>
    <row r="669" spans="1:26" hidden="1">
      <c r="A669" s="4" t="s">
        <v>12</v>
      </c>
      <c r="B669" s="139" t="s">
        <v>2</v>
      </c>
      <c r="C669" s="15">
        <v>5</v>
      </c>
      <c r="D669" s="14">
        <v>2011</v>
      </c>
      <c r="E669" s="14" t="s">
        <v>1475</v>
      </c>
      <c r="F669" s="133">
        <v>2.7594799999999999</v>
      </c>
      <c r="G669" s="145">
        <v>40710</v>
      </c>
      <c r="H669" s="46">
        <v>40723</v>
      </c>
      <c r="I669" s="133">
        <v>0.87736000000000003</v>
      </c>
      <c r="J669" s="134">
        <f>IF(Tabela8[[#This Row],[Tipo]]="jcp",Tabela8[[#This Row],[Provento p/Ação]]*85%,Tabela8[[#This Row],[Provento p/Ação]])</f>
        <v>0.74575599999999997</v>
      </c>
      <c r="K669" s="133">
        <f>IF([Lucro p/Ação]&lt;&gt;0,SUMPRODUCT(N([Papel]=Tabela8[[#This Row],[Papel]]),N([Exercício]=Tabela8[[#This Row],[Exercício]]),[Líquido p/Ação]),"")</f>
        <v>0.74575599999999997</v>
      </c>
      <c r="L669" s="42">
        <f>IF(Tabela8[[#This Row],[Lucro p/Ação]]="","",IF(Tabela8[[#This Row],[Lucro p/Ação]]&gt;0,Tabela8[[#This Row],[Total Exercício]]/Tabela8[[#This Row],[Lucro p/Ação]],0))</f>
        <v>0.2702523663878702</v>
      </c>
      <c r="M66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1.7973226666666666</v>
      </c>
      <c r="N66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0.26419090000000001</v>
      </c>
      <c r="O669" s="19">
        <f>IF(Tabela8[[#This Row],[Média Lucro p/Ação]]&lt;&gt;"",Tabela8[[#This Row],[Média Pago]]/Tabela8[[#This Row],[Média Lucro p/Ação]],"")</f>
        <v>0.14699135825731904</v>
      </c>
      <c r="P6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69" s="134">
        <f>SUMPRODUCT(N(Tabela1[Código]=Tabela8[[#This Row],[Papel]]),Tabela1[Fechamento])</f>
        <v>5.35</v>
      </c>
      <c r="R669" s="7">
        <f>SUMPRODUCT(N(Tabela17[Código]=Tabela8[[#This Row],[Papel]]),Tabela17[Fechamento])</f>
        <v>0</v>
      </c>
      <c r="S669" s="7">
        <f>SUMPRODUCT(N(Tabela176[Código]=Tabela8[[#This Row],[Papel]]),Tabela176[Fechamento])</f>
        <v>0</v>
      </c>
      <c r="T669" s="7">
        <f>SUMPRODUCT(N(Tabela1768[Código]=Tabela8[[#This Row],[Papel]]),Tabela1768[Fechamento])</f>
        <v>0</v>
      </c>
      <c r="U669" s="7">
        <f>SUMPRODUCT(N(Tabela17683[Código]=Tabela8[[#This Row],[Papel]]),Tabela17683[Fechamento])</f>
        <v>0</v>
      </c>
      <c r="V669" s="7">
        <f>IF(MAX(Tabela8[[#This Row],[Cotação 1]]:Tabela8[[#This Row],[Cotação 5]])=0,"",MAX(Tabela8[[#This Row],[Cotação 1]]:Tabela8[[#This Row],[Cotação 5]]))</f>
        <v>5.35</v>
      </c>
      <c r="W6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69" s="19">
        <f>IF(AND([Ref]=5,[Cotação]&gt;0,[Cotação]&lt;&gt;""),[Total Exercício]/[Cotação],IF([Ref]&lt;4,0,""))</f>
        <v>0.13939364485981309</v>
      </c>
      <c r="Y669" s="17">
        <f>IF([Tipo]="div",1,0)</f>
        <v>0</v>
      </c>
      <c r="Z669" s="17">
        <f>IF([Tipo]="jcp",1,0)</f>
        <v>1</v>
      </c>
    </row>
    <row r="670" spans="1:26" hidden="1">
      <c r="A670" s="4" t="s">
        <v>12</v>
      </c>
      <c r="B670" s="139" t="s">
        <v>450</v>
      </c>
      <c r="C670" s="15">
        <v>5</v>
      </c>
      <c r="D670" s="14">
        <v>2011</v>
      </c>
      <c r="E670" s="14" t="s">
        <v>1475</v>
      </c>
      <c r="F670" s="133">
        <v>2.7594799999999999</v>
      </c>
      <c r="G670" s="145">
        <v>40710</v>
      </c>
      <c r="H670" s="46">
        <v>40723</v>
      </c>
      <c r="I670" s="133">
        <v>2.29189</v>
      </c>
      <c r="J670" s="134">
        <f>IF(Tabela8[[#This Row],[Tipo]]="jcp",Tabela8[[#This Row],[Provento p/Ação]]*85%,Tabela8[[#This Row],[Provento p/Ação]])</f>
        <v>1.9481065</v>
      </c>
      <c r="K670" s="133">
        <f>IF([Lucro p/Ação]&lt;&gt;0,SUMPRODUCT(N([Papel]=Tabela8[[#This Row],[Papel]]),N([Exercício]=Tabela8[[#This Row],[Exercício]]),[Líquido p/Ação]),"")</f>
        <v>1.9481065</v>
      </c>
      <c r="L670" s="42">
        <f>IF(Tabela8[[#This Row],[Lucro p/Ação]]="","",IF(Tabela8[[#This Row],[Lucro p/Ação]]&gt;0,Tabela8[[#This Row],[Total Exercício]]/Tabela8[[#This Row],[Lucro p/Ação]],0))</f>
        <v>0.70596869700088427</v>
      </c>
      <c r="M67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1.7973226666666666</v>
      </c>
      <c r="N67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0.4992001333333333</v>
      </c>
      <c r="O670" s="19">
        <f>IF(Tabela8[[#This Row],[Média Lucro p/Ação]]&lt;&gt;"",Tabela8[[#This Row],[Média Pago]]/Tabela8[[#This Row],[Média Lucro p/Ação]],"")</f>
        <v>0.27774652965299496</v>
      </c>
      <c r="P6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0" s="134">
        <f>SUMPRODUCT(N(Tabela1[Código]=Tabela8[[#This Row],[Papel]]),Tabela1[Fechamento])</f>
        <v>0</v>
      </c>
      <c r="R670" s="7">
        <f>SUMPRODUCT(N(Tabela17[Código]=Tabela8[[#This Row],[Papel]]),Tabela17[Fechamento])</f>
        <v>23.01</v>
      </c>
      <c r="S670" s="7">
        <f>SUMPRODUCT(N(Tabela176[Código]=Tabela8[[#This Row],[Papel]]),Tabela176[Fechamento])</f>
        <v>0</v>
      </c>
      <c r="T670" s="7">
        <f>SUMPRODUCT(N(Tabela1768[Código]=Tabela8[[#This Row],[Papel]]),Tabela1768[Fechamento])</f>
        <v>0</v>
      </c>
      <c r="U670" s="7">
        <f>SUMPRODUCT(N(Tabela17683[Código]=Tabela8[[#This Row],[Papel]]),Tabela17683[Fechamento])</f>
        <v>0</v>
      </c>
      <c r="V670" s="7">
        <f>IF(MAX(Tabela8[[#This Row],[Cotação 1]]:Tabela8[[#This Row],[Cotação 5]])=0,"",MAX(Tabela8[[#This Row],[Cotação 1]]:Tabela8[[#This Row],[Cotação 5]]))</f>
        <v>23.01</v>
      </c>
      <c r="W6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0" s="19">
        <f>IF(AND([Ref]=5,[Cotação]&gt;0,[Cotação]&lt;&gt;""),[Total Exercício]/[Cotação],IF([Ref]&lt;4,0,""))</f>
        <v>8.4663472403302908E-2</v>
      </c>
      <c r="Y670" s="17">
        <f>IF([Tipo]="div",1,0)</f>
        <v>0</v>
      </c>
      <c r="Z670" s="17">
        <f>IF([Tipo]="jcp",1,0)</f>
        <v>1</v>
      </c>
    </row>
    <row r="671" spans="1:26" hidden="1">
      <c r="A671" s="4" t="s">
        <v>12</v>
      </c>
      <c r="B671" s="131" t="s">
        <v>27</v>
      </c>
      <c r="C671" s="15">
        <v>5</v>
      </c>
      <c r="D671" s="14">
        <v>2011</v>
      </c>
      <c r="E671" s="14" t="s">
        <v>1475</v>
      </c>
      <c r="F671" s="133">
        <v>2.7594799999999999</v>
      </c>
      <c r="G671" s="145">
        <v>40710</v>
      </c>
      <c r="H671" s="46">
        <v>40723</v>
      </c>
      <c r="I671" s="133">
        <v>1.71892</v>
      </c>
      <c r="J671" s="134">
        <f>IF(Tabela8[[#This Row],[Tipo]]="jcp",Tabela8[[#This Row],[Provento p/Ação]]*85%,Tabela8[[#This Row],[Provento p/Ação]])</f>
        <v>1.461082</v>
      </c>
      <c r="K671" s="133">
        <f>IF([Lucro p/Ação]&lt;&gt;0,SUMPRODUCT(N([Papel]=Tabela8[[#This Row],[Papel]]),N([Exercício]=Tabela8[[#This Row],[Exercício]]),[Líquido p/Ação]),"")</f>
        <v>1.461082</v>
      </c>
      <c r="L671" s="42">
        <f>IF(Tabela8[[#This Row],[Lucro p/Ação]]="","",IF(Tabela8[[#This Row],[Lucro p/Ação]]&gt;0,Tabela8[[#This Row],[Total Exercício]]/Tabela8[[#This Row],[Lucro p/Ação]],0))</f>
        <v>0.52947729282328559</v>
      </c>
      <c r="M67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1.7973226666666666</v>
      </c>
      <c r="N67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0.19576726666666666</v>
      </c>
      <c r="O671" s="19">
        <f>IF(Tabela8[[#This Row],[Média Lucro p/Ação]]&lt;&gt;"",Tabela8[[#This Row],[Média Pago]]/Tabela8[[#This Row],[Média Lucro p/Ação]],"")</f>
        <v>0.108921603392305</v>
      </c>
      <c r="P6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1" s="134">
        <f>SUMPRODUCT(N(Tabela1[Código]=Tabela8[[#This Row],[Papel]]),Tabela1[Fechamento])</f>
        <v>9.67</v>
      </c>
      <c r="R671" s="17">
        <f>SUMPRODUCT(N(Tabela17[Código]=Tabela8[[#This Row],[Papel]]),Tabela17[Fechamento])</f>
        <v>0</v>
      </c>
      <c r="S671" s="17">
        <f>SUMPRODUCT(N(Tabela176[Código]=Tabela8[[#This Row],[Papel]]),Tabela176[Fechamento])</f>
        <v>0</v>
      </c>
      <c r="T671" s="17">
        <f>SUMPRODUCT(N(Tabela1768[Código]=Tabela8[[#This Row],[Papel]]),Tabela1768[Fechamento])</f>
        <v>0</v>
      </c>
      <c r="U671" s="17">
        <f>SUMPRODUCT(N(Tabela17683[Código]=Tabela8[[#This Row],[Papel]]),Tabela17683[Fechamento])</f>
        <v>0</v>
      </c>
      <c r="V671" s="17">
        <f>IF(MAX(Tabela8[[#This Row],[Cotação 1]]:Tabela8[[#This Row],[Cotação 5]])=0,"",MAX(Tabela8[[#This Row],[Cotação 1]]:Tabela8[[#This Row],[Cotação 5]]))</f>
        <v>9.67</v>
      </c>
      <c r="W6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1" s="19">
        <f>IF(AND([Ref]=5,[Cotação]&gt;0,[Cotação]&lt;&gt;""),[Total Exercício]/[Cotação],IF([Ref]&lt;4,0,""))</f>
        <v>0.15109431230610135</v>
      </c>
      <c r="Y671" s="17">
        <f>IF([Tipo]="div",1,0)</f>
        <v>0</v>
      </c>
      <c r="Z671" s="17">
        <f>IF([Tipo]="jcp",1,0)</f>
        <v>1</v>
      </c>
    </row>
    <row r="672" spans="1:26" hidden="1">
      <c r="A672" s="4" t="s">
        <v>12</v>
      </c>
      <c r="B672" s="139" t="s">
        <v>2</v>
      </c>
      <c r="C672" s="15">
        <v>4</v>
      </c>
      <c r="D672" s="14">
        <v>2012</v>
      </c>
      <c r="E672" s="4" t="s">
        <v>1475</v>
      </c>
      <c r="G672" s="145">
        <v>41047</v>
      </c>
      <c r="H672" s="46">
        <v>41058</v>
      </c>
      <c r="I672" s="133">
        <v>1.2800400000000001</v>
      </c>
      <c r="J672" s="134">
        <f>IF(Tabela8[[#This Row],[Tipo]]="jcp",Tabela8[[#This Row],[Provento p/Ação]]*85%,Tabela8[[#This Row],[Provento p/Ação]])</f>
        <v>1.0880339999999999</v>
      </c>
      <c r="K672" s="133" t="str">
        <f>IF([Lucro p/Ação]&lt;&gt;0,SUMPRODUCT(N([Papel]=Tabela8[[#This Row],[Papel]]),N([Exercício]=Tabela8[[#This Row],[Exercício]]),[Líquido p/Ação]),"")</f>
        <v/>
      </c>
      <c r="L672" s="42" t="str">
        <f>IF(Tabela8[[#This Row],[Lucro p/Ação]]="","",IF(Tabela8[[#This Row],[Lucro p/Ação]]&gt;0,Tabela8[[#This Row],[Total Exercício]]/Tabela8[[#This Row],[Lucro p/Ação]],0))</f>
        <v/>
      </c>
      <c r="M67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2" s="19" t="str">
        <f>IF(Tabela8[[#This Row],[Média Lucro p/Ação]]&lt;&gt;"",Tabela8[[#This Row],[Média Pago]]/Tabela8[[#This Row],[Média Lucro p/Ação]],"")</f>
        <v/>
      </c>
      <c r="P6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2" s="134">
        <f>SUMPRODUCT(N(Tabela1[Código]=Tabela8[[#This Row],[Papel]]),Tabela1[Fechamento])</f>
        <v>5.35</v>
      </c>
      <c r="R672" s="7">
        <f>SUMPRODUCT(N(Tabela17[Código]=Tabela8[[#This Row],[Papel]]),Tabela17[Fechamento])</f>
        <v>0</v>
      </c>
      <c r="S672" s="7">
        <f>SUMPRODUCT(N(Tabela176[Código]=Tabela8[[#This Row],[Papel]]),Tabela176[Fechamento])</f>
        <v>0</v>
      </c>
      <c r="T672" s="7">
        <f>SUMPRODUCT(N(Tabela1768[Código]=Tabela8[[#This Row],[Papel]]),Tabela1768[Fechamento])</f>
        <v>0</v>
      </c>
      <c r="U672" s="7">
        <f>SUMPRODUCT(N(Tabela17683[Código]=Tabela8[[#This Row],[Papel]]),Tabela17683[Fechamento])</f>
        <v>0</v>
      </c>
      <c r="V672" s="7">
        <f>IF(MAX(Tabela8[[#This Row],[Cotação 1]]:Tabela8[[#This Row],[Cotação 5]])=0,"",MAX(Tabela8[[#This Row],[Cotação 1]]:Tabela8[[#This Row],[Cotação 5]]))</f>
        <v>5.35</v>
      </c>
      <c r="W6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2" s="19" t="str">
        <f>IF(AND([Ref]=5,[Cotação]&gt;0,[Cotação]&lt;&gt;""),[Total Exercício]/[Cotação],IF([Ref]&lt;4,0,""))</f>
        <v/>
      </c>
      <c r="Y672" s="17">
        <f>IF([Tipo]="div",1,0)</f>
        <v>0</v>
      </c>
      <c r="Z672" s="17">
        <f>IF([Tipo]="jcp",1,0)</f>
        <v>1</v>
      </c>
    </row>
    <row r="673" spans="1:26" hidden="1">
      <c r="A673" s="4" t="s">
        <v>12</v>
      </c>
      <c r="B673" s="139" t="s">
        <v>450</v>
      </c>
      <c r="C673" s="15">
        <v>4</v>
      </c>
      <c r="D673" s="14">
        <v>2012</v>
      </c>
      <c r="E673" s="4" t="s">
        <v>1475</v>
      </c>
      <c r="G673" s="145">
        <v>41047</v>
      </c>
      <c r="H673" s="46">
        <v>41058</v>
      </c>
      <c r="I673" s="133">
        <v>2.2636099999999999</v>
      </c>
      <c r="J673" s="134">
        <f>IF(Tabela8[[#This Row],[Tipo]]="jcp",Tabela8[[#This Row],[Provento p/Ação]]*85%,Tabela8[[#This Row],[Provento p/Ação]])</f>
        <v>1.9240685</v>
      </c>
      <c r="K673" s="133" t="str">
        <f>IF([Lucro p/Ação]&lt;&gt;0,SUMPRODUCT(N([Papel]=Tabela8[[#This Row],[Papel]]),N([Exercício]=Tabela8[[#This Row],[Exercício]]),[Líquido p/Ação]),"")</f>
        <v/>
      </c>
      <c r="L673" s="42" t="str">
        <f>IF(Tabela8[[#This Row],[Lucro p/Ação]]="","",IF(Tabela8[[#This Row],[Lucro p/Ação]]&gt;0,Tabela8[[#This Row],[Total Exercício]]/Tabela8[[#This Row],[Lucro p/Ação]],0))</f>
        <v/>
      </c>
      <c r="M67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3" s="19" t="str">
        <f>IF(Tabela8[[#This Row],[Média Lucro p/Ação]]&lt;&gt;"",Tabela8[[#This Row],[Média Pago]]/Tabela8[[#This Row],[Média Lucro p/Ação]],"")</f>
        <v/>
      </c>
      <c r="P6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3" s="134">
        <f>SUMPRODUCT(N(Tabela1[Código]=Tabela8[[#This Row],[Papel]]),Tabela1[Fechamento])</f>
        <v>0</v>
      </c>
      <c r="R673" s="7">
        <f>SUMPRODUCT(N(Tabela17[Código]=Tabela8[[#This Row],[Papel]]),Tabela17[Fechamento])</f>
        <v>23.01</v>
      </c>
      <c r="S673" s="7">
        <f>SUMPRODUCT(N(Tabela176[Código]=Tabela8[[#This Row],[Papel]]),Tabela176[Fechamento])</f>
        <v>0</v>
      </c>
      <c r="T673" s="7">
        <f>SUMPRODUCT(N(Tabela1768[Código]=Tabela8[[#This Row],[Papel]]),Tabela1768[Fechamento])</f>
        <v>0</v>
      </c>
      <c r="U673" s="7">
        <f>SUMPRODUCT(N(Tabela17683[Código]=Tabela8[[#This Row],[Papel]]),Tabela17683[Fechamento])</f>
        <v>0</v>
      </c>
      <c r="V673" s="7">
        <f>IF(MAX(Tabela8[[#This Row],[Cotação 1]]:Tabela8[[#This Row],[Cotação 5]])=0,"",MAX(Tabela8[[#This Row],[Cotação 1]]:Tabela8[[#This Row],[Cotação 5]]))</f>
        <v>23.01</v>
      </c>
      <c r="W6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3" s="19" t="str">
        <f>IF(AND([Ref]=5,[Cotação]&gt;0,[Cotação]&lt;&gt;""),[Total Exercício]/[Cotação],IF([Ref]&lt;4,0,""))</f>
        <v/>
      </c>
      <c r="Y673" s="17">
        <f>IF([Tipo]="div",1,0)</f>
        <v>0</v>
      </c>
      <c r="Z673" s="17">
        <f>IF([Tipo]="jcp",1,0)</f>
        <v>1</v>
      </c>
    </row>
    <row r="674" spans="1:26" hidden="1">
      <c r="A674" s="4" t="s">
        <v>12</v>
      </c>
      <c r="B674" s="131" t="s">
        <v>27</v>
      </c>
      <c r="C674" s="15">
        <v>4</v>
      </c>
      <c r="D674" s="14">
        <v>2012</v>
      </c>
      <c r="E674" s="4" t="s">
        <v>1475</v>
      </c>
      <c r="G674" s="145">
        <v>41047</v>
      </c>
      <c r="H674" s="46">
        <v>41058</v>
      </c>
      <c r="I674" s="133">
        <v>1.6977</v>
      </c>
      <c r="J674" s="134">
        <f>IF(Tabela8[[#This Row],[Tipo]]="jcp",Tabela8[[#This Row],[Provento p/Ação]]*85%,Tabela8[[#This Row],[Provento p/Ação]])</f>
        <v>1.4430449999999999</v>
      </c>
      <c r="K674" s="133" t="str">
        <f>IF([Lucro p/Ação]&lt;&gt;0,SUMPRODUCT(N([Papel]=Tabela8[[#This Row],[Papel]]),N([Exercício]=Tabela8[[#This Row],[Exercício]]),[Líquido p/Ação]),"")</f>
        <v/>
      </c>
      <c r="L674" s="42" t="str">
        <f>IF(Tabela8[[#This Row],[Lucro p/Ação]]="","",IF(Tabela8[[#This Row],[Lucro p/Ação]]&gt;0,Tabela8[[#This Row],[Total Exercício]]/Tabela8[[#This Row],[Lucro p/Ação]],0))</f>
        <v/>
      </c>
      <c r="M67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7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74" s="19" t="str">
        <f>IF(Tabela8[[#This Row],[Média Lucro p/Ação]]&lt;&gt;"",Tabela8[[#This Row],[Média Pago]]/Tabela8[[#This Row],[Média Lucro p/Ação]],"")</f>
        <v/>
      </c>
      <c r="P6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4" s="134">
        <f>SUMPRODUCT(N(Tabela1[Código]=Tabela8[[#This Row],[Papel]]),Tabela1[Fechamento])</f>
        <v>9.67</v>
      </c>
      <c r="R674" s="7">
        <f>SUMPRODUCT(N(Tabela17[Código]=Tabela8[[#This Row],[Papel]]),Tabela17[Fechamento])</f>
        <v>0</v>
      </c>
      <c r="S674" s="7">
        <f>SUMPRODUCT(N(Tabela176[Código]=Tabela8[[#This Row],[Papel]]),Tabela176[Fechamento])</f>
        <v>0</v>
      </c>
      <c r="T674" s="7">
        <f>SUMPRODUCT(N(Tabela1768[Código]=Tabela8[[#This Row],[Papel]]),Tabela1768[Fechamento])</f>
        <v>0</v>
      </c>
      <c r="U674" s="7">
        <f>SUMPRODUCT(N(Tabela17683[Código]=Tabela8[[#This Row],[Papel]]),Tabela17683[Fechamento])</f>
        <v>0</v>
      </c>
      <c r="V674" s="7">
        <f>IF(MAX(Tabela8[[#This Row],[Cotação 1]]:Tabela8[[#This Row],[Cotação 5]])=0,"",MAX(Tabela8[[#This Row],[Cotação 1]]:Tabela8[[#This Row],[Cotação 5]]))</f>
        <v>9.67</v>
      </c>
      <c r="W6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4" s="19" t="str">
        <f>IF(AND([Ref]=5,[Cotação]&gt;0,[Cotação]&lt;&gt;""),[Total Exercício]/[Cotação],IF([Ref]&lt;4,0,""))</f>
        <v/>
      </c>
      <c r="Y674" s="17">
        <f>IF([Tipo]="div",1,0)</f>
        <v>0</v>
      </c>
      <c r="Z674" s="17">
        <f>IF([Tipo]="jcp",1,0)</f>
        <v>1</v>
      </c>
    </row>
    <row r="675" spans="1:26" hidden="1">
      <c r="A675" s="4" t="s">
        <v>12</v>
      </c>
      <c r="B675" s="139" t="s">
        <v>2</v>
      </c>
      <c r="C675" s="15">
        <v>5</v>
      </c>
      <c r="D675" s="14">
        <v>2012</v>
      </c>
      <c r="E675" s="14" t="s">
        <v>1468</v>
      </c>
      <c r="F675" s="133">
        <v>-5.0855699999999997</v>
      </c>
      <c r="G675" s="145">
        <v>40200</v>
      </c>
      <c r="H675" s="46">
        <v>41088</v>
      </c>
      <c r="I675" s="133">
        <v>3.6166999999999998</v>
      </c>
      <c r="J675" s="134">
        <f>IF(Tabela8[[#This Row],[Tipo]]="jcp",Tabela8[[#This Row],[Provento p/Ação]]*85%,Tabela8[[#This Row],[Provento p/Ação]])</f>
        <v>3.6166999999999998</v>
      </c>
      <c r="K675" s="133">
        <f>IF([Lucro p/Ação]&lt;&gt;0,SUMPRODUCT(N([Papel]=Tabela8[[#This Row],[Papel]]),N([Exercício]=Tabela8[[#This Row],[Exercício]]),[Líquido p/Ação]),"")</f>
        <v>4.7047340000000002</v>
      </c>
      <c r="L675" s="42">
        <f>IF(Tabela8[[#This Row],[Lucro p/Ação]]="","",IF(Tabela8[[#This Row],[Lucro p/Ação]]&gt;0,Tabela8[[#This Row],[Total Exercício]]/Tabela8[[#This Row],[Lucro p/Ação]],0))</f>
        <v>0</v>
      </c>
      <c r="M67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1.3671418750000002</v>
      </c>
      <c r="N6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0.54172484374999996</v>
      </c>
      <c r="O675" s="19">
        <f>IF(Tabela8[[#This Row],[Média Lucro p/Ação]]&lt;&gt;"",Tabela8[[#This Row],[Média Pago]]/Tabela8[[#This Row],[Média Lucro p/Ação]],"")</f>
        <v>0.39624625187491963</v>
      </c>
      <c r="P6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5" s="134">
        <f>SUMPRODUCT(N(Tabela1[Código]=Tabela8[[#This Row],[Papel]]),Tabela1[Fechamento])</f>
        <v>5.35</v>
      </c>
      <c r="R675" s="7">
        <f>SUMPRODUCT(N(Tabela17[Código]=Tabela8[[#This Row],[Papel]]),Tabela17[Fechamento])</f>
        <v>0</v>
      </c>
      <c r="S675" s="7">
        <f>SUMPRODUCT(N(Tabela176[Código]=Tabela8[[#This Row],[Papel]]),Tabela176[Fechamento])</f>
        <v>0</v>
      </c>
      <c r="T675" s="7">
        <f>SUMPRODUCT(N(Tabela1768[Código]=Tabela8[[#This Row],[Papel]]),Tabela1768[Fechamento])</f>
        <v>0</v>
      </c>
      <c r="U675" s="7">
        <f>SUMPRODUCT(N(Tabela17683[Código]=Tabela8[[#This Row],[Papel]]),Tabela17683[Fechamento])</f>
        <v>0</v>
      </c>
      <c r="V675" s="7">
        <f>IF(MAX(Tabela8[[#This Row],[Cotação 1]]:Tabela8[[#This Row],[Cotação 5]])=0,"",MAX(Tabela8[[#This Row],[Cotação 1]]:Tabela8[[#This Row],[Cotação 5]]))</f>
        <v>5.35</v>
      </c>
      <c r="W6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5" s="19">
        <f>IF(AND([Ref]=5,[Cotação]&gt;0,[Cotação]&lt;&gt;""),[Total Exercício]/[Cotação],IF([Ref]&lt;4,0,""))</f>
        <v>0.87938953271028042</v>
      </c>
      <c r="Y675" s="17">
        <f>IF([Tipo]="div",1,0)</f>
        <v>1</v>
      </c>
      <c r="Z675" s="17">
        <f>IF([Tipo]="jcp",1,0)</f>
        <v>0</v>
      </c>
    </row>
    <row r="676" spans="1:26" hidden="1">
      <c r="A676" s="4" t="s">
        <v>12</v>
      </c>
      <c r="B676" s="139" t="s">
        <v>450</v>
      </c>
      <c r="C676" s="15">
        <v>5</v>
      </c>
      <c r="D676" s="14">
        <v>2012</v>
      </c>
      <c r="E676" s="14" t="s">
        <v>1468</v>
      </c>
      <c r="F676" s="133">
        <v>-5.0855699999999997</v>
      </c>
      <c r="G676" s="145">
        <v>40200</v>
      </c>
      <c r="H676" s="46">
        <v>41088</v>
      </c>
      <c r="I676" s="133">
        <v>4.5985899999999997</v>
      </c>
      <c r="J676" s="134">
        <f>IF(Tabela8[[#This Row],[Tipo]]="jcp",Tabela8[[#This Row],[Provento p/Ação]]*85%,Tabela8[[#This Row],[Provento p/Ação]])</f>
        <v>4.5985899999999997</v>
      </c>
      <c r="K676" s="133">
        <f>IF([Lucro p/Ação]&lt;&gt;0,SUMPRODUCT(N([Papel]=Tabela8[[#This Row],[Papel]]),N([Exercício]=Tabela8[[#This Row],[Exercício]]),[Líquido p/Ação]),"")</f>
        <v>6.5226584999999995</v>
      </c>
      <c r="L676" s="42">
        <f>IF(Tabela8[[#This Row],[Lucro p/Ação]]="","",IF(Tabela8[[#This Row],[Lucro p/Ação]]&gt;0,Tabela8[[#This Row],[Total Exercício]]/Tabela8[[#This Row],[Lucro p/Ação]],0))</f>
        <v>0</v>
      </c>
      <c r="M6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1.3671418750000002</v>
      </c>
      <c r="N6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0.87566628125000001</v>
      </c>
      <c r="O676" s="19">
        <f>IF(Tabela8[[#This Row],[Média Lucro p/Ação]]&lt;&gt;"",Tabela8[[#This Row],[Média Pago]]/Tabela8[[#This Row],[Média Lucro p/Ação]],"")</f>
        <v>0.64050871183358338</v>
      </c>
      <c r="P6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6" s="134">
        <f>SUMPRODUCT(N(Tabela1[Código]=Tabela8[[#This Row],[Papel]]),Tabela1[Fechamento])</f>
        <v>0</v>
      </c>
      <c r="R676" s="7">
        <f>SUMPRODUCT(N(Tabela17[Código]=Tabela8[[#This Row],[Papel]]),Tabela17[Fechamento])</f>
        <v>23.01</v>
      </c>
      <c r="S676" s="7">
        <f>SUMPRODUCT(N(Tabela176[Código]=Tabela8[[#This Row],[Papel]]),Tabela176[Fechamento])</f>
        <v>0</v>
      </c>
      <c r="T676" s="7">
        <f>SUMPRODUCT(N(Tabela1768[Código]=Tabela8[[#This Row],[Papel]]),Tabela1768[Fechamento])</f>
        <v>0</v>
      </c>
      <c r="U676" s="7">
        <f>SUMPRODUCT(N(Tabela17683[Código]=Tabela8[[#This Row],[Papel]]),Tabela17683[Fechamento])</f>
        <v>0</v>
      </c>
      <c r="V676" s="7">
        <f>IF(MAX(Tabela8[[#This Row],[Cotação 1]]:Tabela8[[#This Row],[Cotação 5]])=0,"",MAX(Tabela8[[#This Row],[Cotação 1]]:Tabela8[[#This Row],[Cotação 5]]))</f>
        <v>23.01</v>
      </c>
      <c r="W6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6" s="19">
        <f>IF(AND([Ref]=5,[Cotação]&gt;0,[Cotação]&lt;&gt;""),[Total Exercício]/[Cotação],IF([Ref]&lt;4,0,""))</f>
        <v>0.28347059973924377</v>
      </c>
      <c r="Y676" s="17">
        <f>IF([Tipo]="div",1,0)</f>
        <v>1</v>
      </c>
      <c r="Z676" s="17">
        <f>IF([Tipo]="jcp",1,0)</f>
        <v>0</v>
      </c>
    </row>
    <row r="677" spans="1:26" hidden="1">
      <c r="A677" s="4" t="s">
        <v>12</v>
      </c>
      <c r="B677" s="131" t="s">
        <v>27</v>
      </c>
      <c r="C677" s="15">
        <v>5</v>
      </c>
      <c r="D677" s="14">
        <v>2012</v>
      </c>
      <c r="E677" s="14" t="s">
        <v>1468</v>
      </c>
      <c r="F677" s="133">
        <v>-5.0855699999999997</v>
      </c>
      <c r="G677" s="145">
        <v>40200</v>
      </c>
      <c r="H677" s="46">
        <v>41088</v>
      </c>
      <c r="I677" s="133">
        <v>5.806E-2</v>
      </c>
      <c r="J677" s="134">
        <f>IF(Tabela8[[#This Row],[Tipo]]="jcp",Tabela8[[#This Row],[Provento p/Ação]]*85%,Tabela8[[#This Row],[Provento p/Ação]])</f>
        <v>5.806E-2</v>
      </c>
      <c r="K677" s="133">
        <f>IF([Lucro p/Ação]&lt;&gt;0,SUMPRODUCT(N([Papel]=Tabela8[[#This Row],[Papel]]),N([Exercício]=Tabela8[[#This Row],[Exercício]]),[Líquido p/Ação]),"")</f>
        <v>1.5011049999999999</v>
      </c>
      <c r="L677" s="42">
        <f>IF(Tabela8[[#This Row],[Lucro p/Ação]]="","",IF(Tabela8[[#This Row],[Lucro p/Ação]]&gt;0,Tabela8[[#This Row],[Total Exercício]]/Tabela8[[#This Row],[Lucro p/Ação]],0))</f>
        <v>0</v>
      </c>
      <c r="M67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1.3671418750000002</v>
      </c>
      <c r="N67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0.277350875</v>
      </c>
      <c r="O677" s="19">
        <f>IF(Tabela8[[#This Row],[Média Lucro p/Ação]]&lt;&gt;"",Tabela8[[#This Row],[Média Pago]]/Tabela8[[#This Row],[Média Lucro p/Ação]],"")</f>
        <v>0.20286912431820578</v>
      </c>
      <c r="P6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7" s="134">
        <f>SUMPRODUCT(N(Tabela1[Código]=Tabela8[[#This Row],[Papel]]),Tabela1[Fechamento])</f>
        <v>9.67</v>
      </c>
      <c r="R677" s="17">
        <f>SUMPRODUCT(N(Tabela17[Código]=Tabela8[[#This Row],[Papel]]),Tabela17[Fechamento])</f>
        <v>0</v>
      </c>
      <c r="S677" s="17">
        <f>SUMPRODUCT(N(Tabela176[Código]=Tabela8[[#This Row],[Papel]]),Tabela176[Fechamento])</f>
        <v>0</v>
      </c>
      <c r="T677" s="17">
        <f>SUMPRODUCT(N(Tabela1768[Código]=Tabela8[[#This Row],[Papel]]),Tabela1768[Fechamento])</f>
        <v>0</v>
      </c>
      <c r="U677" s="17">
        <f>SUMPRODUCT(N(Tabela17683[Código]=Tabela8[[#This Row],[Papel]]),Tabela17683[Fechamento])</f>
        <v>0</v>
      </c>
      <c r="V677" s="17">
        <f>IF(MAX(Tabela8[[#This Row],[Cotação 1]]:Tabela8[[#This Row],[Cotação 5]])=0,"",MAX(Tabela8[[#This Row],[Cotação 1]]:Tabela8[[#This Row],[Cotação 5]]))</f>
        <v>9.67</v>
      </c>
      <c r="W6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7" s="19">
        <f>IF(AND([Ref]=5,[Cotação]&gt;0,[Cotação]&lt;&gt;""),[Total Exercício]/[Cotação],IF([Ref]&lt;4,0,""))</f>
        <v>0.15523319544984487</v>
      </c>
      <c r="Y677" s="17">
        <f>IF([Tipo]="div",1,0)</f>
        <v>1</v>
      </c>
      <c r="Z677" s="17">
        <f>IF([Tipo]="jcp",1,0)</f>
        <v>0</v>
      </c>
    </row>
    <row r="678" spans="1:26" hidden="1">
      <c r="A678" s="4" t="s">
        <v>12</v>
      </c>
      <c r="B678" s="139" t="s">
        <v>2</v>
      </c>
      <c r="C678" s="15">
        <v>5</v>
      </c>
      <c r="D678" s="14">
        <v>2013</v>
      </c>
      <c r="E678" s="4" t="s">
        <v>1475</v>
      </c>
      <c r="F678" s="133">
        <v>-0.58187999999999995</v>
      </c>
      <c r="G678" s="145">
        <v>41394</v>
      </c>
      <c r="H678" s="46">
        <v>41537</v>
      </c>
      <c r="I678" s="133">
        <v>0.4214</v>
      </c>
      <c r="J678" s="134">
        <f>IF(Tabela8[[#This Row],[Tipo]]="jcp",Tabela8[[#This Row],[Provento p/Ação]]*85%,Tabela8[[#This Row],[Provento p/Ação]])</f>
        <v>0.35819000000000001</v>
      </c>
      <c r="K678" s="133">
        <f>IF([Lucro p/Ação]&lt;&gt;0,SUMPRODUCT(N([Papel]=Tabela8[[#This Row],[Papel]]),N([Exercício]=Tabela8[[#This Row],[Exercício]]),[Líquido p/Ação]),"")</f>
        <v>0.35819000000000001</v>
      </c>
      <c r="L678" s="42">
        <f>IF(Tabela8[[#This Row],[Lucro p/Ação]]="","",IF(Tabela8[[#This Row],[Lucro p/Ação]]&gt;0,Tabela8[[#This Row],[Total Exercício]]/Tabela8[[#This Row],[Lucro p/Ação]],0))</f>
        <v>0</v>
      </c>
      <c r="M67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1.2524935294117647</v>
      </c>
      <c r="N67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0.53092867647058828</v>
      </c>
      <c r="O678" s="19">
        <f>IF(Tabela8[[#This Row],[Média Lucro p/Ação]]&lt;&gt;"",Tabela8[[#This Row],[Média Pago]]/Tabela8[[#This Row],[Média Lucro p/Ação]],"")</f>
        <v>0.42389734078701358</v>
      </c>
      <c r="P6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8" s="134">
        <f>SUMPRODUCT(N(Tabela1[Código]=Tabela8[[#This Row],[Papel]]),Tabela1[Fechamento])</f>
        <v>5.35</v>
      </c>
      <c r="R678" s="7">
        <f>SUMPRODUCT(N(Tabela17[Código]=Tabela8[[#This Row],[Papel]]),Tabela17[Fechamento])</f>
        <v>0</v>
      </c>
      <c r="S678" s="7">
        <f>SUMPRODUCT(N(Tabela176[Código]=Tabela8[[#This Row],[Papel]]),Tabela176[Fechamento])</f>
        <v>0</v>
      </c>
      <c r="T678" s="7">
        <f>SUMPRODUCT(N(Tabela1768[Código]=Tabela8[[#This Row],[Papel]]),Tabela1768[Fechamento])</f>
        <v>0</v>
      </c>
      <c r="U678" s="7">
        <f>SUMPRODUCT(N(Tabela17683[Código]=Tabela8[[#This Row],[Papel]]),Tabela17683[Fechamento])</f>
        <v>0</v>
      </c>
      <c r="V678" s="7">
        <f>IF(MAX(Tabela8[[#This Row],[Cotação 1]]:Tabela8[[#This Row],[Cotação 5]])=0,"",MAX(Tabela8[[#This Row],[Cotação 1]]:Tabela8[[#This Row],[Cotação 5]]))</f>
        <v>5.35</v>
      </c>
      <c r="W6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8" s="19">
        <f>IF(AND([Ref]=5,[Cotação]&gt;0,[Cotação]&lt;&gt;""),[Total Exercício]/[Cotação],IF([Ref]&lt;4,0,""))</f>
        <v>6.6951401869158891E-2</v>
      </c>
      <c r="Y678" s="17">
        <f>IF([Tipo]="div",1,0)</f>
        <v>0</v>
      </c>
      <c r="Z678" s="17">
        <f>IF([Tipo]="jcp",1,0)</f>
        <v>1</v>
      </c>
    </row>
    <row r="679" spans="1:26" hidden="1">
      <c r="A679" s="4" t="s">
        <v>12</v>
      </c>
      <c r="B679" s="139" t="s">
        <v>450</v>
      </c>
      <c r="C679" s="15">
        <v>5</v>
      </c>
      <c r="D679" s="14">
        <v>2013</v>
      </c>
      <c r="E679" s="4" t="s">
        <v>1475</v>
      </c>
      <c r="F679" s="133">
        <v>-0.58187999999999995</v>
      </c>
      <c r="G679" s="145">
        <v>41394</v>
      </c>
      <c r="H679" s="46">
        <v>41537</v>
      </c>
      <c r="I679" s="133">
        <v>2.2993399999999999</v>
      </c>
      <c r="J679" s="134">
        <f>IF(Tabela8[[#This Row],[Tipo]]="jcp",Tabela8[[#This Row],[Provento p/Ação]]*85%,Tabela8[[#This Row],[Provento p/Ação]])</f>
        <v>1.9544389999999998</v>
      </c>
      <c r="K679" s="133">
        <f>IF([Lucro p/Ação]&lt;&gt;0,SUMPRODUCT(N([Papel]=Tabela8[[#This Row],[Papel]]),N([Exercício]=Tabela8[[#This Row],[Exercício]]),[Líquido p/Ação]),"")</f>
        <v>1.9544389999999998</v>
      </c>
      <c r="L679" s="42">
        <f>IF(Tabela8[[#This Row],[Lucro p/Ação]]="","",IF(Tabela8[[#This Row],[Lucro p/Ação]]&gt;0,Tabela8[[#This Row],[Total Exercício]]/Tabela8[[#This Row],[Lucro p/Ação]],0))</f>
        <v>0</v>
      </c>
      <c r="M6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1.2524935294117647</v>
      </c>
      <c r="N67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0.9391235</v>
      </c>
      <c r="O679" s="19">
        <f>IF(Tabela8[[#This Row],[Média Lucro p/Ação]]&lt;&gt;"",Tabela8[[#This Row],[Média Pago]]/Tabela8[[#This Row],[Média Lucro p/Ação]],"")</f>
        <v>0.74980307518319922</v>
      </c>
      <c r="P6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79" s="134">
        <f>SUMPRODUCT(N(Tabela1[Código]=Tabela8[[#This Row],[Papel]]),Tabela1[Fechamento])</f>
        <v>0</v>
      </c>
      <c r="R679" s="7">
        <f>SUMPRODUCT(N(Tabela17[Código]=Tabela8[[#This Row],[Papel]]),Tabela17[Fechamento])</f>
        <v>23.01</v>
      </c>
      <c r="S679" s="7">
        <f>SUMPRODUCT(N(Tabela176[Código]=Tabela8[[#This Row],[Papel]]),Tabela176[Fechamento])</f>
        <v>0</v>
      </c>
      <c r="T679" s="7">
        <f>SUMPRODUCT(N(Tabela1768[Código]=Tabela8[[#This Row],[Papel]]),Tabela1768[Fechamento])</f>
        <v>0</v>
      </c>
      <c r="U679" s="7">
        <f>SUMPRODUCT(N(Tabela17683[Código]=Tabela8[[#This Row],[Papel]]),Tabela17683[Fechamento])</f>
        <v>0</v>
      </c>
      <c r="V679" s="7">
        <f>IF(MAX(Tabela8[[#This Row],[Cotação 1]]:Tabela8[[#This Row],[Cotação 5]])=0,"",MAX(Tabela8[[#This Row],[Cotação 1]]:Tabela8[[#This Row],[Cotação 5]]))</f>
        <v>23.01</v>
      </c>
      <c r="W6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79" s="19">
        <f>IF(AND([Ref]=5,[Cotação]&gt;0,[Cotação]&lt;&gt;""),[Total Exercício]/[Cotação],IF([Ref]&lt;4,0,""))</f>
        <v>8.4938678835288994E-2</v>
      </c>
      <c r="Y679" s="17">
        <f>IF([Tipo]="div",1,0)</f>
        <v>0</v>
      </c>
      <c r="Z679" s="17">
        <f>IF([Tipo]="jcp",1,0)</f>
        <v>1</v>
      </c>
    </row>
    <row r="680" spans="1:26" hidden="1">
      <c r="A680" s="4" t="s">
        <v>12</v>
      </c>
      <c r="B680" s="131" t="s">
        <v>27</v>
      </c>
      <c r="C680" s="15">
        <v>5</v>
      </c>
      <c r="D680" s="14">
        <v>2013</v>
      </c>
      <c r="E680" s="4" t="s">
        <v>1475</v>
      </c>
      <c r="F680" s="133">
        <v>-0.58187999999999995</v>
      </c>
      <c r="G680" s="145">
        <v>41394</v>
      </c>
      <c r="H680" s="46">
        <v>41537</v>
      </c>
      <c r="I680" s="133">
        <v>1.7244999999999999</v>
      </c>
      <c r="J680" s="134">
        <f>IF(Tabela8[[#This Row],[Tipo]]="jcp",Tabela8[[#This Row],[Provento p/Ação]]*85%,Tabela8[[#This Row],[Provento p/Ação]])</f>
        <v>1.4658249999999999</v>
      </c>
      <c r="K680" s="133">
        <f>IF([Lucro p/Ação]&lt;&gt;0,SUMPRODUCT(N([Papel]=Tabela8[[#This Row],[Papel]]),N([Exercício]=Tabela8[[#This Row],[Exercício]]),[Líquido p/Ação]),"")</f>
        <v>1.4658249999999999</v>
      </c>
      <c r="L680" s="42">
        <f>IF(Tabela8[[#This Row],[Lucro p/Ação]]="","",IF(Tabela8[[#This Row],[Lucro p/Ação]]&gt;0,Tabela8[[#This Row],[Total Exercício]]/Tabela8[[#This Row],[Lucro p/Ação]],0))</f>
        <v>0</v>
      </c>
      <c r="M6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1.2524935294117647</v>
      </c>
      <c r="N68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0.3472611176470588</v>
      </c>
      <c r="O680" s="19">
        <f>IF(Tabela8[[#This Row],[Média Lucro p/Ação]]&lt;&gt;"",Tabela8[[#This Row],[Média Pago]]/Tabela8[[#This Row],[Média Lucro p/Ação]],"")</f>
        <v>0.27725581768885499</v>
      </c>
      <c r="P6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0" s="134">
        <f>SUMPRODUCT(N(Tabela1[Código]=Tabela8[[#This Row],[Papel]]),Tabela1[Fechamento])</f>
        <v>9.67</v>
      </c>
      <c r="R680" s="17">
        <f>SUMPRODUCT(N(Tabela17[Código]=Tabela8[[#This Row],[Papel]]),Tabela17[Fechamento])</f>
        <v>0</v>
      </c>
      <c r="S680" s="17">
        <f>SUMPRODUCT(N(Tabela176[Código]=Tabela8[[#This Row],[Papel]]),Tabela176[Fechamento])</f>
        <v>0</v>
      </c>
      <c r="T680" s="17">
        <f>SUMPRODUCT(N(Tabela1768[Código]=Tabela8[[#This Row],[Papel]]),Tabela1768[Fechamento])</f>
        <v>0</v>
      </c>
      <c r="U680" s="17">
        <f>SUMPRODUCT(N(Tabela17683[Código]=Tabela8[[#This Row],[Papel]]),Tabela17683[Fechamento])</f>
        <v>0</v>
      </c>
      <c r="V680" s="17">
        <f>IF(MAX(Tabela8[[#This Row],[Cotação 1]]:Tabela8[[#This Row],[Cotação 5]])=0,"",MAX(Tabela8[[#This Row],[Cotação 1]]:Tabela8[[#This Row],[Cotação 5]]))</f>
        <v>9.67</v>
      </c>
      <c r="W6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0" s="19">
        <f>IF(AND([Ref]=5,[Cotação]&gt;0,[Cotação]&lt;&gt;""),[Total Exercício]/[Cotação],IF([Ref]&lt;4,0,""))</f>
        <v>0.15158479834539812</v>
      </c>
      <c r="Y680" s="17">
        <f>IF([Tipo]="div",1,0)</f>
        <v>0</v>
      </c>
      <c r="Z680" s="17">
        <f>IF([Tipo]="jcp",1,0)</f>
        <v>1</v>
      </c>
    </row>
    <row r="681" spans="1:26" hidden="1">
      <c r="A681" s="24" t="s">
        <v>40</v>
      </c>
      <c r="B681" s="131" t="s">
        <v>413</v>
      </c>
      <c r="C681" s="15">
        <v>5</v>
      </c>
      <c r="D681" s="4">
        <v>2011</v>
      </c>
      <c r="E681" s="4"/>
      <c r="F681" s="133">
        <v>5.3200000000000001E-3</v>
      </c>
      <c r="J681" s="132">
        <f>IF(Tabela8[[#This Row],[Tipo]]="jcp",Tabela8[[#This Row],[Provento p/Ação]]*85%,Tabela8[[#This Row],[Provento p/Ação]])</f>
        <v>0</v>
      </c>
      <c r="K681" s="133">
        <f>IF([Lucro p/Ação]&lt;&gt;0,SUMPRODUCT(N([Papel]=Tabela8[[#This Row],[Papel]]),N([Exercício]=Tabela8[[#This Row],[Exercício]]),[Líquido p/Ação]),"")</f>
        <v>0</v>
      </c>
      <c r="L681" s="42">
        <f>IF(Tabela8[[#This Row],[Lucro p/Ação]]="","",IF(Tabela8[[#This Row],[Lucro p/Ação]]&gt;0,Tabela8[[#This Row],[Total Exercício]]/Tabela8[[#This Row],[Lucro p/Ação]],0))</f>
        <v>0</v>
      </c>
      <c r="M68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0.11179833333333329</v>
      </c>
      <c r="N68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6.6163333333333338E-2</v>
      </c>
      <c r="O681" s="19">
        <f>IF(Tabela8[[#This Row],[Média Lucro p/Ação]]&lt;&gt;"",Tabela8[[#This Row],[Média Pago]]/Tabela8[[#This Row],[Média Lucro p/Ação]],"")</f>
        <v>0.59180965726978663</v>
      </c>
      <c r="P6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1" s="134">
        <f>SUMPRODUCT(N(Tabela1[Código]=Tabela8[[#This Row],[Papel]]),Tabela1[Fechamento])</f>
        <v>0</v>
      </c>
      <c r="R681" s="7">
        <f>SUMPRODUCT(N(Tabela17[Código]=Tabela8[[#This Row],[Papel]]),Tabela17[Fechamento])</f>
        <v>0.57999999999999996</v>
      </c>
      <c r="S681" s="7">
        <f>SUMPRODUCT(N(Tabela176[Código]=Tabela8[[#This Row],[Papel]]),Tabela176[Fechamento])</f>
        <v>0</v>
      </c>
      <c r="T681" s="7">
        <f>SUMPRODUCT(N(Tabela1768[Código]=Tabela8[[#This Row],[Papel]]),Tabela1768[Fechamento])</f>
        <v>0</v>
      </c>
      <c r="U681" s="7">
        <f>SUMPRODUCT(N(Tabela17683[Código]=Tabela8[[#This Row],[Papel]]),Tabela17683[Fechamento])</f>
        <v>0</v>
      </c>
      <c r="V681" s="7">
        <f>IF(MAX(Tabela8[[#This Row],[Cotação 1]]:Tabela8[[#This Row],[Cotação 5]])=0,"",MAX(Tabela8[[#This Row],[Cotação 1]]:Tabela8[[#This Row],[Cotação 5]]))</f>
        <v>0.57999999999999996</v>
      </c>
      <c r="W6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1" s="19">
        <f>IF(AND([Ref]=5,[Cotação]&gt;0,[Cotação]&lt;&gt;""),[Total Exercício]/[Cotação],IF([Ref]&lt;4,0,""))</f>
        <v>0</v>
      </c>
      <c r="Y681" s="14">
        <f>IF([Tipo]="div",1,0)</f>
        <v>0</v>
      </c>
      <c r="Z681" s="14">
        <f>IF([Tipo]="jcp",1,0)</f>
        <v>0</v>
      </c>
    </row>
    <row r="682" spans="1:26" hidden="1">
      <c r="A682" s="24" t="s">
        <v>40</v>
      </c>
      <c r="B682" s="131" t="s">
        <v>73</v>
      </c>
      <c r="C682" s="15">
        <v>5</v>
      </c>
      <c r="D682" s="4">
        <v>2011</v>
      </c>
      <c r="E682" s="4"/>
      <c r="F682" s="133">
        <v>5.3200000000000001E-3</v>
      </c>
      <c r="J682" s="132">
        <f>IF(Tabela8[[#This Row],[Tipo]]="jcp",Tabela8[[#This Row],[Provento p/Ação]]*85%,Tabela8[[#This Row],[Provento p/Ação]])</f>
        <v>0</v>
      </c>
      <c r="K682" s="133">
        <f>IF([Lucro p/Ação]&lt;&gt;0,SUMPRODUCT(N([Papel]=Tabela8[[#This Row],[Papel]]),N([Exercício]=Tabela8[[#This Row],[Exercício]]),[Líquido p/Ação]),"")</f>
        <v>0</v>
      </c>
      <c r="L682" s="42">
        <f>IF(Tabela8[[#This Row],[Lucro p/Ação]]="","",IF(Tabela8[[#This Row],[Lucro p/Ação]]&gt;0,Tabela8[[#This Row],[Total Exercício]]/Tabela8[[#This Row],[Lucro p/Ação]],0))</f>
        <v>0</v>
      </c>
      <c r="M68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0.11179833333333329</v>
      </c>
      <c r="N68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8.7114999999999998E-2</v>
      </c>
      <c r="O682" s="19">
        <f>IF(Tabela8[[#This Row],[Média Lucro p/Ação]]&lt;&gt;"",Tabela8[[#This Row],[Média Pago]]/Tabela8[[#This Row],[Média Lucro p/Ação]],"")</f>
        <v>0.77921555181204283</v>
      </c>
      <c r="P6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2" s="134">
        <f>SUMPRODUCT(N(Tabela1[Código]=Tabela8[[#This Row],[Papel]]),Tabela1[Fechamento])</f>
        <v>0.64</v>
      </c>
      <c r="R682" s="7">
        <f>SUMPRODUCT(N(Tabela17[Código]=Tabela8[[#This Row],[Papel]]),Tabela17[Fechamento])</f>
        <v>0</v>
      </c>
      <c r="S682" s="7">
        <f>SUMPRODUCT(N(Tabela176[Código]=Tabela8[[#This Row],[Papel]]),Tabela176[Fechamento])</f>
        <v>0</v>
      </c>
      <c r="T682" s="7">
        <f>SUMPRODUCT(N(Tabela1768[Código]=Tabela8[[#This Row],[Papel]]),Tabela1768[Fechamento])</f>
        <v>0</v>
      </c>
      <c r="U682" s="7">
        <f>SUMPRODUCT(N(Tabela17683[Código]=Tabela8[[#This Row],[Papel]]),Tabela17683[Fechamento])</f>
        <v>0</v>
      </c>
      <c r="V682" s="7">
        <f>IF(MAX(Tabela8[[#This Row],[Cotação 1]]:Tabela8[[#This Row],[Cotação 5]])=0,"",MAX(Tabela8[[#This Row],[Cotação 1]]:Tabela8[[#This Row],[Cotação 5]]))</f>
        <v>0.64</v>
      </c>
      <c r="W6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2" s="19">
        <f>IF(AND([Ref]=5,[Cotação]&gt;0,[Cotação]&lt;&gt;""),[Total Exercício]/[Cotação],IF([Ref]&lt;4,0,""))</f>
        <v>0</v>
      </c>
      <c r="Y682" s="14">
        <f>IF([Tipo]="div",1,0)</f>
        <v>0</v>
      </c>
      <c r="Z682" s="14">
        <f>IF([Tipo]="jcp",1,0)</f>
        <v>0</v>
      </c>
    </row>
    <row r="683" spans="1:26">
      <c r="A683" s="24" t="s">
        <v>40</v>
      </c>
      <c r="B683" s="135" t="s">
        <v>39</v>
      </c>
      <c r="C683" s="15">
        <v>5</v>
      </c>
      <c r="D683" s="4">
        <v>2012</v>
      </c>
      <c r="E683" s="4"/>
      <c r="F683" s="133">
        <v>4.8509999999999998E-2</v>
      </c>
      <c r="J683" s="132">
        <f>IF(Tabela8[[#This Row],[Tipo]]="jcp",Tabela8[[#This Row],[Provento p/Ação]]*85%,Tabela8[[#This Row],[Provento p/Ação]])</f>
        <v>0</v>
      </c>
      <c r="K683" s="133">
        <f>IF([Lucro p/Ação]&lt;&gt;0,SUMPRODUCT(N([Papel]=Tabela8[[#This Row],[Papel]]),N([Exercício]=Tabela8[[#This Row],[Exercício]]),[Líquido p/Ação]),"")</f>
        <v>0</v>
      </c>
      <c r="L683" s="42">
        <f>IF(Tabela8[[#This Row],[Lucro p/Ação]]="","",IF(Tabela8[[#This Row],[Lucro p/Ação]]&gt;0,Tabela8[[#This Row],[Total Exercício]]/Tabela8[[#This Row],[Lucro p/Ação]],0))</f>
        <v>0</v>
      </c>
      <c r="M68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0.10693</v>
      </c>
      <c r="N68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5.6649692307692304E-2</v>
      </c>
      <c r="O683" s="19">
        <f>IF(Tabela8[[#This Row],[Média Lucro p/Ação]]&lt;&gt;"",Tabela8[[#This Row],[Média Pago]]/Tabela8[[#This Row],[Média Lucro p/Ação]],"")</f>
        <v>0.52978296369299827</v>
      </c>
      <c r="P6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3" s="134">
        <f>SUMPRODUCT(N(Tabela1[Código]=Tabela8[[#This Row],[Papel]]),Tabela1[Fechamento])</f>
        <v>0.41</v>
      </c>
      <c r="R683" s="17">
        <f>SUMPRODUCT(N(Tabela17[Código]=Tabela8[[#This Row],[Papel]]),Tabela17[Fechamento])</f>
        <v>0</v>
      </c>
      <c r="S683" s="17">
        <f>SUMPRODUCT(N(Tabela176[Código]=Tabela8[[#This Row],[Papel]]),Tabela176[Fechamento])</f>
        <v>0</v>
      </c>
      <c r="T683" s="17">
        <f>SUMPRODUCT(N(Tabela1768[Código]=Tabela8[[#This Row],[Papel]]),Tabela1768[Fechamento])</f>
        <v>0</v>
      </c>
      <c r="U683" s="17">
        <f>SUMPRODUCT(N(Tabela17683[Código]=Tabela8[[#This Row],[Papel]]),Tabela17683[Fechamento])</f>
        <v>0</v>
      </c>
      <c r="V683" s="17">
        <f>IF(MAX(Tabela8[[#This Row],[Cotação 1]]:Tabela8[[#This Row],[Cotação 5]])=0,"",MAX(Tabela8[[#This Row],[Cotação 1]]:Tabela8[[#This Row],[Cotação 5]]))</f>
        <v>0.41</v>
      </c>
      <c r="W6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3" s="19">
        <f>IF(AND([Ref]=5,[Cotação]&gt;0,[Cotação]&lt;&gt;""),[Total Exercício]/[Cotação],IF([Ref]&lt;4,0,""))</f>
        <v>0</v>
      </c>
      <c r="Y683" s="14">
        <f>IF([Tipo]="div",1,0)</f>
        <v>0</v>
      </c>
      <c r="Z683" s="14">
        <f>IF([Tipo]="jcp",1,0)</f>
        <v>0</v>
      </c>
    </row>
    <row r="684" spans="1:26" hidden="1">
      <c r="A684" s="24" t="s">
        <v>40</v>
      </c>
      <c r="B684" s="131" t="s">
        <v>413</v>
      </c>
      <c r="C684" s="15">
        <v>5</v>
      </c>
      <c r="D684" s="4">
        <v>2012</v>
      </c>
      <c r="E684" s="4"/>
      <c r="F684" s="133">
        <v>4.41E-2</v>
      </c>
      <c r="J684" s="132">
        <f>IF(Tabela8[[#This Row],[Tipo]]="jcp",Tabela8[[#This Row],[Provento p/Ação]]*85%,Tabela8[[#This Row],[Provento p/Ação]])</f>
        <v>0</v>
      </c>
      <c r="K684" s="133">
        <f>IF([Lucro p/Ação]&lt;&gt;0,SUMPRODUCT(N([Papel]=Tabela8[[#This Row],[Papel]]),N([Exercício]=Tabela8[[#This Row],[Exercício]]),[Líquido p/Ação]),"")</f>
        <v>0</v>
      </c>
      <c r="L684" s="42">
        <f>IF(Tabela8[[#This Row],[Lucro p/Ação]]="","",IF(Tabela8[[#This Row],[Lucro p/Ação]]&gt;0,Tabela8[[#This Row],[Total Exercício]]/Tabela8[[#This Row],[Lucro p/Ação]],0))</f>
        <v>0</v>
      </c>
      <c r="M68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0.10659076923076921</v>
      </c>
      <c r="N68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6.1073846153846159E-2</v>
      </c>
      <c r="O684" s="19">
        <f>IF(Tabela8[[#This Row],[Média Lucro p/Ação]]&lt;&gt;"",Tabela8[[#This Row],[Média Pago]]/Tabela8[[#This Row],[Média Lucro p/Ação]],"")</f>
        <v>0.5729750014433348</v>
      </c>
      <c r="P6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4" s="134">
        <f>SUMPRODUCT(N(Tabela1[Código]=Tabela8[[#This Row],[Papel]]),Tabela1[Fechamento])</f>
        <v>0</v>
      </c>
      <c r="R684" s="7">
        <f>SUMPRODUCT(N(Tabela17[Código]=Tabela8[[#This Row],[Papel]]),Tabela17[Fechamento])</f>
        <v>0.57999999999999996</v>
      </c>
      <c r="S684" s="7">
        <f>SUMPRODUCT(N(Tabela176[Código]=Tabela8[[#This Row],[Papel]]),Tabela176[Fechamento])</f>
        <v>0</v>
      </c>
      <c r="T684" s="7">
        <f>SUMPRODUCT(N(Tabela1768[Código]=Tabela8[[#This Row],[Papel]]),Tabela1768[Fechamento])</f>
        <v>0</v>
      </c>
      <c r="U684" s="7">
        <f>SUMPRODUCT(N(Tabela17683[Código]=Tabela8[[#This Row],[Papel]]),Tabela17683[Fechamento])</f>
        <v>0</v>
      </c>
      <c r="V684" s="7">
        <f>IF(MAX(Tabela8[[#This Row],[Cotação 1]]:Tabela8[[#This Row],[Cotação 5]])=0,"",MAX(Tabela8[[#This Row],[Cotação 1]]:Tabela8[[#This Row],[Cotação 5]]))</f>
        <v>0.57999999999999996</v>
      </c>
      <c r="W6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4" s="19">
        <f>IF(AND([Ref]=5,[Cotação]&gt;0,[Cotação]&lt;&gt;""),[Total Exercício]/[Cotação],IF([Ref]&lt;4,0,""))</f>
        <v>0</v>
      </c>
      <c r="Y684" s="14">
        <f>IF([Tipo]="div",1,0)</f>
        <v>0</v>
      </c>
      <c r="Z684" s="14">
        <f>IF([Tipo]="jcp",1,0)</f>
        <v>0</v>
      </c>
    </row>
    <row r="685" spans="1:26" hidden="1">
      <c r="A685" s="24" t="s">
        <v>40</v>
      </c>
      <c r="B685" s="131" t="s">
        <v>73</v>
      </c>
      <c r="C685" s="15">
        <v>5</v>
      </c>
      <c r="D685" s="4">
        <v>2012</v>
      </c>
      <c r="E685" s="4"/>
      <c r="F685" s="133">
        <v>4.8509999999999998E-2</v>
      </c>
      <c r="J685" s="132">
        <f>IF(Tabela8[[#This Row],[Tipo]]="jcp",Tabela8[[#This Row],[Provento p/Ação]]*85%,Tabela8[[#This Row],[Provento p/Ação]])</f>
        <v>0</v>
      </c>
      <c r="K685" s="133">
        <f>IF([Lucro p/Ação]&lt;&gt;0,SUMPRODUCT(N([Papel]=Tabela8[[#This Row],[Papel]]),N([Exercício]=Tabela8[[#This Row],[Exercício]]),[Líquido p/Ação]),"")</f>
        <v>0</v>
      </c>
      <c r="L685" s="42">
        <f>IF(Tabela8[[#This Row],[Lucro p/Ação]]="","",IF(Tabela8[[#This Row],[Lucro p/Ação]]&gt;0,Tabela8[[#This Row],[Total Exercício]]/Tabela8[[#This Row],[Lucro p/Ação]],0))</f>
        <v>0</v>
      </c>
      <c r="M68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0.10692999999999998</v>
      </c>
      <c r="N68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8.0413846153846155E-2</v>
      </c>
      <c r="O685" s="19">
        <f>IF(Tabela8[[#This Row],[Média Lucro p/Ação]]&lt;&gt;"",Tabela8[[#This Row],[Média Pago]]/Tabela8[[#This Row],[Média Lucro p/Ação]],"")</f>
        <v>0.75202325029314665</v>
      </c>
      <c r="P6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5" s="134">
        <f>SUMPRODUCT(N(Tabela1[Código]=Tabela8[[#This Row],[Papel]]),Tabela1[Fechamento])</f>
        <v>0.64</v>
      </c>
      <c r="R685" s="7">
        <f>SUMPRODUCT(N(Tabela17[Código]=Tabela8[[#This Row],[Papel]]),Tabela17[Fechamento])</f>
        <v>0</v>
      </c>
      <c r="S685" s="7">
        <f>SUMPRODUCT(N(Tabela176[Código]=Tabela8[[#This Row],[Papel]]),Tabela176[Fechamento])</f>
        <v>0</v>
      </c>
      <c r="T685" s="7">
        <f>SUMPRODUCT(N(Tabela1768[Código]=Tabela8[[#This Row],[Papel]]),Tabela1768[Fechamento])</f>
        <v>0</v>
      </c>
      <c r="U685" s="7">
        <f>SUMPRODUCT(N(Tabela17683[Código]=Tabela8[[#This Row],[Papel]]),Tabela17683[Fechamento])</f>
        <v>0</v>
      </c>
      <c r="V685" s="7">
        <f>IF(MAX(Tabela8[[#This Row],[Cotação 1]]:Tabela8[[#This Row],[Cotação 5]])=0,"",MAX(Tabela8[[#This Row],[Cotação 1]]:Tabela8[[#This Row],[Cotação 5]]))</f>
        <v>0.64</v>
      </c>
      <c r="W6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5" s="19">
        <f>IF(AND([Ref]=5,[Cotação]&gt;0,[Cotação]&lt;&gt;""),[Total Exercício]/[Cotação],IF([Ref]&lt;4,0,""))</f>
        <v>0</v>
      </c>
      <c r="Y685" s="14">
        <f>IF([Tipo]="div",1,0)</f>
        <v>0</v>
      </c>
      <c r="Z685" s="14">
        <f>IF([Tipo]="jcp",1,0)</f>
        <v>0</v>
      </c>
    </row>
    <row r="686" spans="1:26">
      <c r="A686" s="24" t="s">
        <v>40</v>
      </c>
      <c r="B686" s="135" t="s">
        <v>39</v>
      </c>
      <c r="C686" s="15">
        <v>5</v>
      </c>
      <c r="D686" s="4">
        <v>2011</v>
      </c>
      <c r="E686" s="4"/>
      <c r="F686" s="133">
        <v>5.3200000000000001E-3</v>
      </c>
      <c r="J686" s="132">
        <f>IF(Tabela8[[#This Row],[Tipo]]="jcp",Tabela8[[#This Row],[Provento p/Ação]]*85%,Tabela8[[#This Row],[Provento p/Ação]])</f>
        <v>0</v>
      </c>
      <c r="K686" s="133">
        <f>IF([Lucro p/Ação]&lt;&gt;0,SUMPRODUCT(N([Papel]=Tabela8[[#This Row],[Papel]]),N([Exercício]=Tabela8[[#This Row],[Exercício]]),[Líquido p/Ação]),"")</f>
        <v>0</v>
      </c>
      <c r="L686" s="42">
        <f>IF(Tabela8[[#This Row],[Lucro p/Ação]]="","",IF(Tabela8[[#This Row],[Lucro p/Ação]]&gt;0,Tabela8[[#This Row],[Total Exercício]]/Tabela8[[#This Row],[Lucro p/Ação]],0))</f>
        <v>0</v>
      </c>
      <c r="M68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0.11179833333333333</v>
      </c>
      <c r="N68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6.1370499999999995E-2</v>
      </c>
      <c r="O686" s="19">
        <f>IF(Tabela8[[#This Row],[Média Lucro p/Ação]]&lt;&gt;"",Tabela8[[#This Row],[Média Pago]]/Tabela8[[#This Row],[Média Lucro p/Ação]],"")</f>
        <v>0.54893931036539001</v>
      </c>
      <c r="P6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6" s="134">
        <f>SUMPRODUCT(N(Tabela1[Código]=Tabela8[[#This Row],[Papel]]),Tabela1[Fechamento])</f>
        <v>0.41</v>
      </c>
      <c r="R686" s="17">
        <f>SUMPRODUCT(N(Tabela17[Código]=Tabela8[[#This Row],[Papel]]),Tabela17[Fechamento])</f>
        <v>0</v>
      </c>
      <c r="S686" s="17">
        <f>SUMPRODUCT(N(Tabela176[Código]=Tabela8[[#This Row],[Papel]]),Tabela176[Fechamento])</f>
        <v>0</v>
      </c>
      <c r="T686" s="17">
        <f>SUMPRODUCT(N(Tabela1768[Código]=Tabela8[[#This Row],[Papel]]),Tabela1768[Fechamento])</f>
        <v>0</v>
      </c>
      <c r="U686" s="17">
        <f>SUMPRODUCT(N(Tabela17683[Código]=Tabela8[[#This Row],[Papel]]),Tabela17683[Fechamento])</f>
        <v>0</v>
      </c>
      <c r="V686" s="17">
        <f>IF(MAX(Tabela8[[#This Row],[Cotação 1]]:Tabela8[[#This Row],[Cotação 5]])=0,"",MAX(Tabela8[[#This Row],[Cotação 1]]:Tabela8[[#This Row],[Cotação 5]]))</f>
        <v>0.41</v>
      </c>
      <c r="W6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6" s="19">
        <f>IF(AND([Ref]=5,[Cotação]&gt;0,[Cotação]&lt;&gt;""),[Total Exercício]/[Cotação],IF([Ref]&lt;4,0,""))</f>
        <v>0</v>
      </c>
      <c r="Y686" s="14">
        <f>IF([Tipo]="div",1,0)</f>
        <v>0</v>
      </c>
      <c r="Z686" s="14">
        <f>IF([Tipo]="jcp",1,0)</f>
        <v>0</v>
      </c>
    </row>
    <row r="687" spans="1:26" hidden="1">
      <c r="A687" s="24" t="s">
        <v>40</v>
      </c>
      <c r="B687" s="131" t="s">
        <v>413</v>
      </c>
      <c r="C687" s="15">
        <v>5</v>
      </c>
      <c r="D687" s="4">
        <v>2013</v>
      </c>
      <c r="E687" s="4"/>
      <c r="F687" s="133">
        <v>0.39985999999999999</v>
      </c>
      <c r="J687" s="132">
        <f>IF(Tabela8[[#This Row],[Tipo]]="jcp",Tabela8[[#This Row],[Provento p/Ação]]*85%,Tabela8[[#This Row],[Provento p/Ação]])</f>
        <v>0</v>
      </c>
      <c r="K687" s="133">
        <f>IF([Lucro p/Ação]&lt;&gt;0,SUMPRODUCT(N([Papel]=Tabela8[[#This Row],[Papel]]),N([Exercício]=Tabela8[[#This Row],[Exercício]]),[Líquido p/Ação]),"")</f>
        <v>0</v>
      </c>
      <c r="L687" s="42">
        <f>IF(Tabela8[[#This Row],[Lucro p/Ação]]="","",IF(Tabela8[[#This Row],[Lucro p/Ação]]&gt;0,Tabela8[[#This Row],[Total Exercício]]/Tabela8[[#This Row],[Lucro p/Ação]],0))</f>
        <v>0</v>
      </c>
      <c r="M68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0.12753857142857145</v>
      </c>
      <c r="N68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5.6711428571428579E-2</v>
      </c>
      <c r="O687" s="19">
        <f>IF(Tabela8[[#This Row],[Média Lucro p/Ação]]&lt;&gt;"",Tabela8[[#This Row],[Média Pago]]/Tabela8[[#This Row],[Média Lucro p/Ação]],"")</f>
        <v>0.44466099891349398</v>
      </c>
      <c r="P6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7" s="134">
        <f>SUMPRODUCT(N(Tabela1[Código]=Tabela8[[#This Row],[Papel]]),Tabela1[Fechamento])</f>
        <v>0</v>
      </c>
      <c r="R687" s="7">
        <f>SUMPRODUCT(N(Tabela17[Código]=Tabela8[[#This Row],[Papel]]),Tabela17[Fechamento])</f>
        <v>0.57999999999999996</v>
      </c>
      <c r="S687" s="7">
        <f>SUMPRODUCT(N(Tabela176[Código]=Tabela8[[#This Row],[Papel]]),Tabela176[Fechamento])</f>
        <v>0</v>
      </c>
      <c r="T687" s="7">
        <f>SUMPRODUCT(N(Tabela1768[Código]=Tabela8[[#This Row],[Papel]]),Tabela1768[Fechamento])</f>
        <v>0</v>
      </c>
      <c r="U687" s="7">
        <f>SUMPRODUCT(N(Tabela17683[Código]=Tabela8[[#This Row],[Papel]]),Tabela17683[Fechamento])</f>
        <v>0</v>
      </c>
      <c r="V687" s="7">
        <f>IF(MAX(Tabela8[[#This Row],[Cotação 1]]:Tabela8[[#This Row],[Cotação 5]])=0,"",MAX(Tabela8[[#This Row],[Cotação 1]]:Tabela8[[#This Row],[Cotação 5]]))</f>
        <v>0.57999999999999996</v>
      </c>
      <c r="W6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7" s="19">
        <f>IF(AND([Ref]=5,[Cotação]&gt;0,[Cotação]&lt;&gt;""),[Total Exercício]/[Cotação],IF([Ref]&lt;4,0,""))</f>
        <v>0</v>
      </c>
      <c r="Y687" s="14">
        <f>IF([Tipo]="div",1,0)</f>
        <v>0</v>
      </c>
      <c r="Z687" s="14">
        <f>IF([Tipo]="jcp",1,0)</f>
        <v>0</v>
      </c>
    </row>
    <row r="688" spans="1:26" hidden="1">
      <c r="A688" s="24" t="s">
        <v>40</v>
      </c>
      <c r="B688" s="131" t="s">
        <v>73</v>
      </c>
      <c r="C688" s="15">
        <v>5</v>
      </c>
      <c r="D688" s="4">
        <v>2013</v>
      </c>
      <c r="E688" s="4"/>
      <c r="F688" s="133">
        <v>0.43830000000000002</v>
      </c>
      <c r="J688" s="132">
        <f>IF(Tabela8[[#This Row],[Tipo]]="jcp",Tabela8[[#This Row],[Provento p/Ação]]*85%,Tabela8[[#This Row],[Provento p/Ação]])</f>
        <v>0</v>
      </c>
      <c r="K688" s="133">
        <f>IF([Lucro p/Ação]&lt;&gt;0,SUMPRODUCT(N([Papel]=Tabela8[[#This Row],[Papel]]),N([Exercício]=Tabela8[[#This Row],[Exercício]]),[Líquido p/Ação]),"")</f>
        <v>0</v>
      </c>
      <c r="L688" s="42">
        <f>IF(Tabela8[[#This Row],[Lucro p/Ação]]="","",IF(Tabela8[[#This Row],[Lucro p/Ação]]&gt;0,Tabela8[[#This Row],[Total Exercício]]/Tabela8[[#This Row],[Lucro p/Ação]],0))</f>
        <v>0</v>
      </c>
      <c r="M68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0.13059928571428572</v>
      </c>
      <c r="N68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7.467E-2</v>
      </c>
      <c r="O688" s="19">
        <f>IF(Tabela8[[#This Row],[Média Lucro p/Ação]]&lt;&gt;"",Tabela8[[#This Row],[Média Pago]]/Tabela8[[#This Row],[Média Lucro p/Ação]],"")</f>
        <v>0.57174891571273079</v>
      </c>
      <c r="P6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8" s="134">
        <f>SUMPRODUCT(N(Tabela1[Código]=Tabela8[[#This Row],[Papel]]),Tabela1[Fechamento])</f>
        <v>0.64</v>
      </c>
      <c r="R688" s="7">
        <f>SUMPRODUCT(N(Tabela17[Código]=Tabela8[[#This Row],[Papel]]),Tabela17[Fechamento])</f>
        <v>0</v>
      </c>
      <c r="S688" s="7">
        <f>SUMPRODUCT(N(Tabela176[Código]=Tabela8[[#This Row],[Papel]]),Tabela176[Fechamento])</f>
        <v>0</v>
      </c>
      <c r="T688" s="7">
        <f>SUMPRODUCT(N(Tabela1768[Código]=Tabela8[[#This Row],[Papel]]),Tabela1768[Fechamento])</f>
        <v>0</v>
      </c>
      <c r="U688" s="7">
        <f>SUMPRODUCT(N(Tabela17683[Código]=Tabela8[[#This Row],[Papel]]),Tabela17683[Fechamento])</f>
        <v>0</v>
      </c>
      <c r="V688" s="7">
        <f>IF(MAX(Tabela8[[#This Row],[Cotação 1]]:Tabela8[[#This Row],[Cotação 5]])=0,"",MAX(Tabela8[[#This Row],[Cotação 1]]:Tabela8[[#This Row],[Cotação 5]]))</f>
        <v>0.64</v>
      </c>
      <c r="W6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8" s="19">
        <f>IF(AND([Ref]=5,[Cotação]&gt;0,[Cotação]&lt;&gt;""),[Total Exercício]/[Cotação],IF([Ref]&lt;4,0,""))</f>
        <v>0</v>
      </c>
      <c r="Y688" s="14">
        <f>IF([Tipo]="div",1,0)</f>
        <v>0</v>
      </c>
      <c r="Z688" s="14">
        <f>IF([Tipo]="jcp",1,0)</f>
        <v>0</v>
      </c>
    </row>
    <row r="689" spans="1:26">
      <c r="A689" s="24" t="s">
        <v>40</v>
      </c>
      <c r="B689" s="135" t="s">
        <v>39</v>
      </c>
      <c r="C689" s="15">
        <v>5</v>
      </c>
      <c r="D689" s="4">
        <v>2010</v>
      </c>
      <c r="E689" s="4"/>
      <c r="F689" s="133">
        <v>3.6260000000000001E-2</v>
      </c>
      <c r="G689" s="4"/>
      <c r="H689" s="4"/>
      <c r="I689" s="4"/>
      <c r="J689" s="132">
        <f>IF(Tabela8[[#This Row],[Tipo]]="jcp",Tabela8[[#This Row],[Provento p/Ação]]*85%,Tabela8[[#This Row],[Provento p/Ação]])</f>
        <v>0</v>
      </c>
      <c r="K689" s="143">
        <f>IF([Lucro p/Ação]&lt;&gt;0,SUMPRODUCT(N([Papel]=Tabela8[[#This Row],[Papel]]),N([Exercício]=Tabela8[[#This Row],[Exercício]]),[Líquido p/Ação]),"")</f>
        <v>0</v>
      </c>
      <c r="L689" s="42">
        <f>IF(Tabela8[[#This Row],[Lucro p/Ação]]="","",IF(Tabela8[[#This Row],[Lucro p/Ação]]&gt;0,Tabela8[[#This Row],[Total Exercício]]/Tabela8[[#This Row],[Lucro p/Ação]],0))</f>
        <v>0</v>
      </c>
      <c r="M689" s="143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0.12147818181818182</v>
      </c>
      <c r="N689" s="14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6.6949636363636364E-2</v>
      </c>
      <c r="O689" s="19">
        <f>IF(Tabela8[[#This Row],[Média Lucro p/Ação]]&lt;&gt;"",Tabela8[[#This Row],[Média Pago]]/Tabela8[[#This Row],[Média Lucro p/Ação]],"")</f>
        <v>0.55112478110547347</v>
      </c>
      <c r="P689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89" s="17">
        <f>SUMPRODUCT(N(Tabela1[Código]=Tabela8[[#This Row],[Papel]]),Tabela1[Fechamento])</f>
        <v>0.41</v>
      </c>
      <c r="R689" s="17">
        <f>SUMPRODUCT(N(Tabela17[Código]=Tabela8[[#This Row],[Papel]]),Tabela17[Fechamento])</f>
        <v>0</v>
      </c>
      <c r="S689" s="7">
        <f>SUMPRODUCT(N(Tabela176[Código]=Tabela8[[#This Row],[Papel]]),Tabela176[Fechamento])</f>
        <v>0</v>
      </c>
      <c r="T689" s="7">
        <f>SUMPRODUCT(N(Tabela1768[Código]=Tabela8[[#This Row],[Papel]]),Tabela1768[Fechamento])</f>
        <v>0</v>
      </c>
      <c r="U689" s="7">
        <f>SUMPRODUCT(N(Tabela17683[Código]=Tabela8[[#This Row],[Papel]]),Tabela17683[Fechamento])</f>
        <v>0</v>
      </c>
      <c r="V689" s="17">
        <f>IF(MAX(Tabela8[[#This Row],[Cotação 1]]:Tabela8[[#This Row],[Cotação 5]])=0,"",MAX(Tabela8[[#This Row],[Cotação 1]]:Tabela8[[#This Row],[Cotação 5]]))</f>
        <v>0.41</v>
      </c>
      <c r="W6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89" s="19">
        <f>IF(AND([Ref]=5,[Cotação]&gt;0,[Cotação]&lt;&gt;""),[Total Exercício]/[Cotação],IF([Ref]&lt;4,0,""))</f>
        <v>0</v>
      </c>
      <c r="Y689" s="14">
        <f>IF([Tipo]="div",1,0)</f>
        <v>0</v>
      </c>
      <c r="Z689" s="14">
        <f>IF([Tipo]="jcp",1,0)</f>
        <v>0</v>
      </c>
    </row>
    <row r="690" spans="1:26" hidden="1">
      <c r="A690" s="4" t="s">
        <v>12</v>
      </c>
      <c r="B690" s="138" t="s">
        <v>38</v>
      </c>
      <c r="C690" s="15">
        <v>4</v>
      </c>
      <c r="D690" s="14">
        <v>2010</v>
      </c>
      <c r="E690" s="14" t="s">
        <v>1468</v>
      </c>
      <c r="G690" s="145">
        <v>40480</v>
      </c>
      <c r="H690" s="46">
        <v>40494</v>
      </c>
      <c r="I690" s="133">
        <v>1.69167</v>
      </c>
      <c r="J690" s="134">
        <f>IF(Tabela8[[#This Row],[Tipo]]="jcp",Tabela8[[#This Row],[Provento p/Ação]]*85%,Tabela8[[#This Row],[Provento p/Ação]])</f>
        <v>1.69167</v>
      </c>
      <c r="K690" s="133" t="str">
        <f>IF([Lucro p/Ação]&lt;&gt;0,SUMPRODUCT(N([Papel]=Tabela8[[#This Row],[Papel]]),N([Exercício]=Tabela8[[#This Row],[Exercício]]),[Líquido p/Ação]),"")</f>
        <v/>
      </c>
      <c r="L690" s="42" t="str">
        <f>IF(Tabela8[[#This Row],[Lucro p/Ação]]="","",IF(Tabela8[[#This Row],[Lucro p/Ação]]&gt;0,Tabela8[[#This Row],[Total Exercício]]/Tabela8[[#This Row],[Lucro p/Ação]],0))</f>
        <v/>
      </c>
      <c r="M6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0" s="19" t="str">
        <f>IF(Tabela8[[#This Row],[Média Lucro p/Ação]]&lt;&gt;"",Tabela8[[#This Row],[Média Pago]]/Tabela8[[#This Row],[Média Lucro p/Ação]],"")</f>
        <v/>
      </c>
      <c r="P6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0" s="134">
        <f>SUMPRODUCT(N(Tabela1[Código]=Tabela8[[#This Row],[Papel]]),Tabela1[Fechamento])</f>
        <v>53</v>
      </c>
      <c r="R690" s="7">
        <f>SUMPRODUCT(N(Tabela17[Código]=Tabela8[[#This Row],[Papel]]),Tabela17[Fechamento])</f>
        <v>0</v>
      </c>
      <c r="S690" s="7">
        <f>SUMPRODUCT(N(Tabela176[Código]=Tabela8[[#This Row],[Papel]]),Tabela176[Fechamento])</f>
        <v>0</v>
      </c>
      <c r="T690" s="7">
        <f>SUMPRODUCT(N(Tabela1768[Código]=Tabela8[[#This Row],[Papel]]),Tabela1768[Fechamento])</f>
        <v>0</v>
      </c>
      <c r="U690" s="7">
        <f>SUMPRODUCT(N(Tabela17683[Código]=Tabela8[[#This Row],[Papel]]),Tabela17683[Fechamento])</f>
        <v>0</v>
      </c>
      <c r="V690" s="7">
        <f>IF(MAX(Tabela8[[#This Row],[Cotação 1]]:Tabela8[[#This Row],[Cotação 5]])=0,"",MAX(Tabela8[[#This Row],[Cotação 1]]:Tabela8[[#This Row],[Cotação 5]]))</f>
        <v>53</v>
      </c>
      <c r="W6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0" s="19" t="str">
        <f>IF(AND([Ref]=5,[Cotação]&gt;0,[Cotação]&lt;&gt;""),[Total Exercício]/[Cotação],IF([Ref]&lt;4,0,""))</f>
        <v/>
      </c>
      <c r="Y690" s="17">
        <f>IF([Tipo]="div",1,0)</f>
        <v>1</v>
      </c>
      <c r="Z690" s="17">
        <f>IF([Tipo]="jcp",1,0)</f>
        <v>0</v>
      </c>
    </row>
    <row r="691" spans="1:26" hidden="1">
      <c r="A691" s="24" t="s">
        <v>12</v>
      </c>
      <c r="B691" s="138" t="s">
        <v>38</v>
      </c>
      <c r="C691" s="15">
        <v>5</v>
      </c>
      <c r="D691" s="14">
        <v>2010</v>
      </c>
      <c r="E691" s="14" t="s">
        <v>1475</v>
      </c>
      <c r="F691" s="133">
        <v>1.93533</v>
      </c>
      <c r="G691" s="46">
        <v>40542</v>
      </c>
      <c r="H691" s="46">
        <v>40557</v>
      </c>
      <c r="I691" s="133">
        <v>0.2</v>
      </c>
      <c r="J691" s="134">
        <f>IF(Tabela8[[#This Row],[Tipo]]="jcp",Tabela8[[#This Row],[Provento p/Ação]]*85%,Tabela8[[#This Row],[Provento p/Ação]])</f>
        <v>0.17</v>
      </c>
      <c r="K691" s="133">
        <f>IF([Lucro p/Ação]&lt;&gt;0,SUMPRODUCT(N([Papel]=Tabela8[[#This Row],[Papel]]),N([Exercício]=Tabela8[[#This Row],[Exercício]]),[Líquido p/Ação]),"")</f>
        <v>2.73889</v>
      </c>
      <c r="L691" s="42">
        <f>IF(Tabela8[[#This Row],[Lucro p/Ação]]="","",IF(Tabela8[[#This Row],[Lucro p/Ação]]&gt;0,Tabela8[[#This Row],[Total Exercício]]/Tabela8[[#This Row],[Lucro p/Ação]],0))</f>
        <v>1.4152056755178704</v>
      </c>
      <c r="M69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1.93533</v>
      </c>
      <c r="N69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2.73889</v>
      </c>
      <c r="O691" s="19">
        <f>IF(Tabela8[[#This Row],[Média Lucro p/Ação]]&lt;&gt;"",Tabela8[[#This Row],[Média Pago]]/Tabela8[[#This Row],[Média Lucro p/Ação]],"")</f>
        <v>1.4152056755178704</v>
      </c>
      <c r="P6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1" s="134">
        <f>SUMPRODUCT(N(Tabela1[Código]=Tabela8[[#This Row],[Papel]]),Tabela1[Fechamento])</f>
        <v>53</v>
      </c>
      <c r="R691" s="17">
        <f>SUMPRODUCT(N(Tabela17[Código]=Tabela8[[#This Row],[Papel]]),Tabela17[Fechamento])</f>
        <v>0</v>
      </c>
      <c r="S691" s="17">
        <f>SUMPRODUCT(N(Tabela176[Código]=Tabela8[[#This Row],[Papel]]),Tabela176[Fechamento])</f>
        <v>0</v>
      </c>
      <c r="T691" s="17">
        <f>SUMPRODUCT(N(Tabela1768[Código]=Tabela8[[#This Row],[Papel]]),Tabela1768[Fechamento])</f>
        <v>0</v>
      </c>
      <c r="U691" s="17">
        <f>SUMPRODUCT(N(Tabela17683[Código]=Tabela8[[#This Row],[Papel]]),Tabela17683[Fechamento])</f>
        <v>0</v>
      </c>
      <c r="V691" s="17">
        <f>IF(MAX(Tabela8[[#This Row],[Cotação 1]]:Tabela8[[#This Row],[Cotação 5]])=0,"",MAX(Tabela8[[#This Row],[Cotação 1]]:Tabela8[[#This Row],[Cotação 5]]))</f>
        <v>53</v>
      </c>
      <c r="W6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1" s="19">
        <f>IF(AND([Ref]=5,[Cotação]&gt;0,[Cotação]&lt;&gt;""),[Total Exercício]/[Cotação],IF([Ref]&lt;4,0,""))</f>
        <v>5.1677169811320756E-2</v>
      </c>
      <c r="Y691" s="17">
        <f>IF([Tipo]="div",1,0)</f>
        <v>0</v>
      </c>
      <c r="Z691" s="17">
        <f>IF([Tipo]="jcp",1,0)</f>
        <v>1</v>
      </c>
    </row>
    <row r="692" spans="1:26" hidden="1">
      <c r="A692" s="4" t="s">
        <v>12</v>
      </c>
      <c r="B692" s="138" t="s">
        <v>158</v>
      </c>
      <c r="C692" s="15">
        <v>5</v>
      </c>
      <c r="D692" s="14">
        <v>2010</v>
      </c>
      <c r="E692" s="14" t="s">
        <v>1475</v>
      </c>
      <c r="F692" s="133">
        <v>1.8654500000000001</v>
      </c>
      <c r="G692" s="46">
        <v>40542</v>
      </c>
      <c r="H692" s="46">
        <v>40557</v>
      </c>
      <c r="I692" s="133">
        <v>0.2</v>
      </c>
      <c r="J692" s="134">
        <f>IF(Tabela8[[#This Row],[Tipo]]="jcp",Tabela8[[#This Row],[Provento p/Ação]]*85%,Tabela8[[#This Row],[Provento p/Ação]])</f>
        <v>0.17</v>
      </c>
      <c r="K692" s="133">
        <f>IF([Lucro p/Ação]&lt;&gt;0,SUMPRODUCT(N([Papel]=Tabela8[[#This Row],[Papel]]),N([Exercício]=Tabela8[[#This Row],[Exercício]]),[Líquido p/Ação]),"")</f>
        <v>1.6526299999999998</v>
      </c>
      <c r="L692" s="42">
        <f>IF(Tabela8[[#This Row],[Lucro p/Ação]]="","",IF(Tabela8[[#This Row],[Lucro p/Ação]]&gt;0,Tabela8[[#This Row],[Total Exercício]]/Tabela8[[#This Row],[Lucro p/Ação]],0))</f>
        <v>0.88591492669329108</v>
      </c>
      <c r="M69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1.8654500000000001</v>
      </c>
      <c r="N69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1.6526299999999998</v>
      </c>
      <c r="O692" s="19">
        <f>IF(Tabela8[[#This Row],[Média Lucro p/Ação]]&lt;&gt;"",Tabela8[[#This Row],[Média Pago]]/Tabela8[[#This Row],[Média Lucro p/Ação]],"")</f>
        <v>0.88591492669329108</v>
      </c>
      <c r="P6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2" s="134">
        <f>SUMPRODUCT(N(Tabela1[Código]=Tabela8[[#This Row],[Papel]]),Tabela1[Fechamento])</f>
        <v>62.04</v>
      </c>
      <c r="R692" s="7">
        <f>SUMPRODUCT(N(Tabela17[Código]=Tabela8[[#This Row],[Papel]]),Tabela17[Fechamento])</f>
        <v>0</v>
      </c>
      <c r="S692" s="7">
        <f>SUMPRODUCT(N(Tabela176[Código]=Tabela8[[#This Row],[Papel]]),Tabela176[Fechamento])</f>
        <v>0</v>
      </c>
      <c r="T692" s="7">
        <f>SUMPRODUCT(N(Tabela1768[Código]=Tabela8[[#This Row],[Papel]]),Tabela1768[Fechamento])</f>
        <v>0</v>
      </c>
      <c r="U692" s="7">
        <f>SUMPRODUCT(N(Tabela17683[Código]=Tabela8[[#This Row],[Papel]]),Tabela17683[Fechamento])</f>
        <v>0</v>
      </c>
      <c r="V692" s="7">
        <f>IF(MAX(Tabela8[[#This Row],[Cotação 1]]:Tabela8[[#This Row],[Cotação 5]])=0,"",MAX(Tabela8[[#This Row],[Cotação 1]]:Tabela8[[#This Row],[Cotação 5]]))</f>
        <v>62.04</v>
      </c>
      <c r="W6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2" s="19">
        <f>IF(AND([Ref]=5,[Cotação]&gt;0,[Cotação]&lt;&gt;""),[Total Exercício]/[Cotação],IF([Ref]&lt;4,0,""))</f>
        <v>2.6638136686009024E-2</v>
      </c>
      <c r="Y692" s="17">
        <f>IF([Tipo]="div",1,0)</f>
        <v>0</v>
      </c>
      <c r="Z692" s="17">
        <f>IF([Tipo]="jcp",1,0)</f>
        <v>1</v>
      </c>
    </row>
    <row r="693" spans="1:26" hidden="1">
      <c r="A693" s="24" t="s">
        <v>12</v>
      </c>
      <c r="B693" s="138" t="s">
        <v>158</v>
      </c>
      <c r="C693" s="15">
        <v>4</v>
      </c>
      <c r="D693" s="14">
        <v>2011</v>
      </c>
      <c r="E693" s="14" t="s">
        <v>1587</v>
      </c>
      <c r="G693" s="145">
        <v>40662</v>
      </c>
      <c r="H693" s="46">
        <v>40693</v>
      </c>
      <c r="I693" s="133">
        <v>5.9319999999999998E-2</v>
      </c>
      <c r="J693" s="134">
        <f>IF(Tabela8[[#This Row],[Tipo]]="jcp",Tabela8[[#This Row],[Provento p/Ação]]*85%,Tabela8[[#This Row],[Provento p/Ação]])</f>
        <v>5.9319999999999998E-2</v>
      </c>
      <c r="K693" s="133" t="str">
        <f>IF([Lucro p/Ação]&lt;&gt;0,SUMPRODUCT(N([Papel]=Tabela8[[#This Row],[Papel]]),N([Exercício]=Tabela8[[#This Row],[Exercício]]),[Líquido p/Ação]),"")</f>
        <v/>
      </c>
      <c r="L693" s="42" t="str">
        <f>IF(Tabela8[[#This Row],[Lucro p/Ação]]="","",IF(Tabela8[[#This Row],[Lucro p/Ação]]&gt;0,Tabela8[[#This Row],[Total Exercício]]/Tabela8[[#This Row],[Lucro p/Ação]],0))</f>
        <v/>
      </c>
      <c r="M69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3" s="19" t="str">
        <f>IF(Tabela8[[#This Row],[Média Lucro p/Ação]]&lt;&gt;"",Tabela8[[#This Row],[Média Pago]]/Tabela8[[#This Row],[Média Lucro p/Ação]],"")</f>
        <v/>
      </c>
      <c r="P6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3" s="134">
        <f>SUMPRODUCT(N(Tabela1[Código]=Tabela8[[#This Row],[Papel]]),Tabela1[Fechamento])</f>
        <v>62.04</v>
      </c>
      <c r="R693" s="17">
        <f>SUMPRODUCT(N(Tabela17[Código]=Tabela8[[#This Row],[Papel]]),Tabela17[Fechamento])</f>
        <v>0</v>
      </c>
      <c r="S693" s="17">
        <f>SUMPRODUCT(N(Tabela176[Código]=Tabela8[[#This Row],[Papel]]),Tabela176[Fechamento])</f>
        <v>0</v>
      </c>
      <c r="T693" s="17">
        <f>SUMPRODUCT(N(Tabela1768[Código]=Tabela8[[#This Row],[Papel]]),Tabela1768[Fechamento])</f>
        <v>0</v>
      </c>
      <c r="U693" s="17">
        <f>SUMPRODUCT(N(Tabela17683[Código]=Tabela8[[#This Row],[Papel]]),Tabela17683[Fechamento])</f>
        <v>0</v>
      </c>
      <c r="V693" s="17">
        <f>IF(MAX(Tabela8[[#This Row],[Cotação 1]]:Tabela8[[#This Row],[Cotação 5]])=0,"",MAX(Tabela8[[#This Row],[Cotação 1]]:Tabela8[[#This Row],[Cotação 5]]))</f>
        <v>62.04</v>
      </c>
      <c r="W6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3" s="19" t="str">
        <f>IF(AND([Ref]=5,[Cotação]&gt;0,[Cotação]&lt;&gt;""),[Total Exercício]/[Cotação],IF([Ref]&lt;4,0,""))</f>
        <v/>
      </c>
      <c r="Y693" s="17">
        <f>IF([Tipo]="div",1,0)</f>
        <v>0</v>
      </c>
      <c r="Z693" s="17">
        <f>IF([Tipo]="jcp",1,0)</f>
        <v>0</v>
      </c>
    </row>
    <row r="694" spans="1:26" hidden="1">
      <c r="A694" s="4" t="s">
        <v>12</v>
      </c>
      <c r="B694" s="138" t="s">
        <v>38</v>
      </c>
      <c r="C694" s="15">
        <v>4</v>
      </c>
      <c r="D694" s="14">
        <v>2011</v>
      </c>
      <c r="E694" s="14" t="s">
        <v>1587</v>
      </c>
      <c r="G694" s="145">
        <v>40662</v>
      </c>
      <c r="H694" s="46">
        <v>40693</v>
      </c>
      <c r="I694" s="133">
        <v>5.9319999999999998E-2</v>
      </c>
      <c r="J694" s="134">
        <f>IF(Tabela8[[#This Row],[Tipo]]="jcp",Tabela8[[#This Row],[Provento p/Ação]]*85%,Tabela8[[#This Row],[Provento p/Ação]])</f>
        <v>5.9319999999999998E-2</v>
      </c>
      <c r="K694" s="133" t="str">
        <f>IF([Lucro p/Ação]&lt;&gt;0,SUMPRODUCT(N([Papel]=Tabela8[[#This Row],[Papel]]),N([Exercício]=Tabela8[[#This Row],[Exercício]]),[Líquido p/Ação]),"")</f>
        <v/>
      </c>
      <c r="L694" s="42" t="str">
        <f>IF(Tabela8[[#This Row],[Lucro p/Ação]]="","",IF(Tabela8[[#This Row],[Lucro p/Ação]]&gt;0,Tabela8[[#This Row],[Total Exercício]]/Tabela8[[#This Row],[Lucro p/Ação]],0))</f>
        <v/>
      </c>
      <c r="M69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4" s="19" t="str">
        <f>IF(Tabela8[[#This Row],[Média Lucro p/Ação]]&lt;&gt;"",Tabela8[[#This Row],[Média Pago]]/Tabela8[[#This Row],[Média Lucro p/Ação]],"")</f>
        <v/>
      </c>
      <c r="P6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4" s="134">
        <f>SUMPRODUCT(N(Tabela1[Código]=Tabela8[[#This Row],[Papel]]),Tabela1[Fechamento])</f>
        <v>53</v>
      </c>
      <c r="R694" s="7">
        <f>SUMPRODUCT(N(Tabela17[Código]=Tabela8[[#This Row],[Papel]]),Tabela17[Fechamento])</f>
        <v>0</v>
      </c>
      <c r="S694" s="7">
        <f>SUMPRODUCT(N(Tabela176[Código]=Tabela8[[#This Row],[Papel]]),Tabela176[Fechamento])</f>
        <v>0</v>
      </c>
      <c r="T694" s="7">
        <f>SUMPRODUCT(N(Tabela1768[Código]=Tabela8[[#This Row],[Papel]]),Tabela1768[Fechamento])</f>
        <v>0</v>
      </c>
      <c r="U694" s="7">
        <f>SUMPRODUCT(N(Tabela17683[Código]=Tabela8[[#This Row],[Papel]]),Tabela17683[Fechamento])</f>
        <v>0</v>
      </c>
      <c r="V694" s="7">
        <f>IF(MAX(Tabela8[[#This Row],[Cotação 1]]:Tabela8[[#This Row],[Cotação 5]])=0,"",MAX(Tabela8[[#This Row],[Cotação 1]]:Tabela8[[#This Row],[Cotação 5]]))</f>
        <v>53</v>
      </c>
      <c r="W6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4" s="19" t="str">
        <f>IF(AND([Ref]=5,[Cotação]&gt;0,[Cotação]&lt;&gt;""),[Total Exercício]/[Cotação],IF([Ref]&lt;4,0,""))</f>
        <v/>
      </c>
      <c r="Y694" s="17">
        <f>IF([Tipo]="div",1,0)</f>
        <v>0</v>
      </c>
      <c r="Z694" s="17">
        <f>IF([Tipo]="jcp",1,0)</f>
        <v>0</v>
      </c>
    </row>
    <row r="695" spans="1:26" hidden="1">
      <c r="A695" s="24" t="s">
        <v>12</v>
      </c>
      <c r="B695" s="138" t="s">
        <v>38</v>
      </c>
      <c r="C695" s="15">
        <v>4</v>
      </c>
      <c r="D695" s="14">
        <v>2011</v>
      </c>
      <c r="E695" s="14" t="s">
        <v>1468</v>
      </c>
      <c r="G695" s="145">
        <v>40662</v>
      </c>
      <c r="H695" s="46">
        <v>40693</v>
      </c>
      <c r="I695" s="133">
        <v>0.70591000000000004</v>
      </c>
      <c r="J695" s="134">
        <f>IF(Tabela8[[#This Row],[Tipo]]="jcp",Tabela8[[#This Row],[Provento p/Ação]]*85%,Tabela8[[#This Row],[Provento p/Ação]])</f>
        <v>0.70591000000000004</v>
      </c>
      <c r="K695" s="133" t="str">
        <f>IF([Lucro p/Ação]&lt;&gt;0,SUMPRODUCT(N([Papel]=Tabela8[[#This Row],[Papel]]),N([Exercício]=Tabela8[[#This Row],[Exercício]]),[Líquido p/Ação]),"")</f>
        <v/>
      </c>
      <c r="L695" s="42" t="str">
        <f>IF(Tabela8[[#This Row],[Lucro p/Ação]]="","",IF(Tabela8[[#This Row],[Lucro p/Ação]]&gt;0,Tabela8[[#This Row],[Total Exercício]]/Tabela8[[#This Row],[Lucro p/Ação]],0))</f>
        <v/>
      </c>
      <c r="M6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5" s="19" t="str">
        <f>IF(Tabela8[[#This Row],[Média Lucro p/Ação]]&lt;&gt;"",Tabela8[[#This Row],[Média Pago]]/Tabela8[[#This Row],[Média Lucro p/Ação]],"")</f>
        <v/>
      </c>
      <c r="P6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5" s="134">
        <f>SUMPRODUCT(N(Tabela1[Código]=Tabela8[[#This Row],[Papel]]),Tabela1[Fechamento])</f>
        <v>53</v>
      </c>
      <c r="R695" s="7">
        <f>SUMPRODUCT(N(Tabela17[Código]=Tabela8[[#This Row],[Papel]]),Tabela17[Fechamento])</f>
        <v>0</v>
      </c>
      <c r="S695" s="7">
        <f>SUMPRODUCT(N(Tabela176[Código]=Tabela8[[#This Row],[Papel]]),Tabela176[Fechamento])</f>
        <v>0</v>
      </c>
      <c r="T695" s="7">
        <f>SUMPRODUCT(N(Tabela1768[Código]=Tabela8[[#This Row],[Papel]]),Tabela1768[Fechamento])</f>
        <v>0</v>
      </c>
      <c r="U695" s="7">
        <f>SUMPRODUCT(N(Tabela17683[Código]=Tabela8[[#This Row],[Papel]]),Tabela17683[Fechamento])</f>
        <v>0</v>
      </c>
      <c r="V695" s="7">
        <f>IF(MAX(Tabela8[[#This Row],[Cotação 1]]:Tabela8[[#This Row],[Cotação 5]])=0,"",MAX(Tabela8[[#This Row],[Cotação 1]]:Tabela8[[#This Row],[Cotação 5]]))</f>
        <v>53</v>
      </c>
      <c r="W6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5" s="19" t="str">
        <f>IF(AND([Ref]=5,[Cotação]&gt;0,[Cotação]&lt;&gt;""),[Total Exercício]/[Cotação],IF([Ref]&lt;4,0,""))</f>
        <v/>
      </c>
      <c r="Y695" s="17">
        <f>IF([Tipo]="div",1,0)</f>
        <v>1</v>
      </c>
      <c r="Z695" s="17">
        <f>IF([Tipo]="jcp",1,0)</f>
        <v>0</v>
      </c>
    </row>
    <row r="696" spans="1:26" hidden="1">
      <c r="A696" s="4" t="s">
        <v>12</v>
      </c>
      <c r="B696" s="138" t="s">
        <v>158</v>
      </c>
      <c r="C696" s="15">
        <v>4</v>
      </c>
      <c r="D696" s="14">
        <v>2011</v>
      </c>
      <c r="E696" s="14" t="s">
        <v>1468</v>
      </c>
      <c r="G696" s="145">
        <v>40662</v>
      </c>
      <c r="H696" s="46">
        <v>40693</v>
      </c>
      <c r="I696" s="133">
        <v>2.39758</v>
      </c>
      <c r="J696" s="134">
        <f>IF(Tabela8[[#This Row],[Tipo]]="jcp",Tabela8[[#This Row],[Provento p/Ação]]*85%,Tabela8[[#This Row],[Provento p/Ação]])</f>
        <v>2.39758</v>
      </c>
      <c r="K696" s="133" t="str">
        <f>IF([Lucro p/Ação]&lt;&gt;0,SUMPRODUCT(N([Papel]=Tabela8[[#This Row],[Papel]]),N([Exercício]=Tabela8[[#This Row],[Exercício]]),[Líquido p/Ação]),"")</f>
        <v/>
      </c>
      <c r="L696" s="42" t="str">
        <f>IF(Tabela8[[#This Row],[Lucro p/Ação]]="","",IF(Tabela8[[#This Row],[Lucro p/Ação]]&gt;0,Tabela8[[#This Row],[Total Exercício]]/Tabela8[[#This Row],[Lucro p/Ação]],0))</f>
        <v/>
      </c>
      <c r="M6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6" s="19" t="str">
        <f>IF(Tabela8[[#This Row],[Média Lucro p/Ação]]&lt;&gt;"",Tabela8[[#This Row],[Média Pago]]/Tabela8[[#This Row],[Média Lucro p/Ação]],"")</f>
        <v/>
      </c>
      <c r="P6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6" s="134">
        <f>SUMPRODUCT(N(Tabela1[Código]=Tabela8[[#This Row],[Papel]]),Tabela1[Fechamento])</f>
        <v>62.04</v>
      </c>
      <c r="R696" s="17">
        <f>SUMPRODUCT(N(Tabela17[Código]=Tabela8[[#This Row],[Papel]]),Tabela17[Fechamento])</f>
        <v>0</v>
      </c>
      <c r="S696" s="17">
        <f>SUMPRODUCT(N(Tabela176[Código]=Tabela8[[#This Row],[Papel]]),Tabela176[Fechamento])</f>
        <v>0</v>
      </c>
      <c r="T696" s="17">
        <f>SUMPRODUCT(N(Tabela1768[Código]=Tabela8[[#This Row],[Papel]]),Tabela1768[Fechamento])</f>
        <v>0</v>
      </c>
      <c r="U696" s="17">
        <f>SUMPRODUCT(N(Tabela17683[Código]=Tabela8[[#This Row],[Papel]]),Tabela17683[Fechamento])</f>
        <v>0</v>
      </c>
      <c r="V696" s="17">
        <f>IF(MAX(Tabela8[[#This Row],[Cotação 1]]:Tabela8[[#This Row],[Cotação 5]])=0,"",MAX(Tabela8[[#This Row],[Cotação 1]]:Tabela8[[#This Row],[Cotação 5]]))</f>
        <v>62.04</v>
      </c>
      <c r="W6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6" s="19" t="str">
        <f>IF(AND([Ref]=5,[Cotação]&gt;0,[Cotação]&lt;&gt;""),[Total Exercício]/[Cotação],IF([Ref]&lt;4,0,""))</f>
        <v/>
      </c>
      <c r="Y696" s="17">
        <f>IF([Tipo]="div",1,0)</f>
        <v>1</v>
      </c>
      <c r="Z696" s="17">
        <f>IF([Tipo]="jcp",1,0)</f>
        <v>0</v>
      </c>
    </row>
    <row r="697" spans="1:26" hidden="1">
      <c r="A697" s="24" t="s">
        <v>12</v>
      </c>
      <c r="B697" s="138" t="s">
        <v>158</v>
      </c>
      <c r="C697" s="15">
        <v>4</v>
      </c>
      <c r="D697" s="14">
        <v>2011</v>
      </c>
      <c r="E697" s="14" t="s">
        <v>1468</v>
      </c>
      <c r="G697" s="145">
        <v>40835</v>
      </c>
      <c r="H697" s="46">
        <v>40896</v>
      </c>
      <c r="I697" s="133">
        <v>1.1122099999999999</v>
      </c>
      <c r="J697" s="134">
        <f>IF(Tabela8[[#This Row],[Tipo]]="jcp",Tabela8[[#This Row],[Provento p/Ação]]*85%,Tabela8[[#This Row],[Provento p/Ação]])</f>
        <v>1.1122099999999999</v>
      </c>
      <c r="K697" s="133" t="str">
        <f>IF([Lucro p/Ação]&lt;&gt;0,SUMPRODUCT(N([Papel]=Tabela8[[#This Row],[Papel]]),N([Exercício]=Tabela8[[#This Row],[Exercício]]),[Líquido p/Ação]),"")</f>
        <v/>
      </c>
      <c r="L697" s="42" t="str">
        <f>IF(Tabela8[[#This Row],[Lucro p/Ação]]="","",IF(Tabela8[[#This Row],[Lucro p/Ação]]&gt;0,Tabela8[[#This Row],[Total Exercício]]/Tabela8[[#This Row],[Lucro p/Ação]],0))</f>
        <v/>
      </c>
      <c r="M6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7" s="19" t="str">
        <f>IF(Tabela8[[#This Row],[Média Lucro p/Ação]]&lt;&gt;"",Tabela8[[#This Row],[Média Pago]]/Tabela8[[#This Row],[Média Lucro p/Ação]],"")</f>
        <v/>
      </c>
      <c r="P6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7" s="134">
        <f>SUMPRODUCT(N(Tabela1[Código]=Tabela8[[#This Row],[Papel]]),Tabela1[Fechamento])</f>
        <v>62.04</v>
      </c>
      <c r="R697" s="17">
        <f>SUMPRODUCT(N(Tabela17[Código]=Tabela8[[#This Row],[Papel]]),Tabela17[Fechamento])</f>
        <v>0</v>
      </c>
      <c r="S697" s="17">
        <f>SUMPRODUCT(N(Tabela176[Código]=Tabela8[[#This Row],[Papel]]),Tabela176[Fechamento])</f>
        <v>0</v>
      </c>
      <c r="T697" s="17">
        <f>SUMPRODUCT(N(Tabela1768[Código]=Tabela8[[#This Row],[Papel]]),Tabela1768[Fechamento])</f>
        <v>0</v>
      </c>
      <c r="U697" s="17">
        <f>SUMPRODUCT(N(Tabela17683[Código]=Tabela8[[#This Row],[Papel]]),Tabela17683[Fechamento])</f>
        <v>0</v>
      </c>
      <c r="V697" s="17">
        <f>IF(MAX(Tabela8[[#This Row],[Cotação 1]]:Tabela8[[#This Row],[Cotação 5]])=0,"",MAX(Tabela8[[#This Row],[Cotação 1]]:Tabela8[[#This Row],[Cotação 5]]))</f>
        <v>62.04</v>
      </c>
      <c r="W6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7" s="19" t="str">
        <f>IF(AND([Ref]=5,[Cotação]&gt;0,[Cotação]&lt;&gt;""),[Total Exercício]/[Cotação],IF([Ref]&lt;4,0,""))</f>
        <v/>
      </c>
      <c r="Y697" s="17">
        <f>IF([Tipo]="div",1,0)</f>
        <v>1</v>
      </c>
      <c r="Z697" s="17">
        <f>IF([Tipo]="jcp",1,0)</f>
        <v>0</v>
      </c>
    </row>
    <row r="698" spans="1:26" hidden="1">
      <c r="A698" s="4" t="s">
        <v>12</v>
      </c>
      <c r="B698" s="138" t="s">
        <v>38</v>
      </c>
      <c r="C698" s="15">
        <v>4</v>
      </c>
      <c r="D698" s="14">
        <v>2011</v>
      </c>
      <c r="E698" s="14" t="s">
        <v>1468</v>
      </c>
      <c r="G698" s="145">
        <v>40835</v>
      </c>
      <c r="H698" s="46">
        <v>40896</v>
      </c>
      <c r="I698" s="133">
        <v>1.73576</v>
      </c>
      <c r="J698" s="134">
        <f>IF(Tabela8[[#This Row],[Tipo]]="jcp",Tabela8[[#This Row],[Provento p/Ação]]*85%,Tabela8[[#This Row],[Provento p/Ação]])</f>
        <v>1.73576</v>
      </c>
      <c r="K698" s="133" t="str">
        <f>IF([Lucro p/Ação]&lt;&gt;0,SUMPRODUCT(N([Papel]=Tabela8[[#This Row],[Papel]]),N([Exercício]=Tabela8[[#This Row],[Exercício]]),[Líquido p/Ação]),"")</f>
        <v/>
      </c>
      <c r="L698" s="42" t="str">
        <f>IF(Tabela8[[#This Row],[Lucro p/Ação]]="","",IF(Tabela8[[#This Row],[Lucro p/Ação]]&gt;0,Tabela8[[#This Row],[Total Exercício]]/Tabela8[[#This Row],[Lucro p/Ação]],0))</f>
        <v/>
      </c>
      <c r="M6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69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698" s="19" t="str">
        <f>IF(Tabela8[[#This Row],[Média Lucro p/Ação]]&lt;&gt;"",Tabela8[[#This Row],[Média Pago]]/Tabela8[[#This Row],[Média Lucro p/Ação]],"")</f>
        <v/>
      </c>
      <c r="P6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8" s="134">
        <f>SUMPRODUCT(N(Tabela1[Código]=Tabela8[[#This Row],[Papel]]),Tabela1[Fechamento])</f>
        <v>53</v>
      </c>
      <c r="R698" s="17">
        <f>SUMPRODUCT(N(Tabela17[Código]=Tabela8[[#This Row],[Papel]]),Tabela17[Fechamento])</f>
        <v>0</v>
      </c>
      <c r="S698" s="17">
        <f>SUMPRODUCT(N(Tabela176[Código]=Tabela8[[#This Row],[Papel]]),Tabela176[Fechamento])</f>
        <v>0</v>
      </c>
      <c r="T698" s="17">
        <f>SUMPRODUCT(N(Tabela1768[Código]=Tabela8[[#This Row],[Papel]]),Tabela1768[Fechamento])</f>
        <v>0</v>
      </c>
      <c r="U698" s="17">
        <f>SUMPRODUCT(N(Tabela17683[Código]=Tabela8[[#This Row],[Papel]]),Tabela17683[Fechamento])</f>
        <v>0</v>
      </c>
      <c r="V698" s="17">
        <f>IF(MAX(Tabela8[[#This Row],[Cotação 1]]:Tabela8[[#This Row],[Cotação 5]])=0,"",MAX(Tabela8[[#This Row],[Cotação 1]]:Tabela8[[#This Row],[Cotação 5]]))</f>
        <v>53</v>
      </c>
      <c r="W6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8" s="19" t="str">
        <f>IF(AND([Ref]=5,[Cotação]&gt;0,[Cotação]&lt;&gt;""),[Total Exercício]/[Cotação],IF([Ref]&lt;4,0,""))</f>
        <v/>
      </c>
      <c r="Y698" s="17">
        <f>IF([Tipo]="div",1,0)</f>
        <v>1</v>
      </c>
      <c r="Z698" s="17">
        <f>IF([Tipo]="jcp",1,0)</f>
        <v>0</v>
      </c>
    </row>
    <row r="699" spans="1:26" hidden="1">
      <c r="A699" s="24" t="s">
        <v>12</v>
      </c>
      <c r="B699" s="138" t="s">
        <v>158</v>
      </c>
      <c r="C699" s="15">
        <v>5</v>
      </c>
      <c r="D699" s="14">
        <v>2011</v>
      </c>
      <c r="E699" s="14" t="s">
        <v>1475</v>
      </c>
      <c r="F699" s="133">
        <v>2.9784899999999999</v>
      </c>
      <c r="G699" s="145">
        <v>40904</v>
      </c>
      <c r="H699" s="46">
        <v>40938</v>
      </c>
      <c r="I699" s="133">
        <v>1.04</v>
      </c>
      <c r="J699" s="134">
        <f>IF(Tabela8[[#This Row],[Tipo]]="jcp",Tabela8[[#This Row],[Provento p/Ação]]*85%,Tabela8[[#This Row],[Provento p/Ação]])</f>
        <v>0.88400000000000001</v>
      </c>
      <c r="K699" s="133">
        <f>IF([Lucro p/Ação]&lt;&gt;0,SUMPRODUCT(N([Papel]=Tabela8[[#This Row],[Papel]]),N([Exercício]=Tabela8[[#This Row],[Exercício]]),[Líquido p/Ação]),"")</f>
        <v>4.4531100000000006</v>
      </c>
      <c r="L699" s="42">
        <f>IF(Tabela8[[#This Row],[Lucro p/Ação]]="","",IF(Tabela8[[#This Row],[Lucro p/Ação]]&gt;0,Tabela8[[#This Row],[Total Exercício]]/Tabela8[[#This Row],[Lucro p/Ação]],0))</f>
        <v>1.4950897938217018</v>
      </c>
      <c r="M6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2.42197</v>
      </c>
      <c r="N69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3.0528700000000004</v>
      </c>
      <c r="O699" s="19">
        <f>IF(Tabela8[[#This Row],[Média Lucro p/Ação]]&lt;&gt;"",Tabela8[[#This Row],[Média Pago]]/Tabela8[[#This Row],[Média Lucro p/Ação]],"")</f>
        <v>1.2604904272142101</v>
      </c>
      <c r="P6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699" s="134">
        <f>SUMPRODUCT(N(Tabela1[Código]=Tabela8[[#This Row],[Papel]]),Tabela1[Fechamento])</f>
        <v>62.04</v>
      </c>
      <c r="R699" s="17">
        <f>SUMPRODUCT(N(Tabela17[Código]=Tabela8[[#This Row],[Papel]]),Tabela17[Fechamento])</f>
        <v>0</v>
      </c>
      <c r="S699" s="17">
        <f>SUMPRODUCT(N(Tabela176[Código]=Tabela8[[#This Row],[Papel]]),Tabela176[Fechamento])</f>
        <v>0</v>
      </c>
      <c r="T699" s="17">
        <f>SUMPRODUCT(N(Tabela1768[Código]=Tabela8[[#This Row],[Papel]]),Tabela1768[Fechamento])</f>
        <v>0</v>
      </c>
      <c r="U699" s="17">
        <f>SUMPRODUCT(N(Tabela17683[Código]=Tabela8[[#This Row],[Papel]]),Tabela17683[Fechamento])</f>
        <v>0</v>
      </c>
      <c r="V699" s="17">
        <f>IF(MAX(Tabela8[[#This Row],[Cotação 1]]:Tabela8[[#This Row],[Cotação 5]])=0,"",MAX(Tabela8[[#This Row],[Cotação 1]]:Tabela8[[#This Row],[Cotação 5]]))</f>
        <v>62.04</v>
      </c>
      <c r="W6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699" s="19">
        <f>IF(AND([Ref]=5,[Cotação]&gt;0,[Cotação]&lt;&gt;""),[Total Exercício]/[Cotação],IF([Ref]&lt;4,0,""))</f>
        <v>7.1778046421663452E-2</v>
      </c>
      <c r="Y699" s="17">
        <f>IF([Tipo]="div",1,0)</f>
        <v>0</v>
      </c>
      <c r="Z699" s="17">
        <f>IF([Tipo]="jcp",1,0)</f>
        <v>1</v>
      </c>
    </row>
    <row r="700" spans="1:26" hidden="1">
      <c r="A700" s="4" t="s">
        <v>12</v>
      </c>
      <c r="B700" s="138" t="s">
        <v>38</v>
      </c>
      <c r="C700" s="15">
        <v>5</v>
      </c>
      <c r="D700" s="14">
        <v>2011</v>
      </c>
      <c r="E700" s="14" t="s">
        <v>1475</v>
      </c>
      <c r="F700" s="133">
        <v>2.97383</v>
      </c>
      <c r="G700" s="145">
        <v>40904</v>
      </c>
      <c r="H700" s="46">
        <v>40938</v>
      </c>
      <c r="I700" s="133">
        <v>1.04</v>
      </c>
      <c r="J700" s="134">
        <f>IF(Tabela8[[#This Row],[Tipo]]="jcp",Tabela8[[#This Row],[Provento p/Ação]]*85%,Tabela8[[#This Row],[Provento p/Ação]])</f>
        <v>0.88400000000000001</v>
      </c>
      <c r="K700" s="133">
        <f>IF([Lucro p/Ação]&lt;&gt;0,SUMPRODUCT(N([Papel]=Tabela8[[#This Row],[Papel]]),N([Exercício]=Tabela8[[#This Row],[Exercício]]),[Líquido p/Ação]),"")</f>
        <v>3.3849899999999997</v>
      </c>
      <c r="L700" s="42">
        <f>IF(Tabela8[[#This Row],[Lucro p/Ação]]="","",IF(Tabela8[[#This Row],[Lucro p/Ação]]&gt;0,Tabela8[[#This Row],[Total Exercício]]/Tabela8[[#This Row],[Lucro p/Ação]],0))</f>
        <v>1.1382594163082622</v>
      </c>
      <c r="M70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2.45458</v>
      </c>
      <c r="N70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3.0619399999999999</v>
      </c>
      <c r="O700" s="19">
        <f>IF(Tabela8[[#This Row],[Média Lucro p/Ação]]&lt;&gt;"",Tabela8[[#This Row],[Média Pago]]/Tabela8[[#This Row],[Média Lucro p/Ação]],"")</f>
        <v>1.2474394804813858</v>
      </c>
      <c r="P7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0" s="134">
        <f>SUMPRODUCT(N(Tabela1[Código]=Tabela8[[#This Row],[Papel]]),Tabela1[Fechamento])</f>
        <v>53</v>
      </c>
      <c r="R700" s="17">
        <f>SUMPRODUCT(N(Tabela17[Código]=Tabela8[[#This Row],[Papel]]),Tabela17[Fechamento])</f>
        <v>0</v>
      </c>
      <c r="S700" s="17">
        <f>SUMPRODUCT(N(Tabela176[Código]=Tabela8[[#This Row],[Papel]]),Tabela176[Fechamento])</f>
        <v>0</v>
      </c>
      <c r="T700" s="17">
        <f>SUMPRODUCT(N(Tabela1768[Código]=Tabela8[[#This Row],[Papel]]),Tabela1768[Fechamento])</f>
        <v>0</v>
      </c>
      <c r="U700" s="17">
        <f>SUMPRODUCT(N(Tabela17683[Código]=Tabela8[[#This Row],[Papel]]),Tabela17683[Fechamento])</f>
        <v>0</v>
      </c>
      <c r="V700" s="17">
        <f>IF(MAX(Tabela8[[#This Row],[Cotação 1]]:Tabela8[[#This Row],[Cotação 5]])=0,"",MAX(Tabela8[[#This Row],[Cotação 1]]:Tabela8[[#This Row],[Cotação 5]]))</f>
        <v>53</v>
      </c>
      <c r="W7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0" s="19">
        <f>IF(AND([Ref]=5,[Cotação]&gt;0,[Cotação]&lt;&gt;""),[Total Exercício]/[Cotação],IF([Ref]&lt;4,0,""))</f>
        <v>6.3867735849056598E-2</v>
      </c>
      <c r="Y700" s="17">
        <f>IF([Tipo]="div",1,0)</f>
        <v>0</v>
      </c>
      <c r="Z700" s="17">
        <f>IF([Tipo]="jcp",1,0)</f>
        <v>1</v>
      </c>
    </row>
    <row r="701" spans="1:26" hidden="1">
      <c r="A701" s="4" t="s">
        <v>12</v>
      </c>
      <c r="B701" s="138" t="s">
        <v>38</v>
      </c>
      <c r="C701" s="15">
        <v>4</v>
      </c>
      <c r="D701" s="14">
        <v>2012</v>
      </c>
      <c r="E701" s="14" t="s">
        <v>1468</v>
      </c>
      <c r="G701" s="145">
        <v>40662</v>
      </c>
      <c r="H701" s="46">
        <v>40693</v>
      </c>
      <c r="I701" s="133">
        <v>0.70591000000000004</v>
      </c>
      <c r="J701" s="134">
        <f>IF(Tabela8[[#This Row],[Tipo]]="jcp",Tabela8[[#This Row],[Provento p/Ação]]*85%,Tabela8[[#This Row],[Provento p/Ação]])</f>
        <v>0.70591000000000004</v>
      </c>
      <c r="K701" s="133" t="str">
        <f>IF([Lucro p/Ação]&lt;&gt;0,SUMPRODUCT(N([Papel]=Tabela8[[#This Row],[Papel]]),N([Exercício]=Tabela8[[#This Row],[Exercício]]),[Líquido p/Ação]),"")</f>
        <v/>
      </c>
      <c r="L701" s="42" t="str">
        <f>IF(Tabela8[[#This Row],[Lucro p/Ação]]="","",IF(Tabela8[[#This Row],[Lucro p/Ação]]&gt;0,Tabela8[[#This Row],[Total Exercício]]/Tabela8[[#This Row],[Lucro p/Ação]],0))</f>
        <v/>
      </c>
      <c r="M7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1" s="19" t="str">
        <f>IF(Tabela8[[#This Row],[Média Lucro p/Ação]]&lt;&gt;"",Tabela8[[#This Row],[Média Pago]]/Tabela8[[#This Row],[Média Lucro p/Ação]],"")</f>
        <v/>
      </c>
      <c r="P7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1" s="134">
        <f>SUMPRODUCT(N(Tabela1[Código]=Tabela8[[#This Row],[Papel]]),Tabela1[Fechamento])</f>
        <v>53</v>
      </c>
      <c r="R701" s="7">
        <f>SUMPRODUCT(N(Tabela17[Código]=Tabela8[[#This Row],[Papel]]),Tabela17[Fechamento])</f>
        <v>0</v>
      </c>
      <c r="S701" s="7">
        <f>SUMPRODUCT(N(Tabela176[Código]=Tabela8[[#This Row],[Papel]]),Tabela176[Fechamento])</f>
        <v>0</v>
      </c>
      <c r="T701" s="7">
        <f>SUMPRODUCT(N(Tabela1768[Código]=Tabela8[[#This Row],[Papel]]),Tabela1768[Fechamento])</f>
        <v>0</v>
      </c>
      <c r="U701" s="7">
        <f>SUMPRODUCT(N(Tabela17683[Código]=Tabela8[[#This Row],[Papel]]),Tabela17683[Fechamento])</f>
        <v>0</v>
      </c>
      <c r="V701" s="7">
        <f>IF(MAX(Tabela8[[#This Row],[Cotação 1]]:Tabela8[[#This Row],[Cotação 5]])=0,"",MAX(Tabela8[[#This Row],[Cotação 1]]:Tabela8[[#This Row],[Cotação 5]]))</f>
        <v>53</v>
      </c>
      <c r="W7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1" s="19" t="str">
        <f>IF(AND([Ref]=5,[Cotação]&gt;0,[Cotação]&lt;&gt;""),[Total Exercício]/[Cotação],IF([Ref]&lt;4,0,""))</f>
        <v/>
      </c>
      <c r="Y701" s="17">
        <f>IF([Tipo]="div",1,0)</f>
        <v>1</v>
      </c>
      <c r="Z701" s="17">
        <f>IF([Tipo]="jcp",1,0)</f>
        <v>0</v>
      </c>
    </row>
    <row r="702" spans="1:26" hidden="1">
      <c r="A702" s="24" t="s">
        <v>12</v>
      </c>
      <c r="B702" s="138" t="s">
        <v>158</v>
      </c>
      <c r="C702" s="15">
        <v>4</v>
      </c>
      <c r="D702" s="14">
        <v>2012</v>
      </c>
      <c r="E702" s="14" t="s">
        <v>1468</v>
      </c>
      <c r="G702" s="145">
        <v>40662</v>
      </c>
      <c r="H702" s="46">
        <v>40693</v>
      </c>
      <c r="I702" s="133">
        <v>2.39758</v>
      </c>
      <c r="J702" s="134">
        <f>IF(Tabela8[[#This Row],[Tipo]]="jcp",Tabela8[[#This Row],[Provento p/Ação]]*85%,Tabela8[[#This Row],[Provento p/Ação]])</f>
        <v>2.39758</v>
      </c>
      <c r="K702" s="133" t="str">
        <f>IF([Lucro p/Ação]&lt;&gt;0,SUMPRODUCT(N([Papel]=Tabela8[[#This Row],[Papel]]),N([Exercício]=Tabela8[[#This Row],[Exercício]]),[Líquido p/Ação]),"")</f>
        <v/>
      </c>
      <c r="L702" s="42" t="str">
        <f>IF(Tabela8[[#This Row],[Lucro p/Ação]]="","",IF(Tabela8[[#This Row],[Lucro p/Ação]]&gt;0,Tabela8[[#This Row],[Total Exercício]]/Tabela8[[#This Row],[Lucro p/Ação]],0))</f>
        <v/>
      </c>
      <c r="M7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2" s="19" t="str">
        <f>IF(Tabela8[[#This Row],[Média Lucro p/Ação]]&lt;&gt;"",Tabela8[[#This Row],[Média Pago]]/Tabela8[[#This Row],[Média Lucro p/Ação]],"")</f>
        <v/>
      </c>
      <c r="P7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2" s="134">
        <f>SUMPRODUCT(N(Tabela1[Código]=Tabela8[[#This Row],[Papel]]),Tabela1[Fechamento])</f>
        <v>62.04</v>
      </c>
      <c r="R702" s="17">
        <f>SUMPRODUCT(N(Tabela17[Código]=Tabela8[[#This Row],[Papel]]),Tabela17[Fechamento])</f>
        <v>0</v>
      </c>
      <c r="S702" s="17">
        <f>SUMPRODUCT(N(Tabela176[Código]=Tabela8[[#This Row],[Papel]]),Tabela176[Fechamento])</f>
        <v>0</v>
      </c>
      <c r="T702" s="17">
        <f>SUMPRODUCT(N(Tabela1768[Código]=Tabela8[[#This Row],[Papel]]),Tabela1768[Fechamento])</f>
        <v>0</v>
      </c>
      <c r="U702" s="17">
        <f>SUMPRODUCT(N(Tabela17683[Código]=Tabela8[[#This Row],[Papel]]),Tabela17683[Fechamento])</f>
        <v>0</v>
      </c>
      <c r="V702" s="17">
        <f>IF(MAX(Tabela8[[#This Row],[Cotação 1]]:Tabela8[[#This Row],[Cotação 5]])=0,"",MAX(Tabela8[[#This Row],[Cotação 1]]:Tabela8[[#This Row],[Cotação 5]]))</f>
        <v>62.04</v>
      </c>
      <c r="W7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2" s="19" t="str">
        <f>IF(AND([Ref]=5,[Cotação]&gt;0,[Cotação]&lt;&gt;""),[Total Exercício]/[Cotação],IF([Ref]&lt;4,0,""))</f>
        <v/>
      </c>
      <c r="Y702" s="17">
        <f>IF([Tipo]="div",1,0)</f>
        <v>1</v>
      </c>
      <c r="Z702" s="17">
        <f>IF([Tipo]="jcp",1,0)</f>
        <v>0</v>
      </c>
    </row>
    <row r="703" spans="1:26" hidden="1">
      <c r="A703" s="4" t="s">
        <v>12</v>
      </c>
      <c r="B703" s="138" t="s">
        <v>38</v>
      </c>
      <c r="C703" s="15">
        <v>4</v>
      </c>
      <c r="D703" s="14">
        <v>2012</v>
      </c>
      <c r="E703" s="14" t="s">
        <v>1587</v>
      </c>
      <c r="G703" s="145">
        <v>40662</v>
      </c>
      <c r="H703" s="46">
        <v>40693</v>
      </c>
      <c r="I703" s="133">
        <v>5.9319999999999998E-2</v>
      </c>
      <c r="J703" s="134">
        <f>IF(Tabela8[[#This Row],[Tipo]]="jcp",Tabela8[[#This Row],[Provento p/Ação]]*85%,Tabela8[[#This Row],[Provento p/Ação]])</f>
        <v>5.9319999999999998E-2</v>
      </c>
      <c r="K703" s="133" t="str">
        <f>IF([Lucro p/Ação]&lt;&gt;0,SUMPRODUCT(N([Papel]=Tabela8[[#This Row],[Papel]]),N([Exercício]=Tabela8[[#This Row],[Exercício]]),[Líquido p/Ação]),"")</f>
        <v/>
      </c>
      <c r="L703" s="42" t="str">
        <f>IF(Tabela8[[#This Row],[Lucro p/Ação]]="","",IF(Tabela8[[#This Row],[Lucro p/Ação]]&gt;0,Tabela8[[#This Row],[Total Exercício]]/Tabela8[[#This Row],[Lucro p/Ação]],0))</f>
        <v/>
      </c>
      <c r="M7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3" s="19" t="str">
        <f>IF(Tabela8[[#This Row],[Média Lucro p/Ação]]&lt;&gt;"",Tabela8[[#This Row],[Média Pago]]/Tabela8[[#This Row],[Média Lucro p/Ação]],"")</f>
        <v/>
      </c>
      <c r="P7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3" s="134">
        <f>SUMPRODUCT(N(Tabela1[Código]=Tabela8[[#This Row],[Papel]]),Tabela1[Fechamento])</f>
        <v>53</v>
      </c>
      <c r="R703" s="7">
        <f>SUMPRODUCT(N(Tabela17[Código]=Tabela8[[#This Row],[Papel]]),Tabela17[Fechamento])</f>
        <v>0</v>
      </c>
      <c r="S703" s="7">
        <f>SUMPRODUCT(N(Tabela176[Código]=Tabela8[[#This Row],[Papel]]),Tabela176[Fechamento])</f>
        <v>0</v>
      </c>
      <c r="T703" s="7">
        <f>SUMPRODUCT(N(Tabela1768[Código]=Tabela8[[#This Row],[Papel]]),Tabela1768[Fechamento])</f>
        <v>0</v>
      </c>
      <c r="U703" s="7">
        <f>SUMPRODUCT(N(Tabela17683[Código]=Tabela8[[#This Row],[Papel]]),Tabela17683[Fechamento])</f>
        <v>0</v>
      </c>
      <c r="V703" s="7">
        <f>IF(MAX(Tabela8[[#This Row],[Cotação 1]]:Tabela8[[#This Row],[Cotação 5]])=0,"",MAX(Tabela8[[#This Row],[Cotação 1]]:Tabela8[[#This Row],[Cotação 5]]))</f>
        <v>53</v>
      </c>
      <c r="W7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3" s="19" t="str">
        <f>IF(AND([Ref]=5,[Cotação]&gt;0,[Cotação]&lt;&gt;""),[Total Exercício]/[Cotação],IF([Ref]&lt;4,0,""))</f>
        <v/>
      </c>
      <c r="Y703" s="17">
        <f>IF([Tipo]="div",1,0)</f>
        <v>0</v>
      </c>
      <c r="Z703" s="17">
        <f>IF([Tipo]="jcp",1,0)</f>
        <v>0</v>
      </c>
    </row>
    <row r="704" spans="1:26" hidden="1">
      <c r="A704" s="24" t="s">
        <v>12</v>
      </c>
      <c r="B704" s="138" t="s">
        <v>158</v>
      </c>
      <c r="C704" s="15">
        <v>4</v>
      </c>
      <c r="D704" s="14">
        <v>2012</v>
      </c>
      <c r="E704" s="14" t="s">
        <v>1587</v>
      </c>
      <c r="G704" s="145">
        <v>40662</v>
      </c>
      <c r="H704" s="46">
        <v>40693</v>
      </c>
      <c r="I704" s="133">
        <v>5.9319999999999998E-2</v>
      </c>
      <c r="J704" s="134">
        <f>IF(Tabela8[[#This Row],[Tipo]]="jcp",Tabela8[[#This Row],[Provento p/Ação]]*85%,Tabela8[[#This Row],[Provento p/Ação]])</f>
        <v>5.9319999999999998E-2</v>
      </c>
      <c r="K704" s="133" t="str">
        <f>IF([Lucro p/Ação]&lt;&gt;0,SUMPRODUCT(N([Papel]=Tabela8[[#This Row],[Papel]]),N([Exercício]=Tabela8[[#This Row],[Exercício]]),[Líquido p/Ação]),"")</f>
        <v/>
      </c>
      <c r="L704" s="42" t="str">
        <f>IF(Tabela8[[#This Row],[Lucro p/Ação]]="","",IF(Tabela8[[#This Row],[Lucro p/Ação]]&gt;0,Tabela8[[#This Row],[Total Exercício]]/Tabela8[[#This Row],[Lucro p/Ação]],0))</f>
        <v/>
      </c>
      <c r="M7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4" s="19" t="str">
        <f>IF(Tabela8[[#This Row],[Média Lucro p/Ação]]&lt;&gt;"",Tabela8[[#This Row],[Média Pago]]/Tabela8[[#This Row],[Média Lucro p/Ação]],"")</f>
        <v/>
      </c>
      <c r="P7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4" s="134">
        <f>SUMPRODUCT(N(Tabela1[Código]=Tabela8[[#This Row],[Papel]]),Tabela1[Fechamento])</f>
        <v>62.04</v>
      </c>
      <c r="R704" s="17">
        <f>SUMPRODUCT(N(Tabela17[Código]=Tabela8[[#This Row],[Papel]]),Tabela17[Fechamento])</f>
        <v>0</v>
      </c>
      <c r="S704" s="17">
        <f>SUMPRODUCT(N(Tabela176[Código]=Tabela8[[#This Row],[Papel]]),Tabela176[Fechamento])</f>
        <v>0</v>
      </c>
      <c r="T704" s="17">
        <f>SUMPRODUCT(N(Tabela1768[Código]=Tabela8[[#This Row],[Papel]]),Tabela1768[Fechamento])</f>
        <v>0</v>
      </c>
      <c r="U704" s="17">
        <f>SUMPRODUCT(N(Tabela17683[Código]=Tabela8[[#This Row],[Papel]]),Tabela17683[Fechamento])</f>
        <v>0</v>
      </c>
      <c r="V704" s="17">
        <f>IF(MAX(Tabela8[[#This Row],[Cotação 1]]:Tabela8[[#This Row],[Cotação 5]])=0,"",MAX(Tabela8[[#This Row],[Cotação 1]]:Tabela8[[#This Row],[Cotação 5]]))</f>
        <v>62.04</v>
      </c>
      <c r="W7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4" s="19" t="str">
        <f>IF(AND([Ref]=5,[Cotação]&gt;0,[Cotação]&lt;&gt;""),[Total Exercício]/[Cotação],IF([Ref]&lt;4,0,""))</f>
        <v/>
      </c>
      <c r="Y704" s="17">
        <f>IF([Tipo]="div",1,0)</f>
        <v>0</v>
      </c>
      <c r="Z704" s="17">
        <f>IF([Tipo]="jcp",1,0)</f>
        <v>0</v>
      </c>
    </row>
    <row r="705" spans="1:26" hidden="1">
      <c r="A705" s="4" t="s">
        <v>12</v>
      </c>
      <c r="B705" s="138" t="s">
        <v>38</v>
      </c>
      <c r="C705" s="15">
        <v>4</v>
      </c>
      <c r="D705" s="14">
        <v>2012</v>
      </c>
      <c r="E705" s="14" t="s">
        <v>1468</v>
      </c>
      <c r="G705" s="145">
        <v>40835</v>
      </c>
      <c r="H705" s="46">
        <v>40896</v>
      </c>
      <c r="I705" s="133">
        <v>1.73576</v>
      </c>
      <c r="J705" s="134">
        <f>IF(Tabela8[[#This Row],[Tipo]]="jcp",Tabela8[[#This Row],[Provento p/Ação]]*85%,Tabela8[[#This Row],[Provento p/Ação]])</f>
        <v>1.73576</v>
      </c>
      <c r="K705" s="133" t="str">
        <f>IF([Lucro p/Ação]&lt;&gt;0,SUMPRODUCT(N([Papel]=Tabela8[[#This Row],[Papel]]),N([Exercício]=Tabela8[[#This Row],[Exercício]]),[Líquido p/Ação]),"")</f>
        <v/>
      </c>
      <c r="L705" s="42" t="str">
        <f>IF(Tabela8[[#This Row],[Lucro p/Ação]]="","",IF(Tabela8[[#This Row],[Lucro p/Ação]]&gt;0,Tabela8[[#This Row],[Total Exercício]]/Tabela8[[#This Row],[Lucro p/Ação]],0))</f>
        <v/>
      </c>
      <c r="M70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5" s="19" t="str">
        <f>IF(Tabela8[[#This Row],[Média Lucro p/Ação]]&lt;&gt;"",Tabela8[[#This Row],[Média Pago]]/Tabela8[[#This Row],[Média Lucro p/Ação]],"")</f>
        <v/>
      </c>
      <c r="P7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5" s="134">
        <f>SUMPRODUCT(N(Tabela1[Código]=Tabela8[[#This Row],[Papel]]),Tabela1[Fechamento])</f>
        <v>53</v>
      </c>
      <c r="R705" s="7">
        <f>SUMPRODUCT(N(Tabela17[Código]=Tabela8[[#This Row],[Papel]]),Tabela17[Fechamento])</f>
        <v>0</v>
      </c>
      <c r="S705" s="7">
        <f>SUMPRODUCT(N(Tabela176[Código]=Tabela8[[#This Row],[Papel]]),Tabela176[Fechamento])</f>
        <v>0</v>
      </c>
      <c r="T705" s="7">
        <f>SUMPRODUCT(N(Tabela1768[Código]=Tabela8[[#This Row],[Papel]]),Tabela1768[Fechamento])</f>
        <v>0</v>
      </c>
      <c r="U705" s="7">
        <f>SUMPRODUCT(N(Tabela17683[Código]=Tabela8[[#This Row],[Papel]]),Tabela17683[Fechamento])</f>
        <v>0</v>
      </c>
      <c r="V705" s="7">
        <f>IF(MAX(Tabela8[[#This Row],[Cotação 1]]:Tabela8[[#This Row],[Cotação 5]])=0,"",MAX(Tabela8[[#This Row],[Cotação 1]]:Tabela8[[#This Row],[Cotação 5]]))</f>
        <v>53</v>
      </c>
      <c r="W7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5" s="19" t="str">
        <f>IF(AND([Ref]=5,[Cotação]&gt;0,[Cotação]&lt;&gt;""),[Total Exercício]/[Cotação],IF([Ref]&lt;4,0,""))</f>
        <v/>
      </c>
      <c r="Y705" s="17">
        <f>IF([Tipo]="div",1,0)</f>
        <v>1</v>
      </c>
      <c r="Z705" s="17">
        <f>IF([Tipo]="jcp",1,0)</f>
        <v>0</v>
      </c>
    </row>
    <row r="706" spans="1:26" hidden="1">
      <c r="A706" s="24" t="s">
        <v>12</v>
      </c>
      <c r="B706" s="138" t="s">
        <v>158</v>
      </c>
      <c r="C706" s="15">
        <v>4</v>
      </c>
      <c r="D706" s="14">
        <v>2012</v>
      </c>
      <c r="E706" s="14" t="s">
        <v>1468</v>
      </c>
      <c r="G706" s="145">
        <v>40835</v>
      </c>
      <c r="H706" s="46">
        <v>40896</v>
      </c>
      <c r="I706" s="4">
        <v>1.1122099999999999</v>
      </c>
      <c r="J706" s="17">
        <f>IF(Tabela8[[#This Row],[Tipo]]="jcp",Tabela8[[#This Row],[Provento p/Ação]]*85%,Tabela8[[#This Row],[Provento p/Ação]])</f>
        <v>1.1122099999999999</v>
      </c>
      <c r="K706" s="143" t="str">
        <f>IF([Lucro p/Ação]&lt;&gt;0,SUMPRODUCT(N([Papel]=Tabela8[[#This Row],[Papel]]),N([Exercício]=Tabela8[[#This Row],[Exercício]]),[Líquido p/Ação]),"")</f>
        <v/>
      </c>
      <c r="L706" s="42" t="str">
        <f>IF(Tabela8[[#This Row],[Lucro p/Ação]]="","",IF(Tabela8[[#This Row],[Lucro p/Ação]]&gt;0,Tabela8[[#This Row],[Total Exercício]]/Tabela8[[#This Row],[Lucro p/Ação]],0))</f>
        <v/>
      </c>
      <c r="M7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6" s="19" t="str">
        <f>IF(Tabela8[[#This Row],[Média Lucro p/Ação]]&lt;&gt;"",Tabela8[[#This Row],[Média Pago]]/Tabela8[[#This Row],[Média Lucro p/Ação]],"")</f>
        <v/>
      </c>
      <c r="P7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6" s="134">
        <f>SUMPRODUCT(N(Tabela1[Código]=Tabela8[[#This Row],[Papel]]),Tabela1[Fechamento])</f>
        <v>62.04</v>
      </c>
      <c r="R706" s="17">
        <f>SUMPRODUCT(N(Tabela17[Código]=Tabela8[[#This Row],[Papel]]),Tabela17[Fechamento])</f>
        <v>0</v>
      </c>
      <c r="S706" s="17">
        <f>SUMPRODUCT(N(Tabela176[Código]=Tabela8[[#This Row],[Papel]]),Tabela176[Fechamento])</f>
        <v>0</v>
      </c>
      <c r="T706" s="17">
        <f>SUMPRODUCT(N(Tabela1768[Código]=Tabela8[[#This Row],[Papel]]),Tabela1768[Fechamento])</f>
        <v>0</v>
      </c>
      <c r="U706" s="17">
        <f>SUMPRODUCT(N(Tabela17683[Código]=Tabela8[[#This Row],[Papel]]),Tabela17683[Fechamento])</f>
        <v>0</v>
      </c>
      <c r="V706" s="17">
        <f>IF(MAX(Tabela8[[#This Row],[Cotação 1]]:Tabela8[[#This Row],[Cotação 5]])=0,"",MAX(Tabela8[[#This Row],[Cotação 1]]:Tabela8[[#This Row],[Cotação 5]]))</f>
        <v>62.04</v>
      </c>
      <c r="W7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6" s="19" t="str">
        <f>IF(AND([Ref]=5,[Cotação]&gt;0,[Cotação]&lt;&gt;""),[Total Exercício]/[Cotação],IF([Ref]&lt;4,0,""))</f>
        <v/>
      </c>
      <c r="Y706" s="17">
        <f>IF([Tipo]="div",1,0)</f>
        <v>1</v>
      </c>
      <c r="Z706" s="17">
        <f>IF([Tipo]="jcp",1,0)</f>
        <v>0</v>
      </c>
    </row>
    <row r="707" spans="1:26" hidden="1">
      <c r="A707" s="4" t="s">
        <v>12</v>
      </c>
      <c r="B707" s="138" t="s">
        <v>38</v>
      </c>
      <c r="C707" s="15">
        <v>4</v>
      </c>
      <c r="D707" s="14">
        <v>2012</v>
      </c>
      <c r="E707" s="14" t="s">
        <v>1475</v>
      </c>
      <c r="G707" s="145">
        <v>40904</v>
      </c>
      <c r="H707" s="46">
        <v>40938</v>
      </c>
      <c r="I707" s="4">
        <v>1.04</v>
      </c>
      <c r="J707" s="17">
        <f>IF(Tabela8[[#This Row],[Tipo]]="jcp",Tabela8[[#This Row],[Provento p/Ação]]*85%,Tabela8[[#This Row],[Provento p/Ação]])</f>
        <v>0.88400000000000001</v>
      </c>
      <c r="K707" s="143" t="str">
        <f>IF([Lucro p/Ação]&lt;&gt;0,SUMPRODUCT(N([Papel]=Tabela8[[#This Row],[Papel]]),N([Exercício]=Tabela8[[#This Row],[Exercício]]),[Líquido p/Ação]),"")</f>
        <v/>
      </c>
      <c r="L707" s="42" t="str">
        <f>IF(Tabela8[[#This Row],[Lucro p/Ação]]="","",IF(Tabela8[[#This Row],[Lucro p/Ação]]&gt;0,Tabela8[[#This Row],[Total Exercício]]/Tabela8[[#This Row],[Lucro p/Ação]],0))</f>
        <v/>
      </c>
      <c r="M70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7" s="19" t="str">
        <f>IF(Tabela8[[#This Row],[Média Lucro p/Ação]]&lt;&gt;"",Tabela8[[#This Row],[Média Pago]]/Tabela8[[#This Row],[Média Lucro p/Ação]],"")</f>
        <v/>
      </c>
      <c r="P7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7" s="134">
        <f>SUMPRODUCT(N(Tabela1[Código]=Tabela8[[#This Row],[Papel]]),Tabela1[Fechamento])</f>
        <v>53</v>
      </c>
      <c r="R707" s="7">
        <f>SUMPRODUCT(N(Tabela17[Código]=Tabela8[[#This Row],[Papel]]),Tabela17[Fechamento])</f>
        <v>0</v>
      </c>
      <c r="S707" s="7">
        <f>SUMPRODUCT(N(Tabela176[Código]=Tabela8[[#This Row],[Papel]]),Tabela176[Fechamento])</f>
        <v>0</v>
      </c>
      <c r="T707" s="7">
        <f>SUMPRODUCT(N(Tabela1768[Código]=Tabela8[[#This Row],[Papel]]),Tabela1768[Fechamento])</f>
        <v>0</v>
      </c>
      <c r="U707" s="7">
        <f>SUMPRODUCT(N(Tabela17683[Código]=Tabela8[[#This Row],[Papel]]),Tabela17683[Fechamento])</f>
        <v>0</v>
      </c>
      <c r="V707" s="7">
        <f>IF(MAX(Tabela8[[#This Row],[Cotação 1]]:Tabela8[[#This Row],[Cotação 5]])=0,"",MAX(Tabela8[[#This Row],[Cotação 1]]:Tabela8[[#This Row],[Cotação 5]]))</f>
        <v>53</v>
      </c>
      <c r="W7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7" s="19" t="str">
        <f>IF(AND([Ref]=5,[Cotação]&gt;0,[Cotação]&lt;&gt;""),[Total Exercício]/[Cotação],IF([Ref]&lt;4,0,""))</f>
        <v/>
      </c>
      <c r="Y707" s="17">
        <f>IF([Tipo]="div",1,0)</f>
        <v>0</v>
      </c>
      <c r="Z707" s="17">
        <f>IF([Tipo]="jcp",1,0)</f>
        <v>1</v>
      </c>
    </row>
    <row r="708" spans="1:26" hidden="1">
      <c r="A708" s="24" t="s">
        <v>12</v>
      </c>
      <c r="B708" s="138" t="s">
        <v>158</v>
      </c>
      <c r="C708" s="15">
        <v>4</v>
      </c>
      <c r="D708" s="14">
        <v>2012</v>
      </c>
      <c r="E708" s="14" t="s">
        <v>1475</v>
      </c>
      <c r="G708" s="145">
        <v>40904</v>
      </c>
      <c r="H708" s="46">
        <v>40938</v>
      </c>
      <c r="I708" s="4">
        <v>1.04</v>
      </c>
      <c r="J708" s="17">
        <f>IF(Tabela8[[#This Row],[Tipo]]="jcp",Tabela8[[#This Row],[Provento p/Ação]]*85%,Tabela8[[#This Row],[Provento p/Ação]])</f>
        <v>0.88400000000000001</v>
      </c>
      <c r="K708" s="143" t="str">
        <f>IF([Lucro p/Ação]&lt;&gt;0,SUMPRODUCT(N([Papel]=Tabela8[[#This Row],[Papel]]),N([Exercício]=Tabela8[[#This Row],[Exercício]]),[Líquido p/Ação]),"")</f>
        <v/>
      </c>
      <c r="L708" s="42" t="str">
        <f>IF(Tabela8[[#This Row],[Lucro p/Ação]]="","",IF(Tabela8[[#This Row],[Lucro p/Ação]]&gt;0,Tabela8[[#This Row],[Total Exercício]]/Tabela8[[#This Row],[Lucro p/Ação]],0))</f>
        <v/>
      </c>
      <c r="M7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8" s="19" t="str">
        <f>IF(Tabela8[[#This Row],[Média Lucro p/Ação]]&lt;&gt;"",Tabela8[[#This Row],[Média Pago]]/Tabela8[[#This Row],[Média Lucro p/Ação]],"")</f>
        <v/>
      </c>
      <c r="P7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8" s="134">
        <f>SUMPRODUCT(N(Tabela1[Código]=Tabela8[[#This Row],[Papel]]),Tabela1[Fechamento])</f>
        <v>62.04</v>
      </c>
      <c r="R708" s="17">
        <f>SUMPRODUCT(N(Tabela17[Código]=Tabela8[[#This Row],[Papel]]),Tabela17[Fechamento])</f>
        <v>0</v>
      </c>
      <c r="S708" s="17">
        <f>SUMPRODUCT(N(Tabela176[Código]=Tabela8[[#This Row],[Papel]]),Tabela176[Fechamento])</f>
        <v>0</v>
      </c>
      <c r="T708" s="17">
        <f>SUMPRODUCT(N(Tabela1768[Código]=Tabela8[[#This Row],[Papel]]),Tabela1768[Fechamento])</f>
        <v>0</v>
      </c>
      <c r="U708" s="17">
        <f>SUMPRODUCT(N(Tabela17683[Código]=Tabela8[[#This Row],[Papel]]),Tabela17683[Fechamento])</f>
        <v>0</v>
      </c>
      <c r="V708" s="17">
        <f>IF(MAX(Tabela8[[#This Row],[Cotação 1]]:Tabela8[[#This Row],[Cotação 5]])=0,"",MAX(Tabela8[[#This Row],[Cotação 1]]:Tabela8[[#This Row],[Cotação 5]]))</f>
        <v>62.04</v>
      </c>
      <c r="W7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8" s="19" t="str">
        <f>IF(AND([Ref]=5,[Cotação]&gt;0,[Cotação]&lt;&gt;""),[Total Exercício]/[Cotação],IF([Ref]&lt;4,0,""))</f>
        <v/>
      </c>
      <c r="Y708" s="17">
        <f>IF([Tipo]="div",1,0)</f>
        <v>0</v>
      </c>
      <c r="Z708" s="17">
        <f>IF([Tipo]="jcp",1,0)</f>
        <v>1</v>
      </c>
    </row>
    <row r="709" spans="1:26" hidden="1">
      <c r="A709" s="4" t="s">
        <v>12</v>
      </c>
      <c r="B709" s="138" t="s">
        <v>38</v>
      </c>
      <c r="C709" s="15">
        <v>4</v>
      </c>
      <c r="D709" s="14">
        <v>2012</v>
      </c>
      <c r="E709" s="14" t="s">
        <v>1468</v>
      </c>
      <c r="G709" s="145">
        <v>41026</v>
      </c>
      <c r="H709" s="46">
        <v>41058</v>
      </c>
      <c r="I709" s="133">
        <v>0.83699000000000001</v>
      </c>
      <c r="J709" s="134">
        <f>IF(Tabela8[[#This Row],[Tipo]]="jcp",Tabela8[[#This Row],[Provento p/Ação]]*85%,Tabela8[[#This Row],[Provento p/Ação]])</f>
        <v>0.83699000000000001</v>
      </c>
      <c r="K709" s="133" t="str">
        <f>IF([Lucro p/Ação]&lt;&gt;0,SUMPRODUCT(N([Papel]=Tabela8[[#This Row],[Papel]]),N([Exercício]=Tabela8[[#This Row],[Exercício]]),[Líquido p/Ação]),"")</f>
        <v/>
      </c>
      <c r="L709" s="42" t="str">
        <f>IF(Tabela8[[#This Row],[Lucro p/Ação]]="","",IF(Tabela8[[#This Row],[Lucro p/Ação]]&gt;0,Tabela8[[#This Row],[Total Exercício]]/Tabela8[[#This Row],[Lucro p/Ação]],0))</f>
        <v/>
      </c>
      <c r="M7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09" s="19" t="str">
        <f>IF(Tabela8[[#This Row],[Média Lucro p/Ação]]&lt;&gt;"",Tabela8[[#This Row],[Média Pago]]/Tabela8[[#This Row],[Média Lucro p/Ação]],"")</f>
        <v/>
      </c>
      <c r="P7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09" s="134">
        <f>SUMPRODUCT(N(Tabela1[Código]=Tabela8[[#This Row],[Papel]]),Tabela1[Fechamento])</f>
        <v>53</v>
      </c>
      <c r="R709" s="7">
        <f>SUMPRODUCT(N(Tabela17[Código]=Tabela8[[#This Row],[Papel]]),Tabela17[Fechamento])</f>
        <v>0</v>
      </c>
      <c r="S709" s="7">
        <f>SUMPRODUCT(N(Tabela176[Código]=Tabela8[[#This Row],[Papel]]),Tabela176[Fechamento])</f>
        <v>0</v>
      </c>
      <c r="T709" s="7">
        <f>SUMPRODUCT(N(Tabela1768[Código]=Tabela8[[#This Row],[Papel]]),Tabela1768[Fechamento])</f>
        <v>0</v>
      </c>
      <c r="U709" s="7">
        <f>SUMPRODUCT(N(Tabela17683[Código]=Tabela8[[#This Row],[Papel]]),Tabela17683[Fechamento])</f>
        <v>0</v>
      </c>
      <c r="V709" s="7">
        <f>IF(MAX(Tabela8[[#This Row],[Cotação 1]]:Tabela8[[#This Row],[Cotação 5]])=0,"",MAX(Tabela8[[#This Row],[Cotação 1]]:Tabela8[[#This Row],[Cotação 5]]))</f>
        <v>53</v>
      </c>
      <c r="W7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09" s="19" t="str">
        <f>IF(AND([Ref]=5,[Cotação]&gt;0,[Cotação]&lt;&gt;""),[Total Exercício]/[Cotação],IF([Ref]&lt;4,0,""))</f>
        <v/>
      </c>
      <c r="Y709" s="17">
        <f>IF([Tipo]="div",1,0)</f>
        <v>1</v>
      </c>
      <c r="Z709" s="17">
        <f>IF([Tipo]="jcp",1,0)</f>
        <v>0</v>
      </c>
    </row>
    <row r="710" spans="1:26" hidden="1">
      <c r="A710" s="24" t="s">
        <v>12</v>
      </c>
      <c r="B710" s="138" t="s">
        <v>158</v>
      </c>
      <c r="C710" s="15">
        <v>4</v>
      </c>
      <c r="D710" s="14">
        <v>2012</v>
      </c>
      <c r="E710" s="14" t="s">
        <v>1468</v>
      </c>
      <c r="G710" s="145">
        <v>41026</v>
      </c>
      <c r="H710" s="46">
        <v>41058</v>
      </c>
      <c r="I710" s="133">
        <v>1.46055</v>
      </c>
      <c r="J710" s="134">
        <f>IF(Tabela8[[#This Row],[Tipo]]="jcp",Tabela8[[#This Row],[Provento p/Ação]]*85%,Tabela8[[#This Row],[Provento p/Ação]])</f>
        <v>1.46055</v>
      </c>
      <c r="K710" s="133" t="str">
        <f>IF([Lucro p/Ação]&lt;&gt;0,SUMPRODUCT(N([Papel]=Tabela8[[#This Row],[Papel]]),N([Exercício]=Tabela8[[#This Row],[Exercício]]),[Líquido p/Ação]),"")</f>
        <v/>
      </c>
      <c r="L710" s="42" t="str">
        <f>IF(Tabela8[[#This Row],[Lucro p/Ação]]="","",IF(Tabela8[[#This Row],[Lucro p/Ação]]&gt;0,Tabela8[[#This Row],[Total Exercício]]/Tabela8[[#This Row],[Lucro p/Ação]],0))</f>
        <v/>
      </c>
      <c r="M7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0" s="19" t="str">
        <f>IF(Tabela8[[#This Row],[Média Lucro p/Ação]]&lt;&gt;"",Tabela8[[#This Row],[Média Pago]]/Tabela8[[#This Row],[Média Lucro p/Ação]],"")</f>
        <v/>
      </c>
      <c r="P7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0" s="134">
        <f>SUMPRODUCT(N(Tabela1[Código]=Tabela8[[#This Row],[Papel]]),Tabela1[Fechamento])</f>
        <v>62.04</v>
      </c>
      <c r="R710" s="17">
        <f>SUMPRODUCT(N(Tabela17[Código]=Tabela8[[#This Row],[Papel]]),Tabela17[Fechamento])</f>
        <v>0</v>
      </c>
      <c r="S710" s="17">
        <f>SUMPRODUCT(N(Tabela176[Código]=Tabela8[[#This Row],[Papel]]),Tabela176[Fechamento])</f>
        <v>0</v>
      </c>
      <c r="T710" s="17">
        <f>SUMPRODUCT(N(Tabela1768[Código]=Tabela8[[#This Row],[Papel]]),Tabela1768[Fechamento])</f>
        <v>0</v>
      </c>
      <c r="U710" s="17">
        <f>SUMPRODUCT(N(Tabela17683[Código]=Tabela8[[#This Row],[Papel]]),Tabela17683[Fechamento])</f>
        <v>0</v>
      </c>
      <c r="V710" s="17">
        <f>IF(MAX(Tabela8[[#This Row],[Cotação 1]]:Tabela8[[#This Row],[Cotação 5]])=0,"",MAX(Tabela8[[#This Row],[Cotação 1]]:Tabela8[[#This Row],[Cotação 5]]))</f>
        <v>62.04</v>
      </c>
      <c r="W7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0" s="19" t="str">
        <f>IF(AND([Ref]=5,[Cotação]&gt;0,[Cotação]&lt;&gt;""),[Total Exercício]/[Cotação],IF([Ref]&lt;4,0,""))</f>
        <v/>
      </c>
      <c r="Y710" s="17">
        <f>IF([Tipo]="div",1,0)</f>
        <v>1</v>
      </c>
      <c r="Z710" s="17">
        <f>IF([Tipo]="jcp",1,0)</f>
        <v>0</v>
      </c>
    </row>
    <row r="711" spans="1:26" hidden="1">
      <c r="A711" s="4" t="s">
        <v>12</v>
      </c>
      <c r="B711" s="138" t="s">
        <v>38</v>
      </c>
      <c r="C711" s="15">
        <v>4</v>
      </c>
      <c r="D711" s="14">
        <v>2012</v>
      </c>
      <c r="E711" s="14" t="s">
        <v>1588</v>
      </c>
      <c r="G711" s="145">
        <v>41050</v>
      </c>
      <c r="H711" s="46">
        <v>41131</v>
      </c>
      <c r="I711" s="133">
        <v>3.17685</v>
      </c>
      <c r="J711" s="134">
        <f>IF(Tabela8[[#This Row],[Tipo]]="jcp",Tabela8[[#This Row],[Provento p/Ação]]*85%,Tabela8[[#This Row],[Provento p/Ação]])</f>
        <v>3.17685</v>
      </c>
      <c r="K711" s="133" t="str">
        <f>IF([Lucro p/Ação]&lt;&gt;0,SUMPRODUCT(N([Papel]=Tabela8[[#This Row],[Papel]]),N([Exercício]=Tabela8[[#This Row],[Exercício]]),[Líquido p/Ação]),"")</f>
        <v/>
      </c>
      <c r="L711" s="42" t="str">
        <f>IF(Tabela8[[#This Row],[Lucro p/Ação]]="","",IF(Tabela8[[#This Row],[Lucro p/Ação]]&gt;0,Tabela8[[#This Row],[Total Exercício]]/Tabela8[[#This Row],[Lucro p/Ação]],0))</f>
        <v/>
      </c>
      <c r="M7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1" s="19" t="str">
        <f>IF(Tabela8[[#This Row],[Média Lucro p/Ação]]&lt;&gt;"",Tabela8[[#This Row],[Média Pago]]/Tabela8[[#This Row],[Média Lucro p/Ação]],"")</f>
        <v/>
      </c>
      <c r="P7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1" s="134">
        <f>SUMPRODUCT(N(Tabela1[Código]=Tabela8[[#This Row],[Papel]]),Tabela1[Fechamento])</f>
        <v>53</v>
      </c>
      <c r="R711" s="7">
        <f>SUMPRODUCT(N(Tabela17[Código]=Tabela8[[#This Row],[Papel]]),Tabela17[Fechamento])</f>
        <v>0</v>
      </c>
      <c r="S711" s="7">
        <f>SUMPRODUCT(N(Tabela176[Código]=Tabela8[[#This Row],[Papel]]),Tabela176[Fechamento])</f>
        <v>0</v>
      </c>
      <c r="T711" s="7">
        <f>SUMPRODUCT(N(Tabela1768[Código]=Tabela8[[#This Row],[Papel]]),Tabela1768[Fechamento])</f>
        <v>0</v>
      </c>
      <c r="U711" s="7">
        <f>SUMPRODUCT(N(Tabela17683[Código]=Tabela8[[#This Row],[Papel]]),Tabela17683[Fechamento])</f>
        <v>0</v>
      </c>
      <c r="V711" s="7">
        <f>IF(MAX(Tabela8[[#This Row],[Cotação 1]]:Tabela8[[#This Row],[Cotação 5]])=0,"",MAX(Tabela8[[#This Row],[Cotação 1]]:Tabela8[[#This Row],[Cotação 5]]))</f>
        <v>53</v>
      </c>
      <c r="W7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1" s="19" t="str">
        <f>IF(AND([Ref]=5,[Cotação]&gt;0,[Cotação]&lt;&gt;""),[Total Exercício]/[Cotação],IF([Ref]&lt;4,0,""))</f>
        <v/>
      </c>
      <c r="Y711" s="17">
        <f>IF([Tipo]="div",1,0)</f>
        <v>0</v>
      </c>
      <c r="Z711" s="17">
        <f>IF([Tipo]="jcp",1,0)</f>
        <v>0</v>
      </c>
    </row>
    <row r="712" spans="1:26" hidden="1">
      <c r="A712" s="24" t="s">
        <v>12</v>
      </c>
      <c r="B712" s="138" t="s">
        <v>158</v>
      </c>
      <c r="C712" s="15">
        <v>4</v>
      </c>
      <c r="D712" s="14">
        <v>2012</v>
      </c>
      <c r="E712" s="14" t="s">
        <v>1588</v>
      </c>
      <c r="G712" s="145">
        <v>41050</v>
      </c>
      <c r="H712" s="46">
        <v>41131</v>
      </c>
      <c r="I712" s="133">
        <v>3.17685</v>
      </c>
      <c r="J712" s="134">
        <f>IF(Tabela8[[#This Row],[Tipo]]="jcp",Tabela8[[#This Row],[Provento p/Ação]]*85%,Tabela8[[#This Row],[Provento p/Ação]])</f>
        <v>3.17685</v>
      </c>
      <c r="K712" s="133" t="str">
        <f>IF([Lucro p/Ação]&lt;&gt;0,SUMPRODUCT(N([Papel]=Tabela8[[#This Row],[Papel]]),N([Exercício]=Tabela8[[#This Row],[Exercício]]),[Líquido p/Ação]),"")</f>
        <v/>
      </c>
      <c r="L712" s="42" t="str">
        <f>IF(Tabela8[[#This Row],[Lucro p/Ação]]="","",IF(Tabela8[[#This Row],[Lucro p/Ação]]&gt;0,Tabela8[[#This Row],[Total Exercício]]/Tabela8[[#This Row],[Lucro p/Ação]],0))</f>
        <v/>
      </c>
      <c r="M7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2" s="19" t="str">
        <f>IF(Tabela8[[#This Row],[Média Lucro p/Ação]]&lt;&gt;"",Tabela8[[#This Row],[Média Pago]]/Tabela8[[#This Row],[Média Lucro p/Ação]],"")</f>
        <v/>
      </c>
      <c r="P7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2" s="134">
        <f>SUMPRODUCT(N(Tabela1[Código]=Tabela8[[#This Row],[Papel]]),Tabela1[Fechamento])</f>
        <v>62.04</v>
      </c>
      <c r="R712" s="17">
        <f>SUMPRODUCT(N(Tabela17[Código]=Tabela8[[#This Row],[Papel]]),Tabela17[Fechamento])</f>
        <v>0</v>
      </c>
      <c r="S712" s="17">
        <f>SUMPRODUCT(N(Tabela176[Código]=Tabela8[[#This Row],[Papel]]),Tabela176[Fechamento])</f>
        <v>0</v>
      </c>
      <c r="T712" s="17">
        <f>SUMPRODUCT(N(Tabela1768[Código]=Tabela8[[#This Row],[Papel]]),Tabela1768[Fechamento])</f>
        <v>0</v>
      </c>
      <c r="U712" s="17">
        <f>SUMPRODUCT(N(Tabela17683[Código]=Tabela8[[#This Row],[Papel]]),Tabela17683[Fechamento])</f>
        <v>0</v>
      </c>
      <c r="V712" s="17">
        <f>IF(MAX(Tabela8[[#This Row],[Cotação 1]]:Tabela8[[#This Row],[Cotação 5]])=0,"",MAX(Tabela8[[#This Row],[Cotação 1]]:Tabela8[[#This Row],[Cotação 5]]))</f>
        <v>62.04</v>
      </c>
      <c r="W7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2" s="19" t="str">
        <f>IF(AND([Ref]=5,[Cotação]&gt;0,[Cotação]&lt;&gt;""),[Total Exercício]/[Cotação],IF([Ref]&lt;4,0,""))</f>
        <v/>
      </c>
      <c r="Y712" s="17">
        <f>IF([Tipo]="div",1,0)</f>
        <v>0</v>
      </c>
      <c r="Z712" s="17">
        <f>IF([Tipo]="jcp",1,0)</f>
        <v>0</v>
      </c>
    </row>
    <row r="713" spans="1:26" hidden="1">
      <c r="A713" s="4" t="s">
        <v>12</v>
      </c>
      <c r="B713" s="138" t="s">
        <v>38</v>
      </c>
      <c r="C713" s="15">
        <v>4</v>
      </c>
      <c r="D713" s="14">
        <v>2012</v>
      </c>
      <c r="E713" s="14" t="s">
        <v>1468</v>
      </c>
      <c r="G713" s="145">
        <v>41213</v>
      </c>
      <c r="H713" s="46">
        <v>41234</v>
      </c>
      <c r="I713" s="133">
        <v>2.1900499999999998</v>
      </c>
      <c r="J713" s="134">
        <f>IF(Tabela8[[#This Row],[Tipo]]="jcp",Tabela8[[#This Row],[Provento p/Ação]]*85%,Tabela8[[#This Row],[Provento p/Ação]])</f>
        <v>2.1900499999999998</v>
      </c>
      <c r="K713" s="133" t="str">
        <f>IF([Lucro p/Ação]&lt;&gt;0,SUMPRODUCT(N([Papel]=Tabela8[[#This Row],[Papel]]),N([Exercício]=Tabela8[[#This Row],[Exercício]]),[Líquido p/Ação]),"")</f>
        <v/>
      </c>
      <c r="L713" s="42" t="str">
        <f>IF(Tabela8[[#This Row],[Lucro p/Ação]]="","",IF(Tabela8[[#This Row],[Lucro p/Ação]]&gt;0,Tabela8[[#This Row],[Total Exercício]]/Tabela8[[#This Row],[Lucro p/Ação]],0))</f>
        <v/>
      </c>
      <c r="M7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3" s="19" t="str">
        <f>IF(Tabela8[[#This Row],[Média Lucro p/Ação]]&lt;&gt;"",Tabela8[[#This Row],[Média Pago]]/Tabela8[[#This Row],[Média Lucro p/Ação]],"")</f>
        <v/>
      </c>
      <c r="P7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3" s="134">
        <f>SUMPRODUCT(N(Tabela1[Código]=Tabela8[[#This Row],[Papel]]),Tabela1[Fechamento])</f>
        <v>53</v>
      </c>
      <c r="R713" s="7">
        <f>SUMPRODUCT(N(Tabela17[Código]=Tabela8[[#This Row],[Papel]]),Tabela17[Fechamento])</f>
        <v>0</v>
      </c>
      <c r="S713" s="7">
        <f>SUMPRODUCT(N(Tabela176[Código]=Tabela8[[#This Row],[Papel]]),Tabela176[Fechamento])</f>
        <v>0</v>
      </c>
      <c r="T713" s="7">
        <f>SUMPRODUCT(N(Tabela1768[Código]=Tabela8[[#This Row],[Papel]]),Tabela1768[Fechamento])</f>
        <v>0</v>
      </c>
      <c r="U713" s="7">
        <f>SUMPRODUCT(N(Tabela17683[Código]=Tabela8[[#This Row],[Papel]]),Tabela17683[Fechamento])</f>
        <v>0</v>
      </c>
      <c r="V713" s="7">
        <f>IF(MAX(Tabela8[[#This Row],[Cotação 1]]:Tabela8[[#This Row],[Cotação 5]])=0,"",MAX(Tabela8[[#This Row],[Cotação 1]]:Tabela8[[#This Row],[Cotação 5]]))</f>
        <v>53</v>
      </c>
      <c r="W7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3" s="19" t="str">
        <f>IF(AND([Ref]=5,[Cotação]&gt;0,[Cotação]&lt;&gt;""),[Total Exercício]/[Cotação],IF([Ref]&lt;4,0,""))</f>
        <v/>
      </c>
      <c r="Y713" s="17">
        <f>IF([Tipo]="div",1,0)</f>
        <v>1</v>
      </c>
      <c r="Z713" s="17">
        <f>IF([Tipo]="jcp",1,0)</f>
        <v>0</v>
      </c>
    </row>
    <row r="714" spans="1:26" hidden="1">
      <c r="A714" s="24" t="s">
        <v>12</v>
      </c>
      <c r="B714" s="138" t="s">
        <v>158</v>
      </c>
      <c r="C714" s="15">
        <v>4</v>
      </c>
      <c r="D714" s="14">
        <v>2012</v>
      </c>
      <c r="E714" s="14" t="s">
        <v>1468</v>
      </c>
      <c r="G714" s="145">
        <v>41213</v>
      </c>
      <c r="H714" s="46">
        <v>41234</v>
      </c>
      <c r="I714" s="133">
        <v>2.1900499999999998</v>
      </c>
      <c r="J714" s="134">
        <f>IF(Tabela8[[#This Row],[Tipo]]="jcp",Tabela8[[#This Row],[Provento p/Ação]]*85%,Tabela8[[#This Row],[Provento p/Ação]])</f>
        <v>2.1900499999999998</v>
      </c>
      <c r="K714" s="133" t="str">
        <f>IF([Lucro p/Ação]&lt;&gt;0,SUMPRODUCT(N([Papel]=Tabela8[[#This Row],[Papel]]),N([Exercício]=Tabela8[[#This Row],[Exercício]]),[Líquido p/Ação]),"")</f>
        <v/>
      </c>
      <c r="L714" s="42" t="str">
        <f>IF(Tabela8[[#This Row],[Lucro p/Ação]]="","",IF(Tabela8[[#This Row],[Lucro p/Ação]]&gt;0,Tabela8[[#This Row],[Total Exercício]]/Tabela8[[#This Row],[Lucro p/Ação]],0))</f>
        <v/>
      </c>
      <c r="M7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14" s="19" t="str">
        <f>IF(Tabela8[[#This Row],[Média Lucro p/Ação]]&lt;&gt;"",Tabela8[[#This Row],[Média Pago]]/Tabela8[[#This Row],[Média Lucro p/Ação]],"")</f>
        <v/>
      </c>
      <c r="P7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4" s="134">
        <f>SUMPRODUCT(N(Tabela1[Código]=Tabela8[[#This Row],[Papel]]),Tabela1[Fechamento])</f>
        <v>62.04</v>
      </c>
      <c r="R714" s="17">
        <f>SUMPRODUCT(N(Tabela17[Código]=Tabela8[[#This Row],[Papel]]),Tabela17[Fechamento])</f>
        <v>0</v>
      </c>
      <c r="S714" s="17">
        <f>SUMPRODUCT(N(Tabela176[Código]=Tabela8[[#This Row],[Papel]]),Tabela176[Fechamento])</f>
        <v>0</v>
      </c>
      <c r="T714" s="17">
        <f>SUMPRODUCT(N(Tabela1768[Código]=Tabela8[[#This Row],[Papel]]),Tabela1768[Fechamento])</f>
        <v>0</v>
      </c>
      <c r="U714" s="17">
        <f>SUMPRODUCT(N(Tabela17683[Código]=Tabela8[[#This Row],[Papel]]),Tabela17683[Fechamento])</f>
        <v>0</v>
      </c>
      <c r="V714" s="17">
        <f>IF(MAX(Tabela8[[#This Row],[Cotação 1]]:Tabela8[[#This Row],[Cotação 5]])=0,"",MAX(Tabela8[[#This Row],[Cotação 1]]:Tabela8[[#This Row],[Cotação 5]]))</f>
        <v>62.04</v>
      </c>
      <c r="W7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4" s="19" t="str">
        <f>IF(AND([Ref]=5,[Cotação]&gt;0,[Cotação]&lt;&gt;""),[Total Exercício]/[Cotação],IF([Ref]&lt;4,0,""))</f>
        <v/>
      </c>
      <c r="Y714" s="17">
        <f>IF([Tipo]="div",1,0)</f>
        <v>1</v>
      </c>
      <c r="Z714" s="17">
        <f>IF([Tipo]="jcp",1,0)</f>
        <v>0</v>
      </c>
    </row>
    <row r="715" spans="1:26" hidden="1">
      <c r="A715" s="4" t="s">
        <v>12</v>
      </c>
      <c r="B715" s="138" t="s">
        <v>38</v>
      </c>
      <c r="C715" s="15">
        <v>5</v>
      </c>
      <c r="D715" s="14">
        <v>2012</v>
      </c>
      <c r="E715" s="14" t="s">
        <v>1475</v>
      </c>
      <c r="F715" s="133">
        <v>3.4378600000000001</v>
      </c>
      <c r="G715" s="145">
        <v>41264</v>
      </c>
      <c r="H715" s="46">
        <v>41303</v>
      </c>
      <c r="I715" s="133">
        <v>0.91800000000000004</v>
      </c>
      <c r="J715" s="134">
        <f>IF(Tabela8[[#This Row],[Tipo]]="jcp",Tabela8[[#This Row],[Provento p/Ação]]*85%,Tabela8[[#This Row],[Provento p/Ação]])</f>
        <v>0.78029999999999999</v>
      </c>
      <c r="K715" s="133">
        <f>IF([Lucro p/Ação]&lt;&gt;0,SUMPRODUCT(N([Papel]=Tabela8[[#This Row],[Papel]]),N([Exercício]=Tabela8[[#This Row],[Exercício]]),[Líquido p/Ação]),"")</f>
        <v>10.36918</v>
      </c>
      <c r="L715" s="42">
        <f>IF(Tabela8[[#This Row],[Lucro p/Ação]]="","",IF(Tabela8[[#This Row],[Lucro p/Ação]]&gt;0,Tabela8[[#This Row],[Total Exercício]]/Tabela8[[#This Row],[Lucro p/Ação]],0))</f>
        <v>3.016172851715893</v>
      </c>
      <c r="M71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2.78234</v>
      </c>
      <c r="N71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5.4976866666666666</v>
      </c>
      <c r="O715" s="19">
        <f>IF(Tabela8[[#This Row],[Média Lucro p/Ação]]&lt;&gt;"",Tabela8[[#This Row],[Média Pago]]/Tabela8[[#This Row],[Média Lucro p/Ação]],"")</f>
        <v>1.9759219457962243</v>
      </c>
      <c r="P7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5" s="134">
        <f>SUMPRODUCT(N(Tabela1[Código]=Tabela8[[#This Row],[Papel]]),Tabela1[Fechamento])</f>
        <v>53</v>
      </c>
      <c r="R715" s="7">
        <f>SUMPRODUCT(N(Tabela17[Código]=Tabela8[[#This Row],[Papel]]),Tabela17[Fechamento])</f>
        <v>0</v>
      </c>
      <c r="S715" s="7">
        <f>SUMPRODUCT(N(Tabela176[Código]=Tabela8[[#This Row],[Papel]]),Tabela176[Fechamento])</f>
        <v>0</v>
      </c>
      <c r="T715" s="7">
        <f>SUMPRODUCT(N(Tabela1768[Código]=Tabela8[[#This Row],[Papel]]),Tabela1768[Fechamento])</f>
        <v>0</v>
      </c>
      <c r="U715" s="7">
        <f>SUMPRODUCT(N(Tabela17683[Código]=Tabela8[[#This Row],[Papel]]),Tabela17683[Fechamento])</f>
        <v>0</v>
      </c>
      <c r="V715" s="7">
        <f>IF(MAX(Tabela8[[#This Row],[Cotação 1]]:Tabela8[[#This Row],[Cotação 5]])=0,"",MAX(Tabela8[[#This Row],[Cotação 1]]:Tabela8[[#This Row],[Cotação 5]]))</f>
        <v>53</v>
      </c>
      <c r="W7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5" s="19">
        <f>IF(AND([Ref]=5,[Cotação]&gt;0,[Cotação]&lt;&gt;""),[Total Exercício]/[Cotação],IF([Ref]&lt;4,0,""))</f>
        <v>0.19564490566037737</v>
      </c>
      <c r="Y715" s="17">
        <f>IF([Tipo]="div",1,0)</f>
        <v>0</v>
      </c>
      <c r="Z715" s="17">
        <f>IF([Tipo]="jcp",1,0)</f>
        <v>1</v>
      </c>
    </row>
    <row r="716" spans="1:26" hidden="1">
      <c r="A716" s="24" t="s">
        <v>12</v>
      </c>
      <c r="B716" s="138" t="s">
        <v>158</v>
      </c>
      <c r="C716" s="15">
        <v>5</v>
      </c>
      <c r="D716" s="14">
        <v>2012</v>
      </c>
      <c r="E716" s="14" t="s">
        <v>1475</v>
      </c>
      <c r="F716" s="133">
        <v>3.4378600000000001</v>
      </c>
      <c r="G716" s="145">
        <v>41264</v>
      </c>
      <c r="H716" s="46">
        <v>41303</v>
      </c>
      <c r="I716" s="133">
        <v>0.91800000000000004</v>
      </c>
      <c r="J716" s="134">
        <f>IF(Tabela8[[#This Row],[Tipo]]="jcp",Tabela8[[#This Row],[Provento p/Ação]]*85%,Tabela8[[#This Row],[Provento p/Ação]])</f>
        <v>0.78029999999999999</v>
      </c>
      <c r="K716" s="133">
        <f>IF([Lucro p/Ação]&lt;&gt;0,SUMPRODUCT(N([Papel]=Tabela8[[#This Row],[Papel]]),N([Exercício]=Tabela8[[#This Row],[Exercício]]),[Líquido p/Ação]),"")</f>
        <v>12.06086</v>
      </c>
      <c r="L716" s="42">
        <f>IF(Tabela8[[#This Row],[Lucro p/Ação]]="","",IF(Tabela8[[#This Row],[Lucro p/Ação]]&gt;0,Tabela8[[#This Row],[Total Exercício]]/Tabela8[[#This Row],[Lucro p/Ação]],0))</f>
        <v>3.5082464091033372</v>
      </c>
      <c r="M71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2.7606000000000002</v>
      </c>
      <c r="N71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6.0555333333333339</v>
      </c>
      <c r="O716" s="19">
        <f>IF(Tabela8[[#This Row],[Média Lucro p/Ação]]&lt;&gt;"",Tabela8[[#This Row],[Média Pago]]/Tabela8[[#This Row],[Média Lucro p/Ação]],"")</f>
        <v>2.1935569562172477</v>
      </c>
      <c r="P7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6" s="134">
        <f>SUMPRODUCT(N(Tabela1[Código]=Tabela8[[#This Row],[Papel]]),Tabela1[Fechamento])</f>
        <v>62.04</v>
      </c>
      <c r="R716" s="17">
        <f>SUMPRODUCT(N(Tabela17[Código]=Tabela8[[#This Row],[Papel]]),Tabela17[Fechamento])</f>
        <v>0</v>
      </c>
      <c r="S716" s="17">
        <f>SUMPRODUCT(N(Tabela176[Código]=Tabela8[[#This Row],[Papel]]),Tabela176[Fechamento])</f>
        <v>0</v>
      </c>
      <c r="T716" s="17">
        <f>SUMPRODUCT(N(Tabela1768[Código]=Tabela8[[#This Row],[Papel]]),Tabela1768[Fechamento])</f>
        <v>0</v>
      </c>
      <c r="U716" s="17">
        <f>SUMPRODUCT(N(Tabela17683[Código]=Tabela8[[#This Row],[Papel]]),Tabela17683[Fechamento])</f>
        <v>0</v>
      </c>
      <c r="V716" s="17">
        <f>IF(MAX(Tabela8[[#This Row],[Cotação 1]]:Tabela8[[#This Row],[Cotação 5]])=0,"",MAX(Tabela8[[#This Row],[Cotação 1]]:Tabela8[[#This Row],[Cotação 5]]))</f>
        <v>62.04</v>
      </c>
      <c r="W7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6" s="19">
        <f>IF(AND([Ref]=5,[Cotação]&gt;0,[Cotação]&lt;&gt;""),[Total Exercício]/[Cotação],IF([Ref]&lt;4,0,""))</f>
        <v>0.19440457769181174</v>
      </c>
      <c r="Y716" s="17">
        <f>IF([Tipo]="div",1,0)</f>
        <v>0</v>
      </c>
      <c r="Z716" s="17">
        <f>IF([Tipo]="jcp",1,0)</f>
        <v>1</v>
      </c>
    </row>
    <row r="717" spans="1:26" hidden="1">
      <c r="A717" s="24" t="s">
        <v>12</v>
      </c>
      <c r="B717" s="138" t="s">
        <v>158</v>
      </c>
      <c r="C717" s="15">
        <v>5</v>
      </c>
      <c r="D717" s="14">
        <v>2013</v>
      </c>
      <c r="E717" s="4" t="s">
        <v>1468</v>
      </c>
      <c r="F717" s="133">
        <v>2.9304399999999999</v>
      </c>
      <c r="G717" s="145">
        <v>41390</v>
      </c>
      <c r="H717" s="46">
        <v>41422</v>
      </c>
      <c r="I717" s="133">
        <v>0.88919000000000004</v>
      </c>
      <c r="J717" s="134">
        <f>IF(Tabela8[[#This Row],[Tipo]]="jcp",Tabela8[[#This Row],[Provento p/Ação]]*85%,Tabela8[[#This Row],[Provento p/Ação]])</f>
        <v>0.88919000000000004</v>
      </c>
      <c r="K717" s="133">
        <f>IF([Lucro p/Ação]&lt;&gt;0,SUMPRODUCT(N([Papel]=Tabela8[[#This Row],[Papel]]),N([Exercício]=Tabela8[[#This Row],[Exercício]]),[Líquido p/Ação]),"")</f>
        <v>0.88919000000000004</v>
      </c>
      <c r="L717" s="42">
        <f>IF(Tabela8[[#This Row],[Lucro p/Ação]]="","",IF(Tabela8[[#This Row],[Lucro p/Ação]]&gt;0,Tabela8[[#This Row],[Total Exercício]]/Tabela8[[#This Row],[Lucro p/Ação]],0))</f>
        <v>0.30343224908204913</v>
      </c>
      <c r="M71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2.8030600000000003</v>
      </c>
      <c r="N71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4.7639475000000004</v>
      </c>
      <c r="O717" s="19">
        <f>IF(Tabela8[[#This Row],[Média Lucro p/Ação]]&lt;&gt;"",Tabela8[[#This Row],[Média Pago]]/Tabela8[[#This Row],[Média Lucro p/Ação]],"")</f>
        <v>1.6995524533902235</v>
      </c>
      <c r="P7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7" s="134">
        <f>SUMPRODUCT(N(Tabela1[Código]=Tabela8[[#This Row],[Papel]]),Tabela1[Fechamento])</f>
        <v>62.04</v>
      </c>
      <c r="R717" s="17">
        <f>SUMPRODUCT(N(Tabela17[Código]=Tabela8[[#This Row],[Papel]]),Tabela17[Fechamento])</f>
        <v>0</v>
      </c>
      <c r="S717" s="17">
        <f>SUMPRODUCT(N(Tabela176[Código]=Tabela8[[#This Row],[Papel]]),Tabela176[Fechamento])</f>
        <v>0</v>
      </c>
      <c r="T717" s="17">
        <f>SUMPRODUCT(N(Tabela1768[Código]=Tabela8[[#This Row],[Papel]]),Tabela1768[Fechamento])</f>
        <v>0</v>
      </c>
      <c r="U717" s="17">
        <f>SUMPRODUCT(N(Tabela17683[Código]=Tabela8[[#This Row],[Papel]]),Tabela17683[Fechamento])</f>
        <v>0</v>
      </c>
      <c r="V717" s="17">
        <f>IF(MAX(Tabela8[[#This Row],[Cotação 1]]:Tabela8[[#This Row],[Cotação 5]])=0,"",MAX(Tabela8[[#This Row],[Cotação 1]]:Tabela8[[#This Row],[Cotação 5]]))</f>
        <v>62.04</v>
      </c>
      <c r="W7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7" s="19">
        <f>IF(AND([Ref]=5,[Cotação]&gt;0,[Cotação]&lt;&gt;""),[Total Exercício]/[Cotação],IF([Ref]&lt;4,0,""))</f>
        <v>1.4332527401676339E-2</v>
      </c>
      <c r="Y717" s="17">
        <f>IF([Tipo]="div",1,0)</f>
        <v>1</v>
      </c>
      <c r="Z717" s="17">
        <f>IF([Tipo]="jcp",1,0)</f>
        <v>0</v>
      </c>
    </row>
    <row r="718" spans="1:26" hidden="1">
      <c r="A718" s="4" t="s">
        <v>12</v>
      </c>
      <c r="B718" s="138" t="s">
        <v>38</v>
      </c>
      <c r="C718" s="15">
        <v>5</v>
      </c>
      <c r="D718" s="14">
        <v>2013</v>
      </c>
      <c r="E718" s="14" t="s">
        <v>1468</v>
      </c>
      <c r="F718" s="133">
        <v>2.9304399999999999</v>
      </c>
      <c r="G718" s="145">
        <v>41390</v>
      </c>
      <c r="H718" s="46">
        <v>41422</v>
      </c>
      <c r="I718" s="133">
        <v>0.88919000000000004</v>
      </c>
      <c r="J718" s="134">
        <f>IF(Tabela8[[#This Row],[Tipo]]="jcp",Tabela8[[#This Row],[Provento p/Ação]]*85%,Tabela8[[#This Row],[Provento p/Ação]])</f>
        <v>0.88919000000000004</v>
      </c>
      <c r="K718" s="133">
        <f>IF([Lucro p/Ação]&lt;&gt;0,SUMPRODUCT(N([Papel]=Tabela8[[#This Row],[Papel]]),N([Exercício]=Tabela8[[#This Row],[Exercício]]),[Líquido p/Ação]),"")</f>
        <v>0.88919000000000004</v>
      </c>
      <c r="L718" s="42">
        <f>IF(Tabela8[[#This Row],[Lucro p/Ação]]="","",IF(Tabela8[[#This Row],[Lucro p/Ação]]&gt;0,Tabela8[[#This Row],[Total Exercício]]/Tabela8[[#This Row],[Lucro p/Ação]],0))</f>
        <v>0.30343224908204913</v>
      </c>
      <c r="M71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2.8193650000000003</v>
      </c>
      <c r="N71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4.3455624999999998</v>
      </c>
      <c r="O718" s="19">
        <f>IF(Tabela8[[#This Row],[Média Lucro p/Ação]]&lt;&gt;"",Tabela8[[#This Row],[Média Pago]]/Tabela8[[#This Row],[Média Lucro p/Ação]],"")</f>
        <v>1.5413266817173368</v>
      </c>
      <c r="P7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8" s="134">
        <f>SUMPRODUCT(N(Tabela1[Código]=Tabela8[[#This Row],[Papel]]),Tabela1[Fechamento])</f>
        <v>53</v>
      </c>
      <c r="R718" s="17">
        <f>SUMPRODUCT(N(Tabela17[Código]=Tabela8[[#This Row],[Papel]]),Tabela17[Fechamento])</f>
        <v>0</v>
      </c>
      <c r="S718" s="17">
        <f>SUMPRODUCT(N(Tabela176[Código]=Tabela8[[#This Row],[Papel]]),Tabela176[Fechamento])</f>
        <v>0</v>
      </c>
      <c r="T718" s="17">
        <f>SUMPRODUCT(N(Tabela1768[Código]=Tabela8[[#This Row],[Papel]]),Tabela1768[Fechamento])</f>
        <v>0</v>
      </c>
      <c r="U718" s="17">
        <f>SUMPRODUCT(N(Tabela17683[Código]=Tabela8[[#This Row],[Papel]]),Tabela17683[Fechamento])</f>
        <v>0</v>
      </c>
      <c r="V718" s="17">
        <f>IF(MAX(Tabela8[[#This Row],[Cotação 1]]:Tabela8[[#This Row],[Cotação 5]])=0,"",MAX(Tabela8[[#This Row],[Cotação 1]]:Tabela8[[#This Row],[Cotação 5]]))</f>
        <v>53</v>
      </c>
      <c r="W7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8" s="19">
        <f>IF(AND([Ref]=5,[Cotação]&gt;0,[Cotação]&lt;&gt;""),[Total Exercício]/[Cotação],IF([Ref]&lt;4,0,""))</f>
        <v>1.6777169811320755E-2</v>
      </c>
      <c r="Y718" s="17">
        <f>IF([Tipo]="div",1,0)</f>
        <v>1</v>
      </c>
      <c r="Z718" s="17">
        <f>IF([Tipo]="jcp",1,0)</f>
        <v>0</v>
      </c>
    </row>
    <row r="719" spans="1:26" hidden="1">
      <c r="A719" s="4" t="s">
        <v>12</v>
      </c>
      <c r="B719" s="3" t="s">
        <v>160</v>
      </c>
      <c r="C719" s="15">
        <v>5</v>
      </c>
      <c r="D719" s="14">
        <v>2011</v>
      </c>
      <c r="F719" s="133">
        <v>2.0108000000000001</v>
      </c>
      <c r="J719" s="134">
        <f>IF(Tabela8[[#This Row],[Tipo]]="jcp",Tabela8[[#This Row],[Provento p/Ação]]*85%,Tabela8[[#This Row],[Provento p/Ação]])</f>
        <v>0</v>
      </c>
      <c r="K719" s="133">
        <f>IF([Lucro p/Ação]&lt;&gt;0,SUMPRODUCT(N([Papel]=Tabela8[[#This Row],[Papel]]),N([Exercício]=Tabela8[[#This Row],[Exercício]]),[Líquido p/Ação]),"")</f>
        <v>0</v>
      </c>
      <c r="L719" s="42">
        <f>IF(Tabela8[[#This Row],[Lucro p/Ação]]="","",IF(Tabela8[[#This Row],[Lucro p/Ação]]&gt;0,Tabela8[[#This Row],[Total Exercício]]/Tabela8[[#This Row],[Lucro p/Ação]],0))</f>
        <v>0</v>
      </c>
      <c r="M71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2.0769950000000001</v>
      </c>
      <c r="N71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3.2530000000000003E-2</v>
      </c>
      <c r="O719" s="19">
        <f>IF(Tabela8[[#This Row],[Média Lucro p/Ação]]&lt;&gt;"",Tabela8[[#This Row],[Média Pago]]/Tabela8[[#This Row],[Média Lucro p/Ação]],"")</f>
        <v>1.5662050221594177E-2</v>
      </c>
      <c r="P7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19" s="134">
        <f>SUMPRODUCT(N(Tabela1[Código]=Tabela8[[#This Row],[Papel]]),Tabela1[Fechamento])</f>
        <v>49.78</v>
      </c>
      <c r="R719" s="17">
        <f>SUMPRODUCT(N(Tabela17[Código]=Tabela8[[#This Row],[Papel]]),Tabela17[Fechamento])</f>
        <v>0</v>
      </c>
      <c r="S719" s="17">
        <f>SUMPRODUCT(N(Tabela176[Código]=Tabela8[[#This Row],[Papel]]),Tabela176[Fechamento])</f>
        <v>0</v>
      </c>
      <c r="T719" s="17">
        <f>SUMPRODUCT(N(Tabela1768[Código]=Tabela8[[#This Row],[Papel]]),Tabela1768[Fechamento])</f>
        <v>0</v>
      </c>
      <c r="U719" s="17">
        <f>SUMPRODUCT(N(Tabela17683[Código]=Tabela8[[#This Row],[Papel]]),Tabela17683[Fechamento])</f>
        <v>0</v>
      </c>
      <c r="V719" s="17">
        <f>IF(MAX(Tabela8[[#This Row],[Cotação 1]]:Tabela8[[#This Row],[Cotação 5]])=0,"",MAX(Tabela8[[#This Row],[Cotação 1]]:Tabela8[[#This Row],[Cotação 5]]))</f>
        <v>49.78</v>
      </c>
      <c r="W7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19" s="19">
        <f>IF(AND([Ref]=5,[Cotação]&gt;0,[Cotação]&lt;&gt;""),[Total Exercício]/[Cotação],IF([Ref]&lt;4,0,""))</f>
        <v>0</v>
      </c>
      <c r="Y719" s="17">
        <f>IF([Tipo]="div",1,0)</f>
        <v>0</v>
      </c>
      <c r="Z719" s="17">
        <f>IF([Tipo]="jcp",1,0)</f>
        <v>0</v>
      </c>
    </row>
    <row r="720" spans="1:26" hidden="1">
      <c r="A720" s="4" t="s">
        <v>12</v>
      </c>
      <c r="B720" s="3" t="s">
        <v>160</v>
      </c>
      <c r="C720" s="15">
        <v>5</v>
      </c>
      <c r="D720" s="14">
        <v>2012</v>
      </c>
      <c r="F720" s="133">
        <v>1.2893600000000001</v>
      </c>
      <c r="J720" s="134">
        <f>IF(Tabela8[[#This Row],[Tipo]]="jcp",Tabela8[[#This Row],[Provento p/Ação]]*85%,Tabela8[[#This Row],[Provento p/Ação]])</f>
        <v>0</v>
      </c>
      <c r="K720" s="133">
        <f>IF([Lucro p/Ação]&lt;&gt;0,SUMPRODUCT(N([Papel]=Tabela8[[#This Row],[Papel]]),N([Exercício]=Tabela8[[#This Row],[Exercício]]),[Líquido p/Ação]),"")</f>
        <v>0</v>
      </c>
      <c r="L720" s="42">
        <f>IF(Tabela8[[#This Row],[Lucro p/Ação]]="","",IF(Tabela8[[#This Row],[Lucro p/Ação]]&gt;0,Tabela8[[#This Row],[Total Exercício]]/Tabela8[[#This Row],[Lucro p/Ação]],0))</f>
        <v>0</v>
      </c>
      <c r="M7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1.8144500000000001</v>
      </c>
      <c r="N7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2.168666666666667E-2</v>
      </c>
      <c r="O720" s="19">
        <f>IF(Tabela8[[#This Row],[Média Lucro p/Ação]]&lt;&gt;"",Tabela8[[#This Row],[Média Pago]]/Tabela8[[#This Row],[Média Lucro p/Ação]],"")</f>
        <v>1.1952198554199161E-2</v>
      </c>
      <c r="P7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0" s="134">
        <f>SUMPRODUCT(N(Tabela1[Código]=Tabela8[[#This Row],[Papel]]),Tabela1[Fechamento])</f>
        <v>49.78</v>
      </c>
      <c r="R720" s="17">
        <f>SUMPRODUCT(N(Tabela17[Código]=Tabela8[[#This Row],[Papel]]),Tabela17[Fechamento])</f>
        <v>0</v>
      </c>
      <c r="S720" s="17">
        <f>SUMPRODUCT(N(Tabela176[Código]=Tabela8[[#This Row],[Papel]]),Tabela176[Fechamento])</f>
        <v>0</v>
      </c>
      <c r="T720" s="17">
        <f>SUMPRODUCT(N(Tabela1768[Código]=Tabela8[[#This Row],[Papel]]),Tabela1768[Fechamento])</f>
        <v>0</v>
      </c>
      <c r="U720" s="17">
        <f>SUMPRODUCT(N(Tabela17683[Código]=Tabela8[[#This Row],[Papel]]),Tabela17683[Fechamento])</f>
        <v>0</v>
      </c>
      <c r="V720" s="17">
        <f>IF(MAX(Tabela8[[#This Row],[Cotação 1]]:Tabela8[[#This Row],[Cotação 5]])=0,"",MAX(Tabela8[[#This Row],[Cotação 1]]:Tabela8[[#This Row],[Cotação 5]]))</f>
        <v>49.78</v>
      </c>
      <c r="W7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0" s="19">
        <f>IF(AND([Ref]=5,[Cotação]&gt;0,[Cotação]&lt;&gt;""),[Total Exercício]/[Cotação],IF([Ref]&lt;4,0,""))</f>
        <v>0</v>
      </c>
      <c r="Y720" s="17">
        <f>IF([Tipo]="div",1,0)</f>
        <v>0</v>
      </c>
      <c r="Z720" s="17">
        <f>IF([Tipo]="jcp",1,0)</f>
        <v>0</v>
      </c>
    </row>
    <row r="721" spans="1:26" hidden="1">
      <c r="A721" s="4" t="s">
        <v>12</v>
      </c>
      <c r="B721" s="3" t="s">
        <v>160</v>
      </c>
      <c r="C721" s="15">
        <v>5</v>
      </c>
      <c r="D721" s="14">
        <v>2013</v>
      </c>
      <c r="F721" s="133">
        <v>0.224</v>
      </c>
      <c r="J721" s="134">
        <f>IF(Tabela8[[#This Row],[Tipo]]="jcp",Tabela8[[#This Row],[Provento p/Ação]]*85%,Tabela8[[#This Row],[Provento p/Ação]])</f>
        <v>0</v>
      </c>
      <c r="K721" s="133">
        <f>IF([Lucro p/Ação]&lt;&gt;0,SUMPRODUCT(N([Papel]=Tabela8[[#This Row],[Papel]]),N([Exercício]=Tabela8[[#This Row],[Exercício]]),[Líquido p/Ação]),"")</f>
        <v>0</v>
      </c>
      <c r="L721" s="42">
        <f>IF(Tabela8[[#This Row],[Lucro p/Ação]]="","",IF(Tabela8[[#This Row],[Lucro p/Ação]]&gt;0,Tabela8[[#This Row],[Total Exercício]]/Tabela8[[#This Row],[Lucro p/Ação]],0))</f>
        <v>0</v>
      </c>
      <c r="M72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1.4168375000000002</v>
      </c>
      <c r="N72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1.6265000000000002E-2</v>
      </c>
      <c r="O721" s="19">
        <f>IF(Tabela8[[#This Row],[Média Lucro p/Ação]]&lt;&gt;"",Tabela8[[#This Row],[Média Pago]]/Tabela8[[#This Row],[Média Lucro p/Ação]],"")</f>
        <v>1.1479792142712202E-2</v>
      </c>
      <c r="P7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1" s="134">
        <f>SUMPRODUCT(N(Tabela1[Código]=Tabela8[[#This Row],[Papel]]),Tabela1[Fechamento])</f>
        <v>49.78</v>
      </c>
      <c r="R721" s="17">
        <f>SUMPRODUCT(N(Tabela17[Código]=Tabela8[[#This Row],[Papel]]),Tabela17[Fechamento])</f>
        <v>0</v>
      </c>
      <c r="S721" s="17">
        <f>SUMPRODUCT(N(Tabela176[Código]=Tabela8[[#This Row],[Papel]]),Tabela176[Fechamento])</f>
        <v>0</v>
      </c>
      <c r="T721" s="17">
        <f>SUMPRODUCT(N(Tabela1768[Código]=Tabela8[[#This Row],[Papel]]),Tabela1768[Fechamento])</f>
        <v>0</v>
      </c>
      <c r="U721" s="17">
        <f>SUMPRODUCT(N(Tabela17683[Código]=Tabela8[[#This Row],[Papel]]),Tabela17683[Fechamento])</f>
        <v>0</v>
      </c>
      <c r="V721" s="17">
        <f>IF(MAX(Tabela8[[#This Row],[Cotação 1]]:Tabela8[[#This Row],[Cotação 5]])=0,"",MAX(Tabela8[[#This Row],[Cotação 1]]:Tabela8[[#This Row],[Cotação 5]]))</f>
        <v>49.78</v>
      </c>
      <c r="W7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1" s="19">
        <f>IF(AND([Ref]=5,[Cotação]&gt;0,[Cotação]&lt;&gt;""),[Total Exercício]/[Cotação],IF([Ref]&lt;4,0,""))</f>
        <v>0</v>
      </c>
      <c r="Y721" s="17">
        <f>IF([Tipo]="div",1,0)</f>
        <v>0</v>
      </c>
      <c r="Z721" s="17">
        <f>IF([Tipo]="jcp",1,0)</f>
        <v>0</v>
      </c>
    </row>
    <row r="722" spans="1:26" hidden="1">
      <c r="A722" s="4" t="s">
        <v>12</v>
      </c>
      <c r="B722" s="131" t="s">
        <v>93</v>
      </c>
      <c r="C722" s="15">
        <v>5</v>
      </c>
      <c r="D722" s="14">
        <v>2011</v>
      </c>
      <c r="E722" s="4" t="s">
        <v>1468</v>
      </c>
      <c r="F722" s="133">
        <v>6.0520199999999997</v>
      </c>
      <c r="G722" s="145">
        <v>40662</v>
      </c>
      <c r="H722" s="46">
        <v>40908</v>
      </c>
      <c r="I722" s="133">
        <v>4.2725900000000001</v>
      </c>
      <c r="J722" s="134">
        <f>IF(Tabela8[[#This Row],[Tipo]]="jcp",Tabela8[[#This Row],[Provento p/Ação]]*85%,Tabela8[[#This Row],[Provento p/Ação]])</f>
        <v>4.2725900000000001</v>
      </c>
      <c r="K722" s="133">
        <f>IF([Lucro p/Ação]&lt;&gt;0,SUMPRODUCT(N([Papel]=Tabela8[[#This Row],[Papel]]),N([Exercício]=Tabela8[[#This Row],[Exercício]]),[Líquido p/Ação]),"")</f>
        <v>4.2725900000000001</v>
      </c>
      <c r="L722" s="42">
        <f>IF(Tabela8[[#This Row],[Lucro p/Ação]]="","",IF(Tabela8[[#This Row],[Lucro p/Ação]]&gt;0,Tabela8[[#This Row],[Total Exercício]]/Tabela8[[#This Row],[Lucro p/Ação]],0))</f>
        <v>0.70597750833605977</v>
      </c>
      <c r="M7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2" s="19">
        <f>IF(Tabela8[[#This Row],[Média Lucro p/Ação]]&lt;&gt;"",Tabela8[[#This Row],[Média Pago]]/Tabela8[[#This Row],[Média Lucro p/Ação]],"")</f>
        <v>0.57857266098201077</v>
      </c>
      <c r="P7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2" s="134">
        <f>SUMPRODUCT(N(Tabela1[Código]=Tabela8[[#This Row],[Papel]]),Tabela1[Fechamento])</f>
        <v>48.9</v>
      </c>
      <c r="R722" s="7">
        <f>SUMPRODUCT(N(Tabela17[Código]=Tabela8[[#This Row],[Papel]]),Tabela17[Fechamento])</f>
        <v>0</v>
      </c>
      <c r="S722" s="7">
        <f>SUMPRODUCT(N(Tabela176[Código]=Tabela8[[#This Row],[Papel]]),Tabela176[Fechamento])</f>
        <v>0</v>
      </c>
      <c r="T722" s="7">
        <f>SUMPRODUCT(N(Tabela1768[Código]=Tabela8[[#This Row],[Papel]]),Tabela1768[Fechamento])</f>
        <v>0</v>
      </c>
      <c r="U722" s="7">
        <f>SUMPRODUCT(N(Tabela17683[Código]=Tabela8[[#This Row],[Papel]]),Tabela17683[Fechamento])</f>
        <v>0</v>
      </c>
      <c r="V722" s="7">
        <f>IF(MAX(Tabela8[[#This Row],[Cotação 1]]:Tabela8[[#This Row],[Cotação 5]])=0,"",MAX(Tabela8[[#This Row],[Cotação 1]]:Tabela8[[#This Row],[Cotação 5]]))</f>
        <v>48.9</v>
      </c>
      <c r="W7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2" s="19">
        <f>IF(AND([Ref]=5,[Cotação]&gt;0,[Cotação]&lt;&gt;""),[Total Exercício]/[Cotação],IF([Ref]&lt;4,0,""))</f>
        <v>8.7374028629856854E-2</v>
      </c>
      <c r="Y722" s="17">
        <f>IF([Tipo]="div",1,0)</f>
        <v>1</v>
      </c>
      <c r="Z722" s="17">
        <f>IF([Tipo]="jcp",1,0)</f>
        <v>0</v>
      </c>
    </row>
    <row r="723" spans="1:26" hidden="1">
      <c r="A723" s="3" t="s">
        <v>12</v>
      </c>
      <c r="B723" s="139" t="s">
        <v>81</v>
      </c>
      <c r="C723" s="16">
        <v>5</v>
      </c>
      <c r="D723" s="14">
        <v>2011</v>
      </c>
      <c r="E723" s="4" t="s">
        <v>1468</v>
      </c>
      <c r="F723" s="133">
        <v>6.0520199999999997</v>
      </c>
      <c r="G723" s="145">
        <v>40662</v>
      </c>
      <c r="H723" s="46">
        <v>40908</v>
      </c>
      <c r="I723" s="133">
        <v>4.2725900000000001</v>
      </c>
      <c r="J723" s="134">
        <f>IF(Tabela8[[#This Row],[Tipo]]="jcp",Tabela8[[#This Row],[Provento p/Ação]]*85%,Tabela8[[#This Row],[Provento p/Ação]])</f>
        <v>4.2725900000000001</v>
      </c>
      <c r="K723" s="133">
        <f>IF([Lucro p/Ação]&lt;&gt;0,SUMPRODUCT(N([Papel]=Tabela8[[#This Row],[Papel]]),N([Exercício]=Tabela8[[#This Row],[Exercício]]),[Líquido p/Ação]),"")</f>
        <v>4.2725900000000001</v>
      </c>
      <c r="L723" s="42">
        <f>IF(Tabela8[[#This Row],[Lucro p/Ação]]="","",IF(Tabela8[[#This Row],[Lucro p/Ação]]&gt;0,Tabela8[[#This Row],[Total Exercício]]/Tabela8[[#This Row],[Lucro p/Ação]],0))</f>
        <v>0.70597750833605977</v>
      </c>
      <c r="M7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3" s="19">
        <f>IF(Tabela8[[#This Row],[Média Lucro p/Ação]]&lt;&gt;"",Tabela8[[#This Row],[Média Pago]]/Tabela8[[#This Row],[Média Lucro p/Ação]],"")</f>
        <v>0.57857266098201077</v>
      </c>
      <c r="P7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3" s="134">
        <f>SUMPRODUCT(N(Tabela1[Código]=Tabela8[[#This Row],[Papel]]),Tabela1[Fechamento])</f>
        <v>36.28</v>
      </c>
      <c r="R723" s="7">
        <f>SUMPRODUCT(N(Tabela17[Código]=Tabela8[[#This Row],[Papel]]),Tabela17[Fechamento])</f>
        <v>0</v>
      </c>
      <c r="S723" s="7">
        <f>SUMPRODUCT(N(Tabela176[Código]=Tabela8[[#This Row],[Papel]]),Tabela176[Fechamento])</f>
        <v>0</v>
      </c>
      <c r="T723" s="7">
        <f>SUMPRODUCT(N(Tabela1768[Código]=Tabela8[[#This Row],[Papel]]),Tabela1768[Fechamento])</f>
        <v>0</v>
      </c>
      <c r="U723" s="7">
        <f>SUMPRODUCT(N(Tabela17683[Código]=Tabela8[[#This Row],[Papel]]),Tabela17683[Fechamento])</f>
        <v>0</v>
      </c>
      <c r="V723" s="7">
        <f>IF(MAX(Tabela8[[#This Row],[Cotação 1]]:Tabela8[[#This Row],[Cotação 5]])=0,"",MAX(Tabela8[[#This Row],[Cotação 1]]:Tabela8[[#This Row],[Cotação 5]]))</f>
        <v>36.28</v>
      </c>
      <c r="W7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3" s="19">
        <f>IF(AND([Ref]=5,[Cotação]&gt;0,[Cotação]&lt;&gt;""),[Total Exercício]/[Cotação],IF([Ref]&lt;4,0,""))</f>
        <v>0.11776708930540243</v>
      </c>
      <c r="Y723" s="17">
        <f>IF([Tipo]="div",1,0)</f>
        <v>1</v>
      </c>
      <c r="Z723" s="17">
        <f>IF([Tipo]="jcp",1,0)</f>
        <v>0</v>
      </c>
    </row>
    <row r="724" spans="1:26" hidden="1">
      <c r="A724" s="3" t="s">
        <v>12</v>
      </c>
      <c r="B724" s="139" t="s">
        <v>470</v>
      </c>
      <c r="C724" s="16">
        <v>5</v>
      </c>
      <c r="D724" s="14">
        <v>2011</v>
      </c>
      <c r="E724" s="4" t="s">
        <v>1468</v>
      </c>
      <c r="F724" s="133">
        <v>6.0520199999999997</v>
      </c>
      <c r="G724" s="145">
        <v>40662</v>
      </c>
      <c r="H724" s="46">
        <v>40908</v>
      </c>
      <c r="I724" s="133">
        <v>4.2725900000000001</v>
      </c>
      <c r="J724" s="134">
        <f>IF(Tabela8[[#This Row],[Tipo]]="jcp",Tabela8[[#This Row],[Provento p/Ação]]*85%,Tabela8[[#This Row],[Provento p/Ação]])</f>
        <v>4.2725900000000001</v>
      </c>
      <c r="K724" s="133">
        <f>IF([Lucro p/Ação]&lt;&gt;0,SUMPRODUCT(N([Papel]=Tabela8[[#This Row],[Papel]]),N([Exercício]=Tabela8[[#This Row],[Exercício]]),[Líquido p/Ação]),"")</f>
        <v>4.2725900000000001</v>
      </c>
      <c r="L724" s="42">
        <f>IF(Tabela8[[#This Row],[Lucro p/Ação]]="","",IF(Tabela8[[#This Row],[Lucro p/Ação]]&gt;0,Tabela8[[#This Row],[Total Exercício]]/Tabela8[[#This Row],[Lucro p/Ação]],0))</f>
        <v>0.70597750833605977</v>
      </c>
      <c r="M72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6.0566549999999992</v>
      </c>
      <c r="N72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3.5042150000000003</v>
      </c>
      <c r="O724" s="19">
        <f>IF(Tabela8[[#This Row],[Média Lucro p/Ação]]&lt;&gt;"",Tabela8[[#This Row],[Média Pago]]/Tabela8[[#This Row],[Média Lucro p/Ação]],"")</f>
        <v>0.57857266098201077</v>
      </c>
      <c r="P7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4" s="134">
        <f>SUMPRODUCT(N(Tabela1[Código]=Tabela8[[#This Row],[Papel]]),Tabela1[Fechamento])</f>
        <v>0</v>
      </c>
      <c r="R724" s="17">
        <f>SUMPRODUCT(N(Tabela17[Código]=Tabela8[[#This Row],[Papel]]),Tabela17[Fechamento])</f>
        <v>35</v>
      </c>
      <c r="S724" s="17">
        <f>SUMPRODUCT(N(Tabela176[Código]=Tabela8[[#This Row],[Papel]]),Tabela176[Fechamento])</f>
        <v>0</v>
      </c>
      <c r="T724" s="17">
        <f>SUMPRODUCT(N(Tabela1768[Código]=Tabela8[[#This Row],[Papel]]),Tabela1768[Fechamento])</f>
        <v>0</v>
      </c>
      <c r="U724" s="17">
        <f>SUMPRODUCT(N(Tabela17683[Código]=Tabela8[[#This Row],[Papel]]),Tabela17683[Fechamento])</f>
        <v>0</v>
      </c>
      <c r="V724" s="17">
        <f>IF(MAX(Tabela8[[#This Row],[Cotação 1]]:Tabela8[[#This Row],[Cotação 5]])=0,"",MAX(Tabela8[[#This Row],[Cotação 1]]:Tabela8[[#This Row],[Cotação 5]]))</f>
        <v>35</v>
      </c>
      <c r="W7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4" s="19">
        <f>IF(AND([Ref]=5,[Cotação]&gt;0,[Cotação]&lt;&gt;""),[Total Exercício]/[Cotação],IF([Ref]&lt;4,0,""))</f>
        <v>0.122074</v>
      </c>
      <c r="Y724" s="17">
        <f>IF([Tipo]="div",1,0)</f>
        <v>1</v>
      </c>
      <c r="Z724" s="17">
        <f>IF([Tipo]="jcp",1,0)</f>
        <v>0</v>
      </c>
    </row>
    <row r="725" spans="1:26" hidden="1">
      <c r="A725" s="4" t="s">
        <v>12</v>
      </c>
      <c r="B725" s="131" t="s">
        <v>93</v>
      </c>
      <c r="C725" s="15">
        <v>5</v>
      </c>
      <c r="D725" s="14">
        <v>2012</v>
      </c>
      <c r="E725" s="4" t="s">
        <v>1468</v>
      </c>
      <c r="F725" s="133">
        <v>5.39</v>
      </c>
      <c r="G725" s="145">
        <v>41024</v>
      </c>
      <c r="H725" s="46">
        <v>41274</v>
      </c>
      <c r="I725" s="133">
        <v>3.54522</v>
      </c>
      <c r="J725" s="134">
        <f>IF(Tabela8[[#This Row],[Tipo]]="jcp",Tabela8[[#This Row],[Provento p/Ação]]*85%,Tabela8[[#This Row],[Provento p/Ação]])</f>
        <v>3.54522</v>
      </c>
      <c r="K725" s="133">
        <f>IF([Lucro p/Ação]&lt;&gt;0,SUMPRODUCT(N([Papel]=Tabela8[[#This Row],[Papel]]),N([Exercício]=Tabela8[[#This Row],[Exercício]]),[Líquido p/Ação]),"")</f>
        <v>3.54522</v>
      </c>
      <c r="L725" s="42">
        <f>IF(Tabela8[[#This Row],[Lucro p/Ação]]="","",IF(Tabela8[[#This Row],[Lucro p/Ação]]&gt;0,Tabela8[[#This Row],[Total Exercício]]/Tabela8[[#This Row],[Lucro p/Ação]],0))</f>
        <v>0.65774025974025974</v>
      </c>
      <c r="M7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5" s="19">
        <f>IF(Tabela8[[#This Row],[Média Lucro p/Ação]]&lt;&gt;"",Tabela8[[#This Row],[Média Pago]]/Tabela8[[#This Row],[Média Lucro p/Ação]],"")</f>
        <v>0.60295167028407781</v>
      </c>
      <c r="P7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5" s="134">
        <f>SUMPRODUCT(N(Tabela1[Código]=Tabela8[[#This Row],[Papel]]),Tabela1[Fechamento])</f>
        <v>48.9</v>
      </c>
      <c r="R725" s="7">
        <f>SUMPRODUCT(N(Tabela17[Código]=Tabela8[[#This Row],[Papel]]),Tabela17[Fechamento])</f>
        <v>0</v>
      </c>
      <c r="S725" s="7">
        <f>SUMPRODUCT(N(Tabela176[Código]=Tabela8[[#This Row],[Papel]]),Tabela176[Fechamento])</f>
        <v>0</v>
      </c>
      <c r="T725" s="7">
        <f>SUMPRODUCT(N(Tabela1768[Código]=Tabela8[[#This Row],[Papel]]),Tabela1768[Fechamento])</f>
        <v>0</v>
      </c>
      <c r="U725" s="7">
        <f>SUMPRODUCT(N(Tabela17683[Código]=Tabela8[[#This Row],[Papel]]),Tabela17683[Fechamento])</f>
        <v>0</v>
      </c>
      <c r="V725" s="7">
        <f>IF(MAX(Tabela8[[#This Row],[Cotação 1]]:Tabela8[[#This Row],[Cotação 5]])=0,"",MAX(Tabela8[[#This Row],[Cotação 1]]:Tabela8[[#This Row],[Cotação 5]]))</f>
        <v>48.9</v>
      </c>
      <c r="W7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5" s="19">
        <f>IF(AND([Ref]=5,[Cotação]&gt;0,[Cotação]&lt;&gt;""),[Total Exercício]/[Cotação],IF([Ref]&lt;4,0,""))</f>
        <v>7.2499386503067489E-2</v>
      </c>
      <c r="Y725" s="17">
        <f>IF([Tipo]="div",1,0)</f>
        <v>1</v>
      </c>
      <c r="Z725" s="17">
        <f>IF([Tipo]="jcp",1,0)</f>
        <v>0</v>
      </c>
    </row>
    <row r="726" spans="1:26" hidden="1">
      <c r="A726" s="3" t="s">
        <v>12</v>
      </c>
      <c r="B726" s="139" t="s">
        <v>81</v>
      </c>
      <c r="C726" s="16">
        <v>5</v>
      </c>
      <c r="D726" s="14">
        <v>2012</v>
      </c>
      <c r="E726" s="4" t="s">
        <v>1468</v>
      </c>
      <c r="F726" s="133">
        <v>5.39</v>
      </c>
      <c r="G726" s="145">
        <v>41024</v>
      </c>
      <c r="H726" s="46">
        <v>41274</v>
      </c>
      <c r="I726" s="133">
        <v>3.54522</v>
      </c>
      <c r="J726" s="134">
        <f>IF(Tabela8[[#This Row],[Tipo]]="jcp",Tabela8[[#This Row],[Provento p/Ação]]*85%,Tabela8[[#This Row],[Provento p/Ação]])</f>
        <v>3.54522</v>
      </c>
      <c r="K726" s="133">
        <f>IF([Lucro p/Ação]&lt;&gt;0,SUMPRODUCT(N([Papel]=Tabela8[[#This Row],[Papel]]),N([Exercício]=Tabela8[[#This Row],[Exercício]]),[Líquido p/Ação]),"")</f>
        <v>3.54522</v>
      </c>
      <c r="L726" s="42">
        <f>IF(Tabela8[[#This Row],[Lucro p/Ação]]="","",IF(Tabela8[[#This Row],[Lucro p/Ação]]&gt;0,Tabela8[[#This Row],[Total Exercício]]/Tabela8[[#This Row],[Lucro p/Ação]],0))</f>
        <v>0.65774025974025974</v>
      </c>
      <c r="M7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6" s="19">
        <f>IF(Tabela8[[#This Row],[Média Lucro p/Ação]]&lt;&gt;"",Tabela8[[#This Row],[Média Pago]]/Tabela8[[#This Row],[Média Lucro p/Ação]],"")</f>
        <v>0.60295167028407781</v>
      </c>
      <c r="P7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6" s="134">
        <f>SUMPRODUCT(N(Tabela1[Código]=Tabela8[[#This Row],[Papel]]),Tabela1[Fechamento])</f>
        <v>36.28</v>
      </c>
      <c r="R726" s="7">
        <f>SUMPRODUCT(N(Tabela17[Código]=Tabela8[[#This Row],[Papel]]),Tabela17[Fechamento])</f>
        <v>0</v>
      </c>
      <c r="S726" s="7">
        <f>SUMPRODUCT(N(Tabela176[Código]=Tabela8[[#This Row],[Papel]]),Tabela176[Fechamento])</f>
        <v>0</v>
      </c>
      <c r="T726" s="7">
        <f>SUMPRODUCT(N(Tabela1768[Código]=Tabela8[[#This Row],[Papel]]),Tabela1768[Fechamento])</f>
        <v>0</v>
      </c>
      <c r="U726" s="7">
        <f>SUMPRODUCT(N(Tabela17683[Código]=Tabela8[[#This Row],[Papel]]),Tabela17683[Fechamento])</f>
        <v>0</v>
      </c>
      <c r="V726" s="7">
        <f>IF(MAX(Tabela8[[#This Row],[Cotação 1]]:Tabela8[[#This Row],[Cotação 5]])=0,"",MAX(Tabela8[[#This Row],[Cotação 1]]:Tabela8[[#This Row],[Cotação 5]]))</f>
        <v>36.28</v>
      </c>
      <c r="W7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6" s="19">
        <f>IF(AND([Ref]=5,[Cotação]&gt;0,[Cotação]&lt;&gt;""),[Total Exercício]/[Cotação],IF([Ref]&lt;4,0,""))</f>
        <v>9.7718302094818077E-2</v>
      </c>
      <c r="Y726" s="17">
        <f>IF([Tipo]="div",1,0)</f>
        <v>1</v>
      </c>
      <c r="Z726" s="17">
        <f>IF([Tipo]="jcp",1,0)</f>
        <v>0</v>
      </c>
    </row>
    <row r="727" spans="1:26" hidden="1">
      <c r="A727" s="3" t="s">
        <v>12</v>
      </c>
      <c r="B727" s="139" t="s">
        <v>470</v>
      </c>
      <c r="C727" s="16">
        <v>5</v>
      </c>
      <c r="D727" s="14">
        <v>2012</v>
      </c>
      <c r="E727" s="4" t="s">
        <v>1468</v>
      </c>
      <c r="F727" s="133">
        <v>5.39</v>
      </c>
      <c r="G727" s="145">
        <v>41024</v>
      </c>
      <c r="H727" s="46">
        <v>41274</v>
      </c>
      <c r="I727" s="133">
        <v>3.54522</v>
      </c>
      <c r="J727" s="134">
        <f>IF(Tabela8[[#This Row],[Tipo]]="jcp",Tabela8[[#This Row],[Provento p/Ação]]*85%,Tabela8[[#This Row],[Provento p/Ação]])</f>
        <v>3.54522</v>
      </c>
      <c r="K727" s="133">
        <f>IF([Lucro p/Ação]&lt;&gt;0,SUMPRODUCT(N([Papel]=Tabela8[[#This Row],[Papel]]),N([Exercício]=Tabela8[[#This Row],[Exercício]]),[Líquido p/Ação]),"")</f>
        <v>3.54522</v>
      </c>
      <c r="L727" s="42">
        <f>IF(Tabela8[[#This Row],[Lucro p/Ação]]="","",IF(Tabela8[[#This Row],[Lucro p/Ação]]&gt;0,Tabela8[[#This Row],[Total Exercício]]/Tabela8[[#This Row],[Lucro p/Ação]],0))</f>
        <v>0.65774025974025974</v>
      </c>
      <c r="M72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5.834436666666666</v>
      </c>
      <c r="N72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3.5178833333333337</v>
      </c>
      <c r="O727" s="19">
        <f>IF(Tabela8[[#This Row],[Média Lucro p/Ação]]&lt;&gt;"",Tabela8[[#This Row],[Média Pago]]/Tabela8[[#This Row],[Média Lucro p/Ação]],"")</f>
        <v>0.60295167028407781</v>
      </c>
      <c r="P7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7" s="134">
        <f>SUMPRODUCT(N(Tabela1[Código]=Tabela8[[#This Row],[Papel]]),Tabela1[Fechamento])</f>
        <v>0</v>
      </c>
      <c r="R727" s="17">
        <f>SUMPRODUCT(N(Tabela17[Código]=Tabela8[[#This Row],[Papel]]),Tabela17[Fechamento])</f>
        <v>35</v>
      </c>
      <c r="S727" s="17">
        <f>SUMPRODUCT(N(Tabela176[Código]=Tabela8[[#This Row],[Papel]]),Tabela176[Fechamento])</f>
        <v>0</v>
      </c>
      <c r="T727" s="17">
        <f>SUMPRODUCT(N(Tabela1768[Código]=Tabela8[[#This Row],[Papel]]),Tabela1768[Fechamento])</f>
        <v>0</v>
      </c>
      <c r="U727" s="17">
        <f>SUMPRODUCT(N(Tabela17683[Código]=Tabela8[[#This Row],[Papel]]),Tabela17683[Fechamento])</f>
        <v>0</v>
      </c>
      <c r="V727" s="17">
        <f>IF(MAX(Tabela8[[#This Row],[Cotação 1]]:Tabela8[[#This Row],[Cotação 5]])=0,"",MAX(Tabela8[[#This Row],[Cotação 1]]:Tabela8[[#This Row],[Cotação 5]]))</f>
        <v>35</v>
      </c>
      <c r="W7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7" s="19">
        <f>IF(AND([Ref]=5,[Cotação]&gt;0,[Cotação]&lt;&gt;""),[Total Exercício]/[Cotação],IF([Ref]&lt;4,0,""))</f>
        <v>0.10129200000000001</v>
      </c>
      <c r="Y727" s="17">
        <f>IF([Tipo]="div",1,0)</f>
        <v>1</v>
      </c>
      <c r="Z727" s="17">
        <f>IF([Tipo]="jcp",1,0)</f>
        <v>0</v>
      </c>
    </row>
    <row r="728" spans="1:26" hidden="1">
      <c r="A728" s="4" t="s">
        <v>12</v>
      </c>
      <c r="B728" s="131" t="s">
        <v>93</v>
      </c>
      <c r="C728" s="15">
        <v>5</v>
      </c>
      <c r="D728" s="14">
        <v>2013</v>
      </c>
      <c r="E728" s="4" t="s">
        <v>1468</v>
      </c>
      <c r="F728" s="133">
        <v>2.0108600000000001</v>
      </c>
      <c r="G728" s="145">
        <v>41393</v>
      </c>
      <c r="I728" s="133">
        <v>2.7486199999999998</v>
      </c>
      <c r="J728" s="134">
        <f>IF(Tabela8[[#This Row],[Tipo]]="jcp",Tabela8[[#This Row],[Provento p/Ação]]*85%,Tabela8[[#This Row],[Provento p/Ação]])</f>
        <v>2.7486199999999998</v>
      </c>
      <c r="K728" s="133">
        <f>IF([Lucro p/Ação]&lt;&gt;0,SUMPRODUCT(N([Papel]=Tabela8[[#This Row],[Papel]]),N([Exercício]=Tabela8[[#This Row],[Exercício]]),[Líquido p/Ação]),"")</f>
        <v>2.7486199999999998</v>
      </c>
      <c r="L728" s="42">
        <f>IF(Tabela8[[#This Row],[Lucro p/Ação]]="","",IF(Tabela8[[#This Row],[Lucro p/Ação]]&gt;0,Tabela8[[#This Row],[Total Exercício]]/Tabela8[[#This Row],[Lucro p/Ação]],0))</f>
        <v>1.3668877992500719</v>
      </c>
      <c r="M72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2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28" s="19">
        <f>IF(Tabela8[[#This Row],[Média Lucro p/Ação]]&lt;&gt;"",Tabela8[[#This Row],[Média Pago]]/Tabela8[[#This Row],[Média Lucro p/Ação]],"")</f>
        <v>0.68167234373790941</v>
      </c>
      <c r="P7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8" s="134">
        <f>SUMPRODUCT(N(Tabela1[Código]=Tabela8[[#This Row],[Papel]]),Tabela1[Fechamento])</f>
        <v>48.9</v>
      </c>
      <c r="R728" s="7">
        <f>SUMPRODUCT(N(Tabela17[Código]=Tabela8[[#This Row],[Papel]]),Tabela17[Fechamento])</f>
        <v>0</v>
      </c>
      <c r="S728" s="7">
        <f>SUMPRODUCT(N(Tabela176[Código]=Tabela8[[#This Row],[Papel]]),Tabela176[Fechamento])</f>
        <v>0</v>
      </c>
      <c r="T728" s="7">
        <f>SUMPRODUCT(N(Tabela1768[Código]=Tabela8[[#This Row],[Papel]]),Tabela1768[Fechamento])</f>
        <v>0</v>
      </c>
      <c r="U728" s="7">
        <f>SUMPRODUCT(N(Tabela17683[Código]=Tabela8[[#This Row],[Papel]]),Tabela17683[Fechamento])</f>
        <v>0</v>
      </c>
      <c r="V728" s="7">
        <f>IF(MAX(Tabela8[[#This Row],[Cotação 1]]:Tabela8[[#This Row],[Cotação 5]])=0,"",MAX(Tabela8[[#This Row],[Cotação 1]]:Tabela8[[#This Row],[Cotação 5]]))</f>
        <v>48.9</v>
      </c>
      <c r="W7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8" s="19">
        <f>IF(AND([Ref]=5,[Cotação]&gt;0,[Cotação]&lt;&gt;""),[Total Exercício]/[Cotação],IF([Ref]&lt;4,0,""))</f>
        <v>5.620899795501022E-2</v>
      </c>
      <c r="Y728" s="17">
        <f>IF([Tipo]="div",1,0)</f>
        <v>1</v>
      </c>
      <c r="Z728" s="17">
        <f>IF([Tipo]="jcp",1,0)</f>
        <v>0</v>
      </c>
    </row>
    <row r="729" spans="1:26" hidden="1">
      <c r="A729" s="3" t="s">
        <v>12</v>
      </c>
      <c r="B729" s="139" t="s">
        <v>81</v>
      </c>
      <c r="C729" s="16">
        <v>5</v>
      </c>
      <c r="D729" s="14">
        <v>2013</v>
      </c>
      <c r="E729" s="4" t="s">
        <v>1468</v>
      </c>
      <c r="F729" s="133">
        <v>2.0108600000000001</v>
      </c>
      <c r="G729" s="145">
        <v>41393</v>
      </c>
      <c r="I729" s="133">
        <v>2.7486199999999998</v>
      </c>
      <c r="J729" s="134">
        <f>IF(Tabela8[[#This Row],[Tipo]]="jcp",Tabela8[[#This Row],[Provento p/Ação]]*85%,Tabela8[[#This Row],[Provento p/Ação]])</f>
        <v>2.7486199999999998</v>
      </c>
      <c r="K729" s="133">
        <f>IF([Lucro p/Ação]&lt;&gt;0,SUMPRODUCT(N([Papel]=Tabela8[[#This Row],[Papel]]),N([Exercício]=Tabela8[[#This Row],[Exercício]]),[Líquido p/Ação]),"")</f>
        <v>2.7486199999999998</v>
      </c>
      <c r="L729" s="42">
        <f>IF(Tabela8[[#This Row],[Lucro p/Ação]]="","",IF(Tabela8[[#This Row],[Lucro p/Ação]]&gt;0,Tabela8[[#This Row],[Total Exercício]]/Tabela8[[#This Row],[Lucro p/Ação]],0))</f>
        <v>1.3668877992500719</v>
      </c>
      <c r="M7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29" s="19">
        <f>IF(Tabela8[[#This Row],[Média Lucro p/Ação]]&lt;&gt;"",Tabela8[[#This Row],[Média Pago]]/Tabela8[[#This Row],[Média Lucro p/Ação]],"")</f>
        <v>0.68167234373790941</v>
      </c>
      <c r="P7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29" s="134">
        <f>SUMPRODUCT(N(Tabela1[Código]=Tabela8[[#This Row],[Papel]]),Tabela1[Fechamento])</f>
        <v>36.28</v>
      </c>
      <c r="R729" s="7">
        <f>SUMPRODUCT(N(Tabela17[Código]=Tabela8[[#This Row],[Papel]]),Tabela17[Fechamento])</f>
        <v>0</v>
      </c>
      <c r="S729" s="7">
        <f>SUMPRODUCT(N(Tabela176[Código]=Tabela8[[#This Row],[Papel]]),Tabela176[Fechamento])</f>
        <v>0</v>
      </c>
      <c r="T729" s="7">
        <f>SUMPRODUCT(N(Tabela1768[Código]=Tabela8[[#This Row],[Papel]]),Tabela1768[Fechamento])</f>
        <v>0</v>
      </c>
      <c r="U729" s="7">
        <f>SUMPRODUCT(N(Tabela17683[Código]=Tabela8[[#This Row],[Papel]]),Tabela17683[Fechamento])</f>
        <v>0</v>
      </c>
      <c r="V729" s="7">
        <f>IF(MAX(Tabela8[[#This Row],[Cotação 1]]:Tabela8[[#This Row],[Cotação 5]])=0,"",MAX(Tabela8[[#This Row],[Cotação 1]]:Tabela8[[#This Row],[Cotação 5]]))</f>
        <v>36.28</v>
      </c>
      <c r="W7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29" s="19">
        <f>IF(AND([Ref]=5,[Cotação]&gt;0,[Cotação]&lt;&gt;""),[Total Exercício]/[Cotação],IF([Ref]&lt;4,0,""))</f>
        <v>7.5761300992282246E-2</v>
      </c>
      <c r="Y729" s="17">
        <f>IF([Tipo]="div",1,0)</f>
        <v>1</v>
      </c>
      <c r="Z729" s="17">
        <f>IF([Tipo]="jcp",1,0)</f>
        <v>0</v>
      </c>
    </row>
    <row r="730" spans="1:26" hidden="1">
      <c r="A730" s="3" t="s">
        <v>12</v>
      </c>
      <c r="B730" s="139" t="s">
        <v>470</v>
      </c>
      <c r="C730" s="16">
        <v>5</v>
      </c>
      <c r="D730" s="14">
        <v>2013</v>
      </c>
      <c r="E730" s="4" t="s">
        <v>1468</v>
      </c>
      <c r="F730" s="133">
        <v>2.0108600000000001</v>
      </c>
      <c r="G730" s="145">
        <v>41393</v>
      </c>
      <c r="I730" s="133">
        <v>2.7486199999999998</v>
      </c>
      <c r="J730" s="134">
        <f>IF(Tabela8[[#This Row],[Tipo]]="jcp",Tabela8[[#This Row],[Provento p/Ação]]*85%,Tabela8[[#This Row],[Provento p/Ação]])</f>
        <v>2.7486199999999998</v>
      </c>
      <c r="K730" s="133">
        <f>IF([Lucro p/Ação]&lt;&gt;0,SUMPRODUCT(N([Papel]=Tabela8[[#This Row],[Papel]]),N([Exercício]=Tabela8[[#This Row],[Exercício]]),[Líquido p/Ação]),"")</f>
        <v>2.7486199999999998</v>
      </c>
      <c r="L730" s="42">
        <f>IF(Tabela8[[#This Row],[Lucro p/Ação]]="","",IF(Tabela8[[#This Row],[Lucro p/Ação]]&gt;0,Tabela8[[#This Row],[Total Exercício]]/Tabela8[[#This Row],[Lucro p/Ação]],0))</f>
        <v>1.3668877992500719</v>
      </c>
      <c r="M7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4.8785425</v>
      </c>
      <c r="N7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3.3255675</v>
      </c>
      <c r="O730" s="19">
        <f>IF(Tabela8[[#This Row],[Média Lucro p/Ação]]&lt;&gt;"",Tabela8[[#This Row],[Média Pago]]/Tabela8[[#This Row],[Média Lucro p/Ação]],"")</f>
        <v>0.68167234373790941</v>
      </c>
      <c r="P7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0" s="134">
        <f>SUMPRODUCT(N(Tabela1[Código]=Tabela8[[#This Row],[Papel]]),Tabela1[Fechamento])</f>
        <v>0</v>
      </c>
      <c r="R730" s="17">
        <f>SUMPRODUCT(N(Tabela17[Código]=Tabela8[[#This Row],[Papel]]),Tabela17[Fechamento])</f>
        <v>35</v>
      </c>
      <c r="S730" s="17">
        <f>SUMPRODUCT(N(Tabela176[Código]=Tabela8[[#This Row],[Papel]]),Tabela176[Fechamento])</f>
        <v>0</v>
      </c>
      <c r="T730" s="17">
        <f>SUMPRODUCT(N(Tabela1768[Código]=Tabela8[[#This Row],[Papel]]),Tabela1768[Fechamento])</f>
        <v>0</v>
      </c>
      <c r="U730" s="17">
        <f>SUMPRODUCT(N(Tabela17683[Código]=Tabela8[[#This Row],[Papel]]),Tabela17683[Fechamento])</f>
        <v>0</v>
      </c>
      <c r="V730" s="17">
        <f>IF(MAX(Tabela8[[#This Row],[Cotação 1]]:Tabela8[[#This Row],[Cotação 5]])=0,"",MAX(Tabela8[[#This Row],[Cotação 1]]:Tabela8[[#This Row],[Cotação 5]]))</f>
        <v>35</v>
      </c>
      <c r="W7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0" s="19">
        <f>IF(AND([Ref]=5,[Cotação]&gt;0,[Cotação]&lt;&gt;""),[Total Exercício]/[Cotação],IF([Ref]&lt;4,0,""))</f>
        <v>7.8531999999999991E-2</v>
      </c>
      <c r="Y730" s="17">
        <f>IF([Tipo]="div",1,0)</f>
        <v>1</v>
      </c>
      <c r="Z730" s="17">
        <f>IF([Tipo]="jcp",1,0)</f>
        <v>0</v>
      </c>
    </row>
    <row r="731" spans="1:26" hidden="1">
      <c r="A731" s="4" t="s">
        <v>12</v>
      </c>
      <c r="B731" s="138" t="s">
        <v>153</v>
      </c>
      <c r="C731" s="15">
        <v>4</v>
      </c>
      <c r="D731" s="14">
        <v>2010</v>
      </c>
      <c r="E731" s="14" t="s">
        <v>1475</v>
      </c>
      <c r="G731" s="46">
        <v>40267</v>
      </c>
      <c r="H731" s="46">
        <v>40288</v>
      </c>
      <c r="I731" s="133">
        <v>0.41099999999999998</v>
      </c>
      <c r="J731" s="134">
        <f>IF(Tabela8[[#This Row],[Tipo]]="jcp",Tabela8[[#This Row],[Provento p/Ação]]*85%,Tabela8[[#This Row],[Provento p/Ação]])</f>
        <v>0.34934999999999999</v>
      </c>
      <c r="K731" s="133" t="str">
        <f>IF([Lucro p/Ação]&lt;&gt;0,SUMPRODUCT(N([Papel]=Tabela8[[#This Row],[Papel]]),N([Exercício]=Tabela8[[#This Row],[Exercício]]),[Líquido p/Ação]),"")</f>
        <v/>
      </c>
      <c r="L731" s="42" t="str">
        <f>IF(Tabela8[[#This Row],[Lucro p/Ação]]="","",IF(Tabela8[[#This Row],[Lucro p/Ação]]&gt;0,Tabela8[[#This Row],[Total Exercício]]/Tabela8[[#This Row],[Lucro p/Ação]],0))</f>
        <v/>
      </c>
      <c r="M73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1" s="19" t="str">
        <f>IF(Tabela8[[#This Row],[Média Lucro p/Ação]]&lt;&gt;"",Tabela8[[#This Row],[Média Pago]]/Tabela8[[#This Row],[Média Lucro p/Ação]],"")</f>
        <v/>
      </c>
      <c r="P7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1" s="134">
        <f>SUMPRODUCT(N(Tabela1[Código]=Tabela8[[#This Row],[Papel]]),Tabela1[Fechamento])</f>
        <v>45.7</v>
      </c>
      <c r="R731" s="7">
        <f>SUMPRODUCT(N(Tabela17[Código]=Tabela8[[#This Row],[Papel]]),Tabela17[Fechamento])</f>
        <v>0</v>
      </c>
      <c r="S731" s="7">
        <f>SUMPRODUCT(N(Tabela176[Código]=Tabela8[[#This Row],[Papel]]),Tabela176[Fechamento])</f>
        <v>0</v>
      </c>
      <c r="T731" s="7">
        <f>SUMPRODUCT(N(Tabela1768[Código]=Tabela8[[#This Row],[Papel]]),Tabela1768[Fechamento])</f>
        <v>0</v>
      </c>
      <c r="U731" s="7">
        <f>SUMPRODUCT(N(Tabela17683[Código]=Tabela8[[#This Row],[Papel]]),Tabela17683[Fechamento])</f>
        <v>0</v>
      </c>
      <c r="V731" s="7">
        <f>IF(MAX(Tabela8[[#This Row],[Cotação 1]]:Tabela8[[#This Row],[Cotação 5]])=0,"",MAX(Tabela8[[#This Row],[Cotação 1]]:Tabela8[[#This Row],[Cotação 5]]))</f>
        <v>45.7</v>
      </c>
      <c r="W7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1" s="19" t="str">
        <f>IF(AND([Ref]=5,[Cotação]&gt;0,[Cotação]&lt;&gt;""),[Total Exercício]/[Cotação],IF([Ref]&lt;4,0,""))</f>
        <v/>
      </c>
      <c r="Y731" s="17">
        <f>IF([Tipo]="div",1,0)</f>
        <v>0</v>
      </c>
      <c r="Z731" s="17">
        <f>IF([Tipo]="jcp",1,0)</f>
        <v>1</v>
      </c>
    </row>
    <row r="732" spans="1:26" hidden="1">
      <c r="A732" s="4" t="s">
        <v>12</v>
      </c>
      <c r="B732" s="138" t="s">
        <v>154</v>
      </c>
      <c r="C732" s="15">
        <v>4</v>
      </c>
      <c r="D732" s="14">
        <v>2010</v>
      </c>
      <c r="E732" s="14" t="s">
        <v>1475</v>
      </c>
      <c r="G732" s="46">
        <v>40267</v>
      </c>
      <c r="H732" s="46">
        <v>40288</v>
      </c>
      <c r="I732" s="133">
        <v>0.41099999999999998</v>
      </c>
      <c r="J732" s="134">
        <f>IF(Tabela8[[#This Row],[Tipo]]="jcp",Tabela8[[#This Row],[Provento p/Ação]]*85%,Tabela8[[#This Row],[Provento p/Ação]])</f>
        <v>0.34934999999999999</v>
      </c>
      <c r="K732" s="133" t="str">
        <f>IF([Lucro p/Ação]&lt;&gt;0,SUMPRODUCT(N([Papel]=Tabela8[[#This Row],[Papel]]),N([Exercício]=Tabela8[[#This Row],[Exercício]]),[Líquido p/Ação]),"")</f>
        <v/>
      </c>
      <c r="L732" s="42" t="str">
        <f>IF(Tabela8[[#This Row],[Lucro p/Ação]]="","",IF(Tabela8[[#This Row],[Lucro p/Ação]]&gt;0,Tabela8[[#This Row],[Total Exercício]]/Tabela8[[#This Row],[Lucro p/Ação]],0))</f>
        <v/>
      </c>
      <c r="M73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2" s="19" t="str">
        <f>IF(Tabela8[[#This Row],[Média Lucro p/Ação]]&lt;&gt;"",Tabela8[[#This Row],[Média Pago]]/Tabela8[[#This Row],[Média Lucro p/Ação]],"")</f>
        <v/>
      </c>
      <c r="P7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2" s="134">
        <f>SUMPRODUCT(N(Tabela1[Código]=Tabela8[[#This Row],[Papel]]),Tabela1[Fechamento])</f>
        <v>23.59</v>
      </c>
      <c r="R732" s="17">
        <f>SUMPRODUCT(N(Tabela17[Código]=Tabela8[[#This Row],[Papel]]),Tabela17[Fechamento])</f>
        <v>0</v>
      </c>
      <c r="S732" s="17">
        <f>SUMPRODUCT(N(Tabela176[Código]=Tabela8[[#This Row],[Papel]]),Tabela176[Fechamento])</f>
        <v>0</v>
      </c>
      <c r="T732" s="17">
        <f>SUMPRODUCT(N(Tabela1768[Código]=Tabela8[[#This Row],[Papel]]),Tabela1768[Fechamento])</f>
        <v>0</v>
      </c>
      <c r="U732" s="17">
        <f>SUMPRODUCT(N(Tabela17683[Código]=Tabela8[[#This Row],[Papel]]),Tabela17683[Fechamento])</f>
        <v>0</v>
      </c>
      <c r="V732" s="17">
        <f>IF(MAX(Tabela8[[#This Row],[Cotação 1]]:Tabela8[[#This Row],[Cotação 5]])=0,"",MAX(Tabela8[[#This Row],[Cotação 1]]:Tabela8[[#This Row],[Cotação 5]]))</f>
        <v>23.59</v>
      </c>
      <c r="W7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2" s="19" t="str">
        <f>IF(AND([Ref]=5,[Cotação]&gt;0,[Cotação]&lt;&gt;""),[Total Exercício]/[Cotação],IF([Ref]&lt;4,0,""))</f>
        <v/>
      </c>
      <c r="Y732" s="17">
        <f>IF([Tipo]="div",1,0)</f>
        <v>0</v>
      </c>
      <c r="Z732" s="17">
        <f>IF([Tipo]="jcp",1,0)</f>
        <v>1</v>
      </c>
    </row>
    <row r="733" spans="1:26" hidden="1">
      <c r="A733" s="4" t="s">
        <v>12</v>
      </c>
      <c r="B733" s="138" t="s">
        <v>153</v>
      </c>
      <c r="C733" s="15">
        <v>4</v>
      </c>
      <c r="D733" s="14">
        <v>2010</v>
      </c>
      <c r="E733" s="14" t="s">
        <v>1468</v>
      </c>
      <c r="G733" s="145">
        <v>40357</v>
      </c>
      <c r="H733" s="46">
        <v>40382</v>
      </c>
      <c r="I733" s="133">
        <v>0.41936000000000001</v>
      </c>
      <c r="J733" s="134">
        <f>IF(Tabela8[[#This Row],[Tipo]]="jcp",Tabela8[[#This Row],[Provento p/Ação]]*85%,Tabela8[[#This Row],[Provento p/Ação]])</f>
        <v>0.41936000000000001</v>
      </c>
      <c r="K733" s="133" t="str">
        <f>IF([Lucro p/Ação]&lt;&gt;0,SUMPRODUCT(N([Papel]=Tabela8[[#This Row],[Papel]]),N([Exercício]=Tabela8[[#This Row],[Exercício]]),[Líquido p/Ação]),"")</f>
        <v/>
      </c>
      <c r="L733" s="42" t="str">
        <f>IF(Tabela8[[#This Row],[Lucro p/Ação]]="","",IF(Tabela8[[#This Row],[Lucro p/Ação]]&gt;0,Tabela8[[#This Row],[Total Exercício]]/Tabela8[[#This Row],[Lucro p/Ação]],0))</f>
        <v/>
      </c>
      <c r="M7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3" s="19" t="str">
        <f>IF(Tabela8[[#This Row],[Média Lucro p/Ação]]&lt;&gt;"",Tabela8[[#This Row],[Média Pago]]/Tabela8[[#This Row],[Média Lucro p/Ação]],"")</f>
        <v/>
      </c>
      <c r="P7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3" s="134">
        <f>SUMPRODUCT(N(Tabela1[Código]=Tabela8[[#This Row],[Papel]]),Tabela1[Fechamento])</f>
        <v>45.7</v>
      </c>
      <c r="R733" s="7">
        <f>SUMPRODUCT(N(Tabela17[Código]=Tabela8[[#This Row],[Papel]]),Tabela17[Fechamento])</f>
        <v>0</v>
      </c>
      <c r="S733" s="7">
        <f>SUMPRODUCT(N(Tabela176[Código]=Tabela8[[#This Row],[Papel]]),Tabela176[Fechamento])</f>
        <v>0</v>
      </c>
      <c r="T733" s="7">
        <f>SUMPRODUCT(N(Tabela1768[Código]=Tabela8[[#This Row],[Papel]]),Tabela1768[Fechamento])</f>
        <v>0</v>
      </c>
      <c r="U733" s="7">
        <f>SUMPRODUCT(N(Tabela17683[Código]=Tabela8[[#This Row],[Papel]]),Tabela17683[Fechamento])</f>
        <v>0</v>
      </c>
      <c r="V733" s="7">
        <f>IF(MAX(Tabela8[[#This Row],[Cotação 1]]:Tabela8[[#This Row],[Cotação 5]])=0,"",MAX(Tabela8[[#This Row],[Cotação 1]]:Tabela8[[#This Row],[Cotação 5]]))</f>
        <v>45.7</v>
      </c>
      <c r="W7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3" s="19" t="str">
        <f>IF(AND([Ref]=5,[Cotação]&gt;0,[Cotação]&lt;&gt;""),[Total Exercício]/[Cotação],IF([Ref]&lt;4,0,""))</f>
        <v/>
      </c>
      <c r="Y733" s="17">
        <f>IF([Tipo]="div",1,0)</f>
        <v>1</v>
      </c>
      <c r="Z733" s="17">
        <f>IF([Tipo]="jcp",1,0)</f>
        <v>0</v>
      </c>
    </row>
    <row r="734" spans="1:26" hidden="1">
      <c r="A734" s="4" t="s">
        <v>12</v>
      </c>
      <c r="B734" s="138" t="s">
        <v>154</v>
      </c>
      <c r="C734" s="15">
        <v>4</v>
      </c>
      <c r="D734" s="14">
        <v>2010</v>
      </c>
      <c r="E734" s="14" t="s">
        <v>1468</v>
      </c>
      <c r="G734" s="145">
        <v>40357</v>
      </c>
      <c r="H734" s="46">
        <v>40382</v>
      </c>
      <c r="I734" s="133">
        <v>0.41936000000000001</v>
      </c>
      <c r="J734" s="134">
        <f>IF(Tabela8[[#This Row],[Tipo]]="jcp",Tabela8[[#This Row],[Provento p/Ação]]*85%,Tabela8[[#This Row],[Provento p/Ação]])</f>
        <v>0.41936000000000001</v>
      </c>
      <c r="K734" s="133" t="str">
        <f>IF([Lucro p/Ação]&lt;&gt;0,SUMPRODUCT(N([Papel]=Tabela8[[#This Row],[Papel]]),N([Exercício]=Tabela8[[#This Row],[Exercício]]),[Líquido p/Ação]),"")</f>
        <v/>
      </c>
      <c r="L734" s="42" t="str">
        <f>IF(Tabela8[[#This Row],[Lucro p/Ação]]="","",IF(Tabela8[[#This Row],[Lucro p/Ação]]&gt;0,Tabela8[[#This Row],[Total Exercício]]/Tabela8[[#This Row],[Lucro p/Ação]],0))</f>
        <v/>
      </c>
      <c r="M7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4" s="19" t="str">
        <f>IF(Tabela8[[#This Row],[Média Lucro p/Ação]]&lt;&gt;"",Tabela8[[#This Row],[Média Pago]]/Tabela8[[#This Row],[Média Lucro p/Ação]],"")</f>
        <v/>
      </c>
      <c r="P7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4" s="134">
        <f>SUMPRODUCT(N(Tabela1[Código]=Tabela8[[#This Row],[Papel]]),Tabela1[Fechamento])</f>
        <v>23.59</v>
      </c>
      <c r="R734" s="17">
        <f>SUMPRODUCT(N(Tabela17[Código]=Tabela8[[#This Row],[Papel]]),Tabela17[Fechamento])</f>
        <v>0</v>
      </c>
      <c r="S734" s="17">
        <f>SUMPRODUCT(N(Tabela176[Código]=Tabela8[[#This Row],[Papel]]),Tabela176[Fechamento])</f>
        <v>0</v>
      </c>
      <c r="T734" s="17">
        <f>SUMPRODUCT(N(Tabela1768[Código]=Tabela8[[#This Row],[Papel]]),Tabela1768[Fechamento])</f>
        <v>0</v>
      </c>
      <c r="U734" s="17">
        <f>SUMPRODUCT(N(Tabela17683[Código]=Tabela8[[#This Row],[Papel]]),Tabela17683[Fechamento])</f>
        <v>0</v>
      </c>
      <c r="V734" s="17">
        <f>IF(MAX(Tabela8[[#This Row],[Cotação 1]]:Tabela8[[#This Row],[Cotação 5]])=0,"",MAX(Tabela8[[#This Row],[Cotação 1]]:Tabela8[[#This Row],[Cotação 5]]))</f>
        <v>23.59</v>
      </c>
      <c r="W7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4" s="19" t="str">
        <f>IF(AND([Ref]=5,[Cotação]&gt;0,[Cotação]&lt;&gt;""),[Total Exercício]/[Cotação],IF([Ref]&lt;4,0,""))</f>
        <v/>
      </c>
      <c r="Y734" s="17">
        <f>IF([Tipo]="div",1,0)</f>
        <v>1</v>
      </c>
      <c r="Z734" s="17">
        <f>IF([Tipo]="jcp",1,0)</f>
        <v>0</v>
      </c>
    </row>
    <row r="735" spans="1:26" hidden="1">
      <c r="A735" s="4" t="s">
        <v>12</v>
      </c>
      <c r="B735" s="138" t="s">
        <v>153</v>
      </c>
      <c r="C735" s="15">
        <v>4</v>
      </c>
      <c r="D735" s="14">
        <v>2010</v>
      </c>
      <c r="E735" s="14" t="s">
        <v>1475</v>
      </c>
      <c r="G735" s="145">
        <v>40357</v>
      </c>
      <c r="H735" s="46">
        <v>40382</v>
      </c>
      <c r="I735" s="133">
        <v>0.41444999999999999</v>
      </c>
      <c r="J735" s="134">
        <f>IF(Tabela8[[#This Row],[Tipo]]="jcp",Tabela8[[#This Row],[Provento p/Ação]]*85%,Tabela8[[#This Row],[Provento p/Ação]])</f>
        <v>0.3522825</v>
      </c>
      <c r="K735" s="133" t="str">
        <f>IF([Lucro p/Ação]&lt;&gt;0,SUMPRODUCT(N([Papel]=Tabela8[[#This Row],[Papel]]),N([Exercício]=Tabela8[[#This Row],[Exercício]]),[Líquido p/Ação]),"")</f>
        <v/>
      </c>
      <c r="L735" s="42" t="str">
        <f>IF(Tabela8[[#This Row],[Lucro p/Ação]]="","",IF(Tabela8[[#This Row],[Lucro p/Ação]]&gt;0,Tabela8[[#This Row],[Total Exercício]]/Tabela8[[#This Row],[Lucro p/Ação]],0))</f>
        <v/>
      </c>
      <c r="M73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5" s="19" t="str">
        <f>IF(Tabela8[[#This Row],[Média Lucro p/Ação]]&lt;&gt;"",Tabela8[[#This Row],[Média Pago]]/Tabela8[[#This Row],[Média Lucro p/Ação]],"")</f>
        <v/>
      </c>
      <c r="P7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5" s="134">
        <f>SUMPRODUCT(N(Tabela1[Código]=Tabela8[[#This Row],[Papel]]),Tabela1[Fechamento])</f>
        <v>45.7</v>
      </c>
      <c r="R735" s="7">
        <f>SUMPRODUCT(N(Tabela17[Código]=Tabela8[[#This Row],[Papel]]),Tabela17[Fechamento])</f>
        <v>0</v>
      </c>
      <c r="S735" s="7">
        <f>SUMPRODUCT(N(Tabela176[Código]=Tabela8[[#This Row],[Papel]]),Tabela176[Fechamento])</f>
        <v>0</v>
      </c>
      <c r="T735" s="7">
        <f>SUMPRODUCT(N(Tabela1768[Código]=Tabela8[[#This Row],[Papel]]),Tabela1768[Fechamento])</f>
        <v>0</v>
      </c>
      <c r="U735" s="7">
        <f>SUMPRODUCT(N(Tabela17683[Código]=Tabela8[[#This Row],[Papel]]),Tabela17683[Fechamento])</f>
        <v>0</v>
      </c>
      <c r="V735" s="7">
        <f>IF(MAX(Tabela8[[#This Row],[Cotação 1]]:Tabela8[[#This Row],[Cotação 5]])=0,"",MAX(Tabela8[[#This Row],[Cotação 1]]:Tabela8[[#This Row],[Cotação 5]]))</f>
        <v>45.7</v>
      </c>
      <c r="W7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5" s="19" t="str">
        <f>IF(AND([Ref]=5,[Cotação]&gt;0,[Cotação]&lt;&gt;""),[Total Exercício]/[Cotação],IF([Ref]&lt;4,0,""))</f>
        <v/>
      </c>
      <c r="Y735" s="17">
        <f>IF([Tipo]="div",1,0)</f>
        <v>0</v>
      </c>
      <c r="Z735" s="17">
        <f>IF([Tipo]="jcp",1,0)</f>
        <v>1</v>
      </c>
    </row>
    <row r="736" spans="1:26" hidden="1">
      <c r="A736" s="4" t="s">
        <v>12</v>
      </c>
      <c r="B736" s="138" t="s">
        <v>154</v>
      </c>
      <c r="C736" s="15">
        <v>4</v>
      </c>
      <c r="D736" s="14">
        <v>2010</v>
      </c>
      <c r="E736" s="14" t="s">
        <v>1475</v>
      </c>
      <c r="G736" s="145">
        <v>40357</v>
      </c>
      <c r="H736" s="46">
        <v>40382</v>
      </c>
      <c r="I736" s="133">
        <v>0.41444999999999999</v>
      </c>
      <c r="J736" s="134">
        <f>IF(Tabela8[[#This Row],[Tipo]]="jcp",Tabela8[[#This Row],[Provento p/Ação]]*85%,Tabela8[[#This Row],[Provento p/Ação]])</f>
        <v>0.3522825</v>
      </c>
      <c r="K736" s="133" t="str">
        <f>IF([Lucro p/Ação]&lt;&gt;0,SUMPRODUCT(N([Papel]=Tabela8[[#This Row],[Papel]]),N([Exercício]=Tabela8[[#This Row],[Exercício]]),[Líquido p/Ação]),"")</f>
        <v/>
      </c>
      <c r="L736" s="42" t="str">
        <f>IF(Tabela8[[#This Row],[Lucro p/Ação]]="","",IF(Tabela8[[#This Row],[Lucro p/Ação]]&gt;0,Tabela8[[#This Row],[Total Exercício]]/Tabela8[[#This Row],[Lucro p/Ação]],0))</f>
        <v/>
      </c>
      <c r="M73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6" s="19" t="str">
        <f>IF(Tabela8[[#This Row],[Média Lucro p/Ação]]&lt;&gt;"",Tabela8[[#This Row],[Média Pago]]/Tabela8[[#This Row],[Média Lucro p/Ação]],"")</f>
        <v/>
      </c>
      <c r="P7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6" s="134">
        <f>SUMPRODUCT(N(Tabela1[Código]=Tabela8[[#This Row],[Papel]]),Tabela1[Fechamento])</f>
        <v>23.59</v>
      </c>
      <c r="R736" s="17">
        <f>SUMPRODUCT(N(Tabela17[Código]=Tabela8[[#This Row],[Papel]]),Tabela17[Fechamento])</f>
        <v>0</v>
      </c>
      <c r="S736" s="17">
        <f>SUMPRODUCT(N(Tabela176[Código]=Tabela8[[#This Row],[Papel]]),Tabela176[Fechamento])</f>
        <v>0</v>
      </c>
      <c r="T736" s="17">
        <f>SUMPRODUCT(N(Tabela1768[Código]=Tabela8[[#This Row],[Papel]]),Tabela1768[Fechamento])</f>
        <v>0</v>
      </c>
      <c r="U736" s="17">
        <f>SUMPRODUCT(N(Tabela17683[Código]=Tabela8[[#This Row],[Papel]]),Tabela17683[Fechamento])</f>
        <v>0</v>
      </c>
      <c r="V736" s="17">
        <f>IF(MAX(Tabela8[[#This Row],[Cotação 1]]:Tabela8[[#This Row],[Cotação 5]])=0,"",MAX(Tabela8[[#This Row],[Cotação 1]]:Tabela8[[#This Row],[Cotação 5]]))</f>
        <v>23.59</v>
      </c>
      <c r="W7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6" s="19" t="str">
        <f>IF(AND([Ref]=5,[Cotação]&gt;0,[Cotação]&lt;&gt;""),[Total Exercício]/[Cotação],IF([Ref]&lt;4,0,""))</f>
        <v/>
      </c>
      <c r="Y736" s="17">
        <f>IF([Tipo]="div",1,0)</f>
        <v>0</v>
      </c>
      <c r="Z736" s="17">
        <f>IF([Tipo]="jcp",1,0)</f>
        <v>1</v>
      </c>
    </row>
    <row r="737" spans="1:26" hidden="1">
      <c r="A737" s="4" t="s">
        <v>12</v>
      </c>
      <c r="B737" s="138" t="s">
        <v>153</v>
      </c>
      <c r="C737" s="15">
        <v>4</v>
      </c>
      <c r="D737" s="14">
        <v>2010</v>
      </c>
      <c r="E737" s="14" t="s">
        <v>1468</v>
      </c>
      <c r="G737" s="145">
        <v>40451</v>
      </c>
      <c r="H737" s="46">
        <v>40476</v>
      </c>
      <c r="I737" s="133">
        <v>0.96345000000000003</v>
      </c>
      <c r="J737" s="134">
        <f>IF(Tabela8[[#This Row],[Tipo]]="jcp",Tabela8[[#This Row],[Provento p/Ação]]*85%,Tabela8[[#This Row],[Provento p/Ação]])</f>
        <v>0.96345000000000003</v>
      </c>
      <c r="K737" s="133" t="str">
        <f>IF([Lucro p/Ação]&lt;&gt;0,SUMPRODUCT(N([Papel]=Tabela8[[#This Row],[Papel]]),N([Exercício]=Tabela8[[#This Row],[Exercício]]),[Líquido p/Ação]),"")</f>
        <v/>
      </c>
      <c r="L737" s="42" t="str">
        <f>IF(Tabela8[[#This Row],[Lucro p/Ação]]="","",IF(Tabela8[[#This Row],[Lucro p/Ação]]&gt;0,Tabela8[[#This Row],[Total Exercício]]/Tabela8[[#This Row],[Lucro p/Ação]],0))</f>
        <v/>
      </c>
      <c r="M7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7" s="19" t="str">
        <f>IF(Tabela8[[#This Row],[Média Lucro p/Ação]]&lt;&gt;"",Tabela8[[#This Row],[Média Pago]]/Tabela8[[#This Row],[Média Lucro p/Ação]],"")</f>
        <v/>
      </c>
      <c r="P7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7" s="134">
        <f>SUMPRODUCT(N(Tabela1[Código]=Tabela8[[#This Row],[Papel]]),Tabela1[Fechamento])</f>
        <v>45.7</v>
      </c>
      <c r="R737" s="7">
        <f>SUMPRODUCT(N(Tabela17[Código]=Tabela8[[#This Row],[Papel]]),Tabela17[Fechamento])</f>
        <v>0</v>
      </c>
      <c r="S737" s="7">
        <f>SUMPRODUCT(N(Tabela176[Código]=Tabela8[[#This Row],[Papel]]),Tabela176[Fechamento])</f>
        <v>0</v>
      </c>
      <c r="T737" s="7">
        <f>SUMPRODUCT(N(Tabela1768[Código]=Tabela8[[#This Row],[Papel]]),Tabela1768[Fechamento])</f>
        <v>0</v>
      </c>
      <c r="U737" s="7">
        <f>SUMPRODUCT(N(Tabela17683[Código]=Tabela8[[#This Row],[Papel]]),Tabela17683[Fechamento])</f>
        <v>0</v>
      </c>
      <c r="V737" s="7">
        <f>IF(MAX(Tabela8[[#This Row],[Cotação 1]]:Tabela8[[#This Row],[Cotação 5]])=0,"",MAX(Tabela8[[#This Row],[Cotação 1]]:Tabela8[[#This Row],[Cotação 5]]))</f>
        <v>45.7</v>
      </c>
      <c r="W7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7" s="19" t="str">
        <f>IF(AND([Ref]=5,[Cotação]&gt;0,[Cotação]&lt;&gt;""),[Total Exercício]/[Cotação],IF([Ref]&lt;4,0,""))</f>
        <v/>
      </c>
      <c r="Y737" s="17">
        <f>IF([Tipo]="div",1,0)</f>
        <v>1</v>
      </c>
      <c r="Z737" s="17">
        <f>IF([Tipo]="jcp",1,0)</f>
        <v>0</v>
      </c>
    </row>
    <row r="738" spans="1:26" hidden="1">
      <c r="A738" s="4" t="s">
        <v>12</v>
      </c>
      <c r="B738" s="138" t="s">
        <v>154</v>
      </c>
      <c r="C738" s="15">
        <v>4</v>
      </c>
      <c r="D738" s="14">
        <v>2010</v>
      </c>
      <c r="E738" s="14" t="s">
        <v>1468</v>
      </c>
      <c r="G738" s="145">
        <v>40451</v>
      </c>
      <c r="H738" s="46">
        <v>40476</v>
      </c>
      <c r="I738" s="133">
        <v>0.96345000000000003</v>
      </c>
      <c r="J738" s="134">
        <f>IF(Tabela8[[#This Row],[Tipo]]="jcp",Tabela8[[#This Row],[Provento p/Ação]]*85%,Tabela8[[#This Row],[Provento p/Ação]])</f>
        <v>0.96345000000000003</v>
      </c>
      <c r="K738" s="133" t="str">
        <f>IF([Lucro p/Ação]&lt;&gt;0,SUMPRODUCT(N([Papel]=Tabela8[[#This Row],[Papel]]),N([Exercício]=Tabela8[[#This Row],[Exercício]]),[Líquido p/Ação]),"")</f>
        <v/>
      </c>
      <c r="L738" s="42" t="str">
        <f>IF(Tabela8[[#This Row],[Lucro p/Ação]]="","",IF(Tabela8[[#This Row],[Lucro p/Ação]]&gt;0,Tabela8[[#This Row],[Total Exercício]]/Tabela8[[#This Row],[Lucro p/Ação]],0))</f>
        <v/>
      </c>
      <c r="M73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8" s="19" t="str">
        <f>IF(Tabela8[[#This Row],[Média Lucro p/Ação]]&lt;&gt;"",Tabela8[[#This Row],[Média Pago]]/Tabela8[[#This Row],[Média Lucro p/Ação]],"")</f>
        <v/>
      </c>
      <c r="P7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8" s="134">
        <f>SUMPRODUCT(N(Tabela1[Código]=Tabela8[[#This Row],[Papel]]),Tabela1[Fechamento])</f>
        <v>23.59</v>
      </c>
      <c r="R738" s="17">
        <f>SUMPRODUCT(N(Tabela17[Código]=Tabela8[[#This Row],[Papel]]),Tabela17[Fechamento])</f>
        <v>0</v>
      </c>
      <c r="S738" s="17">
        <f>SUMPRODUCT(N(Tabela176[Código]=Tabela8[[#This Row],[Papel]]),Tabela176[Fechamento])</f>
        <v>0</v>
      </c>
      <c r="T738" s="17">
        <f>SUMPRODUCT(N(Tabela1768[Código]=Tabela8[[#This Row],[Papel]]),Tabela1768[Fechamento])</f>
        <v>0</v>
      </c>
      <c r="U738" s="17">
        <f>SUMPRODUCT(N(Tabela17683[Código]=Tabela8[[#This Row],[Papel]]),Tabela17683[Fechamento])</f>
        <v>0</v>
      </c>
      <c r="V738" s="17">
        <f>IF(MAX(Tabela8[[#This Row],[Cotação 1]]:Tabela8[[#This Row],[Cotação 5]])=0,"",MAX(Tabela8[[#This Row],[Cotação 1]]:Tabela8[[#This Row],[Cotação 5]]))</f>
        <v>23.59</v>
      </c>
      <c r="W7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8" s="19" t="str">
        <f>IF(AND([Ref]=5,[Cotação]&gt;0,[Cotação]&lt;&gt;""),[Total Exercício]/[Cotação],IF([Ref]&lt;4,0,""))</f>
        <v/>
      </c>
      <c r="Y738" s="17">
        <f>IF([Tipo]="div",1,0)</f>
        <v>1</v>
      </c>
      <c r="Z738" s="17">
        <f>IF([Tipo]="jcp",1,0)</f>
        <v>0</v>
      </c>
    </row>
    <row r="739" spans="1:26" hidden="1">
      <c r="A739" s="4" t="s">
        <v>12</v>
      </c>
      <c r="B739" s="138" t="s">
        <v>153</v>
      </c>
      <c r="C739" s="15">
        <v>4</v>
      </c>
      <c r="D739" s="14">
        <v>2010</v>
      </c>
      <c r="E739" s="14" t="s">
        <v>1475</v>
      </c>
      <c r="G739" s="145">
        <v>40451</v>
      </c>
      <c r="H739" s="46">
        <v>40476</v>
      </c>
      <c r="I739" s="133">
        <v>0.41968</v>
      </c>
      <c r="J739" s="134">
        <f>IF(Tabela8[[#This Row],[Tipo]]="jcp",Tabela8[[#This Row],[Provento p/Ação]]*85%,Tabela8[[#This Row],[Provento p/Ação]])</f>
        <v>0.35672799999999999</v>
      </c>
      <c r="K739" s="133" t="str">
        <f>IF([Lucro p/Ação]&lt;&gt;0,SUMPRODUCT(N([Papel]=Tabela8[[#This Row],[Papel]]),N([Exercício]=Tabela8[[#This Row],[Exercício]]),[Líquido p/Ação]),"")</f>
        <v/>
      </c>
      <c r="L739" s="42" t="str">
        <f>IF(Tabela8[[#This Row],[Lucro p/Ação]]="","",IF(Tabela8[[#This Row],[Lucro p/Ação]]&gt;0,Tabela8[[#This Row],[Total Exercício]]/Tabela8[[#This Row],[Lucro p/Ação]],0))</f>
        <v/>
      </c>
      <c r="M7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3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39" s="19" t="str">
        <f>IF(Tabela8[[#This Row],[Média Lucro p/Ação]]&lt;&gt;"",Tabela8[[#This Row],[Média Pago]]/Tabela8[[#This Row],[Média Lucro p/Ação]],"")</f>
        <v/>
      </c>
      <c r="P7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39" s="134">
        <f>SUMPRODUCT(N(Tabela1[Código]=Tabela8[[#This Row],[Papel]]),Tabela1[Fechamento])</f>
        <v>45.7</v>
      </c>
      <c r="R739" s="7">
        <f>SUMPRODUCT(N(Tabela17[Código]=Tabela8[[#This Row],[Papel]]),Tabela17[Fechamento])</f>
        <v>0</v>
      </c>
      <c r="S739" s="7">
        <f>SUMPRODUCT(N(Tabela176[Código]=Tabela8[[#This Row],[Papel]]),Tabela176[Fechamento])</f>
        <v>0</v>
      </c>
      <c r="T739" s="7">
        <f>SUMPRODUCT(N(Tabela1768[Código]=Tabela8[[#This Row],[Papel]]),Tabela1768[Fechamento])</f>
        <v>0</v>
      </c>
      <c r="U739" s="7">
        <f>SUMPRODUCT(N(Tabela17683[Código]=Tabela8[[#This Row],[Papel]]),Tabela17683[Fechamento])</f>
        <v>0</v>
      </c>
      <c r="V739" s="7">
        <f>IF(MAX(Tabela8[[#This Row],[Cotação 1]]:Tabela8[[#This Row],[Cotação 5]])=0,"",MAX(Tabela8[[#This Row],[Cotação 1]]:Tabela8[[#This Row],[Cotação 5]]))</f>
        <v>45.7</v>
      </c>
      <c r="W7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39" s="19" t="str">
        <f>IF(AND([Ref]=5,[Cotação]&gt;0,[Cotação]&lt;&gt;""),[Total Exercício]/[Cotação],IF([Ref]&lt;4,0,""))</f>
        <v/>
      </c>
      <c r="Y739" s="17">
        <f>IF([Tipo]="div",1,0)</f>
        <v>0</v>
      </c>
      <c r="Z739" s="17">
        <f>IF([Tipo]="jcp",1,0)</f>
        <v>1</v>
      </c>
    </row>
    <row r="740" spans="1:26" hidden="1">
      <c r="A740" s="4" t="s">
        <v>12</v>
      </c>
      <c r="B740" s="138" t="s">
        <v>154</v>
      </c>
      <c r="C740" s="15">
        <v>4</v>
      </c>
      <c r="D740" s="14">
        <v>2010</v>
      </c>
      <c r="E740" s="14" t="s">
        <v>1475</v>
      </c>
      <c r="G740" s="145">
        <v>40451</v>
      </c>
      <c r="H740" s="46">
        <v>40476</v>
      </c>
      <c r="I740" s="133">
        <v>0.41968</v>
      </c>
      <c r="J740" s="134">
        <f>IF(Tabela8[[#This Row],[Tipo]]="jcp",Tabela8[[#This Row],[Provento p/Ação]]*85%,Tabela8[[#This Row],[Provento p/Ação]])</f>
        <v>0.35672799999999999</v>
      </c>
      <c r="K740" s="133" t="str">
        <f>IF([Lucro p/Ação]&lt;&gt;0,SUMPRODUCT(N([Papel]=Tabela8[[#This Row],[Papel]]),N([Exercício]=Tabela8[[#This Row],[Exercício]]),[Líquido p/Ação]),"")</f>
        <v/>
      </c>
      <c r="L740" s="42" t="str">
        <f>IF(Tabela8[[#This Row],[Lucro p/Ação]]="","",IF(Tabela8[[#This Row],[Lucro p/Ação]]&gt;0,Tabela8[[#This Row],[Total Exercício]]/Tabela8[[#This Row],[Lucro p/Ação]],0))</f>
        <v/>
      </c>
      <c r="M7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0" s="19" t="str">
        <f>IF(Tabela8[[#This Row],[Média Lucro p/Ação]]&lt;&gt;"",Tabela8[[#This Row],[Média Pago]]/Tabela8[[#This Row],[Média Lucro p/Ação]],"")</f>
        <v/>
      </c>
      <c r="P7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0" s="134">
        <f>SUMPRODUCT(N(Tabela1[Código]=Tabela8[[#This Row],[Papel]]),Tabela1[Fechamento])</f>
        <v>23.59</v>
      </c>
      <c r="R740" s="17">
        <f>SUMPRODUCT(N(Tabela17[Código]=Tabela8[[#This Row],[Papel]]),Tabela17[Fechamento])</f>
        <v>0</v>
      </c>
      <c r="S740" s="17">
        <f>SUMPRODUCT(N(Tabela176[Código]=Tabela8[[#This Row],[Papel]]),Tabela176[Fechamento])</f>
        <v>0</v>
      </c>
      <c r="T740" s="17">
        <f>SUMPRODUCT(N(Tabela1768[Código]=Tabela8[[#This Row],[Papel]]),Tabela1768[Fechamento])</f>
        <v>0</v>
      </c>
      <c r="U740" s="17">
        <f>SUMPRODUCT(N(Tabela17683[Código]=Tabela8[[#This Row],[Papel]]),Tabela17683[Fechamento])</f>
        <v>0</v>
      </c>
      <c r="V740" s="17">
        <f>IF(MAX(Tabela8[[#This Row],[Cotação 1]]:Tabela8[[#This Row],[Cotação 5]])=0,"",MAX(Tabela8[[#This Row],[Cotação 1]]:Tabela8[[#This Row],[Cotação 5]]))</f>
        <v>23.59</v>
      </c>
      <c r="W7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0" s="19" t="str">
        <f>IF(AND([Ref]=5,[Cotação]&gt;0,[Cotação]&lt;&gt;""),[Total Exercício]/[Cotação],IF([Ref]&lt;4,0,""))</f>
        <v/>
      </c>
      <c r="Y740" s="17">
        <f>IF([Tipo]="div",1,0)</f>
        <v>0</v>
      </c>
      <c r="Z740" s="17">
        <f>IF([Tipo]="jcp",1,0)</f>
        <v>1</v>
      </c>
    </row>
    <row r="741" spans="1:26" hidden="1">
      <c r="A741" s="4" t="s">
        <v>12</v>
      </c>
      <c r="B741" s="138" t="s">
        <v>153</v>
      </c>
      <c r="C741" s="15">
        <v>4</v>
      </c>
      <c r="D741" s="14">
        <v>2010</v>
      </c>
      <c r="E741" s="14" t="s">
        <v>1468</v>
      </c>
      <c r="G741" s="145">
        <v>40529</v>
      </c>
      <c r="H741" s="46">
        <v>40571</v>
      </c>
      <c r="I741" s="133">
        <v>0.73814999999999997</v>
      </c>
      <c r="J741" s="134">
        <f>IF(Tabela8[[#This Row],[Tipo]]="jcp",Tabela8[[#This Row],[Provento p/Ação]]*85%,Tabela8[[#This Row],[Provento p/Ação]])</f>
        <v>0.73814999999999997</v>
      </c>
      <c r="K741" s="133" t="str">
        <f>IF([Lucro p/Ação]&lt;&gt;0,SUMPRODUCT(N([Papel]=Tabela8[[#This Row],[Papel]]),N([Exercício]=Tabela8[[#This Row],[Exercício]]),[Líquido p/Ação]),"")</f>
        <v/>
      </c>
      <c r="L741" s="42" t="str">
        <f>IF(Tabela8[[#This Row],[Lucro p/Ação]]="","",IF(Tabela8[[#This Row],[Lucro p/Ação]]&gt;0,Tabela8[[#This Row],[Total Exercício]]/Tabela8[[#This Row],[Lucro p/Ação]],0))</f>
        <v/>
      </c>
      <c r="M74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1" s="19" t="str">
        <f>IF(Tabela8[[#This Row],[Média Lucro p/Ação]]&lt;&gt;"",Tabela8[[#This Row],[Média Pago]]/Tabela8[[#This Row],[Média Lucro p/Ação]],"")</f>
        <v/>
      </c>
      <c r="P7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1" s="134">
        <f>SUMPRODUCT(N(Tabela1[Código]=Tabela8[[#This Row],[Papel]]),Tabela1[Fechamento])</f>
        <v>45.7</v>
      </c>
      <c r="R741" s="7">
        <f>SUMPRODUCT(N(Tabela17[Código]=Tabela8[[#This Row],[Papel]]),Tabela17[Fechamento])</f>
        <v>0</v>
      </c>
      <c r="S741" s="7">
        <f>SUMPRODUCT(N(Tabela176[Código]=Tabela8[[#This Row],[Papel]]),Tabela176[Fechamento])</f>
        <v>0</v>
      </c>
      <c r="T741" s="7">
        <f>SUMPRODUCT(N(Tabela1768[Código]=Tabela8[[#This Row],[Papel]]),Tabela1768[Fechamento])</f>
        <v>0</v>
      </c>
      <c r="U741" s="7">
        <f>SUMPRODUCT(N(Tabela17683[Código]=Tabela8[[#This Row],[Papel]]),Tabela17683[Fechamento])</f>
        <v>0</v>
      </c>
      <c r="V741" s="7">
        <f>IF(MAX(Tabela8[[#This Row],[Cotação 1]]:Tabela8[[#This Row],[Cotação 5]])=0,"",MAX(Tabela8[[#This Row],[Cotação 1]]:Tabela8[[#This Row],[Cotação 5]]))</f>
        <v>45.7</v>
      </c>
      <c r="W7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1" s="19" t="str">
        <f>IF(AND([Ref]=5,[Cotação]&gt;0,[Cotação]&lt;&gt;""),[Total Exercício]/[Cotação],IF([Ref]&lt;4,0,""))</f>
        <v/>
      </c>
      <c r="Y741" s="17">
        <f>IF([Tipo]="div",1,0)</f>
        <v>1</v>
      </c>
      <c r="Z741" s="17">
        <f>IF([Tipo]="jcp",1,0)</f>
        <v>0</v>
      </c>
    </row>
    <row r="742" spans="1:26" hidden="1">
      <c r="A742" s="4" t="s">
        <v>12</v>
      </c>
      <c r="B742" s="138" t="s">
        <v>154</v>
      </c>
      <c r="C742" s="15">
        <v>4</v>
      </c>
      <c r="D742" s="14">
        <v>2010</v>
      </c>
      <c r="E742" s="14" t="s">
        <v>1468</v>
      </c>
      <c r="G742" s="145">
        <v>40529</v>
      </c>
      <c r="H742" s="46">
        <v>40571</v>
      </c>
      <c r="I742" s="133">
        <v>0.73814999999999997</v>
      </c>
      <c r="J742" s="134">
        <f>IF(Tabela8[[#This Row],[Tipo]]="jcp",Tabela8[[#This Row],[Provento p/Ação]]*85%,Tabela8[[#This Row],[Provento p/Ação]])</f>
        <v>0.73814999999999997</v>
      </c>
      <c r="K742" s="133" t="str">
        <f>IF([Lucro p/Ação]&lt;&gt;0,SUMPRODUCT(N([Papel]=Tabela8[[#This Row],[Papel]]),N([Exercício]=Tabela8[[#This Row],[Exercício]]),[Líquido p/Ação]),"")</f>
        <v/>
      </c>
      <c r="L742" s="42" t="str">
        <f>IF(Tabela8[[#This Row],[Lucro p/Ação]]="","",IF(Tabela8[[#This Row],[Lucro p/Ação]]&gt;0,Tabela8[[#This Row],[Total Exercício]]/Tabela8[[#This Row],[Lucro p/Ação]],0))</f>
        <v/>
      </c>
      <c r="M74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2" s="19" t="str">
        <f>IF(Tabela8[[#This Row],[Média Lucro p/Ação]]&lt;&gt;"",Tabela8[[#This Row],[Média Pago]]/Tabela8[[#This Row],[Média Lucro p/Ação]],"")</f>
        <v/>
      </c>
      <c r="P7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2" s="134">
        <f>SUMPRODUCT(N(Tabela1[Código]=Tabela8[[#This Row],[Papel]]),Tabela1[Fechamento])</f>
        <v>23.59</v>
      </c>
      <c r="R742" s="17">
        <f>SUMPRODUCT(N(Tabela17[Código]=Tabela8[[#This Row],[Papel]]),Tabela17[Fechamento])</f>
        <v>0</v>
      </c>
      <c r="S742" s="17">
        <f>SUMPRODUCT(N(Tabela176[Código]=Tabela8[[#This Row],[Papel]]),Tabela176[Fechamento])</f>
        <v>0</v>
      </c>
      <c r="T742" s="17">
        <f>SUMPRODUCT(N(Tabela1768[Código]=Tabela8[[#This Row],[Papel]]),Tabela1768[Fechamento])</f>
        <v>0</v>
      </c>
      <c r="U742" s="17">
        <f>SUMPRODUCT(N(Tabela17683[Código]=Tabela8[[#This Row],[Papel]]),Tabela17683[Fechamento])</f>
        <v>0</v>
      </c>
      <c r="V742" s="17">
        <f>IF(MAX(Tabela8[[#This Row],[Cotação 1]]:Tabela8[[#This Row],[Cotação 5]])=0,"",MAX(Tabela8[[#This Row],[Cotação 1]]:Tabela8[[#This Row],[Cotação 5]]))</f>
        <v>23.59</v>
      </c>
      <c r="W7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2" s="19" t="str">
        <f>IF(AND([Ref]=5,[Cotação]&gt;0,[Cotação]&lt;&gt;""),[Total Exercício]/[Cotação],IF([Ref]&lt;4,0,""))</f>
        <v/>
      </c>
      <c r="Y742" s="17">
        <f>IF([Tipo]="div",1,0)</f>
        <v>1</v>
      </c>
      <c r="Z742" s="17">
        <f>IF([Tipo]="jcp",1,0)</f>
        <v>0</v>
      </c>
    </row>
    <row r="743" spans="1:26" hidden="1">
      <c r="A743" s="4" t="s">
        <v>12</v>
      </c>
      <c r="B743" s="138" t="s">
        <v>153</v>
      </c>
      <c r="C743" s="15">
        <v>5</v>
      </c>
      <c r="D743" s="14">
        <v>2010</v>
      </c>
      <c r="E743" s="14" t="s">
        <v>1475</v>
      </c>
      <c r="F743" s="133">
        <v>5.2372100000000001</v>
      </c>
      <c r="G743" s="145">
        <v>40529</v>
      </c>
      <c r="H743" s="46">
        <v>40571</v>
      </c>
      <c r="I743" s="133">
        <v>0.41510999999999998</v>
      </c>
      <c r="J743" s="134">
        <f>IF(Tabela8[[#This Row],[Tipo]]="jcp",Tabela8[[#This Row],[Provento p/Ação]]*85%,Tabela8[[#This Row],[Provento p/Ação]])</f>
        <v>0.35284349999999998</v>
      </c>
      <c r="K743" s="133">
        <f>IF([Lucro p/Ação]&lt;&gt;0,SUMPRODUCT(N([Papel]=Tabela8[[#This Row],[Papel]]),N([Exercício]=Tabela8[[#This Row],[Exercício]]),[Líquido p/Ação]),"")</f>
        <v>4.3949139999999991</v>
      </c>
      <c r="L743" s="42">
        <f>IF(Tabela8[[#This Row],[Lucro p/Ação]]="","",IF(Tabela8[[#This Row],[Lucro p/Ação]]&gt;0,Tabela8[[#This Row],[Total Exercício]]/Tabela8[[#This Row],[Lucro p/Ação]],0))</f>
        <v>0.83917085623834042</v>
      </c>
      <c r="M74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5.2372100000000001</v>
      </c>
      <c r="N74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4.3949139999999991</v>
      </c>
      <c r="O743" s="19">
        <f>IF(Tabela8[[#This Row],[Média Lucro p/Ação]]&lt;&gt;"",Tabela8[[#This Row],[Média Pago]]/Tabela8[[#This Row],[Média Lucro p/Ação]],"")</f>
        <v>0.83917085623834042</v>
      </c>
      <c r="P7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3" s="134">
        <f>SUMPRODUCT(N(Tabela1[Código]=Tabela8[[#This Row],[Papel]]),Tabela1[Fechamento])</f>
        <v>45.7</v>
      </c>
      <c r="R743" s="7">
        <f>SUMPRODUCT(N(Tabela17[Código]=Tabela8[[#This Row],[Papel]]),Tabela17[Fechamento])</f>
        <v>0</v>
      </c>
      <c r="S743" s="7">
        <f>SUMPRODUCT(N(Tabela176[Código]=Tabela8[[#This Row],[Papel]]),Tabela176[Fechamento])</f>
        <v>0</v>
      </c>
      <c r="T743" s="7">
        <f>SUMPRODUCT(N(Tabela1768[Código]=Tabela8[[#This Row],[Papel]]),Tabela1768[Fechamento])</f>
        <v>0</v>
      </c>
      <c r="U743" s="7">
        <f>SUMPRODUCT(N(Tabela17683[Código]=Tabela8[[#This Row],[Papel]]),Tabela17683[Fechamento])</f>
        <v>0</v>
      </c>
      <c r="V743" s="7">
        <f>IF(MAX(Tabela8[[#This Row],[Cotação 1]]:Tabela8[[#This Row],[Cotação 5]])=0,"",MAX(Tabela8[[#This Row],[Cotação 1]]:Tabela8[[#This Row],[Cotação 5]]))</f>
        <v>45.7</v>
      </c>
      <c r="W7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3" s="19">
        <f>IF(AND([Ref]=5,[Cotação]&gt;0,[Cotação]&lt;&gt;""),[Total Exercício]/[Cotação],IF([Ref]&lt;4,0,""))</f>
        <v>9.6168796498905876E-2</v>
      </c>
      <c r="Y743" s="17">
        <f>IF([Tipo]="div",1,0)</f>
        <v>0</v>
      </c>
      <c r="Z743" s="17">
        <f>IF([Tipo]="jcp",1,0)</f>
        <v>1</v>
      </c>
    </row>
    <row r="744" spans="1:26" hidden="1">
      <c r="A744" s="4" t="s">
        <v>12</v>
      </c>
      <c r="B744" s="138" t="s">
        <v>154</v>
      </c>
      <c r="C744" s="15">
        <v>5</v>
      </c>
      <c r="D744" s="14">
        <v>2010</v>
      </c>
      <c r="E744" s="14" t="s">
        <v>1475</v>
      </c>
      <c r="F744" s="133">
        <v>5.2372100000000001</v>
      </c>
      <c r="G744" s="145">
        <v>40529</v>
      </c>
      <c r="H744" s="46">
        <v>40571</v>
      </c>
      <c r="I744" s="133">
        <v>0.41510999999999998</v>
      </c>
      <c r="J744" s="134">
        <f>IF(Tabela8[[#This Row],[Tipo]]="jcp",Tabela8[[#This Row],[Provento p/Ação]]*85%,Tabela8[[#This Row],[Provento p/Ação]])</f>
        <v>0.35284349999999998</v>
      </c>
      <c r="K744" s="133">
        <f>IF([Lucro p/Ação]&lt;&gt;0,SUMPRODUCT(N([Papel]=Tabela8[[#This Row],[Papel]]),N([Exercício]=Tabela8[[#This Row],[Exercício]]),[Líquido p/Ação]),"")</f>
        <v>4.3949139999999991</v>
      </c>
      <c r="L744" s="42">
        <f>IF(Tabela8[[#This Row],[Lucro p/Ação]]="","",IF(Tabela8[[#This Row],[Lucro p/Ação]]&gt;0,Tabela8[[#This Row],[Total Exercício]]/Tabela8[[#This Row],[Lucro p/Ação]],0))</f>
        <v>0.83917085623834042</v>
      </c>
      <c r="M74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5.2372100000000001</v>
      </c>
      <c r="N74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4.3949139999999991</v>
      </c>
      <c r="O744" s="19">
        <f>IF(Tabela8[[#This Row],[Média Lucro p/Ação]]&lt;&gt;"",Tabela8[[#This Row],[Média Pago]]/Tabela8[[#This Row],[Média Lucro p/Ação]],"")</f>
        <v>0.83917085623834042</v>
      </c>
      <c r="P7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4" s="134">
        <f>SUMPRODUCT(N(Tabela1[Código]=Tabela8[[#This Row],[Papel]]),Tabela1[Fechamento])</f>
        <v>23.59</v>
      </c>
      <c r="R744" s="17">
        <f>SUMPRODUCT(N(Tabela17[Código]=Tabela8[[#This Row],[Papel]]),Tabela17[Fechamento])</f>
        <v>0</v>
      </c>
      <c r="S744" s="17">
        <f>SUMPRODUCT(N(Tabela176[Código]=Tabela8[[#This Row],[Papel]]),Tabela176[Fechamento])</f>
        <v>0</v>
      </c>
      <c r="T744" s="17">
        <f>SUMPRODUCT(N(Tabela1768[Código]=Tabela8[[#This Row],[Papel]]),Tabela1768[Fechamento])</f>
        <v>0</v>
      </c>
      <c r="U744" s="17">
        <f>SUMPRODUCT(N(Tabela17683[Código]=Tabela8[[#This Row],[Papel]]),Tabela17683[Fechamento])</f>
        <v>0</v>
      </c>
      <c r="V744" s="17">
        <f>IF(MAX(Tabela8[[#This Row],[Cotação 1]]:Tabela8[[#This Row],[Cotação 5]])=0,"",MAX(Tabela8[[#This Row],[Cotação 1]]:Tabela8[[#This Row],[Cotação 5]]))</f>
        <v>23.59</v>
      </c>
      <c r="W7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4" s="19">
        <f>IF(AND([Ref]=5,[Cotação]&gt;0,[Cotação]&lt;&gt;""),[Total Exercício]/[Cotação],IF([Ref]&lt;4,0,""))</f>
        <v>0.186304111911827</v>
      </c>
      <c r="Y744" s="17">
        <f>IF([Tipo]="div",1,0)</f>
        <v>0</v>
      </c>
      <c r="Z744" s="17">
        <f>IF([Tipo]="jcp",1,0)</f>
        <v>1</v>
      </c>
    </row>
    <row r="745" spans="1:26" hidden="1">
      <c r="A745" s="4" t="s">
        <v>12</v>
      </c>
      <c r="B745" s="138" t="s">
        <v>153</v>
      </c>
      <c r="C745" s="15">
        <v>4</v>
      </c>
      <c r="D745" s="14">
        <v>2011</v>
      </c>
      <c r="E745" s="14" t="s">
        <v>1475</v>
      </c>
      <c r="G745" s="145">
        <v>40633</v>
      </c>
      <c r="H745" s="46">
        <v>40662</v>
      </c>
      <c r="I745" s="133">
        <v>0.43267</v>
      </c>
      <c r="J745" s="134">
        <f>IF(Tabela8[[#This Row],[Tipo]]="jcp",Tabela8[[#This Row],[Provento p/Ação]]*85%,Tabela8[[#This Row],[Provento p/Ação]])</f>
        <v>0.36776949999999997</v>
      </c>
      <c r="K745" s="133" t="str">
        <f>IF([Lucro p/Ação]&lt;&gt;0,SUMPRODUCT(N([Papel]=Tabela8[[#This Row],[Papel]]),N([Exercício]=Tabela8[[#This Row],[Exercício]]),[Líquido p/Ação]),"")</f>
        <v/>
      </c>
      <c r="L745" s="42" t="str">
        <f>IF(Tabela8[[#This Row],[Lucro p/Ação]]="","",IF(Tabela8[[#This Row],[Lucro p/Ação]]&gt;0,Tabela8[[#This Row],[Total Exercício]]/Tabela8[[#This Row],[Lucro p/Ação]],0))</f>
        <v/>
      </c>
      <c r="M7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5" s="19" t="str">
        <f>IF(Tabela8[[#This Row],[Média Lucro p/Ação]]&lt;&gt;"",Tabela8[[#This Row],[Média Pago]]/Tabela8[[#This Row],[Média Lucro p/Ação]],"")</f>
        <v/>
      </c>
      <c r="P7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5" s="134">
        <f>SUMPRODUCT(N(Tabela1[Código]=Tabela8[[#This Row],[Papel]]),Tabela1[Fechamento])</f>
        <v>45.7</v>
      </c>
      <c r="R745" s="7">
        <f>SUMPRODUCT(N(Tabela17[Código]=Tabela8[[#This Row],[Papel]]),Tabela17[Fechamento])</f>
        <v>0</v>
      </c>
      <c r="S745" s="7">
        <f>SUMPRODUCT(N(Tabela176[Código]=Tabela8[[#This Row],[Papel]]),Tabela176[Fechamento])</f>
        <v>0</v>
      </c>
      <c r="T745" s="7">
        <f>SUMPRODUCT(N(Tabela1768[Código]=Tabela8[[#This Row],[Papel]]),Tabela1768[Fechamento])</f>
        <v>0</v>
      </c>
      <c r="U745" s="7">
        <f>SUMPRODUCT(N(Tabela17683[Código]=Tabela8[[#This Row],[Papel]]),Tabela17683[Fechamento])</f>
        <v>0</v>
      </c>
      <c r="V745" s="7">
        <f>IF(MAX(Tabela8[[#This Row],[Cotação 1]]:Tabela8[[#This Row],[Cotação 5]])=0,"",MAX(Tabela8[[#This Row],[Cotação 1]]:Tabela8[[#This Row],[Cotação 5]]))</f>
        <v>45.7</v>
      </c>
      <c r="W7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5" s="19" t="str">
        <f>IF(AND([Ref]=5,[Cotação]&gt;0,[Cotação]&lt;&gt;""),[Total Exercício]/[Cotação],IF([Ref]&lt;4,0,""))</f>
        <v/>
      </c>
      <c r="Y745" s="17">
        <f>IF([Tipo]="div",1,0)</f>
        <v>0</v>
      </c>
      <c r="Z745" s="17">
        <f>IF([Tipo]="jcp",1,0)</f>
        <v>1</v>
      </c>
    </row>
    <row r="746" spans="1:26" hidden="1">
      <c r="A746" s="4" t="s">
        <v>12</v>
      </c>
      <c r="B746" s="138" t="s">
        <v>154</v>
      </c>
      <c r="C746" s="15">
        <v>4</v>
      </c>
      <c r="D746" s="14">
        <v>2011</v>
      </c>
      <c r="E746" s="14" t="s">
        <v>1475</v>
      </c>
      <c r="G746" s="145">
        <v>40633</v>
      </c>
      <c r="H746" s="46">
        <v>40662</v>
      </c>
      <c r="I746" s="133">
        <v>0.43267</v>
      </c>
      <c r="J746" s="134">
        <f>IF(Tabela8[[#This Row],[Tipo]]="jcp",Tabela8[[#This Row],[Provento p/Ação]]*85%,Tabela8[[#This Row],[Provento p/Ação]])</f>
        <v>0.36776949999999997</v>
      </c>
      <c r="K746" s="133" t="str">
        <f>IF([Lucro p/Ação]&lt;&gt;0,SUMPRODUCT(N([Papel]=Tabela8[[#This Row],[Papel]]),N([Exercício]=Tabela8[[#This Row],[Exercício]]),[Líquido p/Ação]),"")</f>
        <v/>
      </c>
      <c r="L746" s="42" t="str">
        <f>IF(Tabela8[[#This Row],[Lucro p/Ação]]="","",IF(Tabela8[[#This Row],[Lucro p/Ação]]&gt;0,Tabela8[[#This Row],[Total Exercício]]/Tabela8[[#This Row],[Lucro p/Ação]],0))</f>
        <v/>
      </c>
      <c r="M7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6" s="19" t="str">
        <f>IF(Tabela8[[#This Row],[Média Lucro p/Ação]]&lt;&gt;"",Tabela8[[#This Row],[Média Pago]]/Tabela8[[#This Row],[Média Lucro p/Ação]],"")</f>
        <v/>
      </c>
      <c r="P7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6" s="134">
        <f>SUMPRODUCT(N(Tabela1[Código]=Tabela8[[#This Row],[Papel]]),Tabela1[Fechamento])</f>
        <v>23.59</v>
      </c>
      <c r="R746" s="7">
        <f>SUMPRODUCT(N(Tabela17[Código]=Tabela8[[#This Row],[Papel]]),Tabela17[Fechamento])</f>
        <v>0</v>
      </c>
      <c r="S746" s="7">
        <f>SUMPRODUCT(N(Tabela176[Código]=Tabela8[[#This Row],[Papel]]),Tabela176[Fechamento])</f>
        <v>0</v>
      </c>
      <c r="T746" s="7">
        <f>SUMPRODUCT(N(Tabela1768[Código]=Tabela8[[#This Row],[Papel]]),Tabela1768[Fechamento])</f>
        <v>0</v>
      </c>
      <c r="U746" s="7">
        <f>SUMPRODUCT(N(Tabela17683[Código]=Tabela8[[#This Row],[Papel]]),Tabela17683[Fechamento])</f>
        <v>0</v>
      </c>
      <c r="V746" s="7">
        <f>IF(MAX(Tabela8[[#This Row],[Cotação 1]]:Tabela8[[#This Row],[Cotação 5]])=0,"",MAX(Tabela8[[#This Row],[Cotação 1]]:Tabela8[[#This Row],[Cotação 5]]))</f>
        <v>23.59</v>
      </c>
      <c r="W7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6" s="19" t="str">
        <f>IF(AND([Ref]=5,[Cotação]&gt;0,[Cotação]&lt;&gt;""),[Total Exercício]/[Cotação],IF([Ref]&lt;4,0,""))</f>
        <v/>
      </c>
      <c r="Y746" s="17">
        <f>IF([Tipo]="div",1,0)</f>
        <v>0</v>
      </c>
      <c r="Z746" s="17">
        <f>IF([Tipo]="jcp",1,0)</f>
        <v>1</v>
      </c>
    </row>
    <row r="747" spans="1:26" hidden="1">
      <c r="A747" s="4" t="s">
        <v>12</v>
      </c>
      <c r="B747" s="138" t="s">
        <v>153</v>
      </c>
      <c r="C747" s="15">
        <v>4</v>
      </c>
      <c r="D747" s="14">
        <v>2011</v>
      </c>
      <c r="E747" s="14" t="s">
        <v>1468</v>
      </c>
      <c r="G747" s="145">
        <v>40724</v>
      </c>
      <c r="H747" s="46">
        <v>40752</v>
      </c>
      <c r="I747" s="133">
        <v>1.0572699999999999</v>
      </c>
      <c r="J747" s="134">
        <f>IF(Tabela8[[#This Row],[Tipo]]="jcp",Tabela8[[#This Row],[Provento p/Ação]]*85%,Tabela8[[#This Row],[Provento p/Ação]])</f>
        <v>1.0572699999999999</v>
      </c>
      <c r="K747" s="133" t="str">
        <f>IF([Lucro p/Ação]&lt;&gt;0,SUMPRODUCT(N([Papel]=Tabela8[[#This Row],[Papel]]),N([Exercício]=Tabela8[[#This Row],[Exercício]]),[Líquido p/Ação]),"")</f>
        <v/>
      </c>
      <c r="L747" s="42" t="str">
        <f>IF(Tabela8[[#This Row],[Lucro p/Ação]]="","",IF(Tabela8[[#This Row],[Lucro p/Ação]]&gt;0,Tabela8[[#This Row],[Total Exercício]]/Tabela8[[#This Row],[Lucro p/Ação]],0))</f>
        <v/>
      </c>
      <c r="M7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7" s="19" t="str">
        <f>IF(Tabela8[[#This Row],[Média Lucro p/Ação]]&lt;&gt;"",Tabela8[[#This Row],[Média Pago]]/Tabela8[[#This Row],[Média Lucro p/Ação]],"")</f>
        <v/>
      </c>
      <c r="P7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7" s="134">
        <f>SUMPRODUCT(N(Tabela1[Código]=Tabela8[[#This Row],[Papel]]),Tabela1[Fechamento])</f>
        <v>45.7</v>
      </c>
      <c r="R747" s="7">
        <f>SUMPRODUCT(N(Tabela17[Código]=Tabela8[[#This Row],[Papel]]),Tabela17[Fechamento])</f>
        <v>0</v>
      </c>
      <c r="S747" s="7">
        <f>SUMPRODUCT(N(Tabela176[Código]=Tabela8[[#This Row],[Papel]]),Tabela176[Fechamento])</f>
        <v>0</v>
      </c>
      <c r="T747" s="7">
        <f>SUMPRODUCT(N(Tabela1768[Código]=Tabela8[[#This Row],[Papel]]),Tabela1768[Fechamento])</f>
        <v>0</v>
      </c>
      <c r="U747" s="7">
        <f>SUMPRODUCT(N(Tabela17683[Código]=Tabela8[[#This Row],[Papel]]),Tabela17683[Fechamento])</f>
        <v>0</v>
      </c>
      <c r="V747" s="7">
        <f>IF(MAX(Tabela8[[#This Row],[Cotação 1]]:Tabela8[[#This Row],[Cotação 5]])=0,"",MAX(Tabela8[[#This Row],[Cotação 1]]:Tabela8[[#This Row],[Cotação 5]]))</f>
        <v>45.7</v>
      </c>
      <c r="W7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7" s="19" t="str">
        <f>IF(AND([Ref]=5,[Cotação]&gt;0,[Cotação]&lt;&gt;""),[Total Exercício]/[Cotação],IF([Ref]&lt;4,0,""))</f>
        <v/>
      </c>
      <c r="Y747" s="17">
        <f>IF([Tipo]="div",1,0)</f>
        <v>1</v>
      </c>
      <c r="Z747" s="17">
        <f>IF([Tipo]="jcp",1,0)</f>
        <v>0</v>
      </c>
    </row>
    <row r="748" spans="1:26" hidden="1">
      <c r="A748" s="4" t="s">
        <v>12</v>
      </c>
      <c r="B748" s="138" t="s">
        <v>154</v>
      </c>
      <c r="C748" s="15">
        <v>4</v>
      </c>
      <c r="D748" s="14">
        <v>2011</v>
      </c>
      <c r="E748" s="14" t="s">
        <v>1468</v>
      </c>
      <c r="G748" s="145">
        <v>40724</v>
      </c>
      <c r="H748" s="46">
        <v>40752</v>
      </c>
      <c r="I748" s="133">
        <v>1.0572699999999999</v>
      </c>
      <c r="J748" s="134">
        <f>IF(Tabela8[[#This Row],[Tipo]]="jcp",Tabela8[[#This Row],[Provento p/Ação]]*85%,Tabela8[[#This Row],[Provento p/Ação]])</f>
        <v>1.0572699999999999</v>
      </c>
      <c r="K748" s="133" t="str">
        <f>IF([Lucro p/Ação]&lt;&gt;0,SUMPRODUCT(N([Papel]=Tabela8[[#This Row],[Papel]]),N([Exercício]=Tabela8[[#This Row],[Exercício]]),[Líquido p/Ação]),"")</f>
        <v/>
      </c>
      <c r="L748" s="42" t="str">
        <f>IF(Tabela8[[#This Row],[Lucro p/Ação]]="","",IF(Tabela8[[#This Row],[Lucro p/Ação]]&gt;0,Tabela8[[#This Row],[Total Exercício]]/Tabela8[[#This Row],[Lucro p/Ação]],0))</f>
        <v/>
      </c>
      <c r="M74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8" s="19" t="str">
        <f>IF(Tabela8[[#This Row],[Média Lucro p/Ação]]&lt;&gt;"",Tabela8[[#This Row],[Média Pago]]/Tabela8[[#This Row],[Média Lucro p/Ação]],"")</f>
        <v/>
      </c>
      <c r="P7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8" s="134">
        <f>SUMPRODUCT(N(Tabela1[Código]=Tabela8[[#This Row],[Papel]]),Tabela1[Fechamento])</f>
        <v>23.59</v>
      </c>
      <c r="R748" s="7">
        <f>SUMPRODUCT(N(Tabela17[Código]=Tabela8[[#This Row],[Papel]]),Tabela17[Fechamento])</f>
        <v>0</v>
      </c>
      <c r="S748" s="7">
        <f>SUMPRODUCT(N(Tabela176[Código]=Tabela8[[#This Row],[Papel]]),Tabela176[Fechamento])</f>
        <v>0</v>
      </c>
      <c r="T748" s="7">
        <f>SUMPRODUCT(N(Tabela1768[Código]=Tabela8[[#This Row],[Papel]]),Tabela1768[Fechamento])</f>
        <v>0</v>
      </c>
      <c r="U748" s="7">
        <f>SUMPRODUCT(N(Tabela17683[Código]=Tabela8[[#This Row],[Papel]]),Tabela17683[Fechamento])</f>
        <v>0</v>
      </c>
      <c r="V748" s="7">
        <f>IF(MAX(Tabela8[[#This Row],[Cotação 1]]:Tabela8[[#This Row],[Cotação 5]])=0,"",MAX(Tabela8[[#This Row],[Cotação 1]]:Tabela8[[#This Row],[Cotação 5]]))</f>
        <v>23.59</v>
      </c>
      <c r="W7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8" s="19" t="str">
        <f>IF(AND([Ref]=5,[Cotação]&gt;0,[Cotação]&lt;&gt;""),[Total Exercício]/[Cotação],IF([Ref]&lt;4,0,""))</f>
        <v/>
      </c>
      <c r="Y748" s="17">
        <f>IF([Tipo]="div",1,0)</f>
        <v>1</v>
      </c>
      <c r="Z748" s="17">
        <f>IF([Tipo]="jcp",1,0)</f>
        <v>0</v>
      </c>
    </row>
    <row r="749" spans="1:26" hidden="1">
      <c r="A749" s="4" t="s">
        <v>12</v>
      </c>
      <c r="B749" s="138" t="s">
        <v>153</v>
      </c>
      <c r="C749" s="15">
        <v>4</v>
      </c>
      <c r="D749" s="14">
        <v>2011</v>
      </c>
      <c r="E749" s="14" t="s">
        <v>1475</v>
      </c>
      <c r="G749" s="145">
        <v>40724</v>
      </c>
      <c r="H749" s="46">
        <v>40752</v>
      </c>
      <c r="I749" s="133">
        <v>0.41797000000000001</v>
      </c>
      <c r="J749" s="134">
        <f>IF(Tabela8[[#This Row],[Tipo]]="jcp",Tabela8[[#This Row],[Provento p/Ação]]*85%,Tabela8[[#This Row],[Provento p/Ação]])</f>
        <v>0.35527449999999999</v>
      </c>
      <c r="K749" s="133" t="str">
        <f>IF([Lucro p/Ação]&lt;&gt;0,SUMPRODUCT(N([Papel]=Tabela8[[#This Row],[Papel]]),N([Exercício]=Tabela8[[#This Row],[Exercício]]),[Líquido p/Ação]),"")</f>
        <v/>
      </c>
      <c r="L749" s="42" t="str">
        <f>IF(Tabela8[[#This Row],[Lucro p/Ação]]="","",IF(Tabela8[[#This Row],[Lucro p/Ação]]&gt;0,Tabela8[[#This Row],[Total Exercício]]/Tabela8[[#This Row],[Lucro p/Ação]],0))</f>
        <v/>
      </c>
      <c r="M74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4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49" s="19" t="str">
        <f>IF(Tabela8[[#This Row],[Média Lucro p/Ação]]&lt;&gt;"",Tabela8[[#This Row],[Média Pago]]/Tabela8[[#This Row],[Média Lucro p/Ação]],"")</f>
        <v/>
      </c>
      <c r="P7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49" s="134">
        <f>SUMPRODUCT(N(Tabela1[Código]=Tabela8[[#This Row],[Papel]]),Tabela1[Fechamento])</f>
        <v>45.7</v>
      </c>
      <c r="R749" s="7">
        <f>SUMPRODUCT(N(Tabela17[Código]=Tabela8[[#This Row],[Papel]]),Tabela17[Fechamento])</f>
        <v>0</v>
      </c>
      <c r="S749" s="7">
        <f>SUMPRODUCT(N(Tabela176[Código]=Tabela8[[#This Row],[Papel]]),Tabela176[Fechamento])</f>
        <v>0</v>
      </c>
      <c r="T749" s="7">
        <f>SUMPRODUCT(N(Tabela1768[Código]=Tabela8[[#This Row],[Papel]]),Tabela1768[Fechamento])</f>
        <v>0</v>
      </c>
      <c r="U749" s="7">
        <f>SUMPRODUCT(N(Tabela17683[Código]=Tabela8[[#This Row],[Papel]]),Tabela17683[Fechamento])</f>
        <v>0</v>
      </c>
      <c r="V749" s="7">
        <f>IF(MAX(Tabela8[[#This Row],[Cotação 1]]:Tabela8[[#This Row],[Cotação 5]])=0,"",MAX(Tabela8[[#This Row],[Cotação 1]]:Tabela8[[#This Row],[Cotação 5]]))</f>
        <v>45.7</v>
      </c>
      <c r="W7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49" s="19" t="str">
        <f>IF(AND([Ref]=5,[Cotação]&gt;0,[Cotação]&lt;&gt;""),[Total Exercício]/[Cotação],IF([Ref]&lt;4,0,""))</f>
        <v/>
      </c>
      <c r="Y749" s="17">
        <f>IF([Tipo]="div",1,0)</f>
        <v>0</v>
      </c>
      <c r="Z749" s="17">
        <f>IF([Tipo]="jcp",1,0)</f>
        <v>1</v>
      </c>
    </row>
    <row r="750" spans="1:26" hidden="1">
      <c r="A750" s="4" t="s">
        <v>12</v>
      </c>
      <c r="B750" s="138" t="s">
        <v>154</v>
      </c>
      <c r="C750" s="15">
        <v>4</v>
      </c>
      <c r="D750" s="14">
        <v>2011</v>
      </c>
      <c r="E750" s="14" t="s">
        <v>1475</v>
      </c>
      <c r="G750" s="145">
        <v>40724</v>
      </c>
      <c r="H750" s="46">
        <v>40752</v>
      </c>
      <c r="I750" s="133">
        <v>0.41797000000000001</v>
      </c>
      <c r="J750" s="134">
        <f>IF(Tabela8[[#This Row],[Tipo]]="jcp",Tabela8[[#This Row],[Provento p/Ação]]*85%,Tabela8[[#This Row],[Provento p/Ação]])</f>
        <v>0.35527449999999999</v>
      </c>
      <c r="K750" s="133" t="str">
        <f>IF([Lucro p/Ação]&lt;&gt;0,SUMPRODUCT(N([Papel]=Tabela8[[#This Row],[Papel]]),N([Exercício]=Tabela8[[#This Row],[Exercício]]),[Líquido p/Ação]),"")</f>
        <v/>
      </c>
      <c r="L750" s="42" t="str">
        <f>IF(Tabela8[[#This Row],[Lucro p/Ação]]="","",IF(Tabela8[[#This Row],[Lucro p/Ação]]&gt;0,Tabela8[[#This Row],[Total Exercício]]/Tabela8[[#This Row],[Lucro p/Ação]],0))</f>
        <v/>
      </c>
      <c r="M75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0" s="19" t="str">
        <f>IF(Tabela8[[#This Row],[Média Lucro p/Ação]]&lt;&gt;"",Tabela8[[#This Row],[Média Pago]]/Tabela8[[#This Row],[Média Lucro p/Ação]],"")</f>
        <v/>
      </c>
      <c r="P7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0" s="134">
        <f>SUMPRODUCT(N(Tabela1[Código]=Tabela8[[#This Row],[Papel]]),Tabela1[Fechamento])</f>
        <v>23.59</v>
      </c>
      <c r="R750" s="7">
        <f>SUMPRODUCT(N(Tabela17[Código]=Tabela8[[#This Row],[Papel]]),Tabela17[Fechamento])</f>
        <v>0</v>
      </c>
      <c r="S750" s="7">
        <f>SUMPRODUCT(N(Tabela176[Código]=Tabela8[[#This Row],[Papel]]),Tabela176[Fechamento])</f>
        <v>0</v>
      </c>
      <c r="T750" s="7">
        <f>SUMPRODUCT(N(Tabela1768[Código]=Tabela8[[#This Row],[Papel]]),Tabela1768[Fechamento])</f>
        <v>0</v>
      </c>
      <c r="U750" s="7">
        <f>SUMPRODUCT(N(Tabela17683[Código]=Tabela8[[#This Row],[Papel]]),Tabela17683[Fechamento])</f>
        <v>0</v>
      </c>
      <c r="V750" s="7">
        <f>IF(MAX(Tabela8[[#This Row],[Cotação 1]]:Tabela8[[#This Row],[Cotação 5]])=0,"",MAX(Tabela8[[#This Row],[Cotação 1]]:Tabela8[[#This Row],[Cotação 5]]))</f>
        <v>23.59</v>
      </c>
      <c r="W7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0" s="19" t="str">
        <f>IF(AND([Ref]=5,[Cotação]&gt;0,[Cotação]&lt;&gt;""),[Total Exercício]/[Cotação],IF([Ref]&lt;4,0,""))</f>
        <v/>
      </c>
      <c r="Y750" s="17">
        <f>IF([Tipo]="div",1,0)</f>
        <v>0</v>
      </c>
      <c r="Z750" s="17">
        <f>IF([Tipo]="jcp",1,0)</f>
        <v>1</v>
      </c>
    </row>
    <row r="751" spans="1:26" hidden="1">
      <c r="A751" s="4" t="s">
        <v>12</v>
      </c>
      <c r="B751" s="138" t="s">
        <v>153</v>
      </c>
      <c r="C751" s="15">
        <v>4</v>
      </c>
      <c r="D751" s="14">
        <v>2011</v>
      </c>
      <c r="E751" s="14" t="s">
        <v>1468</v>
      </c>
      <c r="G751" s="145">
        <v>40816</v>
      </c>
      <c r="H751" s="46">
        <v>40847</v>
      </c>
      <c r="I751" s="133">
        <v>1.1379300000000001</v>
      </c>
      <c r="J751" s="134">
        <f>IF(Tabela8[[#This Row],[Tipo]]="jcp",Tabela8[[#This Row],[Provento p/Ação]]*85%,Tabela8[[#This Row],[Provento p/Ação]])</f>
        <v>1.1379300000000001</v>
      </c>
      <c r="K751" s="133" t="str">
        <f>IF([Lucro p/Ação]&lt;&gt;0,SUMPRODUCT(N([Papel]=Tabela8[[#This Row],[Papel]]),N([Exercício]=Tabela8[[#This Row],[Exercício]]),[Líquido p/Ação]),"")</f>
        <v/>
      </c>
      <c r="L751" s="42" t="str">
        <f>IF(Tabela8[[#This Row],[Lucro p/Ação]]="","",IF(Tabela8[[#This Row],[Lucro p/Ação]]&gt;0,Tabela8[[#This Row],[Total Exercício]]/Tabela8[[#This Row],[Lucro p/Ação]],0))</f>
        <v/>
      </c>
      <c r="M7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1" s="19" t="str">
        <f>IF(Tabela8[[#This Row],[Média Lucro p/Ação]]&lt;&gt;"",Tabela8[[#This Row],[Média Pago]]/Tabela8[[#This Row],[Média Lucro p/Ação]],"")</f>
        <v/>
      </c>
      <c r="P7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1" s="134">
        <f>SUMPRODUCT(N(Tabela1[Código]=Tabela8[[#This Row],[Papel]]),Tabela1[Fechamento])</f>
        <v>45.7</v>
      </c>
      <c r="R751" s="7">
        <f>SUMPRODUCT(N(Tabela17[Código]=Tabela8[[#This Row],[Papel]]),Tabela17[Fechamento])</f>
        <v>0</v>
      </c>
      <c r="S751" s="7">
        <f>SUMPRODUCT(N(Tabela176[Código]=Tabela8[[#This Row],[Papel]]),Tabela176[Fechamento])</f>
        <v>0</v>
      </c>
      <c r="T751" s="7">
        <f>SUMPRODUCT(N(Tabela1768[Código]=Tabela8[[#This Row],[Papel]]),Tabela1768[Fechamento])</f>
        <v>0</v>
      </c>
      <c r="U751" s="7">
        <f>SUMPRODUCT(N(Tabela17683[Código]=Tabela8[[#This Row],[Papel]]),Tabela17683[Fechamento])</f>
        <v>0</v>
      </c>
      <c r="V751" s="7">
        <f>IF(MAX(Tabela8[[#This Row],[Cotação 1]]:Tabela8[[#This Row],[Cotação 5]])=0,"",MAX(Tabela8[[#This Row],[Cotação 1]]:Tabela8[[#This Row],[Cotação 5]]))</f>
        <v>45.7</v>
      </c>
      <c r="W7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1" s="19" t="str">
        <f>IF(AND([Ref]=5,[Cotação]&gt;0,[Cotação]&lt;&gt;""),[Total Exercício]/[Cotação],IF([Ref]&lt;4,0,""))</f>
        <v/>
      </c>
      <c r="Y751" s="17">
        <f>IF([Tipo]="div",1,0)</f>
        <v>1</v>
      </c>
      <c r="Z751" s="17">
        <f>IF([Tipo]="jcp",1,0)</f>
        <v>0</v>
      </c>
    </row>
    <row r="752" spans="1:26" hidden="1">
      <c r="A752" s="4" t="s">
        <v>12</v>
      </c>
      <c r="B752" s="138" t="s">
        <v>154</v>
      </c>
      <c r="C752" s="15">
        <v>4</v>
      </c>
      <c r="D752" s="14">
        <v>2011</v>
      </c>
      <c r="E752" s="14" t="s">
        <v>1468</v>
      </c>
      <c r="G752" s="145">
        <v>40816</v>
      </c>
      <c r="H752" s="46">
        <v>40847</v>
      </c>
      <c r="I752" s="133">
        <v>1.1379300000000001</v>
      </c>
      <c r="J752" s="134">
        <f>IF(Tabela8[[#This Row],[Tipo]]="jcp",Tabela8[[#This Row],[Provento p/Ação]]*85%,Tabela8[[#This Row],[Provento p/Ação]])</f>
        <v>1.1379300000000001</v>
      </c>
      <c r="K752" s="133" t="str">
        <f>IF([Lucro p/Ação]&lt;&gt;0,SUMPRODUCT(N([Papel]=Tabela8[[#This Row],[Papel]]),N([Exercício]=Tabela8[[#This Row],[Exercício]]),[Líquido p/Ação]),"")</f>
        <v/>
      </c>
      <c r="L752" s="42" t="str">
        <f>IF(Tabela8[[#This Row],[Lucro p/Ação]]="","",IF(Tabela8[[#This Row],[Lucro p/Ação]]&gt;0,Tabela8[[#This Row],[Total Exercício]]/Tabela8[[#This Row],[Lucro p/Ação]],0))</f>
        <v/>
      </c>
      <c r="M75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2" s="19" t="str">
        <f>IF(Tabela8[[#This Row],[Média Lucro p/Ação]]&lt;&gt;"",Tabela8[[#This Row],[Média Pago]]/Tabela8[[#This Row],[Média Lucro p/Ação]],"")</f>
        <v/>
      </c>
      <c r="P7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2" s="134">
        <f>SUMPRODUCT(N(Tabela1[Código]=Tabela8[[#This Row],[Papel]]),Tabela1[Fechamento])</f>
        <v>23.59</v>
      </c>
      <c r="R752" s="7">
        <f>SUMPRODUCT(N(Tabela17[Código]=Tabela8[[#This Row],[Papel]]),Tabela17[Fechamento])</f>
        <v>0</v>
      </c>
      <c r="S752" s="7">
        <f>SUMPRODUCT(N(Tabela176[Código]=Tabela8[[#This Row],[Papel]]),Tabela176[Fechamento])</f>
        <v>0</v>
      </c>
      <c r="T752" s="7">
        <f>SUMPRODUCT(N(Tabela1768[Código]=Tabela8[[#This Row],[Papel]]),Tabela1768[Fechamento])</f>
        <v>0</v>
      </c>
      <c r="U752" s="7">
        <f>SUMPRODUCT(N(Tabela17683[Código]=Tabela8[[#This Row],[Papel]]),Tabela17683[Fechamento])</f>
        <v>0</v>
      </c>
      <c r="V752" s="7">
        <f>IF(MAX(Tabela8[[#This Row],[Cotação 1]]:Tabela8[[#This Row],[Cotação 5]])=0,"",MAX(Tabela8[[#This Row],[Cotação 1]]:Tabela8[[#This Row],[Cotação 5]]))</f>
        <v>23.59</v>
      </c>
      <c r="W7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2" s="19" t="str">
        <f>IF(AND([Ref]=5,[Cotação]&gt;0,[Cotação]&lt;&gt;""),[Total Exercício]/[Cotação],IF([Ref]&lt;4,0,""))</f>
        <v/>
      </c>
      <c r="Y752" s="17">
        <f>IF([Tipo]="div",1,0)</f>
        <v>1</v>
      </c>
      <c r="Z752" s="17">
        <f>IF([Tipo]="jcp",1,0)</f>
        <v>0</v>
      </c>
    </row>
    <row r="753" spans="1:26" hidden="1">
      <c r="A753" s="4" t="s">
        <v>12</v>
      </c>
      <c r="B753" s="138" t="s">
        <v>153</v>
      </c>
      <c r="C753" s="15">
        <v>4</v>
      </c>
      <c r="D753" s="14">
        <v>2011</v>
      </c>
      <c r="E753" s="14" t="s">
        <v>1475</v>
      </c>
      <c r="G753" s="145">
        <v>40816</v>
      </c>
      <c r="H753" s="46">
        <v>40847</v>
      </c>
      <c r="I753" s="133">
        <v>0.40327000000000002</v>
      </c>
      <c r="J753" s="134">
        <f>IF(Tabela8[[#This Row],[Tipo]]="jcp",Tabela8[[#This Row],[Provento p/Ação]]*85%,Tabela8[[#This Row],[Provento p/Ação]])</f>
        <v>0.34277950000000001</v>
      </c>
      <c r="K753" s="133" t="str">
        <f>IF([Lucro p/Ação]&lt;&gt;0,SUMPRODUCT(N([Papel]=Tabela8[[#This Row],[Papel]]),N([Exercício]=Tabela8[[#This Row],[Exercício]]),[Líquido p/Ação]),"")</f>
        <v/>
      </c>
      <c r="L753" s="42" t="str">
        <f>IF(Tabela8[[#This Row],[Lucro p/Ação]]="","",IF(Tabela8[[#This Row],[Lucro p/Ação]]&gt;0,Tabela8[[#This Row],[Total Exercício]]/Tabela8[[#This Row],[Lucro p/Ação]],0))</f>
        <v/>
      </c>
      <c r="M75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3" s="19" t="str">
        <f>IF(Tabela8[[#This Row],[Média Lucro p/Ação]]&lt;&gt;"",Tabela8[[#This Row],[Média Pago]]/Tabela8[[#This Row],[Média Lucro p/Ação]],"")</f>
        <v/>
      </c>
      <c r="P7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3" s="134">
        <f>SUMPRODUCT(N(Tabela1[Código]=Tabela8[[#This Row],[Papel]]),Tabela1[Fechamento])</f>
        <v>45.7</v>
      </c>
      <c r="R753" s="7">
        <f>SUMPRODUCT(N(Tabela17[Código]=Tabela8[[#This Row],[Papel]]),Tabela17[Fechamento])</f>
        <v>0</v>
      </c>
      <c r="S753" s="7">
        <f>SUMPRODUCT(N(Tabela176[Código]=Tabela8[[#This Row],[Papel]]),Tabela176[Fechamento])</f>
        <v>0</v>
      </c>
      <c r="T753" s="7">
        <f>SUMPRODUCT(N(Tabela1768[Código]=Tabela8[[#This Row],[Papel]]),Tabela1768[Fechamento])</f>
        <v>0</v>
      </c>
      <c r="U753" s="7">
        <f>SUMPRODUCT(N(Tabela17683[Código]=Tabela8[[#This Row],[Papel]]),Tabela17683[Fechamento])</f>
        <v>0</v>
      </c>
      <c r="V753" s="7">
        <f>IF(MAX(Tabela8[[#This Row],[Cotação 1]]:Tabela8[[#This Row],[Cotação 5]])=0,"",MAX(Tabela8[[#This Row],[Cotação 1]]:Tabela8[[#This Row],[Cotação 5]]))</f>
        <v>45.7</v>
      </c>
      <c r="W7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3" s="19" t="str">
        <f>IF(AND([Ref]=5,[Cotação]&gt;0,[Cotação]&lt;&gt;""),[Total Exercício]/[Cotação],IF([Ref]&lt;4,0,""))</f>
        <v/>
      </c>
      <c r="Y753" s="17">
        <f>IF([Tipo]="div",1,0)</f>
        <v>0</v>
      </c>
      <c r="Z753" s="17">
        <f>IF([Tipo]="jcp",1,0)</f>
        <v>1</v>
      </c>
    </row>
    <row r="754" spans="1:26" hidden="1">
      <c r="A754" s="4" t="s">
        <v>12</v>
      </c>
      <c r="B754" s="138" t="s">
        <v>154</v>
      </c>
      <c r="C754" s="15">
        <v>4</v>
      </c>
      <c r="D754" s="14">
        <v>2011</v>
      </c>
      <c r="E754" s="14" t="s">
        <v>1475</v>
      </c>
      <c r="G754" s="145">
        <v>40816</v>
      </c>
      <c r="H754" s="46">
        <v>40847</v>
      </c>
      <c r="I754" s="133">
        <v>0.40327000000000002</v>
      </c>
      <c r="J754" s="134">
        <f>IF(Tabela8[[#This Row],[Tipo]]="jcp",Tabela8[[#This Row],[Provento p/Ação]]*85%,Tabela8[[#This Row],[Provento p/Ação]])</f>
        <v>0.34277950000000001</v>
      </c>
      <c r="K754" s="133" t="str">
        <f>IF([Lucro p/Ação]&lt;&gt;0,SUMPRODUCT(N([Papel]=Tabela8[[#This Row],[Papel]]),N([Exercício]=Tabela8[[#This Row],[Exercício]]),[Líquido p/Ação]),"")</f>
        <v/>
      </c>
      <c r="L754" s="42" t="str">
        <f>IF(Tabela8[[#This Row],[Lucro p/Ação]]="","",IF(Tabela8[[#This Row],[Lucro p/Ação]]&gt;0,Tabela8[[#This Row],[Total Exercício]]/Tabela8[[#This Row],[Lucro p/Ação]],0))</f>
        <v/>
      </c>
      <c r="M7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4" s="19" t="str">
        <f>IF(Tabela8[[#This Row],[Média Lucro p/Ação]]&lt;&gt;"",Tabela8[[#This Row],[Média Pago]]/Tabela8[[#This Row],[Média Lucro p/Ação]],"")</f>
        <v/>
      </c>
      <c r="P7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4" s="134">
        <f>SUMPRODUCT(N(Tabela1[Código]=Tabela8[[#This Row],[Papel]]),Tabela1[Fechamento])</f>
        <v>23.59</v>
      </c>
      <c r="R754" s="7">
        <f>SUMPRODUCT(N(Tabela17[Código]=Tabela8[[#This Row],[Papel]]),Tabela17[Fechamento])</f>
        <v>0</v>
      </c>
      <c r="S754" s="7">
        <f>SUMPRODUCT(N(Tabela176[Código]=Tabela8[[#This Row],[Papel]]),Tabela176[Fechamento])</f>
        <v>0</v>
      </c>
      <c r="T754" s="7">
        <f>SUMPRODUCT(N(Tabela1768[Código]=Tabela8[[#This Row],[Papel]]),Tabela1768[Fechamento])</f>
        <v>0</v>
      </c>
      <c r="U754" s="7">
        <f>SUMPRODUCT(N(Tabela17683[Código]=Tabela8[[#This Row],[Papel]]),Tabela17683[Fechamento])</f>
        <v>0</v>
      </c>
      <c r="V754" s="7">
        <f>IF(MAX(Tabela8[[#This Row],[Cotação 1]]:Tabela8[[#This Row],[Cotação 5]])=0,"",MAX(Tabela8[[#This Row],[Cotação 1]]:Tabela8[[#This Row],[Cotação 5]]))</f>
        <v>23.59</v>
      </c>
      <c r="W7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4" s="19" t="str">
        <f>IF(AND([Ref]=5,[Cotação]&gt;0,[Cotação]&lt;&gt;""),[Total Exercício]/[Cotação],IF([Ref]&lt;4,0,""))</f>
        <v/>
      </c>
      <c r="Y754" s="17">
        <f>IF([Tipo]="div",1,0)</f>
        <v>0</v>
      </c>
      <c r="Z754" s="17">
        <f>IF([Tipo]="jcp",1,0)</f>
        <v>1</v>
      </c>
    </row>
    <row r="755" spans="1:26" hidden="1">
      <c r="A755" s="4" t="s">
        <v>12</v>
      </c>
      <c r="B755" s="138" t="s">
        <v>153</v>
      </c>
      <c r="C755" s="15">
        <v>4</v>
      </c>
      <c r="D755" s="14">
        <v>2011</v>
      </c>
      <c r="E755" s="14" t="s">
        <v>1468</v>
      </c>
      <c r="G755" s="145">
        <v>40898</v>
      </c>
      <c r="H755" s="46">
        <v>40938</v>
      </c>
      <c r="I755" s="133">
        <v>1.11253</v>
      </c>
      <c r="J755" s="134">
        <f>IF(Tabela8[[#This Row],[Tipo]]="jcp",Tabela8[[#This Row],[Provento p/Ação]]*85%,Tabela8[[#This Row],[Provento p/Ação]])</f>
        <v>1.11253</v>
      </c>
      <c r="K755" s="133" t="str">
        <f>IF([Lucro p/Ação]&lt;&gt;0,SUMPRODUCT(N([Papel]=Tabela8[[#This Row],[Papel]]),N([Exercício]=Tabela8[[#This Row],[Exercício]]),[Líquido p/Ação]),"")</f>
        <v/>
      </c>
      <c r="L755" s="42" t="str">
        <f>IF(Tabela8[[#This Row],[Lucro p/Ação]]="","",IF(Tabela8[[#This Row],[Lucro p/Ação]]&gt;0,Tabela8[[#This Row],[Total Exercício]]/Tabela8[[#This Row],[Lucro p/Ação]],0))</f>
        <v/>
      </c>
      <c r="M75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5" s="19" t="str">
        <f>IF(Tabela8[[#This Row],[Média Lucro p/Ação]]&lt;&gt;"",Tabela8[[#This Row],[Média Pago]]/Tabela8[[#This Row],[Média Lucro p/Ação]],"")</f>
        <v/>
      </c>
      <c r="P7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5" s="134">
        <f>SUMPRODUCT(N(Tabela1[Código]=Tabela8[[#This Row],[Papel]]),Tabela1[Fechamento])</f>
        <v>45.7</v>
      </c>
      <c r="R755" s="7">
        <f>SUMPRODUCT(N(Tabela17[Código]=Tabela8[[#This Row],[Papel]]),Tabela17[Fechamento])</f>
        <v>0</v>
      </c>
      <c r="S755" s="7">
        <f>SUMPRODUCT(N(Tabela176[Código]=Tabela8[[#This Row],[Papel]]),Tabela176[Fechamento])</f>
        <v>0</v>
      </c>
      <c r="T755" s="7">
        <f>SUMPRODUCT(N(Tabela1768[Código]=Tabela8[[#This Row],[Papel]]),Tabela1768[Fechamento])</f>
        <v>0</v>
      </c>
      <c r="U755" s="7">
        <f>SUMPRODUCT(N(Tabela17683[Código]=Tabela8[[#This Row],[Papel]]),Tabela17683[Fechamento])</f>
        <v>0</v>
      </c>
      <c r="V755" s="7">
        <f>IF(MAX(Tabela8[[#This Row],[Cotação 1]]:Tabela8[[#This Row],[Cotação 5]])=0,"",MAX(Tabela8[[#This Row],[Cotação 1]]:Tabela8[[#This Row],[Cotação 5]]))</f>
        <v>45.7</v>
      </c>
      <c r="W7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5" s="19" t="str">
        <f>IF(AND([Ref]=5,[Cotação]&gt;0,[Cotação]&lt;&gt;""),[Total Exercício]/[Cotação],IF([Ref]&lt;4,0,""))</f>
        <v/>
      </c>
      <c r="Y755" s="17">
        <f>IF([Tipo]="div",1,0)</f>
        <v>1</v>
      </c>
      <c r="Z755" s="17">
        <f>IF([Tipo]="jcp",1,0)</f>
        <v>0</v>
      </c>
    </row>
    <row r="756" spans="1:26" hidden="1">
      <c r="A756" s="4" t="s">
        <v>12</v>
      </c>
      <c r="B756" s="138" t="s">
        <v>154</v>
      </c>
      <c r="C756" s="15">
        <v>4</v>
      </c>
      <c r="D756" s="14">
        <v>2011</v>
      </c>
      <c r="E756" s="14" t="s">
        <v>1468</v>
      </c>
      <c r="G756" s="145">
        <v>40898</v>
      </c>
      <c r="H756" s="46">
        <v>40938</v>
      </c>
      <c r="I756" s="133">
        <v>1.11253</v>
      </c>
      <c r="J756" s="134">
        <f>IF(Tabela8[[#This Row],[Tipo]]="jcp",Tabela8[[#This Row],[Provento p/Ação]]*85%,Tabela8[[#This Row],[Provento p/Ação]])</f>
        <v>1.11253</v>
      </c>
      <c r="K756" s="133" t="str">
        <f>IF([Lucro p/Ação]&lt;&gt;0,SUMPRODUCT(N([Papel]=Tabela8[[#This Row],[Papel]]),N([Exercício]=Tabela8[[#This Row],[Exercício]]),[Líquido p/Ação]),"")</f>
        <v/>
      </c>
      <c r="L756" s="42" t="str">
        <f>IF(Tabela8[[#This Row],[Lucro p/Ação]]="","",IF(Tabela8[[#This Row],[Lucro p/Ação]]&gt;0,Tabela8[[#This Row],[Total Exercício]]/Tabela8[[#This Row],[Lucro p/Ação]],0))</f>
        <v/>
      </c>
      <c r="M75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6" s="19" t="str">
        <f>IF(Tabela8[[#This Row],[Média Lucro p/Ação]]&lt;&gt;"",Tabela8[[#This Row],[Média Pago]]/Tabela8[[#This Row],[Média Lucro p/Ação]],"")</f>
        <v/>
      </c>
      <c r="P7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6" s="134">
        <f>SUMPRODUCT(N(Tabela1[Código]=Tabela8[[#This Row],[Papel]]),Tabela1[Fechamento])</f>
        <v>23.59</v>
      </c>
      <c r="R756" s="7">
        <f>SUMPRODUCT(N(Tabela17[Código]=Tabela8[[#This Row],[Papel]]),Tabela17[Fechamento])</f>
        <v>0</v>
      </c>
      <c r="S756" s="7">
        <f>SUMPRODUCT(N(Tabela176[Código]=Tabela8[[#This Row],[Papel]]),Tabela176[Fechamento])</f>
        <v>0</v>
      </c>
      <c r="T756" s="7">
        <f>SUMPRODUCT(N(Tabela1768[Código]=Tabela8[[#This Row],[Papel]]),Tabela1768[Fechamento])</f>
        <v>0</v>
      </c>
      <c r="U756" s="7">
        <f>SUMPRODUCT(N(Tabela17683[Código]=Tabela8[[#This Row],[Papel]]),Tabela17683[Fechamento])</f>
        <v>0</v>
      </c>
      <c r="V756" s="7">
        <f>IF(MAX(Tabela8[[#This Row],[Cotação 1]]:Tabela8[[#This Row],[Cotação 5]])=0,"",MAX(Tabela8[[#This Row],[Cotação 1]]:Tabela8[[#This Row],[Cotação 5]]))</f>
        <v>23.59</v>
      </c>
      <c r="W7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6" s="19" t="str">
        <f>IF(AND([Ref]=5,[Cotação]&gt;0,[Cotação]&lt;&gt;""),[Total Exercício]/[Cotação],IF([Ref]&lt;4,0,""))</f>
        <v/>
      </c>
      <c r="Y756" s="17">
        <f>IF([Tipo]="div",1,0)</f>
        <v>1</v>
      </c>
      <c r="Z756" s="17">
        <f>IF([Tipo]="jcp",1,0)</f>
        <v>0</v>
      </c>
    </row>
    <row r="757" spans="1:26" hidden="1">
      <c r="A757" s="4" t="s">
        <v>12</v>
      </c>
      <c r="B757" s="138" t="s">
        <v>153</v>
      </c>
      <c r="C757" s="15">
        <v>5</v>
      </c>
      <c r="D757" s="14">
        <v>2011</v>
      </c>
      <c r="E757" s="14" t="s">
        <v>1475</v>
      </c>
      <c r="F757" s="133">
        <v>5.9074299999999997</v>
      </c>
      <c r="G757" s="145">
        <v>40898</v>
      </c>
      <c r="H757" s="46">
        <v>40938</v>
      </c>
      <c r="I757" s="133">
        <v>0.42026000000000002</v>
      </c>
      <c r="J757" s="134">
        <f>IF(Tabela8[[#This Row],[Tipo]]="jcp",Tabela8[[#This Row],[Provento p/Ação]]*85%,Tabela8[[#This Row],[Provento p/Ação]])</f>
        <v>0.35722100000000001</v>
      </c>
      <c r="K757" s="133">
        <f>IF([Lucro p/Ação]&lt;&gt;0,SUMPRODUCT(N([Papel]=Tabela8[[#This Row],[Papel]]),N([Exercício]=Tabela8[[#This Row],[Exercício]]),[Líquido p/Ação]),"")</f>
        <v>4.7307744999999999</v>
      </c>
      <c r="L757" s="42">
        <f>IF(Tabela8[[#This Row],[Lucro p/Ação]]="","",IF(Tabela8[[#This Row],[Lucro p/Ação]]&gt;0,Tabela8[[#This Row],[Total Exercício]]/Tabela8[[#This Row],[Lucro p/Ação]],0))</f>
        <v>0.80081769906710698</v>
      </c>
      <c r="M75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5.5723199999999995</v>
      </c>
      <c r="N75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4.5628442499999995</v>
      </c>
      <c r="O757" s="19">
        <f>IF(Tabela8[[#This Row],[Média Lucro p/Ação]]&lt;&gt;"",Tabela8[[#This Row],[Média Pago]]/Tabela8[[#This Row],[Média Lucro p/Ação]],"")</f>
        <v>0.81884103030694577</v>
      </c>
      <c r="P7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7" s="134">
        <f>SUMPRODUCT(N(Tabela1[Código]=Tabela8[[#This Row],[Papel]]),Tabela1[Fechamento])</f>
        <v>45.7</v>
      </c>
      <c r="R757" s="7">
        <f>SUMPRODUCT(N(Tabela17[Código]=Tabela8[[#This Row],[Papel]]),Tabela17[Fechamento])</f>
        <v>0</v>
      </c>
      <c r="S757" s="7">
        <f>SUMPRODUCT(N(Tabela176[Código]=Tabela8[[#This Row],[Papel]]),Tabela176[Fechamento])</f>
        <v>0</v>
      </c>
      <c r="T757" s="7">
        <f>SUMPRODUCT(N(Tabela1768[Código]=Tabela8[[#This Row],[Papel]]),Tabela1768[Fechamento])</f>
        <v>0</v>
      </c>
      <c r="U757" s="7">
        <f>SUMPRODUCT(N(Tabela17683[Código]=Tabela8[[#This Row],[Papel]]),Tabela17683[Fechamento])</f>
        <v>0</v>
      </c>
      <c r="V757" s="7">
        <f>IF(MAX(Tabela8[[#This Row],[Cotação 1]]:Tabela8[[#This Row],[Cotação 5]])=0,"",MAX(Tabela8[[#This Row],[Cotação 1]]:Tabela8[[#This Row],[Cotação 5]]))</f>
        <v>45.7</v>
      </c>
      <c r="W7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7" s="19">
        <f>IF(AND([Ref]=5,[Cotação]&gt;0,[Cotação]&lt;&gt;""),[Total Exercício]/[Cotação],IF([Ref]&lt;4,0,""))</f>
        <v>0.10351804157549233</v>
      </c>
      <c r="Y757" s="17">
        <f>IF([Tipo]="div",1,0)</f>
        <v>0</v>
      </c>
      <c r="Z757" s="17">
        <f>IF([Tipo]="jcp",1,0)</f>
        <v>1</v>
      </c>
    </row>
    <row r="758" spans="1:26" hidden="1">
      <c r="A758" s="4" t="s">
        <v>12</v>
      </c>
      <c r="B758" s="138" t="s">
        <v>154</v>
      </c>
      <c r="C758" s="15">
        <v>5</v>
      </c>
      <c r="D758" s="14">
        <v>2011</v>
      </c>
      <c r="E758" s="14" t="s">
        <v>1475</v>
      </c>
      <c r="F758" s="133">
        <v>5.9074299999999997</v>
      </c>
      <c r="G758" s="145">
        <v>40898</v>
      </c>
      <c r="H758" s="46">
        <v>40938</v>
      </c>
      <c r="I758" s="133">
        <v>0.42026000000000002</v>
      </c>
      <c r="J758" s="134">
        <f>IF(Tabela8[[#This Row],[Tipo]]="jcp",Tabela8[[#This Row],[Provento p/Ação]]*85%,Tabela8[[#This Row],[Provento p/Ação]])</f>
        <v>0.35722100000000001</v>
      </c>
      <c r="K758" s="133">
        <f>IF([Lucro p/Ação]&lt;&gt;0,SUMPRODUCT(N([Papel]=Tabela8[[#This Row],[Papel]]),N([Exercício]=Tabela8[[#This Row],[Exercício]]),[Líquido p/Ação]),"")</f>
        <v>4.7307744999999999</v>
      </c>
      <c r="L758" s="42">
        <f>IF(Tabela8[[#This Row],[Lucro p/Ação]]="","",IF(Tabela8[[#This Row],[Lucro p/Ação]]&gt;0,Tabela8[[#This Row],[Total Exercício]]/Tabela8[[#This Row],[Lucro p/Ação]],0))</f>
        <v>0.80081769906710698</v>
      </c>
      <c r="M75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5.5723199999999995</v>
      </c>
      <c r="N75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4.5628442499999995</v>
      </c>
      <c r="O758" s="19">
        <f>IF(Tabela8[[#This Row],[Média Lucro p/Ação]]&lt;&gt;"",Tabela8[[#This Row],[Média Pago]]/Tabela8[[#This Row],[Média Lucro p/Ação]],"")</f>
        <v>0.81884103030694577</v>
      </c>
      <c r="P7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8" s="134">
        <f>SUMPRODUCT(N(Tabela1[Código]=Tabela8[[#This Row],[Papel]]),Tabela1[Fechamento])</f>
        <v>23.59</v>
      </c>
      <c r="R758" s="17">
        <f>SUMPRODUCT(N(Tabela17[Código]=Tabela8[[#This Row],[Papel]]),Tabela17[Fechamento])</f>
        <v>0</v>
      </c>
      <c r="S758" s="17">
        <f>SUMPRODUCT(N(Tabela176[Código]=Tabela8[[#This Row],[Papel]]),Tabela176[Fechamento])</f>
        <v>0</v>
      </c>
      <c r="T758" s="17">
        <f>SUMPRODUCT(N(Tabela1768[Código]=Tabela8[[#This Row],[Papel]]),Tabela1768[Fechamento])</f>
        <v>0</v>
      </c>
      <c r="U758" s="17">
        <f>SUMPRODUCT(N(Tabela17683[Código]=Tabela8[[#This Row],[Papel]]),Tabela17683[Fechamento])</f>
        <v>0</v>
      </c>
      <c r="V758" s="17">
        <f>IF(MAX(Tabela8[[#This Row],[Cotação 1]]:Tabela8[[#This Row],[Cotação 5]])=0,"",MAX(Tabela8[[#This Row],[Cotação 1]]:Tabela8[[#This Row],[Cotação 5]]))</f>
        <v>23.59</v>
      </c>
      <c r="W7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8" s="19">
        <f>IF(AND([Ref]=5,[Cotação]&gt;0,[Cotação]&lt;&gt;""),[Total Exercício]/[Cotação],IF([Ref]&lt;4,0,""))</f>
        <v>0.20054152183128443</v>
      </c>
      <c r="Y758" s="17">
        <f>IF([Tipo]="div",1,0)</f>
        <v>0</v>
      </c>
      <c r="Z758" s="17">
        <f>IF([Tipo]="jcp",1,0)</f>
        <v>1</v>
      </c>
    </row>
    <row r="759" spans="1:26" hidden="1">
      <c r="A759" s="4" t="s">
        <v>12</v>
      </c>
      <c r="B759" s="138" t="s">
        <v>153</v>
      </c>
      <c r="C759" s="15">
        <v>4</v>
      </c>
      <c r="D759" s="14">
        <v>2012</v>
      </c>
      <c r="E759" s="14" t="s">
        <v>1475</v>
      </c>
      <c r="G759" s="145">
        <v>40997</v>
      </c>
      <c r="H759" s="46">
        <v>41029</v>
      </c>
      <c r="I759" s="133">
        <v>0.41889999999999999</v>
      </c>
      <c r="J759" s="134">
        <f>IF(Tabela8[[#This Row],[Tipo]]="jcp",Tabela8[[#This Row],[Provento p/Ação]]*85%,Tabela8[[#This Row],[Provento p/Ação]])</f>
        <v>0.35606499999999996</v>
      </c>
      <c r="K759" s="133" t="str">
        <f>IF([Lucro p/Ação]&lt;&gt;0,SUMPRODUCT(N([Papel]=Tabela8[[#This Row],[Papel]]),N([Exercício]=Tabela8[[#This Row],[Exercício]]),[Líquido p/Ação]),"")</f>
        <v/>
      </c>
      <c r="L759" s="42" t="str">
        <f>IF(Tabela8[[#This Row],[Lucro p/Ação]]="","",IF(Tabela8[[#This Row],[Lucro p/Ação]]&gt;0,Tabela8[[#This Row],[Total Exercício]]/Tabela8[[#This Row],[Lucro p/Ação]],0))</f>
        <v/>
      </c>
      <c r="M7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5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59" s="19" t="str">
        <f>IF(Tabela8[[#This Row],[Média Lucro p/Ação]]&lt;&gt;"",Tabela8[[#This Row],[Média Pago]]/Tabela8[[#This Row],[Média Lucro p/Ação]],"")</f>
        <v/>
      </c>
      <c r="P7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59" s="134">
        <f>SUMPRODUCT(N(Tabela1[Código]=Tabela8[[#This Row],[Papel]]),Tabela1[Fechamento])</f>
        <v>45.7</v>
      </c>
      <c r="R759" s="7">
        <f>SUMPRODUCT(N(Tabela17[Código]=Tabela8[[#This Row],[Papel]]),Tabela17[Fechamento])</f>
        <v>0</v>
      </c>
      <c r="S759" s="7">
        <f>SUMPRODUCT(N(Tabela176[Código]=Tabela8[[#This Row],[Papel]]),Tabela176[Fechamento])</f>
        <v>0</v>
      </c>
      <c r="T759" s="7">
        <f>SUMPRODUCT(N(Tabela1768[Código]=Tabela8[[#This Row],[Papel]]),Tabela1768[Fechamento])</f>
        <v>0</v>
      </c>
      <c r="U759" s="7">
        <f>SUMPRODUCT(N(Tabela17683[Código]=Tabela8[[#This Row],[Papel]]),Tabela17683[Fechamento])</f>
        <v>0</v>
      </c>
      <c r="V759" s="7">
        <f>IF(MAX(Tabela8[[#This Row],[Cotação 1]]:Tabela8[[#This Row],[Cotação 5]])=0,"",MAX(Tabela8[[#This Row],[Cotação 1]]:Tabela8[[#This Row],[Cotação 5]]))</f>
        <v>45.7</v>
      </c>
      <c r="W7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59" s="19" t="str">
        <f>IF(AND([Ref]=5,[Cotação]&gt;0,[Cotação]&lt;&gt;""),[Total Exercício]/[Cotação],IF([Ref]&lt;4,0,""))</f>
        <v/>
      </c>
      <c r="Y759" s="17">
        <f>IF([Tipo]="div",1,0)</f>
        <v>0</v>
      </c>
      <c r="Z759" s="17">
        <f>IF([Tipo]="jcp",1,0)</f>
        <v>1</v>
      </c>
    </row>
    <row r="760" spans="1:26" hidden="1">
      <c r="A760" s="4" t="s">
        <v>12</v>
      </c>
      <c r="B760" s="138" t="s">
        <v>154</v>
      </c>
      <c r="C760" s="15">
        <v>4</v>
      </c>
      <c r="D760" s="14">
        <v>2012</v>
      </c>
      <c r="E760" s="14" t="s">
        <v>1475</v>
      </c>
      <c r="G760" s="145">
        <v>40997</v>
      </c>
      <c r="H760" s="46">
        <v>41029</v>
      </c>
      <c r="I760" s="133">
        <v>0.41889999999999999</v>
      </c>
      <c r="J760" s="134">
        <f>IF(Tabela8[[#This Row],[Tipo]]="jcp",Tabela8[[#This Row],[Provento p/Ação]]*85%,Tabela8[[#This Row],[Provento p/Ação]])</f>
        <v>0.35606499999999996</v>
      </c>
      <c r="K760" s="133" t="str">
        <f>IF([Lucro p/Ação]&lt;&gt;0,SUMPRODUCT(N([Papel]=Tabela8[[#This Row],[Papel]]),N([Exercício]=Tabela8[[#This Row],[Exercício]]),[Líquido p/Ação]),"")</f>
        <v/>
      </c>
      <c r="L760" s="42" t="str">
        <f>IF(Tabela8[[#This Row],[Lucro p/Ação]]="","",IF(Tabela8[[#This Row],[Lucro p/Ação]]&gt;0,Tabela8[[#This Row],[Total Exercício]]/Tabela8[[#This Row],[Lucro p/Ação]],0))</f>
        <v/>
      </c>
      <c r="M7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0" s="19" t="str">
        <f>IF(Tabela8[[#This Row],[Média Lucro p/Ação]]&lt;&gt;"",Tabela8[[#This Row],[Média Pago]]/Tabela8[[#This Row],[Média Lucro p/Ação]],"")</f>
        <v/>
      </c>
      <c r="P7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0" s="134">
        <f>SUMPRODUCT(N(Tabela1[Código]=Tabela8[[#This Row],[Papel]]),Tabela1[Fechamento])</f>
        <v>23.59</v>
      </c>
      <c r="R760" s="7">
        <f>SUMPRODUCT(N(Tabela17[Código]=Tabela8[[#This Row],[Papel]]),Tabela17[Fechamento])</f>
        <v>0</v>
      </c>
      <c r="S760" s="7">
        <f>SUMPRODUCT(N(Tabela176[Código]=Tabela8[[#This Row],[Papel]]),Tabela176[Fechamento])</f>
        <v>0</v>
      </c>
      <c r="T760" s="7">
        <f>SUMPRODUCT(N(Tabela1768[Código]=Tabela8[[#This Row],[Papel]]),Tabela1768[Fechamento])</f>
        <v>0</v>
      </c>
      <c r="U760" s="7">
        <f>SUMPRODUCT(N(Tabela17683[Código]=Tabela8[[#This Row],[Papel]]),Tabela17683[Fechamento])</f>
        <v>0</v>
      </c>
      <c r="V760" s="7">
        <f>IF(MAX(Tabela8[[#This Row],[Cotação 1]]:Tabela8[[#This Row],[Cotação 5]])=0,"",MAX(Tabela8[[#This Row],[Cotação 1]]:Tabela8[[#This Row],[Cotação 5]]))</f>
        <v>23.59</v>
      </c>
      <c r="W7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0" s="19" t="str">
        <f>IF(AND([Ref]=5,[Cotação]&gt;0,[Cotação]&lt;&gt;""),[Total Exercício]/[Cotação],IF([Ref]&lt;4,0,""))</f>
        <v/>
      </c>
      <c r="Y760" s="17">
        <f>IF([Tipo]="div",1,0)</f>
        <v>0</v>
      </c>
      <c r="Z760" s="17">
        <f>IF([Tipo]="jcp",1,0)</f>
        <v>1</v>
      </c>
    </row>
    <row r="761" spans="1:26" hidden="1">
      <c r="A761" s="4" t="s">
        <v>12</v>
      </c>
      <c r="B761" s="138" t="s">
        <v>153</v>
      </c>
      <c r="C761" s="15">
        <v>4</v>
      </c>
      <c r="D761" s="14">
        <v>2012</v>
      </c>
      <c r="E761" s="14" t="s">
        <v>1468</v>
      </c>
      <c r="G761" s="145">
        <v>40997</v>
      </c>
      <c r="H761" s="46">
        <v>41029</v>
      </c>
      <c r="I761" s="133">
        <v>0.32968999999999998</v>
      </c>
      <c r="J761" s="134">
        <f>IF(Tabela8[[#This Row],[Tipo]]="jcp",Tabela8[[#This Row],[Provento p/Ação]]*85%,Tabela8[[#This Row],[Provento p/Ação]])</f>
        <v>0.32968999999999998</v>
      </c>
      <c r="K761" s="133" t="str">
        <f>IF([Lucro p/Ação]&lt;&gt;0,SUMPRODUCT(N([Papel]=Tabela8[[#This Row],[Papel]]),N([Exercício]=Tabela8[[#This Row],[Exercício]]),[Líquido p/Ação]),"")</f>
        <v/>
      </c>
      <c r="L761" s="42" t="str">
        <f>IF(Tabela8[[#This Row],[Lucro p/Ação]]="","",IF(Tabela8[[#This Row],[Lucro p/Ação]]&gt;0,Tabela8[[#This Row],[Total Exercício]]/Tabela8[[#This Row],[Lucro p/Ação]],0))</f>
        <v/>
      </c>
      <c r="M7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1" s="19" t="str">
        <f>IF(Tabela8[[#This Row],[Média Lucro p/Ação]]&lt;&gt;"",Tabela8[[#This Row],[Média Pago]]/Tabela8[[#This Row],[Média Lucro p/Ação]],"")</f>
        <v/>
      </c>
      <c r="P7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1" s="134">
        <f>SUMPRODUCT(N(Tabela1[Código]=Tabela8[[#This Row],[Papel]]),Tabela1[Fechamento])</f>
        <v>45.7</v>
      </c>
      <c r="R761" s="7">
        <f>SUMPRODUCT(N(Tabela17[Código]=Tabela8[[#This Row],[Papel]]),Tabela17[Fechamento])</f>
        <v>0</v>
      </c>
      <c r="S761" s="7">
        <f>SUMPRODUCT(N(Tabela176[Código]=Tabela8[[#This Row],[Papel]]),Tabela176[Fechamento])</f>
        <v>0</v>
      </c>
      <c r="T761" s="7">
        <f>SUMPRODUCT(N(Tabela1768[Código]=Tabela8[[#This Row],[Papel]]),Tabela1768[Fechamento])</f>
        <v>0</v>
      </c>
      <c r="U761" s="7">
        <f>SUMPRODUCT(N(Tabela17683[Código]=Tabela8[[#This Row],[Papel]]),Tabela17683[Fechamento])</f>
        <v>0</v>
      </c>
      <c r="V761" s="7">
        <f>IF(MAX(Tabela8[[#This Row],[Cotação 1]]:Tabela8[[#This Row],[Cotação 5]])=0,"",MAX(Tabela8[[#This Row],[Cotação 1]]:Tabela8[[#This Row],[Cotação 5]]))</f>
        <v>45.7</v>
      </c>
      <c r="W7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1" s="19" t="str">
        <f>IF(AND([Ref]=5,[Cotação]&gt;0,[Cotação]&lt;&gt;""),[Total Exercício]/[Cotação],IF([Ref]&lt;4,0,""))</f>
        <v/>
      </c>
      <c r="Y761" s="17">
        <f>IF([Tipo]="div",1,0)</f>
        <v>1</v>
      </c>
      <c r="Z761" s="17">
        <f>IF([Tipo]="jcp",1,0)</f>
        <v>0</v>
      </c>
    </row>
    <row r="762" spans="1:26" hidden="1">
      <c r="A762" s="4" t="s">
        <v>12</v>
      </c>
      <c r="B762" s="138" t="s">
        <v>154</v>
      </c>
      <c r="C762" s="15">
        <v>4</v>
      </c>
      <c r="D762" s="14">
        <v>2012</v>
      </c>
      <c r="E762" s="14" t="s">
        <v>1468</v>
      </c>
      <c r="G762" s="145">
        <v>40997</v>
      </c>
      <c r="H762" s="46">
        <v>41029</v>
      </c>
      <c r="I762" s="133">
        <v>0.32968999999999998</v>
      </c>
      <c r="J762" s="134">
        <f>IF(Tabela8[[#This Row],[Tipo]]="jcp",Tabela8[[#This Row],[Provento p/Ação]]*85%,Tabela8[[#This Row],[Provento p/Ação]])</f>
        <v>0.32968999999999998</v>
      </c>
      <c r="K762" s="133" t="str">
        <f>IF([Lucro p/Ação]&lt;&gt;0,SUMPRODUCT(N([Papel]=Tabela8[[#This Row],[Papel]]),N([Exercício]=Tabela8[[#This Row],[Exercício]]),[Líquido p/Ação]),"")</f>
        <v/>
      </c>
      <c r="L762" s="42" t="str">
        <f>IF(Tabela8[[#This Row],[Lucro p/Ação]]="","",IF(Tabela8[[#This Row],[Lucro p/Ação]]&gt;0,Tabela8[[#This Row],[Total Exercício]]/Tabela8[[#This Row],[Lucro p/Ação]],0))</f>
        <v/>
      </c>
      <c r="M76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2" s="19" t="str">
        <f>IF(Tabela8[[#This Row],[Média Lucro p/Ação]]&lt;&gt;"",Tabela8[[#This Row],[Média Pago]]/Tabela8[[#This Row],[Média Lucro p/Ação]],"")</f>
        <v/>
      </c>
      <c r="P7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2" s="134">
        <f>SUMPRODUCT(N(Tabela1[Código]=Tabela8[[#This Row],[Papel]]),Tabela1[Fechamento])</f>
        <v>23.59</v>
      </c>
      <c r="R762" s="7">
        <f>SUMPRODUCT(N(Tabela17[Código]=Tabela8[[#This Row],[Papel]]),Tabela17[Fechamento])</f>
        <v>0</v>
      </c>
      <c r="S762" s="7">
        <f>SUMPRODUCT(N(Tabela176[Código]=Tabela8[[#This Row],[Papel]]),Tabela176[Fechamento])</f>
        <v>0</v>
      </c>
      <c r="T762" s="7">
        <f>SUMPRODUCT(N(Tabela1768[Código]=Tabela8[[#This Row],[Papel]]),Tabela1768[Fechamento])</f>
        <v>0</v>
      </c>
      <c r="U762" s="7">
        <f>SUMPRODUCT(N(Tabela17683[Código]=Tabela8[[#This Row],[Papel]]),Tabela17683[Fechamento])</f>
        <v>0</v>
      </c>
      <c r="V762" s="7">
        <f>IF(MAX(Tabela8[[#This Row],[Cotação 1]]:Tabela8[[#This Row],[Cotação 5]])=0,"",MAX(Tabela8[[#This Row],[Cotação 1]]:Tabela8[[#This Row],[Cotação 5]]))</f>
        <v>23.59</v>
      </c>
      <c r="W7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2" s="19" t="str">
        <f>IF(AND([Ref]=5,[Cotação]&gt;0,[Cotação]&lt;&gt;""),[Total Exercício]/[Cotação],IF([Ref]&lt;4,0,""))</f>
        <v/>
      </c>
      <c r="Y762" s="17">
        <f>IF([Tipo]="div",1,0)</f>
        <v>1</v>
      </c>
      <c r="Z762" s="17">
        <f>IF([Tipo]="jcp",1,0)</f>
        <v>0</v>
      </c>
    </row>
    <row r="763" spans="1:26" hidden="1">
      <c r="A763" s="4" t="s">
        <v>12</v>
      </c>
      <c r="B763" s="138" t="s">
        <v>153</v>
      </c>
      <c r="C763" s="15">
        <v>4</v>
      </c>
      <c r="D763" s="14">
        <v>2012</v>
      </c>
      <c r="E763" s="14" t="s">
        <v>1475</v>
      </c>
      <c r="G763" s="145">
        <v>41089</v>
      </c>
      <c r="H763" s="46">
        <v>41117</v>
      </c>
      <c r="I763" s="133">
        <v>0.41889999999999999</v>
      </c>
      <c r="J763" s="134">
        <f>IF(Tabela8[[#This Row],[Tipo]]="jcp",Tabela8[[#This Row],[Provento p/Ação]]*85%,Tabela8[[#This Row],[Provento p/Ação]])</f>
        <v>0.35606499999999996</v>
      </c>
      <c r="K763" s="133" t="str">
        <f>IF([Lucro p/Ação]&lt;&gt;0,SUMPRODUCT(N([Papel]=Tabela8[[#This Row],[Papel]]),N([Exercício]=Tabela8[[#This Row],[Exercício]]),[Líquido p/Ação]),"")</f>
        <v/>
      </c>
      <c r="L763" s="42" t="str">
        <f>IF(Tabela8[[#This Row],[Lucro p/Ação]]="","",IF(Tabela8[[#This Row],[Lucro p/Ação]]&gt;0,Tabela8[[#This Row],[Total Exercício]]/Tabela8[[#This Row],[Lucro p/Ação]],0))</f>
        <v/>
      </c>
      <c r="M7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3" s="19" t="str">
        <f>IF(Tabela8[[#This Row],[Média Lucro p/Ação]]&lt;&gt;"",Tabela8[[#This Row],[Média Pago]]/Tabela8[[#This Row],[Média Lucro p/Ação]],"")</f>
        <v/>
      </c>
      <c r="P7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3" s="134">
        <f>SUMPRODUCT(N(Tabela1[Código]=Tabela8[[#This Row],[Papel]]),Tabela1[Fechamento])</f>
        <v>45.7</v>
      </c>
      <c r="R763" s="7">
        <f>SUMPRODUCT(N(Tabela17[Código]=Tabela8[[#This Row],[Papel]]),Tabela17[Fechamento])</f>
        <v>0</v>
      </c>
      <c r="S763" s="7">
        <f>SUMPRODUCT(N(Tabela176[Código]=Tabela8[[#This Row],[Papel]]),Tabela176[Fechamento])</f>
        <v>0</v>
      </c>
      <c r="T763" s="7">
        <f>SUMPRODUCT(N(Tabela1768[Código]=Tabela8[[#This Row],[Papel]]),Tabela1768[Fechamento])</f>
        <v>0</v>
      </c>
      <c r="U763" s="7">
        <f>SUMPRODUCT(N(Tabela17683[Código]=Tabela8[[#This Row],[Papel]]),Tabela17683[Fechamento])</f>
        <v>0</v>
      </c>
      <c r="V763" s="7">
        <f>IF(MAX(Tabela8[[#This Row],[Cotação 1]]:Tabela8[[#This Row],[Cotação 5]])=0,"",MAX(Tabela8[[#This Row],[Cotação 1]]:Tabela8[[#This Row],[Cotação 5]]))</f>
        <v>45.7</v>
      </c>
      <c r="W7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3" s="19" t="str">
        <f>IF(AND([Ref]=5,[Cotação]&gt;0,[Cotação]&lt;&gt;""),[Total Exercício]/[Cotação],IF([Ref]&lt;4,0,""))</f>
        <v/>
      </c>
      <c r="Y763" s="17">
        <f>IF([Tipo]="div",1,0)</f>
        <v>0</v>
      </c>
      <c r="Z763" s="17">
        <f>IF([Tipo]="jcp",1,0)</f>
        <v>1</v>
      </c>
    </row>
    <row r="764" spans="1:26" hidden="1">
      <c r="A764" s="4" t="s">
        <v>12</v>
      </c>
      <c r="B764" s="138" t="s">
        <v>154</v>
      </c>
      <c r="C764" s="15">
        <v>4</v>
      </c>
      <c r="D764" s="14">
        <v>2012</v>
      </c>
      <c r="E764" s="14" t="s">
        <v>1475</v>
      </c>
      <c r="G764" s="145">
        <v>41089</v>
      </c>
      <c r="H764" s="46">
        <v>41117</v>
      </c>
      <c r="I764" s="133">
        <v>0.41889999999999999</v>
      </c>
      <c r="J764" s="134">
        <f>IF(Tabela8[[#This Row],[Tipo]]="jcp",Tabela8[[#This Row],[Provento p/Ação]]*85%,Tabela8[[#This Row],[Provento p/Ação]])</f>
        <v>0.35606499999999996</v>
      </c>
      <c r="K764" s="133" t="str">
        <f>IF([Lucro p/Ação]&lt;&gt;0,SUMPRODUCT(N([Papel]=Tabela8[[#This Row],[Papel]]),N([Exercício]=Tabela8[[#This Row],[Exercício]]),[Líquido p/Ação]),"")</f>
        <v/>
      </c>
      <c r="L764" s="42" t="str">
        <f>IF(Tabela8[[#This Row],[Lucro p/Ação]]="","",IF(Tabela8[[#This Row],[Lucro p/Ação]]&gt;0,Tabela8[[#This Row],[Total Exercício]]/Tabela8[[#This Row],[Lucro p/Ação]],0))</f>
        <v/>
      </c>
      <c r="M7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64" s="19" t="str">
        <f>IF(Tabela8[[#This Row],[Média Lucro p/Ação]]&lt;&gt;"",Tabela8[[#This Row],[Média Pago]]/Tabela8[[#This Row],[Média Lucro p/Ação]],"")</f>
        <v/>
      </c>
      <c r="P7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4" s="134">
        <f>SUMPRODUCT(N(Tabela1[Código]=Tabela8[[#This Row],[Papel]]),Tabela1[Fechamento])</f>
        <v>23.59</v>
      </c>
      <c r="R764" s="7">
        <f>SUMPRODUCT(N(Tabela17[Código]=Tabela8[[#This Row],[Papel]]),Tabela17[Fechamento])</f>
        <v>0</v>
      </c>
      <c r="S764" s="7">
        <f>SUMPRODUCT(N(Tabela176[Código]=Tabela8[[#This Row],[Papel]]),Tabela176[Fechamento])</f>
        <v>0</v>
      </c>
      <c r="T764" s="7">
        <f>SUMPRODUCT(N(Tabela1768[Código]=Tabela8[[#This Row],[Papel]]),Tabela1768[Fechamento])</f>
        <v>0</v>
      </c>
      <c r="U764" s="7">
        <f>SUMPRODUCT(N(Tabela17683[Código]=Tabela8[[#This Row],[Papel]]),Tabela17683[Fechamento])</f>
        <v>0</v>
      </c>
      <c r="V764" s="7">
        <f>IF(MAX(Tabela8[[#This Row],[Cotação 1]]:Tabela8[[#This Row],[Cotação 5]])=0,"",MAX(Tabela8[[#This Row],[Cotação 1]]:Tabela8[[#This Row],[Cotação 5]]))</f>
        <v>23.59</v>
      </c>
      <c r="W7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4" s="19" t="str">
        <f>IF(AND([Ref]=5,[Cotação]&gt;0,[Cotação]&lt;&gt;""),[Total Exercício]/[Cotação],IF([Ref]&lt;4,0,""))</f>
        <v/>
      </c>
      <c r="Y764" s="17">
        <f>IF([Tipo]="div",1,0)</f>
        <v>0</v>
      </c>
      <c r="Z764" s="17">
        <f>IF([Tipo]="jcp",1,0)</f>
        <v>1</v>
      </c>
    </row>
    <row r="765" spans="1:26" hidden="1">
      <c r="A765" s="4" t="s">
        <v>12</v>
      </c>
      <c r="B765" s="138" t="s">
        <v>153</v>
      </c>
      <c r="C765" s="15">
        <v>5</v>
      </c>
      <c r="D765" s="14">
        <v>2012</v>
      </c>
      <c r="E765" s="14" t="s">
        <v>1468</v>
      </c>
      <c r="F765" s="133">
        <v>5.4234999999999998</v>
      </c>
      <c r="G765" s="145">
        <v>41089</v>
      </c>
      <c r="H765" s="46">
        <v>41117</v>
      </c>
      <c r="I765" s="133">
        <v>0.63571999999999995</v>
      </c>
      <c r="J765" s="134">
        <f>IF(Tabela8[[#This Row],[Tipo]]="jcp",Tabela8[[#This Row],[Provento p/Ação]]*85%,Tabela8[[#This Row],[Provento p/Ação]])</f>
        <v>0.63571999999999995</v>
      </c>
      <c r="K765" s="133">
        <f>IF([Lucro p/Ação]&lt;&gt;0,SUMPRODUCT(N([Papel]=Tabela8[[#This Row],[Papel]]),N([Exercício]=Tabela8[[#This Row],[Exercício]]),[Líquido p/Ação]),"")</f>
        <v>1.67754</v>
      </c>
      <c r="L765" s="42">
        <f>IF(Tabela8[[#This Row],[Lucro p/Ação]]="","",IF(Tabela8[[#This Row],[Lucro p/Ação]]&gt;0,Tabela8[[#This Row],[Total Exercício]]/Tabela8[[#This Row],[Lucro p/Ação]],0))</f>
        <v>0.30930948649396151</v>
      </c>
      <c r="M76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5.5227133333333329</v>
      </c>
      <c r="N76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3.6010761666666666</v>
      </c>
      <c r="O765" s="19">
        <f>IF(Tabela8[[#This Row],[Média Lucro p/Ação]]&lt;&gt;"",Tabela8[[#This Row],[Média Pago]]/Tabela8[[#This Row],[Média Lucro p/Ação]],"")</f>
        <v>0.65204835907953462</v>
      </c>
      <c r="P7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5" s="134">
        <f>SUMPRODUCT(N(Tabela1[Código]=Tabela8[[#This Row],[Papel]]),Tabela1[Fechamento])</f>
        <v>45.7</v>
      </c>
      <c r="R765" s="7">
        <f>SUMPRODUCT(N(Tabela17[Código]=Tabela8[[#This Row],[Papel]]),Tabela17[Fechamento])</f>
        <v>0</v>
      </c>
      <c r="S765" s="7">
        <f>SUMPRODUCT(N(Tabela176[Código]=Tabela8[[#This Row],[Papel]]),Tabela176[Fechamento])</f>
        <v>0</v>
      </c>
      <c r="T765" s="7">
        <f>SUMPRODUCT(N(Tabela1768[Código]=Tabela8[[#This Row],[Papel]]),Tabela1768[Fechamento])</f>
        <v>0</v>
      </c>
      <c r="U765" s="7">
        <f>SUMPRODUCT(N(Tabela17683[Código]=Tabela8[[#This Row],[Papel]]),Tabela17683[Fechamento])</f>
        <v>0</v>
      </c>
      <c r="V765" s="7">
        <f>IF(MAX(Tabela8[[#This Row],[Cotação 1]]:Tabela8[[#This Row],[Cotação 5]])=0,"",MAX(Tabela8[[#This Row],[Cotação 1]]:Tabela8[[#This Row],[Cotação 5]]))</f>
        <v>45.7</v>
      </c>
      <c r="W7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5" s="19">
        <f>IF(AND([Ref]=5,[Cotação]&gt;0,[Cotação]&lt;&gt;""),[Total Exercício]/[Cotação],IF([Ref]&lt;4,0,""))</f>
        <v>3.6707658643326035E-2</v>
      </c>
      <c r="Y765" s="17">
        <f>IF([Tipo]="div",1,0)</f>
        <v>1</v>
      </c>
      <c r="Z765" s="17">
        <f>IF([Tipo]="jcp",1,0)</f>
        <v>0</v>
      </c>
    </row>
    <row r="766" spans="1:26" hidden="1">
      <c r="A766" s="4" t="s">
        <v>12</v>
      </c>
      <c r="B766" s="138" t="s">
        <v>154</v>
      </c>
      <c r="C766" s="15">
        <v>5</v>
      </c>
      <c r="D766" s="14">
        <v>2012</v>
      </c>
      <c r="E766" s="14" t="s">
        <v>1468</v>
      </c>
      <c r="F766" s="133">
        <v>5.4234999999999998</v>
      </c>
      <c r="G766" s="145">
        <v>41089</v>
      </c>
      <c r="H766" s="46">
        <v>41117</v>
      </c>
      <c r="I766" s="133">
        <v>0.63571999999999995</v>
      </c>
      <c r="J766" s="134">
        <f>IF(Tabela8[[#This Row],[Tipo]]="jcp",Tabela8[[#This Row],[Provento p/Ação]]*85%,Tabela8[[#This Row],[Provento p/Ação]])</f>
        <v>0.63571999999999995</v>
      </c>
      <c r="K766" s="133">
        <f>IF([Lucro p/Ação]&lt;&gt;0,SUMPRODUCT(N([Papel]=Tabela8[[#This Row],[Papel]]),N([Exercício]=Tabela8[[#This Row],[Exercício]]),[Líquido p/Ação]),"")</f>
        <v>1.67754</v>
      </c>
      <c r="L766" s="42">
        <f>IF(Tabela8[[#This Row],[Lucro p/Ação]]="","",IF(Tabela8[[#This Row],[Lucro p/Ação]]&gt;0,Tabela8[[#This Row],[Total Exercício]]/Tabela8[[#This Row],[Lucro p/Ação]],0))</f>
        <v>0.30930948649396151</v>
      </c>
      <c r="M7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5.5227133333333329</v>
      </c>
      <c r="N7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3.6010761666666666</v>
      </c>
      <c r="O766" s="19">
        <f>IF(Tabela8[[#This Row],[Média Lucro p/Ação]]&lt;&gt;"",Tabela8[[#This Row],[Média Pago]]/Tabela8[[#This Row],[Média Lucro p/Ação]],"")</f>
        <v>0.65204835907953462</v>
      </c>
      <c r="P7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6" s="134">
        <f>SUMPRODUCT(N(Tabela1[Código]=Tabela8[[#This Row],[Papel]]),Tabela1[Fechamento])</f>
        <v>23.59</v>
      </c>
      <c r="R766" s="17">
        <f>SUMPRODUCT(N(Tabela17[Código]=Tabela8[[#This Row],[Papel]]),Tabela17[Fechamento])</f>
        <v>0</v>
      </c>
      <c r="S766" s="17">
        <f>SUMPRODUCT(N(Tabela176[Código]=Tabela8[[#This Row],[Papel]]),Tabela176[Fechamento])</f>
        <v>0</v>
      </c>
      <c r="T766" s="17">
        <f>SUMPRODUCT(N(Tabela1768[Código]=Tabela8[[#This Row],[Papel]]),Tabela1768[Fechamento])</f>
        <v>0</v>
      </c>
      <c r="U766" s="17">
        <f>SUMPRODUCT(N(Tabela17683[Código]=Tabela8[[#This Row],[Papel]]),Tabela17683[Fechamento])</f>
        <v>0</v>
      </c>
      <c r="V766" s="17">
        <f>IF(MAX(Tabela8[[#This Row],[Cotação 1]]:Tabela8[[#This Row],[Cotação 5]])=0,"",MAX(Tabela8[[#This Row],[Cotação 1]]:Tabela8[[#This Row],[Cotação 5]]))</f>
        <v>23.59</v>
      </c>
      <c r="W7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6" s="19">
        <f>IF(AND([Ref]=5,[Cotação]&gt;0,[Cotação]&lt;&gt;""),[Total Exercício]/[Cotação],IF([Ref]&lt;4,0,""))</f>
        <v>7.1112335735481133E-2</v>
      </c>
      <c r="Y766" s="17">
        <f>IF([Tipo]="div",1,0)</f>
        <v>1</v>
      </c>
      <c r="Z766" s="17">
        <f>IF([Tipo]="jcp",1,0)</f>
        <v>0</v>
      </c>
    </row>
    <row r="767" spans="1:26" hidden="1">
      <c r="A767" s="4" t="s">
        <v>12</v>
      </c>
      <c r="B767" s="138" t="s">
        <v>153</v>
      </c>
      <c r="C767" s="15">
        <v>5</v>
      </c>
      <c r="D767" s="14">
        <v>2013</v>
      </c>
      <c r="E767" s="14" t="s">
        <v>1475</v>
      </c>
      <c r="F767" s="133">
        <v>0.20494999999999999</v>
      </c>
      <c r="G767" s="145">
        <v>41628</v>
      </c>
      <c r="H767" s="46">
        <v>41669</v>
      </c>
      <c r="I767" s="133">
        <v>1.3100799999999999</v>
      </c>
      <c r="J767" s="134">
        <f>IF(Tabela8[[#This Row],[Tipo]]="jcp",Tabela8[[#This Row],[Provento p/Ação]]*85%,Tabela8[[#This Row],[Provento p/Ação]])</f>
        <v>1.1135679999999999</v>
      </c>
      <c r="K767" s="133">
        <f>IF([Lucro p/Ação]&lt;&gt;0,SUMPRODUCT(N([Papel]=Tabela8[[#This Row],[Papel]]),N([Exercício]=Tabela8[[#This Row],[Exercício]]),[Líquido p/Ação]),"")</f>
        <v>1.1135679999999999</v>
      </c>
      <c r="L767" s="42">
        <f>IF(Tabela8[[#This Row],[Lucro p/Ação]]="","",IF(Tabela8[[#This Row],[Lucro p/Ação]]&gt;0,Tabela8[[#This Row],[Total Exercício]]/Tabela8[[#This Row],[Lucro p/Ação]],0))</f>
        <v>5.4333642351793117</v>
      </c>
      <c r="M7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4.1932725</v>
      </c>
      <c r="N76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2.9791991250000001</v>
      </c>
      <c r="O767" s="19">
        <f>IF(Tabela8[[#This Row],[Média Lucro p/Ação]]&lt;&gt;"",Tabela8[[#This Row],[Média Pago]]/Tabela8[[#This Row],[Média Lucro p/Ação]],"")</f>
        <v>0.710471147534533</v>
      </c>
      <c r="P7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7" s="134">
        <f>SUMPRODUCT(N(Tabela1[Código]=Tabela8[[#This Row],[Papel]]),Tabela1[Fechamento])</f>
        <v>45.7</v>
      </c>
      <c r="R767" s="7">
        <f>SUMPRODUCT(N(Tabela17[Código]=Tabela8[[#This Row],[Papel]]),Tabela17[Fechamento])</f>
        <v>0</v>
      </c>
      <c r="S767" s="7">
        <f>SUMPRODUCT(N(Tabela176[Código]=Tabela8[[#This Row],[Papel]]),Tabela176[Fechamento])</f>
        <v>0</v>
      </c>
      <c r="T767" s="7">
        <f>SUMPRODUCT(N(Tabela1768[Código]=Tabela8[[#This Row],[Papel]]),Tabela1768[Fechamento])</f>
        <v>0</v>
      </c>
      <c r="U767" s="7">
        <f>SUMPRODUCT(N(Tabela17683[Código]=Tabela8[[#This Row],[Papel]]),Tabela17683[Fechamento])</f>
        <v>0</v>
      </c>
      <c r="V767" s="7">
        <f>IF(MAX(Tabela8[[#This Row],[Cotação 1]]:Tabela8[[#This Row],[Cotação 5]])=0,"",MAX(Tabela8[[#This Row],[Cotação 1]]:Tabela8[[#This Row],[Cotação 5]]))</f>
        <v>45.7</v>
      </c>
      <c r="W7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7" s="19">
        <f>IF(AND([Ref]=5,[Cotação]&gt;0,[Cotação]&lt;&gt;""),[Total Exercício]/[Cotação],IF([Ref]&lt;4,0,""))</f>
        <v>2.4366914660831508E-2</v>
      </c>
      <c r="Y767" s="17">
        <f>IF([Tipo]="div",1,0)</f>
        <v>0</v>
      </c>
      <c r="Z767" s="17">
        <f>IF([Tipo]="jcp",1,0)</f>
        <v>1</v>
      </c>
    </row>
    <row r="768" spans="1:26" hidden="1">
      <c r="A768" s="4" t="s">
        <v>12</v>
      </c>
      <c r="B768" s="138" t="s">
        <v>154</v>
      </c>
      <c r="C768" s="15">
        <v>5</v>
      </c>
      <c r="D768" s="14">
        <v>2013</v>
      </c>
      <c r="E768" s="14" t="s">
        <v>1475</v>
      </c>
      <c r="F768" s="133">
        <v>0.20494999999999999</v>
      </c>
      <c r="G768" s="145">
        <v>41628</v>
      </c>
      <c r="H768" s="46">
        <v>41669</v>
      </c>
      <c r="I768" s="133">
        <v>1.3100799999999999</v>
      </c>
      <c r="J768" s="134">
        <f>IF(Tabela8[[#This Row],[Tipo]]="jcp",Tabela8[[#This Row],[Provento p/Ação]]*85%,Tabela8[[#This Row],[Provento p/Ação]])</f>
        <v>1.1135679999999999</v>
      </c>
      <c r="K768" s="133">
        <f>IF([Lucro p/Ação]&lt;&gt;0,SUMPRODUCT(N([Papel]=Tabela8[[#This Row],[Papel]]),N([Exercício]=Tabela8[[#This Row],[Exercício]]),[Líquido p/Ação]),"")</f>
        <v>1.1135679999999999</v>
      </c>
      <c r="L768" s="42">
        <f>IF(Tabela8[[#This Row],[Lucro p/Ação]]="","",IF(Tabela8[[#This Row],[Lucro p/Ação]]&gt;0,Tabela8[[#This Row],[Total Exercício]]/Tabela8[[#This Row],[Lucro p/Ação]],0))</f>
        <v>5.4333642351793117</v>
      </c>
      <c r="M76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4.1932725</v>
      </c>
      <c r="N76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2.9791991250000001</v>
      </c>
      <c r="O768" s="19">
        <f>IF(Tabela8[[#This Row],[Média Lucro p/Ação]]&lt;&gt;"",Tabela8[[#This Row],[Média Pago]]/Tabela8[[#This Row],[Média Lucro p/Ação]],"")</f>
        <v>0.710471147534533</v>
      </c>
      <c r="P7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8" s="134">
        <f>SUMPRODUCT(N(Tabela1[Código]=Tabela8[[#This Row],[Papel]]),Tabela1[Fechamento])</f>
        <v>23.59</v>
      </c>
      <c r="R768" s="17">
        <f>SUMPRODUCT(N(Tabela17[Código]=Tabela8[[#This Row],[Papel]]),Tabela17[Fechamento])</f>
        <v>0</v>
      </c>
      <c r="S768" s="17">
        <f>SUMPRODUCT(N(Tabela176[Código]=Tabela8[[#This Row],[Papel]]),Tabela176[Fechamento])</f>
        <v>0</v>
      </c>
      <c r="T768" s="17">
        <f>SUMPRODUCT(N(Tabela1768[Código]=Tabela8[[#This Row],[Papel]]),Tabela1768[Fechamento])</f>
        <v>0</v>
      </c>
      <c r="U768" s="17">
        <f>SUMPRODUCT(N(Tabela17683[Código]=Tabela8[[#This Row],[Papel]]),Tabela17683[Fechamento])</f>
        <v>0</v>
      </c>
      <c r="V768" s="17">
        <f>IF(MAX(Tabela8[[#This Row],[Cotação 1]]:Tabela8[[#This Row],[Cotação 5]])=0,"",MAX(Tabela8[[#This Row],[Cotação 1]]:Tabela8[[#This Row],[Cotação 5]]))</f>
        <v>23.59</v>
      </c>
      <c r="W7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8" s="19">
        <f>IF(AND([Ref]=5,[Cotação]&gt;0,[Cotação]&lt;&gt;""),[Total Exercício]/[Cotação],IF([Ref]&lt;4,0,""))</f>
        <v>4.7205086901229328E-2</v>
      </c>
      <c r="Y768" s="17">
        <f>IF([Tipo]="div",1,0)</f>
        <v>0</v>
      </c>
      <c r="Z768" s="17">
        <f>IF([Tipo]="jcp",1,0)</f>
        <v>1</v>
      </c>
    </row>
    <row r="769" spans="1:26" hidden="1">
      <c r="A769" s="4" t="s">
        <v>12</v>
      </c>
      <c r="B769" s="3" t="s">
        <v>451</v>
      </c>
      <c r="C769" s="15">
        <v>5</v>
      </c>
      <c r="D769" s="14">
        <v>2010</v>
      </c>
      <c r="E769" s="14" t="s">
        <v>1475</v>
      </c>
      <c r="F769" s="133">
        <v>6.69</v>
      </c>
      <c r="G769" s="145">
        <v>40528</v>
      </c>
      <c r="I769" s="133">
        <v>1.90669</v>
      </c>
      <c r="J769" s="133">
        <f>IF(Tabela8[[#This Row],[Tipo]]="jcp",Tabela8[[#This Row],[Provento p/Ação]]*85%,Tabela8[[#This Row],[Provento p/Ação]])</f>
        <v>1.6206864999999999</v>
      </c>
      <c r="K769" s="133">
        <f>IF([Lucro p/Ação]&lt;&gt;0,SUMPRODUCT(N([Papel]=Tabela8[[#This Row],[Papel]]),N([Exercício]=Tabela8[[#This Row],[Exercício]]),[Líquido p/Ação]),"")</f>
        <v>2.5081365</v>
      </c>
      <c r="L769" s="42">
        <f>IF(Tabela8[[#This Row],[Lucro p/Ação]]="","",IF(Tabela8[[#This Row],[Lucro p/Ação]]&gt;0,Tabela8[[#This Row],[Total Exercício]]/Tabela8[[#This Row],[Lucro p/Ação]],0))</f>
        <v>0.37490829596412556</v>
      </c>
      <c r="M76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6.69</v>
      </c>
      <c r="N76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2.5081365</v>
      </c>
      <c r="O769" s="19">
        <f>IF(Tabela8[[#This Row],[Média Lucro p/Ação]]&lt;&gt;"",Tabela8[[#This Row],[Média Pago]]/Tabela8[[#This Row],[Média Lucro p/Ação]],"")</f>
        <v>0.37490829596412556</v>
      </c>
      <c r="P7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69" s="134">
        <f>SUMPRODUCT(N(Tabela1[Código]=Tabela8[[#This Row],[Papel]]),Tabela1[Fechamento])</f>
        <v>0</v>
      </c>
      <c r="R769" s="17">
        <f>SUMPRODUCT(N(Tabela17[Código]=Tabela8[[#This Row],[Papel]]),Tabela17[Fechamento])</f>
        <v>40</v>
      </c>
      <c r="S769" s="17">
        <f>SUMPRODUCT(N(Tabela176[Código]=Tabela8[[#This Row],[Papel]]),Tabela176[Fechamento])</f>
        <v>0</v>
      </c>
      <c r="T769" s="17">
        <f>SUMPRODUCT(N(Tabela1768[Código]=Tabela8[[#This Row],[Papel]]),Tabela1768[Fechamento])</f>
        <v>0</v>
      </c>
      <c r="U769" s="17">
        <f>SUMPRODUCT(N(Tabela17683[Código]=Tabela8[[#This Row],[Papel]]),Tabela17683[Fechamento])</f>
        <v>0</v>
      </c>
      <c r="V769" s="17">
        <f>IF(MAX(Tabela8[[#This Row],[Cotação 1]]:Tabela8[[#This Row],[Cotação 5]])=0,"",MAX(Tabela8[[#This Row],[Cotação 1]]:Tabela8[[#This Row],[Cotação 5]]))</f>
        <v>40</v>
      </c>
      <c r="W7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69" s="19">
        <f>IF(AND([Ref]=5,[Cotação]&gt;0,[Cotação]&lt;&gt;""),[Total Exercício]/[Cotação],IF([Ref]&lt;4,0,""))</f>
        <v>6.27034125E-2</v>
      </c>
      <c r="Y769" s="14">
        <f>IF([Tipo]="div",1,0)</f>
        <v>0</v>
      </c>
      <c r="Z769" s="14">
        <f>IF([Tipo]="jcp",1,0)</f>
        <v>1</v>
      </c>
    </row>
    <row r="770" spans="1:26" hidden="1">
      <c r="A770" s="4" t="s">
        <v>12</v>
      </c>
      <c r="B770" s="3" t="s">
        <v>71</v>
      </c>
      <c r="C770" s="15">
        <v>5</v>
      </c>
      <c r="D770" s="14">
        <v>2010</v>
      </c>
      <c r="E770" s="14" t="s">
        <v>1475</v>
      </c>
      <c r="F770" s="133">
        <v>7.36</v>
      </c>
      <c r="G770" s="145">
        <v>40528</v>
      </c>
      <c r="I770" s="133">
        <v>2.0973600000000001</v>
      </c>
      <c r="J770" s="133">
        <f>IF(Tabela8[[#This Row],[Tipo]]="jcp",Tabela8[[#This Row],[Provento p/Ação]]*85%,Tabela8[[#This Row],[Provento p/Ação]])</f>
        <v>1.782756</v>
      </c>
      <c r="K770" s="133">
        <f>IF([Lucro p/Ação]&lt;&gt;0,SUMPRODUCT(N([Papel]=Tabela8[[#This Row],[Papel]]),N([Exercício]=Tabela8[[#This Row],[Exercício]]),[Líquido p/Ação]),"")</f>
        <v>2.758956</v>
      </c>
      <c r="L770" s="42">
        <f>IF(Tabela8[[#This Row],[Lucro p/Ação]]="","",IF(Tabela8[[#This Row],[Lucro p/Ação]]&gt;0,Tabela8[[#This Row],[Total Exercício]]/Tabela8[[#This Row],[Lucro p/Ação]],0))</f>
        <v>0.374858152173913</v>
      </c>
      <c r="M77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7.36</v>
      </c>
      <c r="N77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2.758956</v>
      </c>
      <c r="O770" s="19">
        <f>IF(Tabela8[[#This Row],[Média Lucro p/Ação]]&lt;&gt;"",Tabela8[[#This Row],[Média Pago]]/Tabela8[[#This Row],[Média Lucro p/Ação]],"")</f>
        <v>0.374858152173913</v>
      </c>
      <c r="P7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0" s="134">
        <f>SUMPRODUCT(N(Tabela1[Código]=Tabela8[[#This Row],[Papel]]),Tabela1[Fechamento])</f>
        <v>15.47</v>
      </c>
      <c r="R770" s="17">
        <f>SUMPRODUCT(N(Tabela17[Código]=Tabela8[[#This Row],[Papel]]),Tabela17[Fechamento])</f>
        <v>0</v>
      </c>
      <c r="S770" s="17">
        <f>SUMPRODUCT(N(Tabela176[Código]=Tabela8[[#This Row],[Papel]]),Tabela176[Fechamento])</f>
        <v>0</v>
      </c>
      <c r="T770" s="17">
        <f>SUMPRODUCT(N(Tabela1768[Código]=Tabela8[[#This Row],[Papel]]),Tabela1768[Fechamento])</f>
        <v>0</v>
      </c>
      <c r="U770" s="17">
        <f>SUMPRODUCT(N(Tabela17683[Código]=Tabela8[[#This Row],[Papel]]),Tabela17683[Fechamento])</f>
        <v>0</v>
      </c>
      <c r="V770" s="17">
        <f>IF(MAX(Tabela8[[#This Row],[Cotação 1]]:Tabela8[[#This Row],[Cotação 5]])=0,"",MAX(Tabela8[[#This Row],[Cotação 1]]:Tabela8[[#This Row],[Cotação 5]]))</f>
        <v>15.47</v>
      </c>
      <c r="W7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0" s="19">
        <f>IF(AND([Ref]=5,[Cotação]&gt;0,[Cotação]&lt;&gt;""),[Total Exercício]/[Cotação],IF([Ref]&lt;4,0,""))</f>
        <v>0.17834234001292823</v>
      </c>
      <c r="Y770" s="14">
        <f>IF([Tipo]="div",1,0)</f>
        <v>0</v>
      </c>
      <c r="Z770" s="14">
        <f>IF([Tipo]="jcp",1,0)</f>
        <v>1</v>
      </c>
    </row>
    <row r="771" spans="1:26" hidden="1">
      <c r="A771" s="4" t="s">
        <v>12</v>
      </c>
      <c r="B771" s="3" t="s">
        <v>451</v>
      </c>
      <c r="C771" s="15">
        <v>5</v>
      </c>
      <c r="D771" s="14">
        <v>2011</v>
      </c>
      <c r="F771" s="133">
        <v>7.92</v>
      </c>
      <c r="J771" s="133">
        <f>IF(Tabela8[[#This Row],[Tipo]]="jcp",Tabela8[[#This Row],[Provento p/Ação]]*85%,Tabela8[[#This Row],[Provento p/Ação]])</f>
        <v>0</v>
      </c>
      <c r="K771" s="133">
        <f>IF([Lucro p/Ação]&lt;&gt;0,SUMPRODUCT(N([Papel]=Tabela8[[#This Row],[Papel]]),N([Exercício]=Tabela8[[#This Row],[Exercício]]),[Líquido p/Ação]),"")</f>
        <v>0</v>
      </c>
      <c r="L771" s="42">
        <f>IF(Tabela8[[#This Row],[Lucro p/Ação]]="","",IF(Tabela8[[#This Row],[Lucro p/Ação]]&gt;0,Tabela8[[#This Row],[Total Exercício]]/Tabela8[[#This Row],[Lucro p/Ação]],0))</f>
        <v>0</v>
      </c>
      <c r="M77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7.3049999999999997</v>
      </c>
      <c r="N77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1.25406825</v>
      </c>
      <c r="O771" s="19">
        <f>IF(Tabela8[[#This Row],[Média Lucro p/Ação]]&lt;&gt;"",Tabela8[[#This Row],[Média Pago]]/Tabela8[[#This Row],[Média Lucro p/Ação]],"")</f>
        <v>0.17167258726899384</v>
      </c>
      <c r="P7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1" s="134">
        <f>SUMPRODUCT(N(Tabela1[Código]=Tabela8[[#This Row],[Papel]]),Tabela1[Fechamento])</f>
        <v>0</v>
      </c>
      <c r="R771" s="7">
        <f>SUMPRODUCT(N(Tabela17[Código]=Tabela8[[#This Row],[Papel]]),Tabela17[Fechamento])</f>
        <v>40</v>
      </c>
      <c r="S771" s="7">
        <f>SUMPRODUCT(N(Tabela176[Código]=Tabela8[[#This Row],[Papel]]),Tabela176[Fechamento])</f>
        <v>0</v>
      </c>
      <c r="T771" s="7">
        <f>SUMPRODUCT(N(Tabela1768[Código]=Tabela8[[#This Row],[Papel]]),Tabela1768[Fechamento])</f>
        <v>0</v>
      </c>
      <c r="U771" s="7">
        <f>SUMPRODUCT(N(Tabela17683[Código]=Tabela8[[#This Row],[Papel]]),Tabela17683[Fechamento])</f>
        <v>0</v>
      </c>
      <c r="V771" s="7">
        <f>IF(MAX(Tabela8[[#This Row],[Cotação 1]]:Tabela8[[#This Row],[Cotação 5]])=0,"",MAX(Tabela8[[#This Row],[Cotação 1]]:Tabela8[[#This Row],[Cotação 5]]))</f>
        <v>40</v>
      </c>
      <c r="W7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1" s="19">
        <f>IF(AND([Ref]=5,[Cotação]&gt;0,[Cotação]&lt;&gt;""),[Total Exercício]/[Cotação],IF([Ref]&lt;4,0,""))</f>
        <v>0</v>
      </c>
      <c r="Y771" s="14">
        <f>IF([Tipo]="div",1,0)</f>
        <v>0</v>
      </c>
      <c r="Z771" s="14">
        <f>IF([Tipo]="jcp",1,0)</f>
        <v>0</v>
      </c>
    </row>
    <row r="772" spans="1:26" hidden="1">
      <c r="A772" s="4" t="s">
        <v>12</v>
      </c>
      <c r="B772" s="3" t="s">
        <v>71</v>
      </c>
      <c r="C772" s="15">
        <v>5</v>
      </c>
      <c r="D772" s="14">
        <v>2011</v>
      </c>
      <c r="F772" s="133">
        <v>8.7200000000000006</v>
      </c>
      <c r="J772" s="133">
        <f>IF(Tabela8[[#This Row],[Tipo]]="jcp",Tabela8[[#This Row],[Provento p/Ação]]*85%,Tabela8[[#This Row],[Provento p/Ação]])</f>
        <v>0</v>
      </c>
      <c r="K772" s="133">
        <f>IF([Lucro p/Ação]&lt;&gt;0,SUMPRODUCT(N([Papel]=Tabela8[[#This Row],[Papel]]),N([Exercício]=Tabela8[[#This Row],[Exercício]]),[Líquido p/Ação]),"")</f>
        <v>0</v>
      </c>
      <c r="L772" s="42">
        <f>IF(Tabela8[[#This Row],[Lucro p/Ação]]="","",IF(Tabela8[[#This Row],[Lucro p/Ação]]&gt;0,Tabela8[[#This Row],[Total Exercício]]/Tabela8[[#This Row],[Lucro p/Ação]],0))</f>
        <v>0</v>
      </c>
      <c r="M77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8.0400000000000009</v>
      </c>
      <c r="N77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1.379478</v>
      </c>
      <c r="O772" s="19">
        <f>IF(Tabela8[[#This Row],[Média Lucro p/Ação]]&lt;&gt;"",Tabela8[[#This Row],[Média Pago]]/Tabela8[[#This Row],[Média Lucro p/Ação]],"")</f>
        <v>0.17157686567164177</v>
      </c>
      <c r="P7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2" s="134">
        <f>SUMPRODUCT(N(Tabela1[Código]=Tabela8[[#This Row],[Papel]]),Tabela1[Fechamento])</f>
        <v>15.47</v>
      </c>
      <c r="R772" s="17">
        <f>SUMPRODUCT(N(Tabela17[Código]=Tabela8[[#This Row],[Papel]]),Tabela17[Fechamento])</f>
        <v>0</v>
      </c>
      <c r="S772" s="17">
        <f>SUMPRODUCT(N(Tabela176[Código]=Tabela8[[#This Row],[Papel]]),Tabela176[Fechamento])</f>
        <v>0</v>
      </c>
      <c r="T772" s="17">
        <f>SUMPRODUCT(N(Tabela1768[Código]=Tabela8[[#This Row],[Papel]]),Tabela1768[Fechamento])</f>
        <v>0</v>
      </c>
      <c r="U772" s="17">
        <f>SUMPRODUCT(N(Tabela17683[Código]=Tabela8[[#This Row],[Papel]]),Tabela17683[Fechamento])</f>
        <v>0</v>
      </c>
      <c r="V772" s="17">
        <f>IF(MAX(Tabela8[[#This Row],[Cotação 1]]:Tabela8[[#This Row],[Cotação 5]])=0,"",MAX(Tabela8[[#This Row],[Cotação 1]]:Tabela8[[#This Row],[Cotação 5]]))</f>
        <v>15.47</v>
      </c>
      <c r="W7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2" s="19">
        <f>IF(AND([Ref]=5,[Cotação]&gt;0,[Cotação]&lt;&gt;""),[Total Exercício]/[Cotação],IF([Ref]&lt;4,0,""))</f>
        <v>0</v>
      </c>
      <c r="Y772" s="14">
        <f>IF([Tipo]="div",1,0)</f>
        <v>0</v>
      </c>
      <c r="Z772" s="14">
        <f>IF([Tipo]="jcp",1,0)</f>
        <v>0</v>
      </c>
    </row>
    <row r="773" spans="1:26" hidden="1">
      <c r="A773" s="4" t="s">
        <v>12</v>
      </c>
      <c r="B773" s="3" t="s">
        <v>451</v>
      </c>
      <c r="C773" s="15">
        <v>5</v>
      </c>
      <c r="D773" s="14">
        <v>2012</v>
      </c>
      <c r="F773" s="133">
        <v>-3.3586999999999998</v>
      </c>
      <c r="J773" s="133">
        <f>IF(Tabela8[[#This Row],[Tipo]]="jcp",Tabela8[[#This Row],[Provento p/Ação]]*85%,Tabela8[[#This Row],[Provento p/Ação]])</f>
        <v>0</v>
      </c>
      <c r="K773" s="133">
        <f>IF([Lucro p/Ação]&lt;&gt;0,SUMPRODUCT(N([Papel]=Tabela8[[#This Row],[Papel]]),N([Exercício]=Tabela8[[#This Row],[Exercício]]),[Líquido p/Ação]),"")</f>
        <v>0</v>
      </c>
      <c r="L773" s="42">
        <f>IF(Tabela8[[#This Row],[Lucro p/Ação]]="","",IF(Tabela8[[#This Row],[Lucro p/Ação]]&gt;0,Tabela8[[#This Row],[Total Exercício]]/Tabela8[[#This Row],[Lucro p/Ação]],0))</f>
        <v>0</v>
      </c>
      <c r="M77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3.7504333333333335</v>
      </c>
      <c r="N77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0.8360455</v>
      </c>
      <c r="O773" s="19">
        <f>IF(Tabela8[[#This Row],[Média Lucro p/Ação]]&lt;&gt;"",Tabela8[[#This Row],[Média Pago]]/Tabela8[[#This Row],[Média Lucro p/Ação]],"")</f>
        <v>0.2229197070560735</v>
      </c>
      <c r="P7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3" s="134">
        <f>SUMPRODUCT(N(Tabela1[Código]=Tabela8[[#This Row],[Papel]]),Tabela1[Fechamento])</f>
        <v>0</v>
      </c>
      <c r="R773" s="7">
        <f>SUMPRODUCT(N(Tabela17[Código]=Tabela8[[#This Row],[Papel]]),Tabela17[Fechamento])</f>
        <v>40</v>
      </c>
      <c r="S773" s="7">
        <f>SUMPRODUCT(N(Tabela176[Código]=Tabela8[[#This Row],[Papel]]),Tabela176[Fechamento])</f>
        <v>0</v>
      </c>
      <c r="T773" s="7">
        <f>SUMPRODUCT(N(Tabela1768[Código]=Tabela8[[#This Row],[Papel]]),Tabela1768[Fechamento])</f>
        <v>0</v>
      </c>
      <c r="U773" s="7">
        <f>SUMPRODUCT(N(Tabela17683[Código]=Tabela8[[#This Row],[Papel]]),Tabela17683[Fechamento])</f>
        <v>0</v>
      </c>
      <c r="V773" s="7">
        <f>IF(MAX(Tabela8[[#This Row],[Cotação 1]]:Tabela8[[#This Row],[Cotação 5]])=0,"",MAX(Tabela8[[#This Row],[Cotação 1]]:Tabela8[[#This Row],[Cotação 5]]))</f>
        <v>40</v>
      </c>
      <c r="W7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3" s="19">
        <f>IF(AND([Ref]=5,[Cotação]&gt;0,[Cotação]&lt;&gt;""),[Total Exercício]/[Cotação],IF([Ref]&lt;4,0,""))</f>
        <v>0</v>
      </c>
      <c r="Y773" s="14">
        <f>IF([Tipo]="div",1,0)</f>
        <v>0</v>
      </c>
      <c r="Z773" s="14">
        <f>IF([Tipo]="jcp",1,0)</f>
        <v>0</v>
      </c>
    </row>
    <row r="774" spans="1:26" hidden="1">
      <c r="A774" s="4" t="s">
        <v>12</v>
      </c>
      <c r="B774" s="3" t="s">
        <v>71</v>
      </c>
      <c r="C774" s="15">
        <v>5</v>
      </c>
      <c r="D774" s="14">
        <v>2012</v>
      </c>
      <c r="F774" s="133">
        <v>-3.6945999999999999</v>
      </c>
      <c r="J774" s="133">
        <f>IF(Tabela8[[#This Row],[Tipo]]="jcp",Tabela8[[#This Row],[Provento p/Ação]]*85%,Tabela8[[#This Row],[Provento p/Ação]])</f>
        <v>0</v>
      </c>
      <c r="K774" s="133">
        <f>IF([Lucro p/Ação]&lt;&gt;0,SUMPRODUCT(N([Papel]=Tabela8[[#This Row],[Papel]]),N([Exercício]=Tabela8[[#This Row],[Exercício]]),[Líquido p/Ação]),"")</f>
        <v>0</v>
      </c>
      <c r="L774" s="42">
        <f>IF(Tabela8[[#This Row],[Lucro p/Ação]]="","",IF(Tabela8[[#This Row],[Lucro p/Ação]]&gt;0,Tabela8[[#This Row],[Total Exercício]]/Tabela8[[#This Row],[Lucro p/Ação]],0))</f>
        <v>0</v>
      </c>
      <c r="M77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4.1284666666666672</v>
      </c>
      <c r="N77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0.91965200000000003</v>
      </c>
      <c r="O774" s="19">
        <f>IF(Tabela8[[#This Row],[Média Lucro p/Ação]]&lt;&gt;"",Tabela8[[#This Row],[Média Pago]]/Tabela8[[#This Row],[Média Lucro p/Ação]],"")</f>
        <v>0.22275873205548466</v>
      </c>
      <c r="P7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4" s="134">
        <f>SUMPRODUCT(N(Tabela1[Código]=Tabela8[[#This Row],[Papel]]),Tabela1[Fechamento])</f>
        <v>15.47</v>
      </c>
      <c r="R774" s="17">
        <f>SUMPRODUCT(N(Tabela17[Código]=Tabela8[[#This Row],[Papel]]),Tabela17[Fechamento])</f>
        <v>0</v>
      </c>
      <c r="S774" s="17">
        <f>SUMPRODUCT(N(Tabela176[Código]=Tabela8[[#This Row],[Papel]]),Tabela176[Fechamento])</f>
        <v>0</v>
      </c>
      <c r="T774" s="17">
        <f>SUMPRODUCT(N(Tabela1768[Código]=Tabela8[[#This Row],[Papel]]),Tabela1768[Fechamento])</f>
        <v>0</v>
      </c>
      <c r="U774" s="17">
        <f>SUMPRODUCT(N(Tabela17683[Código]=Tabela8[[#This Row],[Papel]]),Tabela17683[Fechamento])</f>
        <v>0</v>
      </c>
      <c r="V774" s="17">
        <f>IF(MAX(Tabela8[[#This Row],[Cotação 1]]:Tabela8[[#This Row],[Cotação 5]])=0,"",MAX(Tabela8[[#This Row],[Cotação 1]]:Tabela8[[#This Row],[Cotação 5]]))</f>
        <v>15.47</v>
      </c>
      <c r="W7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4" s="19">
        <f>IF(AND([Ref]=5,[Cotação]&gt;0,[Cotação]&lt;&gt;""),[Total Exercício]/[Cotação],IF([Ref]&lt;4,0,""))</f>
        <v>0</v>
      </c>
      <c r="Y774" s="14">
        <f>IF([Tipo]="div",1,0)</f>
        <v>0</v>
      </c>
      <c r="Z774" s="14">
        <f>IF([Tipo]="jcp",1,0)</f>
        <v>0</v>
      </c>
    </row>
    <row r="775" spans="1:26" hidden="1">
      <c r="A775" s="4" t="s">
        <v>12</v>
      </c>
      <c r="B775" s="3" t="s">
        <v>451</v>
      </c>
      <c r="C775" s="15">
        <v>5</v>
      </c>
      <c r="D775" s="14">
        <v>2013</v>
      </c>
      <c r="F775" s="133">
        <v>5.1962999999999999</v>
      </c>
      <c r="J775" s="133">
        <f>IF(Tabela8[[#This Row],[Tipo]]="jcp",Tabela8[[#This Row],[Provento p/Ação]]*85%,Tabela8[[#This Row],[Provento p/Ação]])</f>
        <v>0</v>
      </c>
      <c r="K775" s="133">
        <f>IF([Lucro p/Ação]&lt;&gt;0,SUMPRODUCT(N([Papel]=Tabela8[[#This Row],[Papel]]),N([Exercício]=Tabela8[[#This Row],[Exercício]]),[Líquido p/Ação]),"")</f>
        <v>0</v>
      </c>
      <c r="L775" s="42">
        <f>IF(Tabela8[[#This Row],[Lucro p/Ação]]="","",IF(Tabela8[[#This Row],[Lucro p/Ação]]&gt;0,Tabela8[[#This Row],[Total Exercício]]/Tabela8[[#This Row],[Lucro p/Ação]],0))</f>
        <v>0</v>
      </c>
      <c r="M77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4.1119000000000003</v>
      </c>
      <c r="N77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0.627034125</v>
      </c>
      <c r="O775" s="19">
        <f>IF(Tabela8[[#This Row],[Média Lucro p/Ação]]&lt;&gt;"",Tabela8[[#This Row],[Média Pago]]/Tabela8[[#This Row],[Média Lucro p/Ação]],"")</f>
        <v>0.15249255210486634</v>
      </c>
      <c r="P7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5" s="134">
        <f>SUMPRODUCT(N(Tabela1[Código]=Tabela8[[#This Row],[Papel]]),Tabela1[Fechamento])</f>
        <v>0</v>
      </c>
      <c r="R775" s="7">
        <f>SUMPRODUCT(N(Tabela17[Código]=Tabela8[[#This Row],[Papel]]),Tabela17[Fechamento])</f>
        <v>40</v>
      </c>
      <c r="S775" s="7">
        <f>SUMPRODUCT(N(Tabela176[Código]=Tabela8[[#This Row],[Papel]]),Tabela176[Fechamento])</f>
        <v>0</v>
      </c>
      <c r="T775" s="7">
        <f>SUMPRODUCT(N(Tabela1768[Código]=Tabela8[[#This Row],[Papel]]),Tabela1768[Fechamento])</f>
        <v>0</v>
      </c>
      <c r="U775" s="7">
        <f>SUMPRODUCT(N(Tabela17683[Código]=Tabela8[[#This Row],[Papel]]),Tabela17683[Fechamento])</f>
        <v>0</v>
      </c>
      <c r="V775" s="7">
        <f>IF(MAX(Tabela8[[#This Row],[Cotação 1]]:Tabela8[[#This Row],[Cotação 5]])=0,"",MAX(Tabela8[[#This Row],[Cotação 1]]:Tabela8[[#This Row],[Cotação 5]]))</f>
        <v>40</v>
      </c>
      <c r="W7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5" s="19">
        <f>IF(AND([Ref]=5,[Cotação]&gt;0,[Cotação]&lt;&gt;""),[Total Exercício]/[Cotação],IF([Ref]&lt;4,0,""))</f>
        <v>0</v>
      </c>
      <c r="Y775" s="14">
        <f>IF([Tipo]="div",1,0)</f>
        <v>0</v>
      </c>
      <c r="Z775" s="14">
        <f>IF([Tipo]="jcp",1,0)</f>
        <v>0</v>
      </c>
    </row>
    <row r="776" spans="1:26" hidden="1">
      <c r="A776" s="4" t="s">
        <v>12</v>
      </c>
      <c r="B776" s="3" t="s">
        <v>71</v>
      </c>
      <c r="C776" s="15">
        <v>5</v>
      </c>
      <c r="D776" s="14">
        <v>2013</v>
      </c>
      <c r="F776" s="133">
        <v>5.7160000000000002</v>
      </c>
      <c r="J776" s="133">
        <f>IF(Tabela8[[#This Row],[Tipo]]="jcp",Tabela8[[#This Row],[Provento p/Ação]]*85%,Tabela8[[#This Row],[Provento p/Ação]])</f>
        <v>0</v>
      </c>
      <c r="K776" s="133">
        <f>IF([Lucro p/Ação]&lt;&gt;0,SUMPRODUCT(N([Papel]=Tabela8[[#This Row],[Papel]]),N([Exercício]=Tabela8[[#This Row],[Exercício]]),[Líquido p/Ação]),"")</f>
        <v>0</v>
      </c>
      <c r="L776" s="42">
        <f>IF(Tabela8[[#This Row],[Lucro p/Ação]]="","",IF(Tabela8[[#This Row],[Lucro p/Ação]]&gt;0,Tabela8[[#This Row],[Total Exercício]]/Tabela8[[#This Row],[Lucro p/Ação]],0))</f>
        <v>0</v>
      </c>
      <c r="M77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4.5253500000000004</v>
      </c>
      <c r="N77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0.68973899999999999</v>
      </c>
      <c r="O776" s="19">
        <f>IF(Tabela8[[#This Row],[Média Lucro p/Ação]]&lt;&gt;"",Tabela8[[#This Row],[Média Pago]]/Tabela8[[#This Row],[Média Lucro p/Ação]],"")</f>
        <v>0.15241671914879509</v>
      </c>
      <c r="P7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6" s="134">
        <f>SUMPRODUCT(N(Tabela1[Código]=Tabela8[[#This Row],[Papel]]),Tabela1[Fechamento])</f>
        <v>15.47</v>
      </c>
      <c r="R776" s="17">
        <f>SUMPRODUCT(N(Tabela17[Código]=Tabela8[[#This Row],[Papel]]),Tabela17[Fechamento])</f>
        <v>0</v>
      </c>
      <c r="S776" s="17">
        <f>SUMPRODUCT(N(Tabela176[Código]=Tabela8[[#This Row],[Papel]]),Tabela176[Fechamento])</f>
        <v>0</v>
      </c>
      <c r="T776" s="17">
        <f>SUMPRODUCT(N(Tabela1768[Código]=Tabela8[[#This Row],[Papel]]),Tabela1768[Fechamento])</f>
        <v>0</v>
      </c>
      <c r="U776" s="17">
        <f>SUMPRODUCT(N(Tabela17683[Código]=Tabela8[[#This Row],[Papel]]),Tabela17683[Fechamento])</f>
        <v>0</v>
      </c>
      <c r="V776" s="17">
        <f>IF(MAX(Tabela8[[#This Row],[Cotação 1]]:Tabela8[[#This Row],[Cotação 5]])=0,"",MAX(Tabela8[[#This Row],[Cotação 1]]:Tabela8[[#This Row],[Cotação 5]]))</f>
        <v>15.47</v>
      </c>
      <c r="W7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6" s="19">
        <f>IF(AND([Ref]=5,[Cotação]&gt;0,[Cotação]&lt;&gt;""),[Total Exercício]/[Cotação],IF([Ref]&lt;4,0,""))</f>
        <v>0</v>
      </c>
      <c r="Y776" s="14">
        <f>IF([Tipo]="div",1,0)</f>
        <v>0</v>
      </c>
      <c r="Z776" s="14">
        <f>IF([Tipo]="jcp",1,0)</f>
        <v>0</v>
      </c>
    </row>
    <row r="777" spans="1:26" hidden="1">
      <c r="A777" s="4" t="s">
        <v>12</v>
      </c>
      <c r="B777" s="3" t="s">
        <v>88</v>
      </c>
      <c r="C777" s="15">
        <v>4</v>
      </c>
      <c r="D777" s="14">
        <v>2010</v>
      </c>
      <c r="E777" s="14" t="s">
        <v>1475</v>
      </c>
      <c r="G777" s="145">
        <v>40268</v>
      </c>
      <c r="H777" s="46">
        <v>40317</v>
      </c>
      <c r="I777" s="133">
        <v>0.13764000000000001</v>
      </c>
      <c r="J777" s="133">
        <f>IF(Tabela8[[#This Row],[Tipo]]="jcp",Tabela8[[#This Row],[Provento p/Ação]]*85%,Tabela8[[#This Row],[Provento p/Ação]])</f>
        <v>0.116994</v>
      </c>
      <c r="K777" s="133" t="str">
        <f>IF([Lucro p/Ação]&lt;&gt;0,SUMPRODUCT(N([Papel]=Tabela8[[#This Row],[Papel]]),N([Exercício]=Tabela8[[#This Row],[Exercício]]),[Líquido p/Ação]),"")</f>
        <v/>
      </c>
      <c r="L777" s="42" t="str">
        <f>IF(Tabela8[[#This Row],[Lucro p/Ação]]="","",IF(Tabela8[[#This Row],[Lucro p/Ação]]&gt;0,Tabela8[[#This Row],[Total Exercício]]/Tabela8[[#This Row],[Lucro p/Ação]],0))</f>
        <v/>
      </c>
      <c r="M77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7" s="19" t="str">
        <f>IF(Tabela8[[#This Row],[Média Lucro p/Ação]]&lt;&gt;"",Tabela8[[#This Row],[Média Pago]]/Tabela8[[#This Row],[Média Lucro p/Ação]],"")</f>
        <v/>
      </c>
      <c r="P7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7" s="134">
        <f>SUMPRODUCT(N(Tabela1[Código]=Tabela8[[#This Row],[Papel]]),Tabela1[Fechamento])</f>
        <v>27.3</v>
      </c>
      <c r="R777" s="7">
        <f>SUMPRODUCT(N(Tabela17[Código]=Tabela8[[#This Row],[Papel]]),Tabela17[Fechamento])</f>
        <v>0</v>
      </c>
      <c r="S777" s="7">
        <f>SUMPRODUCT(N(Tabela176[Código]=Tabela8[[#This Row],[Papel]]),Tabela176[Fechamento])</f>
        <v>0</v>
      </c>
      <c r="T777" s="7">
        <f>SUMPRODUCT(N(Tabela1768[Código]=Tabela8[[#This Row],[Papel]]),Tabela1768[Fechamento])</f>
        <v>0</v>
      </c>
      <c r="U777" s="7">
        <f>SUMPRODUCT(N(Tabela17683[Código]=Tabela8[[#This Row],[Papel]]),Tabela17683[Fechamento])</f>
        <v>0</v>
      </c>
      <c r="V777" s="7">
        <f>IF(MAX(Tabela8[[#This Row],[Cotação 1]]:Tabela8[[#This Row],[Cotação 5]])=0,"",MAX(Tabela8[[#This Row],[Cotação 1]]:Tabela8[[#This Row],[Cotação 5]]))</f>
        <v>27.3</v>
      </c>
      <c r="W7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7" s="19" t="str">
        <f>IF(AND([Ref]=5,[Cotação]&gt;0,[Cotação]&lt;&gt;""),[Total Exercício]/[Cotação],IF([Ref]&lt;4,0,""))</f>
        <v/>
      </c>
      <c r="Y777" s="14">
        <f>IF([Tipo]="div",1,0)</f>
        <v>0</v>
      </c>
      <c r="Z777" s="14">
        <f>IF([Tipo]="jcp",1,0)</f>
        <v>1</v>
      </c>
    </row>
    <row r="778" spans="1:26" hidden="1">
      <c r="A778" s="4" t="s">
        <v>12</v>
      </c>
      <c r="B778" s="3" t="s">
        <v>89</v>
      </c>
      <c r="C778" s="15">
        <v>4</v>
      </c>
      <c r="D778" s="14">
        <v>2010</v>
      </c>
      <c r="E778" s="14" t="s">
        <v>1475</v>
      </c>
      <c r="G778" s="145">
        <v>40268</v>
      </c>
      <c r="H778" s="46">
        <v>40317</v>
      </c>
      <c r="I778" s="133">
        <v>0.13764000000000001</v>
      </c>
      <c r="J778" s="133">
        <f>IF(Tabela8[[#This Row],[Tipo]]="jcp",Tabela8[[#This Row],[Provento p/Ação]]*85%,Tabela8[[#This Row],[Provento p/Ação]])</f>
        <v>0.116994</v>
      </c>
      <c r="K778" s="133" t="str">
        <f>IF([Lucro p/Ação]&lt;&gt;0,SUMPRODUCT(N([Papel]=Tabela8[[#This Row],[Papel]]),N([Exercício]=Tabela8[[#This Row],[Exercício]]),[Líquido p/Ação]),"")</f>
        <v/>
      </c>
      <c r="L778" s="42" t="str">
        <f>IF(Tabela8[[#This Row],[Lucro p/Ação]]="","",IF(Tabela8[[#This Row],[Lucro p/Ação]]&gt;0,Tabela8[[#This Row],[Total Exercício]]/Tabela8[[#This Row],[Lucro p/Ação]],0))</f>
        <v/>
      </c>
      <c r="M77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8" s="19" t="str">
        <f>IF(Tabela8[[#This Row],[Média Lucro p/Ação]]&lt;&gt;"",Tabela8[[#This Row],[Média Pago]]/Tabela8[[#This Row],[Média Lucro p/Ação]],"")</f>
        <v/>
      </c>
      <c r="P7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8" s="134">
        <f>SUMPRODUCT(N(Tabela1[Código]=Tabela8[[#This Row],[Papel]]),Tabela1[Fechamento])</f>
        <v>32.01</v>
      </c>
      <c r="R778" s="7">
        <f>SUMPRODUCT(N(Tabela17[Código]=Tabela8[[#This Row],[Papel]]),Tabela17[Fechamento])</f>
        <v>0</v>
      </c>
      <c r="S778" s="7">
        <f>SUMPRODUCT(N(Tabela176[Código]=Tabela8[[#This Row],[Papel]]),Tabela176[Fechamento])</f>
        <v>0</v>
      </c>
      <c r="T778" s="7">
        <f>SUMPRODUCT(N(Tabela1768[Código]=Tabela8[[#This Row],[Papel]]),Tabela1768[Fechamento])</f>
        <v>0</v>
      </c>
      <c r="U778" s="7">
        <f>SUMPRODUCT(N(Tabela17683[Código]=Tabela8[[#This Row],[Papel]]),Tabela17683[Fechamento])</f>
        <v>0</v>
      </c>
      <c r="V778" s="7">
        <f>IF(MAX(Tabela8[[#This Row],[Cotação 1]]:Tabela8[[#This Row],[Cotação 5]])=0,"",MAX(Tabela8[[#This Row],[Cotação 1]]:Tabela8[[#This Row],[Cotação 5]]))</f>
        <v>32.01</v>
      </c>
      <c r="W7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8" s="19" t="str">
        <f>IF(AND([Ref]=5,[Cotação]&gt;0,[Cotação]&lt;&gt;""),[Total Exercício]/[Cotação],IF([Ref]&lt;4,0,""))</f>
        <v/>
      </c>
      <c r="Y778" s="14">
        <f>IF([Tipo]="div",1,0)</f>
        <v>0</v>
      </c>
      <c r="Z778" s="14">
        <f>IF([Tipo]="jcp",1,0)</f>
        <v>1</v>
      </c>
    </row>
    <row r="779" spans="1:26" hidden="1">
      <c r="A779" s="4" t="s">
        <v>12</v>
      </c>
      <c r="B779" s="3" t="s">
        <v>466</v>
      </c>
      <c r="C779" s="15">
        <v>4</v>
      </c>
      <c r="D779" s="14">
        <v>2010</v>
      </c>
      <c r="E779" s="14" t="s">
        <v>1475</v>
      </c>
      <c r="G779" s="145">
        <v>40268</v>
      </c>
      <c r="H779" s="46">
        <v>40317</v>
      </c>
      <c r="I779" s="133">
        <v>0.15140000000000001</v>
      </c>
      <c r="J779" s="133">
        <f>IF(Tabela8[[#This Row],[Tipo]]="jcp",Tabela8[[#This Row],[Provento p/Ação]]*85%,Tabela8[[#This Row],[Provento p/Ação]])</f>
        <v>0.12869</v>
      </c>
      <c r="K779" s="133" t="str">
        <f>IF([Lucro p/Ação]&lt;&gt;0,SUMPRODUCT(N([Papel]=Tabela8[[#This Row],[Papel]]),N([Exercício]=Tabela8[[#This Row],[Exercício]]),[Líquido p/Ação]),"")</f>
        <v/>
      </c>
      <c r="L779" s="42" t="str">
        <f>IF(Tabela8[[#This Row],[Lucro p/Ação]]="","",IF(Tabela8[[#This Row],[Lucro p/Ação]]&gt;0,Tabela8[[#This Row],[Total Exercício]]/Tabela8[[#This Row],[Lucro p/Ação]],0))</f>
        <v/>
      </c>
      <c r="M77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7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79" s="19" t="str">
        <f>IF(Tabela8[[#This Row],[Média Lucro p/Ação]]&lt;&gt;"",Tabela8[[#This Row],[Média Pago]]/Tabela8[[#This Row],[Média Lucro p/Ação]],"")</f>
        <v/>
      </c>
      <c r="P7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79" s="134">
        <f>SUMPRODUCT(N(Tabela1[Código]=Tabela8[[#This Row],[Papel]]),Tabela1[Fechamento])</f>
        <v>0</v>
      </c>
      <c r="R779" s="17">
        <f>SUMPRODUCT(N(Tabela17[Código]=Tabela8[[#This Row],[Papel]]),Tabela17[Fechamento])</f>
        <v>0</v>
      </c>
      <c r="S779" s="17">
        <f>SUMPRODUCT(N(Tabela176[Código]=Tabela8[[#This Row],[Papel]]),Tabela176[Fechamento])</f>
        <v>0</v>
      </c>
      <c r="T779" s="17">
        <f>SUMPRODUCT(N(Tabela1768[Código]=Tabela8[[#This Row],[Papel]]),Tabela1768[Fechamento])</f>
        <v>0</v>
      </c>
      <c r="U779" s="17">
        <f>SUMPRODUCT(N(Tabela17683[Código]=Tabela8[[#This Row],[Papel]]),Tabela17683[Fechamento])</f>
        <v>0</v>
      </c>
      <c r="V779" s="17" t="str">
        <f>IF(MAX(Tabela8[[#This Row],[Cotação 1]]:Tabela8[[#This Row],[Cotação 5]])=0,"",MAX(Tabela8[[#This Row],[Cotação 1]]:Tabela8[[#This Row],[Cotação 5]]))</f>
        <v/>
      </c>
      <c r="W7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79" s="19" t="str">
        <f>IF(AND([Ref]=5,[Cotação]&gt;0,[Cotação]&lt;&gt;""),[Total Exercício]/[Cotação],IF([Ref]&lt;4,0,""))</f>
        <v/>
      </c>
      <c r="Y779" s="14">
        <f>IF([Tipo]="div",1,0)</f>
        <v>0</v>
      </c>
      <c r="Z779" s="14">
        <f>IF([Tipo]="jcp",1,0)</f>
        <v>1</v>
      </c>
    </row>
    <row r="780" spans="1:26" hidden="1">
      <c r="A780" s="4" t="s">
        <v>12</v>
      </c>
      <c r="B780" s="3" t="s">
        <v>88</v>
      </c>
      <c r="C780" s="15">
        <v>4</v>
      </c>
      <c r="D780" s="14">
        <v>2010</v>
      </c>
      <c r="E780" s="14" t="s">
        <v>1475</v>
      </c>
      <c r="G780" s="145">
        <v>40359</v>
      </c>
      <c r="H780" s="46">
        <v>40436</v>
      </c>
      <c r="I780" s="133">
        <v>0.13764000000000001</v>
      </c>
      <c r="J780" s="133">
        <f>IF(Tabela8[[#This Row],[Tipo]]="jcp",Tabela8[[#This Row],[Provento p/Ação]]*85%,Tabela8[[#This Row],[Provento p/Ação]])</f>
        <v>0.116994</v>
      </c>
      <c r="K780" s="133" t="str">
        <f>IF([Lucro p/Ação]&lt;&gt;0,SUMPRODUCT(N([Papel]=Tabela8[[#This Row],[Papel]]),N([Exercício]=Tabela8[[#This Row],[Exercício]]),[Líquido p/Ação]),"")</f>
        <v/>
      </c>
      <c r="L780" s="42" t="str">
        <f>IF(Tabela8[[#This Row],[Lucro p/Ação]]="","",IF(Tabela8[[#This Row],[Lucro p/Ação]]&gt;0,Tabela8[[#This Row],[Total Exercício]]/Tabela8[[#This Row],[Lucro p/Ação]],0))</f>
        <v/>
      </c>
      <c r="M78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0" s="19" t="str">
        <f>IF(Tabela8[[#This Row],[Média Lucro p/Ação]]&lt;&gt;"",Tabela8[[#This Row],[Média Pago]]/Tabela8[[#This Row],[Média Lucro p/Ação]],"")</f>
        <v/>
      </c>
      <c r="P7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0" s="134">
        <f>SUMPRODUCT(N(Tabela1[Código]=Tabela8[[#This Row],[Papel]]),Tabela1[Fechamento])</f>
        <v>27.3</v>
      </c>
      <c r="R780" s="7">
        <f>SUMPRODUCT(N(Tabela17[Código]=Tabela8[[#This Row],[Papel]]),Tabela17[Fechamento])</f>
        <v>0</v>
      </c>
      <c r="S780" s="7">
        <f>SUMPRODUCT(N(Tabela176[Código]=Tabela8[[#This Row],[Papel]]),Tabela176[Fechamento])</f>
        <v>0</v>
      </c>
      <c r="T780" s="7">
        <f>SUMPRODUCT(N(Tabela1768[Código]=Tabela8[[#This Row],[Papel]]),Tabela1768[Fechamento])</f>
        <v>0</v>
      </c>
      <c r="U780" s="7">
        <f>SUMPRODUCT(N(Tabela17683[Código]=Tabela8[[#This Row],[Papel]]),Tabela17683[Fechamento])</f>
        <v>0</v>
      </c>
      <c r="V780" s="7">
        <f>IF(MAX(Tabela8[[#This Row],[Cotação 1]]:Tabela8[[#This Row],[Cotação 5]])=0,"",MAX(Tabela8[[#This Row],[Cotação 1]]:Tabela8[[#This Row],[Cotação 5]]))</f>
        <v>27.3</v>
      </c>
      <c r="W7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0" s="19" t="str">
        <f>IF(AND([Ref]=5,[Cotação]&gt;0,[Cotação]&lt;&gt;""),[Total Exercício]/[Cotação],IF([Ref]&lt;4,0,""))</f>
        <v/>
      </c>
      <c r="Y780" s="14">
        <f>IF([Tipo]="div",1,0)</f>
        <v>0</v>
      </c>
      <c r="Z780" s="14">
        <f>IF([Tipo]="jcp",1,0)</f>
        <v>1</v>
      </c>
    </row>
    <row r="781" spans="1:26" hidden="1">
      <c r="A781" s="4" t="s">
        <v>12</v>
      </c>
      <c r="B781" s="3" t="s">
        <v>89</v>
      </c>
      <c r="C781" s="15">
        <v>4</v>
      </c>
      <c r="D781" s="14">
        <v>2010</v>
      </c>
      <c r="E781" s="14" t="s">
        <v>1475</v>
      </c>
      <c r="G781" s="145">
        <v>40359</v>
      </c>
      <c r="H781" s="46">
        <v>40436</v>
      </c>
      <c r="I781" s="133">
        <v>0.13764000000000001</v>
      </c>
      <c r="J781" s="133">
        <f>IF(Tabela8[[#This Row],[Tipo]]="jcp",Tabela8[[#This Row],[Provento p/Ação]]*85%,Tabela8[[#This Row],[Provento p/Ação]])</f>
        <v>0.116994</v>
      </c>
      <c r="K781" s="133" t="str">
        <f>IF([Lucro p/Ação]&lt;&gt;0,SUMPRODUCT(N([Papel]=Tabela8[[#This Row],[Papel]]),N([Exercício]=Tabela8[[#This Row],[Exercício]]),[Líquido p/Ação]),"")</f>
        <v/>
      </c>
      <c r="L781" s="42" t="str">
        <f>IF(Tabela8[[#This Row],[Lucro p/Ação]]="","",IF(Tabela8[[#This Row],[Lucro p/Ação]]&gt;0,Tabela8[[#This Row],[Total Exercício]]/Tabela8[[#This Row],[Lucro p/Ação]],0))</f>
        <v/>
      </c>
      <c r="M78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1" s="19" t="str">
        <f>IF(Tabela8[[#This Row],[Média Lucro p/Ação]]&lt;&gt;"",Tabela8[[#This Row],[Média Pago]]/Tabela8[[#This Row],[Média Lucro p/Ação]],"")</f>
        <v/>
      </c>
      <c r="P7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1" s="134">
        <f>SUMPRODUCT(N(Tabela1[Código]=Tabela8[[#This Row],[Papel]]),Tabela1[Fechamento])</f>
        <v>32.01</v>
      </c>
      <c r="R781" s="7">
        <f>SUMPRODUCT(N(Tabela17[Código]=Tabela8[[#This Row],[Papel]]),Tabela17[Fechamento])</f>
        <v>0</v>
      </c>
      <c r="S781" s="7">
        <f>SUMPRODUCT(N(Tabela176[Código]=Tabela8[[#This Row],[Papel]]),Tabela176[Fechamento])</f>
        <v>0</v>
      </c>
      <c r="T781" s="7">
        <f>SUMPRODUCT(N(Tabela1768[Código]=Tabela8[[#This Row],[Papel]]),Tabela1768[Fechamento])</f>
        <v>0</v>
      </c>
      <c r="U781" s="7">
        <f>SUMPRODUCT(N(Tabela17683[Código]=Tabela8[[#This Row],[Papel]]),Tabela17683[Fechamento])</f>
        <v>0</v>
      </c>
      <c r="V781" s="7">
        <f>IF(MAX(Tabela8[[#This Row],[Cotação 1]]:Tabela8[[#This Row],[Cotação 5]])=0,"",MAX(Tabela8[[#This Row],[Cotação 1]]:Tabela8[[#This Row],[Cotação 5]]))</f>
        <v>32.01</v>
      </c>
      <c r="W7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1" s="19" t="str">
        <f>IF(AND([Ref]=5,[Cotação]&gt;0,[Cotação]&lt;&gt;""),[Total Exercício]/[Cotação],IF([Ref]&lt;4,0,""))</f>
        <v/>
      </c>
      <c r="Y781" s="14">
        <f>IF([Tipo]="div",1,0)</f>
        <v>0</v>
      </c>
      <c r="Z781" s="14">
        <f>IF([Tipo]="jcp",1,0)</f>
        <v>1</v>
      </c>
    </row>
    <row r="782" spans="1:26" hidden="1">
      <c r="A782" s="4" t="s">
        <v>12</v>
      </c>
      <c r="B782" s="3" t="s">
        <v>466</v>
      </c>
      <c r="C782" s="15">
        <v>4</v>
      </c>
      <c r="D782" s="14">
        <v>2010</v>
      </c>
      <c r="E782" s="14" t="s">
        <v>1475</v>
      </c>
      <c r="G782" s="145">
        <v>40359</v>
      </c>
      <c r="H782" s="46">
        <v>40436</v>
      </c>
      <c r="I782" s="133">
        <v>0.15140999999999999</v>
      </c>
      <c r="J782" s="133">
        <f>IF(Tabela8[[#This Row],[Tipo]]="jcp",Tabela8[[#This Row],[Provento p/Ação]]*85%,Tabela8[[#This Row],[Provento p/Ação]])</f>
        <v>0.12869849999999999</v>
      </c>
      <c r="K782" s="133" t="str">
        <f>IF([Lucro p/Ação]&lt;&gt;0,SUMPRODUCT(N([Papel]=Tabela8[[#This Row],[Papel]]),N([Exercício]=Tabela8[[#This Row],[Exercício]]),[Líquido p/Ação]),"")</f>
        <v/>
      </c>
      <c r="L782" s="42" t="str">
        <f>IF(Tabela8[[#This Row],[Lucro p/Ação]]="","",IF(Tabela8[[#This Row],[Lucro p/Ação]]&gt;0,Tabela8[[#This Row],[Total Exercício]]/Tabela8[[#This Row],[Lucro p/Ação]],0))</f>
        <v/>
      </c>
      <c r="M78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2" s="19" t="str">
        <f>IF(Tabela8[[#This Row],[Média Lucro p/Ação]]&lt;&gt;"",Tabela8[[#This Row],[Média Pago]]/Tabela8[[#This Row],[Média Lucro p/Ação]],"")</f>
        <v/>
      </c>
      <c r="P7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2" s="134">
        <f>SUMPRODUCT(N(Tabela1[Código]=Tabela8[[#This Row],[Papel]]),Tabela1[Fechamento])</f>
        <v>0</v>
      </c>
      <c r="R782" s="17">
        <f>SUMPRODUCT(N(Tabela17[Código]=Tabela8[[#This Row],[Papel]]),Tabela17[Fechamento])</f>
        <v>0</v>
      </c>
      <c r="S782" s="17">
        <f>SUMPRODUCT(N(Tabela176[Código]=Tabela8[[#This Row],[Papel]]),Tabela176[Fechamento])</f>
        <v>0</v>
      </c>
      <c r="T782" s="17">
        <f>SUMPRODUCT(N(Tabela1768[Código]=Tabela8[[#This Row],[Papel]]),Tabela1768[Fechamento])</f>
        <v>0</v>
      </c>
      <c r="U782" s="17">
        <f>SUMPRODUCT(N(Tabela17683[Código]=Tabela8[[#This Row],[Papel]]),Tabela17683[Fechamento])</f>
        <v>0</v>
      </c>
      <c r="V782" s="17" t="str">
        <f>IF(MAX(Tabela8[[#This Row],[Cotação 1]]:Tabela8[[#This Row],[Cotação 5]])=0,"",MAX(Tabela8[[#This Row],[Cotação 1]]:Tabela8[[#This Row],[Cotação 5]]))</f>
        <v/>
      </c>
      <c r="W7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2" s="19" t="str">
        <f>IF(AND([Ref]=5,[Cotação]&gt;0,[Cotação]&lt;&gt;""),[Total Exercício]/[Cotação],IF([Ref]&lt;4,0,""))</f>
        <v/>
      </c>
      <c r="Y782" s="14">
        <f>IF([Tipo]="div",1,0)</f>
        <v>0</v>
      </c>
      <c r="Z782" s="14">
        <f>IF([Tipo]="jcp",1,0)</f>
        <v>1</v>
      </c>
    </row>
    <row r="783" spans="1:26" hidden="1">
      <c r="A783" s="4" t="s">
        <v>12</v>
      </c>
      <c r="B783" s="3" t="s">
        <v>88</v>
      </c>
      <c r="C783" s="15">
        <v>4</v>
      </c>
      <c r="D783" s="14">
        <v>2010</v>
      </c>
      <c r="E783" s="14" t="s">
        <v>1468</v>
      </c>
      <c r="G783" s="145">
        <v>40451</v>
      </c>
      <c r="H783" s="46">
        <v>40527</v>
      </c>
      <c r="I783" s="133">
        <v>1.4510000000000001</v>
      </c>
      <c r="J783" s="133">
        <f>IF(Tabela8[[#This Row],[Tipo]]="jcp",Tabela8[[#This Row],[Provento p/Ação]]*85%,Tabela8[[#This Row],[Provento p/Ação]])</f>
        <v>1.4510000000000001</v>
      </c>
      <c r="K783" s="133" t="str">
        <f>IF([Lucro p/Ação]&lt;&gt;0,SUMPRODUCT(N([Papel]=Tabela8[[#This Row],[Papel]]),N([Exercício]=Tabela8[[#This Row],[Exercício]]),[Líquido p/Ação]),"")</f>
        <v/>
      </c>
      <c r="L783" s="42" t="str">
        <f>IF(Tabela8[[#This Row],[Lucro p/Ação]]="","",IF(Tabela8[[#This Row],[Lucro p/Ação]]&gt;0,Tabela8[[#This Row],[Total Exercício]]/Tabela8[[#This Row],[Lucro p/Ação]],0))</f>
        <v/>
      </c>
      <c r="M7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3" s="19" t="str">
        <f>IF(Tabela8[[#This Row],[Média Lucro p/Ação]]&lt;&gt;"",Tabela8[[#This Row],[Média Pago]]/Tabela8[[#This Row],[Média Lucro p/Ação]],"")</f>
        <v/>
      </c>
      <c r="P7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3" s="134">
        <f>SUMPRODUCT(N(Tabela1[Código]=Tabela8[[#This Row],[Papel]]),Tabela1[Fechamento])</f>
        <v>27.3</v>
      </c>
      <c r="R783" s="7">
        <f>SUMPRODUCT(N(Tabela17[Código]=Tabela8[[#This Row],[Papel]]),Tabela17[Fechamento])</f>
        <v>0</v>
      </c>
      <c r="S783" s="7">
        <f>SUMPRODUCT(N(Tabela176[Código]=Tabela8[[#This Row],[Papel]]),Tabela176[Fechamento])</f>
        <v>0</v>
      </c>
      <c r="T783" s="7">
        <f>SUMPRODUCT(N(Tabela1768[Código]=Tabela8[[#This Row],[Papel]]),Tabela1768[Fechamento])</f>
        <v>0</v>
      </c>
      <c r="U783" s="7">
        <f>SUMPRODUCT(N(Tabela17683[Código]=Tabela8[[#This Row],[Papel]]),Tabela17683[Fechamento])</f>
        <v>0</v>
      </c>
      <c r="V783" s="7">
        <f>IF(MAX(Tabela8[[#This Row],[Cotação 1]]:Tabela8[[#This Row],[Cotação 5]])=0,"",MAX(Tabela8[[#This Row],[Cotação 1]]:Tabela8[[#This Row],[Cotação 5]]))</f>
        <v>27.3</v>
      </c>
      <c r="W7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3" s="19" t="str">
        <f>IF(AND([Ref]=5,[Cotação]&gt;0,[Cotação]&lt;&gt;""),[Total Exercício]/[Cotação],IF([Ref]&lt;4,0,""))</f>
        <v/>
      </c>
      <c r="Y783" s="14">
        <f>IF([Tipo]="div",1,0)</f>
        <v>1</v>
      </c>
      <c r="Z783" s="14">
        <f>IF([Tipo]="jcp",1,0)</f>
        <v>0</v>
      </c>
    </row>
    <row r="784" spans="1:26" hidden="1">
      <c r="A784" s="4" t="s">
        <v>12</v>
      </c>
      <c r="B784" s="3" t="s">
        <v>89</v>
      </c>
      <c r="C784" s="15">
        <v>4</v>
      </c>
      <c r="D784" s="14">
        <v>2010</v>
      </c>
      <c r="E784" s="14" t="s">
        <v>1468</v>
      </c>
      <c r="G784" s="145">
        <v>40451</v>
      </c>
      <c r="H784" s="46">
        <v>40527</v>
      </c>
      <c r="I784" s="133">
        <v>1.4510000000000001</v>
      </c>
      <c r="J784" s="133">
        <f>IF(Tabela8[[#This Row],[Tipo]]="jcp",Tabela8[[#This Row],[Provento p/Ação]]*85%,Tabela8[[#This Row],[Provento p/Ação]])</f>
        <v>1.4510000000000001</v>
      </c>
      <c r="K784" s="133" t="str">
        <f>IF([Lucro p/Ação]&lt;&gt;0,SUMPRODUCT(N([Papel]=Tabela8[[#This Row],[Papel]]),N([Exercício]=Tabela8[[#This Row],[Exercício]]),[Líquido p/Ação]),"")</f>
        <v/>
      </c>
      <c r="L784" s="42" t="str">
        <f>IF(Tabela8[[#This Row],[Lucro p/Ação]]="","",IF(Tabela8[[#This Row],[Lucro p/Ação]]&gt;0,Tabela8[[#This Row],[Total Exercício]]/Tabela8[[#This Row],[Lucro p/Ação]],0))</f>
        <v/>
      </c>
      <c r="M78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4" s="19" t="str">
        <f>IF(Tabela8[[#This Row],[Média Lucro p/Ação]]&lt;&gt;"",Tabela8[[#This Row],[Média Pago]]/Tabela8[[#This Row],[Média Lucro p/Ação]],"")</f>
        <v/>
      </c>
      <c r="P7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4" s="134">
        <f>SUMPRODUCT(N(Tabela1[Código]=Tabela8[[#This Row],[Papel]]),Tabela1[Fechamento])</f>
        <v>32.01</v>
      </c>
      <c r="R784" s="7">
        <f>SUMPRODUCT(N(Tabela17[Código]=Tabela8[[#This Row],[Papel]]),Tabela17[Fechamento])</f>
        <v>0</v>
      </c>
      <c r="S784" s="7">
        <f>SUMPRODUCT(N(Tabela176[Código]=Tabela8[[#This Row],[Papel]]),Tabela176[Fechamento])</f>
        <v>0</v>
      </c>
      <c r="T784" s="7">
        <f>SUMPRODUCT(N(Tabela1768[Código]=Tabela8[[#This Row],[Papel]]),Tabela1768[Fechamento])</f>
        <v>0</v>
      </c>
      <c r="U784" s="7">
        <f>SUMPRODUCT(N(Tabela17683[Código]=Tabela8[[#This Row],[Papel]]),Tabela17683[Fechamento])</f>
        <v>0</v>
      </c>
      <c r="V784" s="7">
        <f>IF(MAX(Tabela8[[#This Row],[Cotação 1]]:Tabela8[[#This Row],[Cotação 5]])=0,"",MAX(Tabela8[[#This Row],[Cotação 1]]:Tabela8[[#This Row],[Cotação 5]]))</f>
        <v>32.01</v>
      </c>
      <c r="W7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4" s="19" t="str">
        <f>IF(AND([Ref]=5,[Cotação]&gt;0,[Cotação]&lt;&gt;""),[Total Exercício]/[Cotação],IF([Ref]&lt;4,0,""))</f>
        <v/>
      </c>
      <c r="Y784" s="14">
        <f>IF([Tipo]="div",1,0)</f>
        <v>1</v>
      </c>
      <c r="Z784" s="14">
        <f>IF([Tipo]="jcp",1,0)</f>
        <v>0</v>
      </c>
    </row>
    <row r="785" spans="1:26" hidden="1">
      <c r="A785" s="4" t="s">
        <v>12</v>
      </c>
      <c r="B785" s="3" t="s">
        <v>466</v>
      </c>
      <c r="C785" s="15">
        <v>4</v>
      </c>
      <c r="D785" s="14">
        <v>2010</v>
      </c>
      <c r="E785" s="14" t="s">
        <v>1468</v>
      </c>
      <c r="G785" s="145">
        <v>40451</v>
      </c>
      <c r="H785" s="46">
        <v>40527</v>
      </c>
      <c r="I785" s="133">
        <v>1.5961000000000001</v>
      </c>
      <c r="J785" s="133">
        <f>IF(Tabela8[[#This Row],[Tipo]]="jcp",Tabela8[[#This Row],[Provento p/Ação]]*85%,Tabela8[[#This Row],[Provento p/Ação]])</f>
        <v>1.5961000000000001</v>
      </c>
      <c r="K785" s="133" t="str">
        <f>IF([Lucro p/Ação]&lt;&gt;0,SUMPRODUCT(N([Papel]=Tabela8[[#This Row],[Papel]]),N([Exercício]=Tabela8[[#This Row],[Exercício]]),[Líquido p/Ação]),"")</f>
        <v/>
      </c>
      <c r="L785" s="42" t="str">
        <f>IF(Tabela8[[#This Row],[Lucro p/Ação]]="","",IF(Tabela8[[#This Row],[Lucro p/Ação]]&gt;0,Tabela8[[#This Row],[Total Exercício]]/Tabela8[[#This Row],[Lucro p/Ação]],0))</f>
        <v/>
      </c>
      <c r="M78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5" s="19" t="str">
        <f>IF(Tabela8[[#This Row],[Média Lucro p/Ação]]&lt;&gt;"",Tabela8[[#This Row],[Média Pago]]/Tabela8[[#This Row],[Média Lucro p/Ação]],"")</f>
        <v/>
      </c>
      <c r="P7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5" s="134">
        <f>SUMPRODUCT(N(Tabela1[Código]=Tabela8[[#This Row],[Papel]]),Tabela1[Fechamento])</f>
        <v>0</v>
      </c>
      <c r="R785" s="17">
        <f>SUMPRODUCT(N(Tabela17[Código]=Tabela8[[#This Row],[Papel]]),Tabela17[Fechamento])</f>
        <v>0</v>
      </c>
      <c r="S785" s="17">
        <f>SUMPRODUCT(N(Tabela176[Código]=Tabela8[[#This Row],[Papel]]),Tabela176[Fechamento])</f>
        <v>0</v>
      </c>
      <c r="T785" s="17">
        <f>SUMPRODUCT(N(Tabela1768[Código]=Tabela8[[#This Row],[Papel]]),Tabela1768[Fechamento])</f>
        <v>0</v>
      </c>
      <c r="U785" s="17">
        <f>SUMPRODUCT(N(Tabela17683[Código]=Tabela8[[#This Row],[Papel]]),Tabela17683[Fechamento])</f>
        <v>0</v>
      </c>
      <c r="V785" s="17" t="str">
        <f>IF(MAX(Tabela8[[#This Row],[Cotação 1]]:Tabela8[[#This Row],[Cotação 5]])=0,"",MAX(Tabela8[[#This Row],[Cotação 1]]:Tabela8[[#This Row],[Cotação 5]]))</f>
        <v/>
      </c>
      <c r="W7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5" s="19" t="str">
        <f>IF(AND([Ref]=5,[Cotação]&gt;0,[Cotação]&lt;&gt;""),[Total Exercício]/[Cotação],IF([Ref]&lt;4,0,""))</f>
        <v/>
      </c>
      <c r="Y785" s="14">
        <f>IF([Tipo]="div",1,0)</f>
        <v>1</v>
      </c>
      <c r="Z785" s="14">
        <f>IF([Tipo]="jcp",1,0)</f>
        <v>0</v>
      </c>
    </row>
    <row r="786" spans="1:26" hidden="1">
      <c r="A786" s="4" t="s">
        <v>12</v>
      </c>
      <c r="B786" s="3" t="s">
        <v>88</v>
      </c>
      <c r="C786" s="15">
        <v>4</v>
      </c>
      <c r="D786" s="14">
        <v>2010</v>
      </c>
      <c r="E786" s="14" t="s">
        <v>1475</v>
      </c>
      <c r="G786" s="145">
        <v>40451</v>
      </c>
      <c r="H786" s="46">
        <v>40527</v>
      </c>
      <c r="I786" s="133">
        <v>0.13764000000000001</v>
      </c>
      <c r="J786" s="133">
        <f>IF(Tabela8[[#This Row],[Tipo]]="jcp",Tabela8[[#This Row],[Provento p/Ação]]*85%,Tabela8[[#This Row],[Provento p/Ação]])</f>
        <v>0.116994</v>
      </c>
      <c r="K786" s="133" t="str">
        <f>IF([Lucro p/Ação]&lt;&gt;0,SUMPRODUCT(N([Papel]=Tabela8[[#This Row],[Papel]]),N([Exercício]=Tabela8[[#This Row],[Exercício]]),[Líquido p/Ação]),"")</f>
        <v/>
      </c>
      <c r="L786" s="42" t="str">
        <f>IF(Tabela8[[#This Row],[Lucro p/Ação]]="","",IF(Tabela8[[#This Row],[Lucro p/Ação]]&gt;0,Tabela8[[#This Row],[Total Exercício]]/Tabela8[[#This Row],[Lucro p/Ação]],0))</f>
        <v/>
      </c>
      <c r="M7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6" s="19" t="str">
        <f>IF(Tabela8[[#This Row],[Média Lucro p/Ação]]&lt;&gt;"",Tabela8[[#This Row],[Média Pago]]/Tabela8[[#This Row],[Média Lucro p/Ação]],"")</f>
        <v/>
      </c>
      <c r="P7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6" s="134">
        <f>SUMPRODUCT(N(Tabela1[Código]=Tabela8[[#This Row],[Papel]]),Tabela1[Fechamento])</f>
        <v>27.3</v>
      </c>
      <c r="R786" s="7">
        <f>SUMPRODUCT(N(Tabela17[Código]=Tabela8[[#This Row],[Papel]]),Tabela17[Fechamento])</f>
        <v>0</v>
      </c>
      <c r="S786" s="7">
        <f>SUMPRODUCT(N(Tabela176[Código]=Tabela8[[#This Row],[Papel]]),Tabela176[Fechamento])</f>
        <v>0</v>
      </c>
      <c r="T786" s="7">
        <f>SUMPRODUCT(N(Tabela1768[Código]=Tabela8[[#This Row],[Papel]]),Tabela1768[Fechamento])</f>
        <v>0</v>
      </c>
      <c r="U786" s="7">
        <f>SUMPRODUCT(N(Tabela17683[Código]=Tabela8[[#This Row],[Papel]]),Tabela17683[Fechamento])</f>
        <v>0</v>
      </c>
      <c r="V786" s="7">
        <f>IF(MAX(Tabela8[[#This Row],[Cotação 1]]:Tabela8[[#This Row],[Cotação 5]])=0,"",MAX(Tabela8[[#This Row],[Cotação 1]]:Tabela8[[#This Row],[Cotação 5]]))</f>
        <v>27.3</v>
      </c>
      <c r="W7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6" s="19" t="str">
        <f>IF(AND([Ref]=5,[Cotação]&gt;0,[Cotação]&lt;&gt;""),[Total Exercício]/[Cotação],IF([Ref]&lt;4,0,""))</f>
        <v/>
      </c>
      <c r="Y786" s="14">
        <f>IF([Tipo]="div",1,0)</f>
        <v>0</v>
      </c>
      <c r="Z786" s="14">
        <f>IF([Tipo]="jcp",1,0)</f>
        <v>1</v>
      </c>
    </row>
    <row r="787" spans="1:26" hidden="1">
      <c r="A787" s="4" t="s">
        <v>12</v>
      </c>
      <c r="B787" s="3" t="s">
        <v>89</v>
      </c>
      <c r="C787" s="15">
        <v>4</v>
      </c>
      <c r="D787" s="14">
        <v>2010</v>
      </c>
      <c r="E787" s="14" t="s">
        <v>1475</v>
      </c>
      <c r="G787" s="145">
        <v>40451</v>
      </c>
      <c r="H787" s="46">
        <v>40527</v>
      </c>
      <c r="I787" s="133">
        <v>0.13764000000000001</v>
      </c>
      <c r="J787" s="133">
        <f>IF(Tabela8[[#This Row],[Tipo]]="jcp",Tabela8[[#This Row],[Provento p/Ação]]*85%,Tabela8[[#This Row],[Provento p/Ação]])</f>
        <v>0.116994</v>
      </c>
      <c r="K787" s="133" t="str">
        <f>IF([Lucro p/Ação]&lt;&gt;0,SUMPRODUCT(N([Papel]=Tabela8[[#This Row],[Papel]]),N([Exercício]=Tabela8[[#This Row],[Exercício]]),[Líquido p/Ação]),"")</f>
        <v/>
      </c>
      <c r="L787" s="42" t="str">
        <f>IF(Tabela8[[#This Row],[Lucro p/Ação]]="","",IF(Tabela8[[#This Row],[Lucro p/Ação]]&gt;0,Tabela8[[#This Row],[Total Exercício]]/Tabela8[[#This Row],[Lucro p/Ação]],0))</f>
        <v/>
      </c>
      <c r="M78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7" s="19" t="str">
        <f>IF(Tabela8[[#This Row],[Média Lucro p/Ação]]&lt;&gt;"",Tabela8[[#This Row],[Média Pago]]/Tabela8[[#This Row],[Média Lucro p/Ação]],"")</f>
        <v/>
      </c>
      <c r="P7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7" s="134">
        <f>SUMPRODUCT(N(Tabela1[Código]=Tabela8[[#This Row],[Papel]]),Tabela1[Fechamento])</f>
        <v>32.01</v>
      </c>
      <c r="R787" s="7">
        <f>SUMPRODUCT(N(Tabela17[Código]=Tabela8[[#This Row],[Papel]]),Tabela17[Fechamento])</f>
        <v>0</v>
      </c>
      <c r="S787" s="7">
        <f>SUMPRODUCT(N(Tabela176[Código]=Tabela8[[#This Row],[Papel]]),Tabela176[Fechamento])</f>
        <v>0</v>
      </c>
      <c r="T787" s="7">
        <f>SUMPRODUCT(N(Tabela1768[Código]=Tabela8[[#This Row],[Papel]]),Tabela1768[Fechamento])</f>
        <v>0</v>
      </c>
      <c r="U787" s="7">
        <f>SUMPRODUCT(N(Tabela17683[Código]=Tabela8[[#This Row],[Papel]]),Tabela17683[Fechamento])</f>
        <v>0</v>
      </c>
      <c r="V787" s="7">
        <f>IF(MAX(Tabela8[[#This Row],[Cotação 1]]:Tabela8[[#This Row],[Cotação 5]])=0,"",MAX(Tabela8[[#This Row],[Cotação 1]]:Tabela8[[#This Row],[Cotação 5]]))</f>
        <v>32.01</v>
      </c>
      <c r="W7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7" s="19" t="str">
        <f>IF(AND([Ref]=5,[Cotação]&gt;0,[Cotação]&lt;&gt;""),[Total Exercício]/[Cotação],IF([Ref]&lt;4,0,""))</f>
        <v/>
      </c>
      <c r="Y787" s="14">
        <f>IF([Tipo]="div",1,0)</f>
        <v>0</v>
      </c>
      <c r="Z787" s="14">
        <f>IF([Tipo]="jcp",1,0)</f>
        <v>1</v>
      </c>
    </row>
    <row r="788" spans="1:26" hidden="1">
      <c r="A788" s="4" t="s">
        <v>12</v>
      </c>
      <c r="B788" s="3" t="s">
        <v>466</v>
      </c>
      <c r="C788" s="15">
        <v>4</v>
      </c>
      <c r="D788" s="14">
        <v>2010</v>
      </c>
      <c r="E788" s="14" t="s">
        <v>1475</v>
      </c>
      <c r="G788" s="145">
        <v>40451</v>
      </c>
      <c r="H788" s="46">
        <v>40527</v>
      </c>
      <c r="I788" s="133">
        <v>0.15140000000000001</v>
      </c>
      <c r="J788" s="133">
        <f>IF(Tabela8[[#This Row],[Tipo]]="jcp",Tabela8[[#This Row],[Provento p/Ação]]*85%,Tabela8[[#This Row],[Provento p/Ação]])</f>
        <v>0.12869</v>
      </c>
      <c r="K788" s="133" t="str">
        <f>IF([Lucro p/Ação]&lt;&gt;0,SUMPRODUCT(N([Papel]=Tabela8[[#This Row],[Papel]]),N([Exercício]=Tabela8[[#This Row],[Exercício]]),[Líquido p/Ação]),"")</f>
        <v/>
      </c>
      <c r="L788" s="42" t="str">
        <f>IF(Tabela8[[#This Row],[Lucro p/Ação]]="","",IF(Tabela8[[#This Row],[Lucro p/Ação]]&gt;0,Tabela8[[#This Row],[Total Exercício]]/Tabela8[[#This Row],[Lucro p/Ação]],0))</f>
        <v/>
      </c>
      <c r="M78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8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88" s="19" t="str">
        <f>IF(Tabela8[[#This Row],[Média Lucro p/Ação]]&lt;&gt;"",Tabela8[[#This Row],[Média Pago]]/Tabela8[[#This Row],[Média Lucro p/Ação]],"")</f>
        <v/>
      </c>
      <c r="P7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8" s="134">
        <f>SUMPRODUCT(N(Tabela1[Código]=Tabela8[[#This Row],[Papel]]),Tabela1[Fechamento])</f>
        <v>0</v>
      </c>
      <c r="R788" s="17">
        <f>SUMPRODUCT(N(Tabela17[Código]=Tabela8[[#This Row],[Papel]]),Tabela17[Fechamento])</f>
        <v>0</v>
      </c>
      <c r="S788" s="17">
        <f>SUMPRODUCT(N(Tabela176[Código]=Tabela8[[#This Row],[Papel]]),Tabela176[Fechamento])</f>
        <v>0</v>
      </c>
      <c r="T788" s="17">
        <f>SUMPRODUCT(N(Tabela1768[Código]=Tabela8[[#This Row],[Papel]]),Tabela1768[Fechamento])</f>
        <v>0</v>
      </c>
      <c r="U788" s="17">
        <f>SUMPRODUCT(N(Tabela17683[Código]=Tabela8[[#This Row],[Papel]]),Tabela17683[Fechamento])</f>
        <v>0</v>
      </c>
      <c r="V788" s="17" t="str">
        <f>IF(MAX(Tabela8[[#This Row],[Cotação 1]]:Tabela8[[#This Row],[Cotação 5]])=0,"",MAX(Tabela8[[#This Row],[Cotação 1]]:Tabela8[[#This Row],[Cotação 5]]))</f>
        <v/>
      </c>
      <c r="W7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8" s="19" t="str">
        <f>IF(AND([Ref]=5,[Cotação]&gt;0,[Cotação]&lt;&gt;""),[Total Exercício]/[Cotação],IF([Ref]&lt;4,0,""))</f>
        <v/>
      </c>
      <c r="Y788" s="14">
        <f>IF([Tipo]="div",1,0)</f>
        <v>0</v>
      </c>
      <c r="Z788" s="14">
        <f>IF([Tipo]="jcp",1,0)</f>
        <v>1</v>
      </c>
    </row>
    <row r="789" spans="1:26" hidden="1">
      <c r="A789" s="4" t="s">
        <v>12</v>
      </c>
      <c r="B789" s="3" t="s">
        <v>88</v>
      </c>
      <c r="C789" s="15">
        <v>5</v>
      </c>
      <c r="D789" s="14">
        <v>2010</v>
      </c>
      <c r="E789" s="14" t="s">
        <v>1475</v>
      </c>
      <c r="F789" s="133">
        <v>4.79</v>
      </c>
      <c r="G789" s="145">
        <v>40542</v>
      </c>
      <c r="H789" s="46">
        <v>40597</v>
      </c>
      <c r="I789" s="133">
        <v>0.13764000000000001</v>
      </c>
      <c r="J789" s="133">
        <f>IF(Tabela8[[#This Row],[Tipo]]="jcp",Tabela8[[#This Row],[Provento p/Ação]]*85%,Tabela8[[#This Row],[Provento p/Ação]])</f>
        <v>0.116994</v>
      </c>
      <c r="K789" s="133">
        <f>IF([Lucro p/Ação]&lt;&gt;0,SUMPRODUCT(N([Papel]=Tabela8[[#This Row],[Papel]]),N([Exercício]=Tabela8[[#This Row],[Exercício]]),[Líquido p/Ação]),"")</f>
        <v>3.5892460000000002</v>
      </c>
      <c r="L789" s="42">
        <f>IF(Tabela8[[#This Row],[Lucro p/Ação]]="","",IF(Tabela8[[#This Row],[Lucro p/Ação]]&gt;0,Tabela8[[#This Row],[Total Exercício]]/Tabela8[[#This Row],[Lucro p/Ação]],0))</f>
        <v>0.7493206680584551</v>
      </c>
      <c r="M7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4.79</v>
      </c>
      <c r="N78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3.5892460000000002</v>
      </c>
      <c r="O789" s="19">
        <f>IF(Tabela8[[#This Row],[Média Lucro p/Ação]]&lt;&gt;"",Tabela8[[#This Row],[Média Pago]]/Tabela8[[#This Row],[Média Lucro p/Ação]],"")</f>
        <v>0.7493206680584551</v>
      </c>
      <c r="P7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89" s="134">
        <f>SUMPRODUCT(N(Tabela1[Código]=Tabela8[[#This Row],[Papel]]),Tabela1[Fechamento])</f>
        <v>27.3</v>
      </c>
      <c r="R789" s="7">
        <f>SUMPRODUCT(N(Tabela17[Código]=Tabela8[[#This Row],[Papel]]),Tabela17[Fechamento])</f>
        <v>0</v>
      </c>
      <c r="S789" s="7">
        <f>SUMPRODUCT(N(Tabela176[Código]=Tabela8[[#This Row],[Papel]]),Tabela176[Fechamento])</f>
        <v>0</v>
      </c>
      <c r="T789" s="7">
        <f>SUMPRODUCT(N(Tabela1768[Código]=Tabela8[[#This Row],[Papel]]),Tabela1768[Fechamento])</f>
        <v>0</v>
      </c>
      <c r="U789" s="7">
        <f>SUMPRODUCT(N(Tabela17683[Código]=Tabela8[[#This Row],[Papel]]),Tabela17683[Fechamento])</f>
        <v>0</v>
      </c>
      <c r="V789" s="7">
        <f>IF(MAX(Tabela8[[#This Row],[Cotação 1]]:Tabela8[[#This Row],[Cotação 5]])=0,"",MAX(Tabela8[[#This Row],[Cotação 1]]:Tabela8[[#This Row],[Cotação 5]]))</f>
        <v>27.3</v>
      </c>
      <c r="W7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89" s="19">
        <f>IF(AND([Ref]=5,[Cotação]&gt;0,[Cotação]&lt;&gt;""),[Total Exercício]/[Cotação],IF([Ref]&lt;4,0,""))</f>
        <v>0.13147421245421245</v>
      </c>
      <c r="Y789" s="14">
        <f>IF([Tipo]="div",1,0)</f>
        <v>0</v>
      </c>
      <c r="Z789" s="14">
        <f>IF([Tipo]="jcp",1,0)</f>
        <v>1</v>
      </c>
    </row>
    <row r="790" spans="1:26" hidden="1">
      <c r="A790" s="4" t="s">
        <v>12</v>
      </c>
      <c r="B790" s="3" t="s">
        <v>89</v>
      </c>
      <c r="C790" s="15">
        <v>5</v>
      </c>
      <c r="D790" s="14">
        <v>2010</v>
      </c>
      <c r="E790" s="14" t="s">
        <v>1475</v>
      </c>
      <c r="F790" s="133">
        <v>4.79</v>
      </c>
      <c r="G790" s="145">
        <v>40542</v>
      </c>
      <c r="H790" s="46">
        <v>40597</v>
      </c>
      <c r="I790" s="133">
        <v>0.13764000000000001</v>
      </c>
      <c r="J790" s="133">
        <f>IF(Tabela8[[#This Row],[Tipo]]="jcp",Tabela8[[#This Row],[Provento p/Ação]]*85%,Tabela8[[#This Row],[Provento p/Ação]])</f>
        <v>0.116994</v>
      </c>
      <c r="K790" s="133">
        <f>IF([Lucro p/Ação]&lt;&gt;0,SUMPRODUCT(N([Papel]=Tabela8[[#This Row],[Papel]]),N([Exercício]=Tabela8[[#This Row],[Exercício]]),[Líquido p/Ação]),"")</f>
        <v>3.5892460000000002</v>
      </c>
      <c r="L790" s="42">
        <f>IF(Tabela8[[#This Row],[Lucro p/Ação]]="","",IF(Tabela8[[#This Row],[Lucro p/Ação]]&gt;0,Tabela8[[#This Row],[Total Exercício]]/Tabela8[[#This Row],[Lucro p/Ação]],0))</f>
        <v>0.7493206680584551</v>
      </c>
      <c r="M79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4.79</v>
      </c>
      <c r="N790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3.5892460000000002</v>
      </c>
      <c r="O790" s="19">
        <f>IF(Tabela8[[#This Row],[Média Lucro p/Ação]]&lt;&gt;"",Tabela8[[#This Row],[Média Pago]]/Tabela8[[#This Row],[Média Lucro p/Ação]],"")</f>
        <v>0.7493206680584551</v>
      </c>
      <c r="P7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0" s="134">
        <f>SUMPRODUCT(N(Tabela1[Código]=Tabela8[[#This Row],[Papel]]),Tabela1[Fechamento])</f>
        <v>32.01</v>
      </c>
      <c r="R790" s="7">
        <f>SUMPRODUCT(N(Tabela17[Código]=Tabela8[[#This Row],[Papel]]),Tabela17[Fechamento])</f>
        <v>0</v>
      </c>
      <c r="S790" s="7">
        <f>SUMPRODUCT(N(Tabela176[Código]=Tabela8[[#This Row],[Papel]]),Tabela176[Fechamento])</f>
        <v>0</v>
      </c>
      <c r="T790" s="7">
        <f>SUMPRODUCT(N(Tabela1768[Código]=Tabela8[[#This Row],[Papel]]),Tabela1768[Fechamento])</f>
        <v>0</v>
      </c>
      <c r="U790" s="7">
        <f>SUMPRODUCT(N(Tabela17683[Código]=Tabela8[[#This Row],[Papel]]),Tabela17683[Fechamento])</f>
        <v>0</v>
      </c>
      <c r="V790" s="7">
        <f>IF(MAX(Tabela8[[#This Row],[Cotação 1]]:Tabela8[[#This Row],[Cotação 5]])=0,"",MAX(Tabela8[[#This Row],[Cotação 1]]:Tabela8[[#This Row],[Cotação 5]]))</f>
        <v>32.01</v>
      </c>
      <c r="W7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0" s="19">
        <f>IF(AND([Ref]=5,[Cotação]&gt;0,[Cotação]&lt;&gt;""),[Total Exercício]/[Cotação],IF([Ref]&lt;4,0,""))</f>
        <v>0.11212889721961888</v>
      </c>
      <c r="Y790" s="14">
        <f>IF([Tipo]="div",1,0)</f>
        <v>0</v>
      </c>
      <c r="Z790" s="14">
        <f>IF([Tipo]="jcp",1,0)</f>
        <v>1</v>
      </c>
    </row>
    <row r="791" spans="1:26" hidden="1">
      <c r="A791" s="4" t="s">
        <v>12</v>
      </c>
      <c r="B791" s="3" t="s">
        <v>466</v>
      </c>
      <c r="C791" s="15">
        <v>5</v>
      </c>
      <c r="D791" s="14">
        <v>2010</v>
      </c>
      <c r="E791" s="14" t="s">
        <v>1475</v>
      </c>
      <c r="F791" s="133">
        <v>5.26</v>
      </c>
      <c r="G791" s="145">
        <v>40542</v>
      </c>
      <c r="H791" s="46">
        <v>40597</v>
      </c>
      <c r="I791" s="133">
        <v>0.15140000000000001</v>
      </c>
      <c r="J791" s="133">
        <f>IF(Tabela8[[#This Row],[Tipo]]="jcp",Tabela8[[#This Row],[Provento p/Ação]]*85%,Tabela8[[#This Row],[Provento p/Ação]])</f>
        <v>0.12869</v>
      </c>
      <c r="K791" s="133">
        <f>IF([Lucro p/Ação]&lt;&gt;0,SUMPRODUCT(N([Papel]=Tabela8[[#This Row],[Papel]]),N([Exercício]=Tabela8[[#This Row],[Exercício]]),[Líquido p/Ação]),"")</f>
        <v>3.9481685000000004</v>
      </c>
      <c r="L791" s="42">
        <f>IF(Tabela8[[#This Row],[Lucro p/Ação]]="","",IF(Tabela8[[#This Row],[Lucro p/Ação]]&gt;0,Tabela8[[#This Row],[Total Exercício]]/Tabela8[[#This Row],[Lucro p/Ação]],0))</f>
        <v>0.75060237642585559</v>
      </c>
      <c r="M79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5.26</v>
      </c>
      <c r="N791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3.9481685000000004</v>
      </c>
      <c r="O791" s="19">
        <f>IF(Tabela8[[#This Row],[Média Lucro p/Ação]]&lt;&gt;"",Tabela8[[#This Row],[Média Pago]]/Tabela8[[#This Row],[Média Lucro p/Ação]],"")</f>
        <v>0.75060237642585559</v>
      </c>
      <c r="P7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1" s="134">
        <f>SUMPRODUCT(N(Tabela1[Código]=Tabela8[[#This Row],[Papel]]),Tabela1[Fechamento])</f>
        <v>0</v>
      </c>
      <c r="R791" s="17">
        <f>SUMPRODUCT(N(Tabela17[Código]=Tabela8[[#This Row],[Papel]]),Tabela17[Fechamento])</f>
        <v>0</v>
      </c>
      <c r="S791" s="17">
        <f>SUMPRODUCT(N(Tabela176[Código]=Tabela8[[#This Row],[Papel]]),Tabela176[Fechamento])</f>
        <v>0</v>
      </c>
      <c r="T791" s="17">
        <f>SUMPRODUCT(N(Tabela1768[Código]=Tabela8[[#This Row],[Papel]]),Tabela1768[Fechamento])</f>
        <v>0</v>
      </c>
      <c r="U791" s="17">
        <f>SUMPRODUCT(N(Tabela17683[Código]=Tabela8[[#This Row],[Papel]]),Tabela17683[Fechamento])</f>
        <v>0</v>
      </c>
      <c r="V791" s="17" t="str">
        <f>IF(MAX(Tabela8[[#This Row],[Cotação 1]]:Tabela8[[#This Row],[Cotação 5]])=0,"",MAX(Tabela8[[#This Row],[Cotação 1]]:Tabela8[[#This Row],[Cotação 5]]))</f>
        <v/>
      </c>
      <c r="W7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1" s="19" t="str">
        <f>IF(AND([Ref]=5,[Cotação]&gt;0,[Cotação]&lt;&gt;""),[Total Exercício]/[Cotação],IF([Ref]&lt;4,0,""))</f>
        <v/>
      </c>
      <c r="Y791" s="14">
        <f>IF([Tipo]="div",1,0)</f>
        <v>0</v>
      </c>
      <c r="Z791" s="14">
        <f>IF([Tipo]="jcp",1,0)</f>
        <v>1</v>
      </c>
    </row>
    <row r="792" spans="1:26" hidden="1">
      <c r="A792" s="4" t="s">
        <v>12</v>
      </c>
      <c r="B792" s="3" t="s">
        <v>88</v>
      </c>
      <c r="C792" s="15">
        <v>4</v>
      </c>
      <c r="D792" s="14">
        <v>2011</v>
      </c>
      <c r="E792" s="4" t="s">
        <v>1475</v>
      </c>
      <c r="G792" s="145">
        <v>40633</v>
      </c>
      <c r="H792" s="46">
        <v>40907</v>
      </c>
      <c r="I792" s="133">
        <v>0.14599999999999999</v>
      </c>
      <c r="J792" s="133">
        <f>IF(Tabela8[[#This Row],[Tipo]]="jcp",Tabela8[[#This Row],[Provento p/Ação]]*85%,Tabela8[[#This Row],[Provento p/Ação]])</f>
        <v>0.12409999999999999</v>
      </c>
      <c r="K792" s="133" t="str">
        <f>IF([Lucro p/Ação]&lt;&gt;0,SUMPRODUCT(N([Papel]=Tabela8[[#This Row],[Papel]]),N([Exercício]=Tabela8[[#This Row],[Exercício]]),[Líquido p/Ação]),"")</f>
        <v/>
      </c>
      <c r="L792" s="42" t="str">
        <f>IF(Tabela8[[#This Row],[Lucro p/Ação]]="","",IF(Tabela8[[#This Row],[Lucro p/Ação]]&gt;0,Tabela8[[#This Row],[Total Exercício]]/Tabela8[[#This Row],[Lucro p/Ação]],0))</f>
        <v/>
      </c>
      <c r="M7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2" s="19" t="str">
        <f>IF(Tabela8[[#This Row],[Média Lucro p/Ação]]&lt;&gt;"",Tabela8[[#This Row],[Média Pago]]/Tabela8[[#This Row],[Média Lucro p/Ação]],"")</f>
        <v/>
      </c>
      <c r="P7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2" s="134">
        <f>SUMPRODUCT(N(Tabela1[Código]=Tabela8[[#This Row],[Papel]]),Tabela1[Fechamento])</f>
        <v>27.3</v>
      </c>
      <c r="R792" s="7">
        <f>SUMPRODUCT(N(Tabela17[Código]=Tabela8[[#This Row],[Papel]]),Tabela17[Fechamento])</f>
        <v>0</v>
      </c>
      <c r="S792" s="7">
        <f>SUMPRODUCT(N(Tabela176[Código]=Tabela8[[#This Row],[Papel]]),Tabela176[Fechamento])</f>
        <v>0</v>
      </c>
      <c r="T792" s="7">
        <f>SUMPRODUCT(N(Tabela1768[Código]=Tabela8[[#This Row],[Papel]]),Tabela1768[Fechamento])</f>
        <v>0</v>
      </c>
      <c r="U792" s="7">
        <f>SUMPRODUCT(N(Tabela17683[Código]=Tabela8[[#This Row],[Papel]]),Tabela17683[Fechamento])</f>
        <v>0</v>
      </c>
      <c r="V792" s="7">
        <f>IF(MAX(Tabela8[[#This Row],[Cotação 1]]:Tabela8[[#This Row],[Cotação 5]])=0,"",MAX(Tabela8[[#This Row],[Cotação 1]]:Tabela8[[#This Row],[Cotação 5]]))</f>
        <v>27.3</v>
      </c>
      <c r="W7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2" s="19" t="str">
        <f>IF(AND([Ref]=5,[Cotação]&gt;0,[Cotação]&lt;&gt;""),[Total Exercício]/[Cotação],IF([Ref]&lt;4,0,""))</f>
        <v/>
      </c>
      <c r="Y792" s="14">
        <f>IF([Tipo]="div",1,0)</f>
        <v>0</v>
      </c>
      <c r="Z792" s="14">
        <f>IF([Tipo]="jcp",1,0)</f>
        <v>1</v>
      </c>
    </row>
    <row r="793" spans="1:26" hidden="1">
      <c r="A793" s="4" t="s">
        <v>12</v>
      </c>
      <c r="B793" s="3" t="s">
        <v>89</v>
      </c>
      <c r="C793" s="15">
        <v>4</v>
      </c>
      <c r="D793" s="14">
        <v>2011</v>
      </c>
      <c r="E793" s="4" t="s">
        <v>1475</v>
      </c>
      <c r="G793" s="145">
        <v>40633</v>
      </c>
      <c r="H793" s="46">
        <v>40907</v>
      </c>
      <c r="I793" s="133">
        <v>0.14599999999999999</v>
      </c>
      <c r="J793" s="133">
        <f>IF(Tabela8[[#This Row],[Tipo]]="jcp",Tabela8[[#This Row],[Provento p/Ação]]*85%,Tabela8[[#This Row],[Provento p/Ação]])</f>
        <v>0.12409999999999999</v>
      </c>
      <c r="K793" s="133" t="str">
        <f>IF([Lucro p/Ação]&lt;&gt;0,SUMPRODUCT(N([Papel]=Tabela8[[#This Row],[Papel]]),N([Exercício]=Tabela8[[#This Row],[Exercício]]),[Líquido p/Ação]),"")</f>
        <v/>
      </c>
      <c r="L793" s="42" t="str">
        <f>IF(Tabela8[[#This Row],[Lucro p/Ação]]="","",IF(Tabela8[[#This Row],[Lucro p/Ação]]&gt;0,Tabela8[[#This Row],[Total Exercício]]/Tabela8[[#This Row],[Lucro p/Ação]],0))</f>
        <v/>
      </c>
      <c r="M79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3" s="19" t="str">
        <f>IF(Tabela8[[#This Row],[Média Lucro p/Ação]]&lt;&gt;"",Tabela8[[#This Row],[Média Pago]]/Tabela8[[#This Row],[Média Lucro p/Ação]],"")</f>
        <v/>
      </c>
      <c r="P7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3" s="134">
        <f>SUMPRODUCT(N(Tabela1[Código]=Tabela8[[#This Row],[Papel]]),Tabela1[Fechamento])</f>
        <v>32.01</v>
      </c>
      <c r="R793" s="7">
        <f>SUMPRODUCT(N(Tabela17[Código]=Tabela8[[#This Row],[Papel]]),Tabela17[Fechamento])</f>
        <v>0</v>
      </c>
      <c r="S793" s="7">
        <f>SUMPRODUCT(N(Tabela176[Código]=Tabela8[[#This Row],[Papel]]),Tabela176[Fechamento])</f>
        <v>0</v>
      </c>
      <c r="T793" s="7">
        <f>SUMPRODUCT(N(Tabela1768[Código]=Tabela8[[#This Row],[Papel]]),Tabela1768[Fechamento])</f>
        <v>0</v>
      </c>
      <c r="U793" s="7">
        <f>SUMPRODUCT(N(Tabela17683[Código]=Tabela8[[#This Row],[Papel]]),Tabela17683[Fechamento])</f>
        <v>0</v>
      </c>
      <c r="V793" s="7">
        <f>IF(MAX(Tabela8[[#This Row],[Cotação 1]]:Tabela8[[#This Row],[Cotação 5]])=0,"",MAX(Tabela8[[#This Row],[Cotação 1]]:Tabela8[[#This Row],[Cotação 5]]))</f>
        <v>32.01</v>
      </c>
      <c r="W7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3" s="19" t="str">
        <f>IF(AND([Ref]=5,[Cotação]&gt;0,[Cotação]&lt;&gt;""),[Total Exercício]/[Cotação],IF([Ref]&lt;4,0,""))</f>
        <v/>
      </c>
      <c r="Y793" s="14">
        <f>IF([Tipo]="div",1,0)</f>
        <v>0</v>
      </c>
      <c r="Z793" s="14">
        <f>IF([Tipo]="jcp",1,0)</f>
        <v>1</v>
      </c>
    </row>
    <row r="794" spans="1:26" hidden="1">
      <c r="A794" s="4" t="s">
        <v>12</v>
      </c>
      <c r="B794" s="3" t="s">
        <v>466</v>
      </c>
      <c r="C794" s="15">
        <v>4</v>
      </c>
      <c r="D794" s="14">
        <v>2011</v>
      </c>
      <c r="E794" s="4" t="s">
        <v>1475</v>
      </c>
      <c r="G794" s="145">
        <v>40633</v>
      </c>
      <c r="H794" s="46">
        <v>40907</v>
      </c>
      <c r="I794" s="133">
        <v>0.16059999999999999</v>
      </c>
      <c r="J794" s="133">
        <f>IF(Tabela8[[#This Row],[Tipo]]="jcp",Tabela8[[#This Row],[Provento p/Ação]]*85%,Tabela8[[#This Row],[Provento p/Ação]])</f>
        <v>0.13650999999999999</v>
      </c>
      <c r="K794" s="133" t="str">
        <f>IF([Lucro p/Ação]&lt;&gt;0,SUMPRODUCT(N([Papel]=Tabela8[[#This Row],[Papel]]),N([Exercício]=Tabela8[[#This Row],[Exercício]]),[Líquido p/Ação]),"")</f>
        <v/>
      </c>
      <c r="L794" s="42" t="str">
        <f>IF(Tabela8[[#This Row],[Lucro p/Ação]]="","",IF(Tabela8[[#This Row],[Lucro p/Ação]]&gt;0,Tabela8[[#This Row],[Total Exercício]]/Tabela8[[#This Row],[Lucro p/Ação]],0))</f>
        <v/>
      </c>
      <c r="M79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4" s="19" t="str">
        <f>IF(Tabela8[[#This Row],[Média Lucro p/Ação]]&lt;&gt;"",Tabela8[[#This Row],[Média Pago]]/Tabela8[[#This Row],[Média Lucro p/Ação]],"")</f>
        <v/>
      </c>
      <c r="P7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4" s="134">
        <f>SUMPRODUCT(N(Tabela1[Código]=Tabela8[[#This Row],[Papel]]),Tabela1[Fechamento])</f>
        <v>0</v>
      </c>
      <c r="R794" s="17">
        <f>SUMPRODUCT(N(Tabela17[Código]=Tabela8[[#This Row],[Papel]]),Tabela17[Fechamento])</f>
        <v>0</v>
      </c>
      <c r="S794" s="17">
        <f>SUMPRODUCT(N(Tabela176[Código]=Tabela8[[#This Row],[Papel]]),Tabela176[Fechamento])</f>
        <v>0</v>
      </c>
      <c r="T794" s="17">
        <f>SUMPRODUCT(N(Tabela1768[Código]=Tabela8[[#This Row],[Papel]]),Tabela1768[Fechamento])</f>
        <v>0</v>
      </c>
      <c r="U794" s="17">
        <f>SUMPRODUCT(N(Tabela17683[Código]=Tabela8[[#This Row],[Papel]]),Tabela17683[Fechamento])</f>
        <v>0</v>
      </c>
      <c r="V794" s="17" t="str">
        <f>IF(MAX(Tabela8[[#This Row],[Cotação 1]]:Tabela8[[#This Row],[Cotação 5]])=0,"",MAX(Tabela8[[#This Row],[Cotação 1]]:Tabela8[[#This Row],[Cotação 5]]))</f>
        <v/>
      </c>
      <c r="W7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4" s="19" t="str">
        <f>IF(AND([Ref]=5,[Cotação]&gt;0,[Cotação]&lt;&gt;""),[Total Exercício]/[Cotação],IF([Ref]&lt;4,0,""))</f>
        <v/>
      </c>
      <c r="Y794" s="14">
        <f>IF([Tipo]="div",1,0)</f>
        <v>0</v>
      </c>
      <c r="Z794" s="14">
        <f>IF([Tipo]="jcp",1,0)</f>
        <v>1</v>
      </c>
    </row>
    <row r="795" spans="1:26" hidden="1">
      <c r="A795" s="4" t="s">
        <v>12</v>
      </c>
      <c r="B795" s="3" t="s">
        <v>88</v>
      </c>
      <c r="C795" s="15">
        <v>4</v>
      </c>
      <c r="D795" s="14">
        <v>2011</v>
      </c>
      <c r="E795" s="14" t="s">
        <v>1468</v>
      </c>
      <c r="G795" s="145">
        <v>40660</v>
      </c>
      <c r="H795" s="46">
        <v>40681</v>
      </c>
      <c r="I795" s="133">
        <v>2.4166699999999999</v>
      </c>
      <c r="J795" s="133">
        <f>IF(Tabela8[[#This Row],[Tipo]]="jcp",Tabela8[[#This Row],[Provento p/Ação]]*85%,Tabela8[[#This Row],[Provento p/Ação]])</f>
        <v>2.4166699999999999</v>
      </c>
      <c r="K795" s="133" t="str">
        <f>IF([Lucro p/Ação]&lt;&gt;0,SUMPRODUCT(N([Papel]=Tabela8[[#This Row],[Papel]]),N([Exercício]=Tabela8[[#This Row],[Exercício]]),[Líquido p/Ação]),"")</f>
        <v/>
      </c>
      <c r="L795" s="42" t="str">
        <f>IF(Tabela8[[#This Row],[Lucro p/Ação]]="","",IF(Tabela8[[#This Row],[Lucro p/Ação]]&gt;0,Tabela8[[#This Row],[Total Exercício]]/Tabela8[[#This Row],[Lucro p/Ação]],0))</f>
        <v/>
      </c>
      <c r="M7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5" s="19" t="str">
        <f>IF(Tabela8[[#This Row],[Média Lucro p/Ação]]&lt;&gt;"",Tabela8[[#This Row],[Média Pago]]/Tabela8[[#This Row],[Média Lucro p/Ação]],"")</f>
        <v/>
      </c>
      <c r="P7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5" s="134">
        <f>SUMPRODUCT(N(Tabela1[Código]=Tabela8[[#This Row],[Papel]]),Tabela1[Fechamento])</f>
        <v>27.3</v>
      </c>
      <c r="R795" s="7">
        <f>SUMPRODUCT(N(Tabela17[Código]=Tabela8[[#This Row],[Papel]]),Tabela17[Fechamento])</f>
        <v>0</v>
      </c>
      <c r="S795" s="7">
        <f>SUMPRODUCT(N(Tabela176[Código]=Tabela8[[#This Row],[Papel]]),Tabela176[Fechamento])</f>
        <v>0</v>
      </c>
      <c r="T795" s="7">
        <f>SUMPRODUCT(N(Tabela1768[Código]=Tabela8[[#This Row],[Papel]]),Tabela1768[Fechamento])</f>
        <v>0</v>
      </c>
      <c r="U795" s="7">
        <f>SUMPRODUCT(N(Tabela17683[Código]=Tabela8[[#This Row],[Papel]]),Tabela17683[Fechamento])</f>
        <v>0</v>
      </c>
      <c r="V795" s="7">
        <f>IF(MAX(Tabela8[[#This Row],[Cotação 1]]:Tabela8[[#This Row],[Cotação 5]])=0,"",MAX(Tabela8[[#This Row],[Cotação 1]]:Tabela8[[#This Row],[Cotação 5]]))</f>
        <v>27.3</v>
      </c>
      <c r="W7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5" s="19" t="str">
        <f>IF(AND([Ref]=5,[Cotação]&gt;0,[Cotação]&lt;&gt;""),[Total Exercício]/[Cotação],IF([Ref]&lt;4,0,""))</f>
        <v/>
      </c>
      <c r="Y795" s="14">
        <f>IF([Tipo]="div",1,0)</f>
        <v>1</v>
      </c>
      <c r="Z795" s="14">
        <f>IF([Tipo]="jcp",1,0)</f>
        <v>0</v>
      </c>
    </row>
    <row r="796" spans="1:26" hidden="1">
      <c r="A796" s="4" t="s">
        <v>12</v>
      </c>
      <c r="B796" s="3" t="s">
        <v>89</v>
      </c>
      <c r="C796" s="15">
        <v>4</v>
      </c>
      <c r="D796" s="14">
        <v>2011</v>
      </c>
      <c r="E796" s="14" t="s">
        <v>1468</v>
      </c>
      <c r="G796" s="145">
        <v>40660</v>
      </c>
      <c r="H796" s="46">
        <v>40681</v>
      </c>
      <c r="I796" s="133">
        <v>2.4166699999999999</v>
      </c>
      <c r="J796" s="133">
        <f>IF(Tabela8[[#This Row],[Tipo]]="jcp",Tabela8[[#This Row],[Provento p/Ação]]*85%,Tabela8[[#This Row],[Provento p/Ação]])</f>
        <v>2.4166699999999999</v>
      </c>
      <c r="K796" s="133" t="str">
        <f>IF([Lucro p/Ação]&lt;&gt;0,SUMPRODUCT(N([Papel]=Tabela8[[#This Row],[Papel]]),N([Exercício]=Tabela8[[#This Row],[Exercício]]),[Líquido p/Ação]),"")</f>
        <v/>
      </c>
      <c r="L796" s="42" t="str">
        <f>IF(Tabela8[[#This Row],[Lucro p/Ação]]="","",IF(Tabela8[[#This Row],[Lucro p/Ação]]&gt;0,Tabela8[[#This Row],[Total Exercício]]/Tabela8[[#This Row],[Lucro p/Ação]],0))</f>
        <v/>
      </c>
      <c r="M7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6" s="19" t="str">
        <f>IF(Tabela8[[#This Row],[Média Lucro p/Ação]]&lt;&gt;"",Tabela8[[#This Row],[Média Pago]]/Tabela8[[#This Row],[Média Lucro p/Ação]],"")</f>
        <v/>
      </c>
      <c r="P7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6" s="134">
        <f>SUMPRODUCT(N(Tabela1[Código]=Tabela8[[#This Row],[Papel]]),Tabela1[Fechamento])</f>
        <v>32.01</v>
      </c>
      <c r="R796" s="7">
        <f>SUMPRODUCT(N(Tabela17[Código]=Tabela8[[#This Row],[Papel]]),Tabela17[Fechamento])</f>
        <v>0</v>
      </c>
      <c r="S796" s="7">
        <f>SUMPRODUCT(N(Tabela176[Código]=Tabela8[[#This Row],[Papel]]),Tabela176[Fechamento])</f>
        <v>0</v>
      </c>
      <c r="T796" s="7">
        <f>SUMPRODUCT(N(Tabela1768[Código]=Tabela8[[#This Row],[Papel]]),Tabela1768[Fechamento])</f>
        <v>0</v>
      </c>
      <c r="U796" s="7">
        <f>SUMPRODUCT(N(Tabela17683[Código]=Tabela8[[#This Row],[Papel]]),Tabela17683[Fechamento])</f>
        <v>0</v>
      </c>
      <c r="V796" s="7">
        <f>IF(MAX(Tabela8[[#This Row],[Cotação 1]]:Tabela8[[#This Row],[Cotação 5]])=0,"",MAX(Tabela8[[#This Row],[Cotação 1]]:Tabela8[[#This Row],[Cotação 5]]))</f>
        <v>32.01</v>
      </c>
      <c r="W7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6" s="19" t="str">
        <f>IF(AND([Ref]=5,[Cotação]&gt;0,[Cotação]&lt;&gt;""),[Total Exercício]/[Cotação],IF([Ref]&lt;4,0,""))</f>
        <v/>
      </c>
      <c r="Y796" s="14">
        <f>IF([Tipo]="div",1,0)</f>
        <v>1</v>
      </c>
      <c r="Z796" s="14">
        <f>IF([Tipo]="jcp",1,0)</f>
        <v>0</v>
      </c>
    </row>
    <row r="797" spans="1:26" hidden="1">
      <c r="A797" s="4" t="s">
        <v>12</v>
      </c>
      <c r="B797" s="3" t="s">
        <v>466</v>
      </c>
      <c r="C797" s="15">
        <v>4</v>
      </c>
      <c r="D797" s="14">
        <v>2011</v>
      </c>
      <c r="E797" s="14" t="s">
        <v>1468</v>
      </c>
      <c r="G797" s="145">
        <v>40660</v>
      </c>
      <c r="H797" s="46">
        <v>40681</v>
      </c>
      <c r="I797" s="133">
        <v>2.6583399999999999</v>
      </c>
      <c r="J797" s="133">
        <f>IF(Tabela8[[#This Row],[Tipo]]="jcp",Tabela8[[#This Row],[Provento p/Ação]]*85%,Tabela8[[#This Row],[Provento p/Ação]])</f>
        <v>2.6583399999999999</v>
      </c>
      <c r="K797" s="133" t="str">
        <f>IF([Lucro p/Ação]&lt;&gt;0,SUMPRODUCT(N([Papel]=Tabela8[[#This Row],[Papel]]),N([Exercício]=Tabela8[[#This Row],[Exercício]]),[Líquido p/Ação]),"")</f>
        <v/>
      </c>
      <c r="L797" s="42" t="str">
        <f>IF(Tabela8[[#This Row],[Lucro p/Ação]]="","",IF(Tabela8[[#This Row],[Lucro p/Ação]]&gt;0,Tabela8[[#This Row],[Total Exercício]]/Tabela8[[#This Row],[Lucro p/Ação]],0))</f>
        <v/>
      </c>
      <c r="M7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7" s="19" t="str">
        <f>IF(Tabela8[[#This Row],[Média Lucro p/Ação]]&lt;&gt;"",Tabela8[[#This Row],[Média Pago]]/Tabela8[[#This Row],[Média Lucro p/Ação]],"")</f>
        <v/>
      </c>
      <c r="P7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7" s="134">
        <f>SUMPRODUCT(N(Tabela1[Código]=Tabela8[[#This Row],[Papel]]),Tabela1[Fechamento])</f>
        <v>0</v>
      </c>
      <c r="R797" s="7">
        <f>SUMPRODUCT(N(Tabela17[Código]=Tabela8[[#This Row],[Papel]]),Tabela17[Fechamento])</f>
        <v>0</v>
      </c>
      <c r="S797" s="7">
        <f>SUMPRODUCT(N(Tabela176[Código]=Tabela8[[#This Row],[Papel]]),Tabela176[Fechamento])</f>
        <v>0</v>
      </c>
      <c r="T797" s="7">
        <f>SUMPRODUCT(N(Tabela1768[Código]=Tabela8[[#This Row],[Papel]]),Tabela1768[Fechamento])</f>
        <v>0</v>
      </c>
      <c r="U797" s="7">
        <f>SUMPRODUCT(N(Tabela17683[Código]=Tabela8[[#This Row],[Papel]]),Tabela17683[Fechamento])</f>
        <v>0</v>
      </c>
      <c r="V797" s="7" t="str">
        <f>IF(MAX(Tabela8[[#This Row],[Cotação 1]]:Tabela8[[#This Row],[Cotação 5]])=0,"",MAX(Tabela8[[#This Row],[Cotação 1]]:Tabela8[[#This Row],[Cotação 5]]))</f>
        <v/>
      </c>
      <c r="W7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7" s="19" t="str">
        <f>IF(AND([Ref]=5,[Cotação]&gt;0,[Cotação]&lt;&gt;""),[Total Exercício]/[Cotação],IF([Ref]&lt;4,0,""))</f>
        <v/>
      </c>
      <c r="Y797" s="14">
        <f>IF([Tipo]="div",1,0)</f>
        <v>1</v>
      </c>
      <c r="Z797" s="14">
        <f>IF([Tipo]="jcp",1,0)</f>
        <v>0</v>
      </c>
    </row>
    <row r="798" spans="1:26" hidden="1">
      <c r="A798" s="4" t="s">
        <v>12</v>
      </c>
      <c r="B798" s="3" t="s">
        <v>88</v>
      </c>
      <c r="C798" s="15">
        <v>4</v>
      </c>
      <c r="D798" s="14">
        <v>2011</v>
      </c>
      <c r="E798" s="14" t="s">
        <v>1475</v>
      </c>
      <c r="G798" s="145">
        <v>40724</v>
      </c>
      <c r="H798" s="46">
        <v>40725</v>
      </c>
      <c r="I798" s="133">
        <v>0.14601</v>
      </c>
      <c r="J798" s="133">
        <f>IF(Tabela8[[#This Row],[Tipo]]="jcp",Tabela8[[#This Row],[Provento p/Ação]]*85%,Tabela8[[#This Row],[Provento p/Ação]])</f>
        <v>0.1241085</v>
      </c>
      <c r="K798" s="133" t="str">
        <f>IF([Lucro p/Ação]&lt;&gt;0,SUMPRODUCT(N([Papel]=Tabela8[[#This Row],[Papel]]),N([Exercício]=Tabela8[[#This Row],[Exercício]]),[Líquido p/Ação]),"")</f>
        <v/>
      </c>
      <c r="L798" s="42" t="str">
        <f>IF(Tabela8[[#This Row],[Lucro p/Ação]]="","",IF(Tabela8[[#This Row],[Lucro p/Ação]]&gt;0,Tabela8[[#This Row],[Total Exercício]]/Tabela8[[#This Row],[Lucro p/Ação]],0))</f>
        <v/>
      </c>
      <c r="M7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8" s="19" t="str">
        <f>IF(Tabela8[[#This Row],[Média Lucro p/Ação]]&lt;&gt;"",Tabela8[[#This Row],[Média Pago]]/Tabela8[[#This Row],[Média Lucro p/Ação]],"")</f>
        <v/>
      </c>
      <c r="P7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8" s="134">
        <f>SUMPRODUCT(N(Tabela1[Código]=Tabela8[[#This Row],[Papel]]),Tabela1[Fechamento])</f>
        <v>27.3</v>
      </c>
      <c r="R798" s="7">
        <f>SUMPRODUCT(N(Tabela17[Código]=Tabela8[[#This Row],[Papel]]),Tabela17[Fechamento])</f>
        <v>0</v>
      </c>
      <c r="S798" s="7">
        <f>SUMPRODUCT(N(Tabela176[Código]=Tabela8[[#This Row],[Papel]]),Tabela176[Fechamento])</f>
        <v>0</v>
      </c>
      <c r="T798" s="7">
        <f>SUMPRODUCT(N(Tabela1768[Código]=Tabela8[[#This Row],[Papel]]),Tabela1768[Fechamento])</f>
        <v>0</v>
      </c>
      <c r="U798" s="7">
        <f>SUMPRODUCT(N(Tabela17683[Código]=Tabela8[[#This Row],[Papel]]),Tabela17683[Fechamento])</f>
        <v>0</v>
      </c>
      <c r="V798" s="7">
        <f>IF(MAX(Tabela8[[#This Row],[Cotação 1]]:Tabela8[[#This Row],[Cotação 5]])=0,"",MAX(Tabela8[[#This Row],[Cotação 1]]:Tabela8[[#This Row],[Cotação 5]]))</f>
        <v>27.3</v>
      </c>
      <c r="W7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8" s="19" t="str">
        <f>IF(AND([Ref]=5,[Cotação]&gt;0,[Cotação]&lt;&gt;""),[Total Exercício]/[Cotação],IF([Ref]&lt;4,0,""))</f>
        <v/>
      </c>
      <c r="Y798" s="14">
        <f>IF([Tipo]="div",1,0)</f>
        <v>0</v>
      </c>
      <c r="Z798" s="14">
        <f>IF([Tipo]="jcp",1,0)</f>
        <v>1</v>
      </c>
    </row>
    <row r="799" spans="1:26" hidden="1">
      <c r="A799" s="4" t="s">
        <v>12</v>
      </c>
      <c r="B799" s="3" t="s">
        <v>89</v>
      </c>
      <c r="C799" s="15">
        <v>4</v>
      </c>
      <c r="D799" s="14">
        <v>2011</v>
      </c>
      <c r="E799" s="14" t="s">
        <v>1475</v>
      </c>
      <c r="G799" s="145">
        <v>40724</v>
      </c>
      <c r="H799" s="46">
        <v>40725</v>
      </c>
      <c r="I799" s="133">
        <v>0.14601</v>
      </c>
      <c r="J799" s="133">
        <f>IF(Tabela8[[#This Row],[Tipo]]="jcp",Tabela8[[#This Row],[Provento p/Ação]]*85%,Tabela8[[#This Row],[Provento p/Ação]])</f>
        <v>0.1241085</v>
      </c>
      <c r="K799" s="133" t="str">
        <f>IF([Lucro p/Ação]&lt;&gt;0,SUMPRODUCT(N([Papel]=Tabela8[[#This Row],[Papel]]),N([Exercício]=Tabela8[[#This Row],[Exercício]]),[Líquido p/Ação]),"")</f>
        <v/>
      </c>
      <c r="L799" s="42" t="str">
        <f>IF(Tabela8[[#This Row],[Lucro p/Ação]]="","",IF(Tabela8[[#This Row],[Lucro p/Ação]]&gt;0,Tabela8[[#This Row],[Total Exercício]]/Tabela8[[#This Row],[Lucro p/Ação]],0))</f>
        <v/>
      </c>
      <c r="M79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79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799" s="19" t="str">
        <f>IF(Tabela8[[#This Row],[Média Lucro p/Ação]]&lt;&gt;"",Tabela8[[#This Row],[Média Pago]]/Tabela8[[#This Row],[Média Lucro p/Ação]],"")</f>
        <v/>
      </c>
      <c r="P7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799" s="134">
        <f>SUMPRODUCT(N(Tabela1[Código]=Tabela8[[#This Row],[Papel]]),Tabela1[Fechamento])</f>
        <v>32.01</v>
      </c>
      <c r="R799" s="7">
        <f>SUMPRODUCT(N(Tabela17[Código]=Tabela8[[#This Row],[Papel]]),Tabela17[Fechamento])</f>
        <v>0</v>
      </c>
      <c r="S799" s="7">
        <f>SUMPRODUCT(N(Tabela176[Código]=Tabela8[[#This Row],[Papel]]),Tabela176[Fechamento])</f>
        <v>0</v>
      </c>
      <c r="T799" s="7">
        <f>SUMPRODUCT(N(Tabela1768[Código]=Tabela8[[#This Row],[Papel]]),Tabela1768[Fechamento])</f>
        <v>0</v>
      </c>
      <c r="U799" s="7">
        <f>SUMPRODUCT(N(Tabela17683[Código]=Tabela8[[#This Row],[Papel]]),Tabela17683[Fechamento])</f>
        <v>0</v>
      </c>
      <c r="V799" s="7">
        <f>IF(MAX(Tabela8[[#This Row],[Cotação 1]]:Tabela8[[#This Row],[Cotação 5]])=0,"",MAX(Tabela8[[#This Row],[Cotação 1]]:Tabela8[[#This Row],[Cotação 5]]))</f>
        <v>32.01</v>
      </c>
      <c r="W7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799" s="19" t="str">
        <f>IF(AND([Ref]=5,[Cotação]&gt;0,[Cotação]&lt;&gt;""),[Total Exercício]/[Cotação],IF([Ref]&lt;4,0,""))</f>
        <v/>
      </c>
      <c r="Y799" s="14">
        <f>IF([Tipo]="div",1,0)</f>
        <v>0</v>
      </c>
      <c r="Z799" s="14">
        <f>IF([Tipo]="jcp",1,0)</f>
        <v>1</v>
      </c>
    </row>
    <row r="800" spans="1:26" hidden="1">
      <c r="A800" s="4" t="s">
        <v>12</v>
      </c>
      <c r="B800" s="3" t="s">
        <v>466</v>
      </c>
      <c r="C800" s="15">
        <v>4</v>
      </c>
      <c r="D800" s="14">
        <v>2011</v>
      </c>
      <c r="E800" s="14" t="s">
        <v>1475</v>
      </c>
      <c r="G800" s="145">
        <v>40724</v>
      </c>
      <c r="H800" s="46">
        <v>40725</v>
      </c>
      <c r="I800" s="133">
        <v>0.16061</v>
      </c>
      <c r="J800" s="133">
        <f>IF(Tabela8[[#This Row],[Tipo]]="jcp",Tabela8[[#This Row],[Provento p/Ação]]*85%,Tabela8[[#This Row],[Provento p/Ação]])</f>
        <v>0.13651849999999999</v>
      </c>
      <c r="K800" s="133" t="str">
        <f>IF([Lucro p/Ação]&lt;&gt;0,SUMPRODUCT(N([Papel]=Tabela8[[#This Row],[Papel]]),N([Exercício]=Tabela8[[#This Row],[Exercício]]),[Líquido p/Ação]),"")</f>
        <v/>
      </c>
      <c r="L800" s="42" t="str">
        <f>IF(Tabela8[[#This Row],[Lucro p/Ação]]="","",IF(Tabela8[[#This Row],[Lucro p/Ação]]&gt;0,Tabela8[[#This Row],[Total Exercício]]/Tabela8[[#This Row],[Lucro p/Ação]],0))</f>
        <v/>
      </c>
      <c r="M80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0" s="19" t="str">
        <f>IF(Tabela8[[#This Row],[Média Lucro p/Ação]]&lt;&gt;"",Tabela8[[#This Row],[Média Pago]]/Tabela8[[#This Row],[Média Lucro p/Ação]],"")</f>
        <v/>
      </c>
      <c r="P8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0" s="134">
        <f>SUMPRODUCT(N(Tabela1[Código]=Tabela8[[#This Row],[Papel]]),Tabela1[Fechamento])</f>
        <v>0</v>
      </c>
      <c r="R800" s="7">
        <f>SUMPRODUCT(N(Tabela17[Código]=Tabela8[[#This Row],[Papel]]),Tabela17[Fechamento])</f>
        <v>0</v>
      </c>
      <c r="S800" s="7">
        <f>SUMPRODUCT(N(Tabela176[Código]=Tabela8[[#This Row],[Papel]]),Tabela176[Fechamento])</f>
        <v>0</v>
      </c>
      <c r="T800" s="7">
        <f>SUMPRODUCT(N(Tabela1768[Código]=Tabela8[[#This Row],[Papel]]),Tabela1768[Fechamento])</f>
        <v>0</v>
      </c>
      <c r="U800" s="7">
        <f>SUMPRODUCT(N(Tabela17683[Código]=Tabela8[[#This Row],[Papel]]),Tabela17683[Fechamento])</f>
        <v>0</v>
      </c>
      <c r="V800" s="7" t="str">
        <f>IF(MAX(Tabela8[[#This Row],[Cotação 1]]:Tabela8[[#This Row],[Cotação 5]])=0,"",MAX(Tabela8[[#This Row],[Cotação 1]]:Tabela8[[#This Row],[Cotação 5]]))</f>
        <v/>
      </c>
      <c r="W8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0" s="19" t="str">
        <f>IF(AND([Ref]=5,[Cotação]&gt;0,[Cotação]&lt;&gt;""),[Total Exercício]/[Cotação],IF([Ref]&lt;4,0,""))</f>
        <v/>
      </c>
      <c r="Y800" s="14">
        <f>IF([Tipo]="div",1,0)</f>
        <v>0</v>
      </c>
      <c r="Z800" s="14">
        <f>IF([Tipo]="jcp",1,0)</f>
        <v>1</v>
      </c>
    </row>
    <row r="801" spans="1:26" hidden="1">
      <c r="A801" s="4" t="s">
        <v>12</v>
      </c>
      <c r="B801" s="3" t="s">
        <v>88</v>
      </c>
      <c r="C801" s="15">
        <v>4</v>
      </c>
      <c r="D801" s="14">
        <v>2011</v>
      </c>
      <c r="E801" s="14" t="s">
        <v>1468</v>
      </c>
      <c r="G801" s="145">
        <v>40784</v>
      </c>
      <c r="H801" s="46">
        <v>40800</v>
      </c>
      <c r="I801" s="133">
        <v>1.4169499999999999</v>
      </c>
      <c r="J801" s="133">
        <f>IF(Tabela8[[#This Row],[Tipo]]="jcp",Tabela8[[#This Row],[Provento p/Ação]]*85%,Tabela8[[#This Row],[Provento p/Ação]])</f>
        <v>1.4169499999999999</v>
      </c>
      <c r="K801" s="133" t="str">
        <f>IF([Lucro p/Ação]&lt;&gt;0,SUMPRODUCT(N([Papel]=Tabela8[[#This Row],[Papel]]),N([Exercício]=Tabela8[[#This Row],[Exercício]]),[Líquido p/Ação]),"")</f>
        <v/>
      </c>
      <c r="L801" s="42" t="str">
        <f>IF(Tabela8[[#This Row],[Lucro p/Ação]]="","",IF(Tabela8[[#This Row],[Lucro p/Ação]]&gt;0,Tabela8[[#This Row],[Total Exercício]]/Tabela8[[#This Row],[Lucro p/Ação]],0))</f>
        <v/>
      </c>
      <c r="M8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1" s="19" t="str">
        <f>IF(Tabela8[[#This Row],[Média Lucro p/Ação]]&lt;&gt;"",Tabela8[[#This Row],[Média Pago]]/Tabela8[[#This Row],[Média Lucro p/Ação]],"")</f>
        <v/>
      </c>
      <c r="P8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1" s="134">
        <f>SUMPRODUCT(N(Tabela1[Código]=Tabela8[[#This Row],[Papel]]),Tabela1[Fechamento])</f>
        <v>27.3</v>
      </c>
      <c r="R801" s="7">
        <f>SUMPRODUCT(N(Tabela17[Código]=Tabela8[[#This Row],[Papel]]),Tabela17[Fechamento])</f>
        <v>0</v>
      </c>
      <c r="S801" s="7">
        <f>SUMPRODUCT(N(Tabela176[Código]=Tabela8[[#This Row],[Papel]]),Tabela176[Fechamento])</f>
        <v>0</v>
      </c>
      <c r="T801" s="7">
        <f>SUMPRODUCT(N(Tabela1768[Código]=Tabela8[[#This Row],[Papel]]),Tabela1768[Fechamento])</f>
        <v>0</v>
      </c>
      <c r="U801" s="7">
        <f>SUMPRODUCT(N(Tabela17683[Código]=Tabela8[[#This Row],[Papel]]),Tabela17683[Fechamento])</f>
        <v>0</v>
      </c>
      <c r="V801" s="7">
        <f>IF(MAX(Tabela8[[#This Row],[Cotação 1]]:Tabela8[[#This Row],[Cotação 5]])=0,"",MAX(Tabela8[[#This Row],[Cotação 1]]:Tabela8[[#This Row],[Cotação 5]]))</f>
        <v>27.3</v>
      </c>
      <c r="W8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1" s="19" t="str">
        <f>IF(AND([Ref]=5,[Cotação]&gt;0,[Cotação]&lt;&gt;""),[Total Exercício]/[Cotação],IF([Ref]&lt;4,0,""))</f>
        <v/>
      </c>
      <c r="Y801" s="14">
        <f>IF([Tipo]="div",1,0)</f>
        <v>1</v>
      </c>
      <c r="Z801" s="14">
        <f>IF([Tipo]="jcp",1,0)</f>
        <v>0</v>
      </c>
    </row>
    <row r="802" spans="1:26" hidden="1">
      <c r="A802" s="4" t="s">
        <v>12</v>
      </c>
      <c r="B802" s="3" t="s">
        <v>89</v>
      </c>
      <c r="C802" s="15">
        <v>4</v>
      </c>
      <c r="D802" s="14">
        <v>2011</v>
      </c>
      <c r="E802" s="14" t="s">
        <v>1468</v>
      </c>
      <c r="G802" s="145">
        <v>40784</v>
      </c>
      <c r="H802" s="46">
        <v>40800</v>
      </c>
      <c r="I802" s="133">
        <v>1.4169499999999999</v>
      </c>
      <c r="J802" s="133">
        <f>IF(Tabela8[[#This Row],[Tipo]]="jcp",Tabela8[[#This Row],[Provento p/Ação]]*85%,Tabela8[[#This Row],[Provento p/Ação]])</f>
        <v>1.4169499999999999</v>
      </c>
      <c r="K802" s="133" t="str">
        <f>IF([Lucro p/Ação]&lt;&gt;0,SUMPRODUCT(N([Papel]=Tabela8[[#This Row],[Papel]]),N([Exercício]=Tabela8[[#This Row],[Exercício]]),[Líquido p/Ação]),"")</f>
        <v/>
      </c>
      <c r="L802" s="42" t="str">
        <f>IF(Tabela8[[#This Row],[Lucro p/Ação]]="","",IF(Tabela8[[#This Row],[Lucro p/Ação]]&gt;0,Tabela8[[#This Row],[Total Exercício]]/Tabela8[[#This Row],[Lucro p/Ação]],0))</f>
        <v/>
      </c>
      <c r="M8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2" s="19" t="str">
        <f>IF(Tabela8[[#This Row],[Média Lucro p/Ação]]&lt;&gt;"",Tabela8[[#This Row],[Média Pago]]/Tabela8[[#This Row],[Média Lucro p/Ação]],"")</f>
        <v/>
      </c>
      <c r="P8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2" s="134">
        <f>SUMPRODUCT(N(Tabela1[Código]=Tabela8[[#This Row],[Papel]]),Tabela1[Fechamento])</f>
        <v>32.01</v>
      </c>
      <c r="R802" s="7">
        <f>SUMPRODUCT(N(Tabela17[Código]=Tabela8[[#This Row],[Papel]]),Tabela17[Fechamento])</f>
        <v>0</v>
      </c>
      <c r="S802" s="7">
        <f>SUMPRODUCT(N(Tabela176[Código]=Tabela8[[#This Row],[Papel]]),Tabela176[Fechamento])</f>
        <v>0</v>
      </c>
      <c r="T802" s="7">
        <f>SUMPRODUCT(N(Tabela1768[Código]=Tabela8[[#This Row],[Papel]]),Tabela1768[Fechamento])</f>
        <v>0</v>
      </c>
      <c r="U802" s="7">
        <f>SUMPRODUCT(N(Tabela17683[Código]=Tabela8[[#This Row],[Papel]]),Tabela17683[Fechamento])</f>
        <v>0</v>
      </c>
      <c r="V802" s="7">
        <f>IF(MAX(Tabela8[[#This Row],[Cotação 1]]:Tabela8[[#This Row],[Cotação 5]])=0,"",MAX(Tabela8[[#This Row],[Cotação 1]]:Tabela8[[#This Row],[Cotação 5]]))</f>
        <v>32.01</v>
      </c>
      <c r="W8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2" s="19" t="str">
        <f>IF(AND([Ref]=5,[Cotação]&gt;0,[Cotação]&lt;&gt;""),[Total Exercício]/[Cotação],IF([Ref]&lt;4,0,""))</f>
        <v/>
      </c>
      <c r="Y802" s="14">
        <f>IF([Tipo]="div",1,0)</f>
        <v>1</v>
      </c>
      <c r="Z802" s="14">
        <f>IF([Tipo]="jcp",1,0)</f>
        <v>0</v>
      </c>
    </row>
    <row r="803" spans="1:26" hidden="1">
      <c r="A803" s="4" t="s">
        <v>12</v>
      </c>
      <c r="B803" s="3" t="s">
        <v>466</v>
      </c>
      <c r="C803" s="15">
        <v>4</v>
      </c>
      <c r="D803" s="14">
        <v>2011</v>
      </c>
      <c r="E803" s="14" t="s">
        <v>1468</v>
      </c>
      <c r="G803" s="145">
        <v>40784</v>
      </c>
      <c r="H803" s="46">
        <v>40800</v>
      </c>
      <c r="I803" s="133">
        <v>1.55864</v>
      </c>
      <c r="J803" s="133">
        <f>IF(Tabela8[[#This Row],[Tipo]]="jcp",Tabela8[[#This Row],[Provento p/Ação]]*85%,Tabela8[[#This Row],[Provento p/Ação]])</f>
        <v>1.55864</v>
      </c>
      <c r="K803" s="133" t="str">
        <f>IF([Lucro p/Ação]&lt;&gt;0,SUMPRODUCT(N([Papel]=Tabela8[[#This Row],[Papel]]),N([Exercício]=Tabela8[[#This Row],[Exercício]]),[Líquido p/Ação]),"")</f>
        <v/>
      </c>
      <c r="L803" s="42" t="str">
        <f>IF(Tabela8[[#This Row],[Lucro p/Ação]]="","",IF(Tabela8[[#This Row],[Lucro p/Ação]]&gt;0,Tabela8[[#This Row],[Total Exercício]]/Tabela8[[#This Row],[Lucro p/Ação]],0))</f>
        <v/>
      </c>
      <c r="M8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3" s="19" t="str">
        <f>IF(Tabela8[[#This Row],[Média Lucro p/Ação]]&lt;&gt;"",Tabela8[[#This Row],[Média Pago]]/Tabela8[[#This Row],[Média Lucro p/Ação]],"")</f>
        <v/>
      </c>
      <c r="P8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3" s="134">
        <f>SUMPRODUCT(N(Tabela1[Código]=Tabela8[[#This Row],[Papel]]),Tabela1[Fechamento])</f>
        <v>0</v>
      </c>
      <c r="R803" s="7">
        <f>SUMPRODUCT(N(Tabela17[Código]=Tabela8[[#This Row],[Papel]]),Tabela17[Fechamento])</f>
        <v>0</v>
      </c>
      <c r="S803" s="7">
        <f>SUMPRODUCT(N(Tabela176[Código]=Tabela8[[#This Row],[Papel]]),Tabela176[Fechamento])</f>
        <v>0</v>
      </c>
      <c r="T803" s="7">
        <f>SUMPRODUCT(N(Tabela1768[Código]=Tabela8[[#This Row],[Papel]]),Tabela1768[Fechamento])</f>
        <v>0</v>
      </c>
      <c r="U803" s="7">
        <f>SUMPRODUCT(N(Tabela17683[Código]=Tabela8[[#This Row],[Papel]]),Tabela17683[Fechamento])</f>
        <v>0</v>
      </c>
      <c r="V803" s="7" t="str">
        <f>IF(MAX(Tabela8[[#This Row],[Cotação 1]]:Tabela8[[#This Row],[Cotação 5]])=0,"",MAX(Tabela8[[#This Row],[Cotação 1]]:Tabela8[[#This Row],[Cotação 5]]))</f>
        <v/>
      </c>
      <c r="W8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3" s="19" t="str">
        <f>IF(AND([Ref]=5,[Cotação]&gt;0,[Cotação]&lt;&gt;""),[Total Exercício]/[Cotação],IF([Ref]&lt;4,0,""))</f>
        <v/>
      </c>
      <c r="Y803" s="14">
        <f>IF([Tipo]="div",1,0)</f>
        <v>1</v>
      </c>
      <c r="Z803" s="14">
        <f>IF([Tipo]="jcp",1,0)</f>
        <v>0</v>
      </c>
    </row>
    <row r="804" spans="1:26" hidden="1">
      <c r="A804" s="4" t="s">
        <v>12</v>
      </c>
      <c r="B804" s="3" t="s">
        <v>88</v>
      </c>
      <c r="C804" s="15">
        <v>4</v>
      </c>
      <c r="D804" s="14">
        <v>2011</v>
      </c>
      <c r="E804" s="14" t="s">
        <v>1475</v>
      </c>
      <c r="G804" s="145">
        <v>40816</v>
      </c>
      <c r="H804" s="46">
        <v>40817</v>
      </c>
      <c r="I804" s="133">
        <v>0.14601</v>
      </c>
      <c r="J804" s="133">
        <f>IF(Tabela8[[#This Row],[Tipo]]="jcp",Tabela8[[#This Row],[Provento p/Ação]]*85%,Tabela8[[#This Row],[Provento p/Ação]])</f>
        <v>0.1241085</v>
      </c>
      <c r="K804" s="133" t="str">
        <f>IF([Lucro p/Ação]&lt;&gt;0,SUMPRODUCT(N([Papel]=Tabela8[[#This Row],[Papel]]),N([Exercício]=Tabela8[[#This Row],[Exercício]]),[Líquido p/Ação]),"")</f>
        <v/>
      </c>
      <c r="L804" s="42" t="str">
        <f>IF(Tabela8[[#This Row],[Lucro p/Ação]]="","",IF(Tabela8[[#This Row],[Lucro p/Ação]]&gt;0,Tabela8[[#This Row],[Total Exercício]]/Tabela8[[#This Row],[Lucro p/Ação]],0))</f>
        <v/>
      </c>
      <c r="M8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4" s="19" t="str">
        <f>IF(Tabela8[[#This Row],[Média Lucro p/Ação]]&lt;&gt;"",Tabela8[[#This Row],[Média Pago]]/Tabela8[[#This Row],[Média Lucro p/Ação]],"")</f>
        <v/>
      </c>
      <c r="P8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4" s="134">
        <f>SUMPRODUCT(N(Tabela1[Código]=Tabela8[[#This Row],[Papel]]),Tabela1[Fechamento])</f>
        <v>27.3</v>
      </c>
      <c r="R804" s="7">
        <f>SUMPRODUCT(N(Tabela17[Código]=Tabela8[[#This Row],[Papel]]),Tabela17[Fechamento])</f>
        <v>0</v>
      </c>
      <c r="S804" s="7">
        <f>SUMPRODUCT(N(Tabela176[Código]=Tabela8[[#This Row],[Papel]]),Tabela176[Fechamento])</f>
        <v>0</v>
      </c>
      <c r="T804" s="7">
        <f>SUMPRODUCT(N(Tabela1768[Código]=Tabela8[[#This Row],[Papel]]),Tabela1768[Fechamento])</f>
        <v>0</v>
      </c>
      <c r="U804" s="7">
        <f>SUMPRODUCT(N(Tabela17683[Código]=Tabela8[[#This Row],[Papel]]),Tabela17683[Fechamento])</f>
        <v>0</v>
      </c>
      <c r="V804" s="7">
        <f>IF(MAX(Tabela8[[#This Row],[Cotação 1]]:Tabela8[[#This Row],[Cotação 5]])=0,"",MAX(Tabela8[[#This Row],[Cotação 1]]:Tabela8[[#This Row],[Cotação 5]]))</f>
        <v>27.3</v>
      </c>
      <c r="W8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4" s="19" t="str">
        <f>IF(AND([Ref]=5,[Cotação]&gt;0,[Cotação]&lt;&gt;""),[Total Exercício]/[Cotação],IF([Ref]&lt;4,0,""))</f>
        <v/>
      </c>
      <c r="Y804" s="14">
        <f>IF([Tipo]="div",1,0)</f>
        <v>0</v>
      </c>
      <c r="Z804" s="14">
        <f>IF([Tipo]="jcp",1,0)</f>
        <v>1</v>
      </c>
    </row>
    <row r="805" spans="1:26" hidden="1">
      <c r="A805" s="4" t="s">
        <v>12</v>
      </c>
      <c r="B805" s="3" t="s">
        <v>89</v>
      </c>
      <c r="C805" s="15">
        <v>4</v>
      </c>
      <c r="D805" s="14">
        <v>2011</v>
      </c>
      <c r="E805" s="14" t="s">
        <v>1475</v>
      </c>
      <c r="G805" s="145">
        <v>40816</v>
      </c>
      <c r="H805" s="46">
        <v>40817</v>
      </c>
      <c r="I805" s="133">
        <v>0.14601</v>
      </c>
      <c r="J805" s="133">
        <f>IF(Tabela8[[#This Row],[Tipo]]="jcp",Tabela8[[#This Row],[Provento p/Ação]]*85%,Tabela8[[#This Row],[Provento p/Ação]])</f>
        <v>0.1241085</v>
      </c>
      <c r="K805" s="133" t="str">
        <f>IF([Lucro p/Ação]&lt;&gt;0,SUMPRODUCT(N([Papel]=Tabela8[[#This Row],[Papel]]),N([Exercício]=Tabela8[[#This Row],[Exercício]]),[Líquido p/Ação]),"")</f>
        <v/>
      </c>
      <c r="L805" s="42" t="str">
        <f>IF(Tabela8[[#This Row],[Lucro p/Ação]]="","",IF(Tabela8[[#This Row],[Lucro p/Ação]]&gt;0,Tabela8[[#This Row],[Total Exercício]]/Tabela8[[#This Row],[Lucro p/Ação]],0))</f>
        <v/>
      </c>
      <c r="M80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5" s="19" t="str">
        <f>IF(Tabela8[[#This Row],[Média Lucro p/Ação]]&lt;&gt;"",Tabela8[[#This Row],[Média Pago]]/Tabela8[[#This Row],[Média Lucro p/Ação]],"")</f>
        <v/>
      </c>
      <c r="P8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5" s="134">
        <f>SUMPRODUCT(N(Tabela1[Código]=Tabela8[[#This Row],[Papel]]),Tabela1[Fechamento])</f>
        <v>32.01</v>
      </c>
      <c r="R805" s="7">
        <f>SUMPRODUCT(N(Tabela17[Código]=Tabela8[[#This Row],[Papel]]),Tabela17[Fechamento])</f>
        <v>0</v>
      </c>
      <c r="S805" s="7">
        <f>SUMPRODUCT(N(Tabela176[Código]=Tabela8[[#This Row],[Papel]]),Tabela176[Fechamento])</f>
        <v>0</v>
      </c>
      <c r="T805" s="7">
        <f>SUMPRODUCT(N(Tabela1768[Código]=Tabela8[[#This Row],[Papel]]),Tabela1768[Fechamento])</f>
        <v>0</v>
      </c>
      <c r="U805" s="7">
        <f>SUMPRODUCT(N(Tabela17683[Código]=Tabela8[[#This Row],[Papel]]),Tabela17683[Fechamento])</f>
        <v>0</v>
      </c>
      <c r="V805" s="7">
        <f>IF(MAX(Tabela8[[#This Row],[Cotação 1]]:Tabela8[[#This Row],[Cotação 5]])=0,"",MAX(Tabela8[[#This Row],[Cotação 1]]:Tabela8[[#This Row],[Cotação 5]]))</f>
        <v>32.01</v>
      </c>
      <c r="W8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5" s="19" t="str">
        <f>IF(AND([Ref]=5,[Cotação]&gt;0,[Cotação]&lt;&gt;""),[Total Exercício]/[Cotação],IF([Ref]&lt;4,0,""))</f>
        <v/>
      </c>
      <c r="Y805" s="14">
        <f>IF([Tipo]="div",1,0)</f>
        <v>0</v>
      </c>
      <c r="Z805" s="14">
        <f>IF([Tipo]="jcp",1,0)</f>
        <v>1</v>
      </c>
    </row>
    <row r="806" spans="1:26" hidden="1">
      <c r="A806" s="4" t="s">
        <v>12</v>
      </c>
      <c r="B806" s="3" t="s">
        <v>466</v>
      </c>
      <c r="C806" s="15">
        <v>4</v>
      </c>
      <c r="D806" s="14">
        <v>2011</v>
      </c>
      <c r="E806" s="14" t="s">
        <v>1475</v>
      </c>
      <c r="G806" s="145">
        <v>40816</v>
      </c>
      <c r="H806" s="46">
        <v>40817</v>
      </c>
      <c r="I806" s="133">
        <v>0.16061</v>
      </c>
      <c r="J806" s="133">
        <f>IF(Tabela8[[#This Row],[Tipo]]="jcp",Tabela8[[#This Row],[Provento p/Ação]]*85%,Tabela8[[#This Row],[Provento p/Ação]])</f>
        <v>0.13651849999999999</v>
      </c>
      <c r="K806" s="133" t="str">
        <f>IF([Lucro p/Ação]&lt;&gt;0,SUMPRODUCT(N([Papel]=Tabela8[[#This Row],[Papel]]),N([Exercício]=Tabela8[[#This Row],[Exercício]]),[Líquido p/Ação]),"")</f>
        <v/>
      </c>
      <c r="L806" s="42" t="str">
        <f>IF(Tabela8[[#This Row],[Lucro p/Ação]]="","",IF(Tabela8[[#This Row],[Lucro p/Ação]]&gt;0,Tabela8[[#This Row],[Total Exercício]]/Tabela8[[#This Row],[Lucro p/Ação]],0))</f>
        <v/>
      </c>
      <c r="M8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0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06" s="19" t="str">
        <f>IF(Tabela8[[#This Row],[Média Lucro p/Ação]]&lt;&gt;"",Tabela8[[#This Row],[Média Pago]]/Tabela8[[#This Row],[Média Lucro p/Ação]],"")</f>
        <v/>
      </c>
      <c r="P8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6" s="134">
        <f>SUMPRODUCT(N(Tabela1[Código]=Tabela8[[#This Row],[Papel]]),Tabela1[Fechamento])</f>
        <v>0</v>
      </c>
      <c r="R806" s="7">
        <f>SUMPRODUCT(N(Tabela17[Código]=Tabela8[[#This Row],[Papel]]),Tabela17[Fechamento])</f>
        <v>0</v>
      </c>
      <c r="S806" s="7">
        <f>SUMPRODUCT(N(Tabela176[Código]=Tabela8[[#This Row],[Papel]]),Tabela176[Fechamento])</f>
        <v>0</v>
      </c>
      <c r="T806" s="7">
        <f>SUMPRODUCT(N(Tabela1768[Código]=Tabela8[[#This Row],[Papel]]),Tabela1768[Fechamento])</f>
        <v>0</v>
      </c>
      <c r="U806" s="7">
        <f>SUMPRODUCT(N(Tabela17683[Código]=Tabela8[[#This Row],[Papel]]),Tabela17683[Fechamento])</f>
        <v>0</v>
      </c>
      <c r="V806" s="7" t="str">
        <f>IF(MAX(Tabela8[[#This Row],[Cotação 1]]:Tabela8[[#This Row],[Cotação 5]])=0,"",MAX(Tabela8[[#This Row],[Cotação 1]]:Tabela8[[#This Row],[Cotação 5]]))</f>
        <v/>
      </c>
      <c r="W8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6" s="19" t="str">
        <f>IF(AND([Ref]=5,[Cotação]&gt;0,[Cotação]&lt;&gt;""),[Total Exercício]/[Cotação],IF([Ref]&lt;4,0,""))</f>
        <v/>
      </c>
      <c r="Y806" s="14">
        <f>IF([Tipo]="div",1,0)</f>
        <v>0</v>
      </c>
      <c r="Z806" s="14">
        <f>IF([Tipo]="jcp",1,0)</f>
        <v>1</v>
      </c>
    </row>
    <row r="807" spans="1:26" hidden="1">
      <c r="A807" s="4" t="s">
        <v>12</v>
      </c>
      <c r="B807" s="3" t="s">
        <v>88</v>
      </c>
      <c r="C807" s="15">
        <v>5</v>
      </c>
      <c r="D807" s="14">
        <v>2011</v>
      </c>
      <c r="E807" s="14" t="s">
        <v>1475</v>
      </c>
      <c r="F807" s="133">
        <v>3.87</v>
      </c>
      <c r="G807" s="145">
        <v>40906</v>
      </c>
      <c r="H807" s="46">
        <v>40907</v>
      </c>
      <c r="I807" s="133">
        <v>0.14599999999999999</v>
      </c>
      <c r="J807" s="133">
        <f>IF(Tabela8[[#This Row],[Tipo]]="jcp",Tabela8[[#This Row],[Provento p/Ação]]*85%,Tabela8[[#This Row],[Provento p/Ação]])</f>
        <v>0.12409999999999999</v>
      </c>
      <c r="K807" s="133">
        <f>IF([Lucro p/Ação]&lt;&gt;0,SUMPRODUCT(N([Papel]=Tabela8[[#This Row],[Papel]]),N([Exercício]=Tabela8[[#This Row],[Exercício]]),[Líquido p/Ação]),"")</f>
        <v>4.3300370000000008</v>
      </c>
      <c r="L807" s="42">
        <f>IF(Tabela8[[#This Row],[Lucro p/Ação]]="","",IF(Tabela8[[#This Row],[Lucro p/Ação]]&gt;0,Tabela8[[#This Row],[Total Exercício]]/Tabela8[[#This Row],[Lucro p/Ação]],0))</f>
        <v>1.1188726098191217</v>
      </c>
      <c r="M80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4.33</v>
      </c>
      <c r="N80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3.9596415000000005</v>
      </c>
      <c r="O807" s="19">
        <f>IF(Tabela8[[#This Row],[Média Lucro p/Ação]]&lt;&gt;"",Tabela8[[#This Row],[Média Pago]]/Tabela8[[#This Row],[Média Lucro p/Ação]],"")</f>
        <v>0.914466859122402</v>
      </c>
      <c r="P8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7" s="134">
        <f>SUMPRODUCT(N(Tabela1[Código]=Tabela8[[#This Row],[Papel]]),Tabela1[Fechamento])</f>
        <v>27.3</v>
      </c>
      <c r="R807" s="7">
        <f>SUMPRODUCT(N(Tabela17[Código]=Tabela8[[#This Row],[Papel]]),Tabela17[Fechamento])</f>
        <v>0</v>
      </c>
      <c r="S807" s="7">
        <f>SUMPRODUCT(N(Tabela176[Código]=Tabela8[[#This Row],[Papel]]),Tabela176[Fechamento])</f>
        <v>0</v>
      </c>
      <c r="T807" s="7">
        <f>SUMPRODUCT(N(Tabela1768[Código]=Tabela8[[#This Row],[Papel]]),Tabela1768[Fechamento])</f>
        <v>0</v>
      </c>
      <c r="U807" s="7">
        <f>SUMPRODUCT(N(Tabela17683[Código]=Tabela8[[#This Row],[Papel]]),Tabela17683[Fechamento])</f>
        <v>0</v>
      </c>
      <c r="V807" s="7">
        <f>IF(MAX(Tabela8[[#This Row],[Cotação 1]]:Tabela8[[#This Row],[Cotação 5]])=0,"",MAX(Tabela8[[#This Row],[Cotação 1]]:Tabela8[[#This Row],[Cotação 5]]))</f>
        <v>27.3</v>
      </c>
      <c r="W8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7" s="19">
        <f>IF(AND([Ref]=5,[Cotação]&gt;0,[Cotação]&lt;&gt;""),[Total Exercício]/[Cotação],IF([Ref]&lt;4,0,""))</f>
        <v>0.15860941391941394</v>
      </c>
      <c r="Y807" s="14">
        <f>IF([Tipo]="div",1,0)</f>
        <v>0</v>
      </c>
      <c r="Z807" s="14">
        <f>IF([Tipo]="jcp",1,0)</f>
        <v>1</v>
      </c>
    </row>
    <row r="808" spans="1:26" hidden="1">
      <c r="A808" s="4" t="s">
        <v>12</v>
      </c>
      <c r="B808" s="3" t="s">
        <v>89</v>
      </c>
      <c r="C808" s="15">
        <v>5</v>
      </c>
      <c r="D808" s="14">
        <v>2011</v>
      </c>
      <c r="E808" s="14" t="s">
        <v>1475</v>
      </c>
      <c r="F808" s="133">
        <v>3.87</v>
      </c>
      <c r="G808" s="145">
        <v>40906</v>
      </c>
      <c r="H808" s="46">
        <v>40907</v>
      </c>
      <c r="I808" s="133">
        <v>0.14599999999999999</v>
      </c>
      <c r="J808" s="133">
        <f>IF(Tabela8[[#This Row],[Tipo]]="jcp",Tabela8[[#This Row],[Provento p/Ação]]*85%,Tabela8[[#This Row],[Provento p/Ação]])</f>
        <v>0.12409999999999999</v>
      </c>
      <c r="K808" s="133">
        <f>IF([Lucro p/Ação]&lt;&gt;0,SUMPRODUCT(N([Papel]=Tabela8[[#This Row],[Papel]]),N([Exercício]=Tabela8[[#This Row],[Exercício]]),[Líquido p/Ação]),"")</f>
        <v>4.3300370000000008</v>
      </c>
      <c r="L808" s="42">
        <f>IF(Tabela8[[#This Row],[Lucro p/Ação]]="","",IF(Tabela8[[#This Row],[Lucro p/Ação]]&gt;0,Tabela8[[#This Row],[Total Exercício]]/Tabela8[[#This Row],[Lucro p/Ação]],0))</f>
        <v>1.1188726098191217</v>
      </c>
      <c r="M80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4.33</v>
      </c>
      <c r="N80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3.9596415000000005</v>
      </c>
      <c r="O808" s="19">
        <f>IF(Tabela8[[#This Row],[Média Lucro p/Ação]]&lt;&gt;"",Tabela8[[#This Row],[Média Pago]]/Tabela8[[#This Row],[Média Lucro p/Ação]],"")</f>
        <v>0.914466859122402</v>
      </c>
      <c r="P8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8" s="134">
        <f>SUMPRODUCT(N(Tabela1[Código]=Tabela8[[#This Row],[Papel]]),Tabela1[Fechamento])</f>
        <v>32.01</v>
      </c>
      <c r="R808" s="7">
        <f>SUMPRODUCT(N(Tabela17[Código]=Tabela8[[#This Row],[Papel]]),Tabela17[Fechamento])</f>
        <v>0</v>
      </c>
      <c r="S808" s="7">
        <f>SUMPRODUCT(N(Tabela176[Código]=Tabela8[[#This Row],[Papel]]),Tabela176[Fechamento])</f>
        <v>0</v>
      </c>
      <c r="T808" s="7">
        <f>SUMPRODUCT(N(Tabela1768[Código]=Tabela8[[#This Row],[Papel]]),Tabela1768[Fechamento])</f>
        <v>0</v>
      </c>
      <c r="U808" s="7">
        <f>SUMPRODUCT(N(Tabela17683[Código]=Tabela8[[#This Row],[Papel]]),Tabela17683[Fechamento])</f>
        <v>0</v>
      </c>
      <c r="V808" s="7">
        <f>IF(MAX(Tabela8[[#This Row],[Cotação 1]]:Tabela8[[#This Row],[Cotação 5]])=0,"",MAX(Tabela8[[#This Row],[Cotação 1]]:Tabela8[[#This Row],[Cotação 5]]))</f>
        <v>32.01</v>
      </c>
      <c r="W8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8" s="19">
        <f>IF(AND([Ref]=5,[Cotação]&gt;0,[Cotação]&lt;&gt;""),[Total Exercício]/[Cotação],IF([Ref]&lt;4,0,""))</f>
        <v>0.135271383942518</v>
      </c>
      <c r="Y808" s="14">
        <f>IF([Tipo]="div",1,0)</f>
        <v>0</v>
      </c>
      <c r="Z808" s="14">
        <f>IF([Tipo]="jcp",1,0)</f>
        <v>1</v>
      </c>
    </row>
    <row r="809" spans="1:26" hidden="1">
      <c r="A809" s="4" t="s">
        <v>12</v>
      </c>
      <c r="B809" s="3" t="s">
        <v>466</v>
      </c>
      <c r="C809" s="15">
        <v>5</v>
      </c>
      <c r="D809" s="14">
        <v>2011</v>
      </c>
      <c r="E809" s="14" t="s">
        <v>1475</v>
      </c>
      <c r="F809" s="133">
        <v>4.25</v>
      </c>
      <c r="G809" s="145">
        <v>40906</v>
      </c>
      <c r="H809" s="46">
        <v>40907</v>
      </c>
      <c r="I809" s="133">
        <v>0.16059999999999999</v>
      </c>
      <c r="J809" s="133">
        <f>IF(Tabela8[[#This Row],[Tipo]]="jcp",Tabela8[[#This Row],[Provento p/Ação]]*85%,Tabela8[[#This Row],[Provento p/Ação]])</f>
        <v>0.13650999999999999</v>
      </c>
      <c r="K809" s="133">
        <f>IF([Lucro p/Ação]&lt;&gt;0,SUMPRODUCT(N([Papel]=Tabela8[[#This Row],[Papel]]),N([Exercício]=Tabela8[[#This Row],[Exercício]]),[Líquido p/Ação]),"")</f>
        <v>4.7630370000000006</v>
      </c>
      <c r="L809" s="42">
        <f>IF(Tabela8[[#This Row],[Lucro p/Ação]]="","",IF(Tabela8[[#This Row],[Lucro p/Ação]]&gt;0,Tabela8[[#This Row],[Total Exercício]]/Tabela8[[#This Row],[Lucro p/Ação]],0))</f>
        <v>1.1207145882352942</v>
      </c>
      <c r="M80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4.7549999999999999</v>
      </c>
      <c r="N80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4.355602750000001</v>
      </c>
      <c r="O809" s="19">
        <f>IF(Tabela8[[#This Row],[Média Lucro p/Ação]]&lt;&gt;"",Tabela8[[#This Row],[Média Pago]]/Tabela8[[#This Row],[Média Lucro p/Ação]],"")</f>
        <v>0.91600478443743449</v>
      </c>
      <c r="P8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09" s="134">
        <f>SUMPRODUCT(N(Tabela1[Código]=Tabela8[[#This Row],[Papel]]),Tabela1[Fechamento])</f>
        <v>0</v>
      </c>
      <c r="R809" s="17">
        <f>SUMPRODUCT(N(Tabela17[Código]=Tabela8[[#This Row],[Papel]]),Tabela17[Fechamento])</f>
        <v>0</v>
      </c>
      <c r="S809" s="17">
        <f>SUMPRODUCT(N(Tabela176[Código]=Tabela8[[#This Row],[Papel]]),Tabela176[Fechamento])</f>
        <v>0</v>
      </c>
      <c r="T809" s="17">
        <f>SUMPRODUCT(N(Tabela1768[Código]=Tabela8[[#This Row],[Papel]]),Tabela1768[Fechamento])</f>
        <v>0</v>
      </c>
      <c r="U809" s="17">
        <f>SUMPRODUCT(N(Tabela17683[Código]=Tabela8[[#This Row],[Papel]]),Tabela17683[Fechamento])</f>
        <v>0</v>
      </c>
      <c r="V809" s="17" t="str">
        <f>IF(MAX(Tabela8[[#This Row],[Cotação 1]]:Tabela8[[#This Row],[Cotação 5]])=0,"",MAX(Tabela8[[#This Row],[Cotação 1]]:Tabela8[[#This Row],[Cotação 5]]))</f>
        <v/>
      </c>
      <c r="W8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09" s="19" t="str">
        <f>IF(AND([Ref]=5,[Cotação]&gt;0,[Cotação]&lt;&gt;""),[Total Exercício]/[Cotação],IF([Ref]&lt;4,0,""))</f>
        <v/>
      </c>
      <c r="Y809" s="14">
        <f>IF([Tipo]="div",1,0)</f>
        <v>0</v>
      </c>
      <c r="Z809" s="14">
        <f>IF([Tipo]="jcp",1,0)</f>
        <v>1</v>
      </c>
    </row>
    <row r="810" spans="1:26" hidden="1">
      <c r="A810" s="4" t="s">
        <v>12</v>
      </c>
      <c r="B810" s="3" t="s">
        <v>88</v>
      </c>
      <c r="C810" s="15">
        <v>4</v>
      </c>
      <c r="D810" s="14">
        <v>2012</v>
      </c>
      <c r="E810" s="14" t="s">
        <v>1468</v>
      </c>
      <c r="G810" s="145">
        <v>41017</v>
      </c>
      <c r="H810" s="46">
        <v>41038</v>
      </c>
      <c r="I810" s="133">
        <v>1.1283399999999999</v>
      </c>
      <c r="J810" s="133">
        <f>IF(Tabela8[[#This Row],[Tipo]]="jcp",Tabela8[[#This Row],[Provento p/Ação]]*85%,Tabela8[[#This Row],[Provento p/Ação]])</f>
        <v>1.1283399999999999</v>
      </c>
      <c r="K810" s="133" t="str">
        <f>IF([Lucro p/Ação]&lt;&gt;0,SUMPRODUCT(N([Papel]=Tabela8[[#This Row],[Papel]]),N([Exercício]=Tabela8[[#This Row],[Exercício]]),[Líquido p/Ação]),"")</f>
        <v/>
      </c>
      <c r="L810" s="42" t="str">
        <f>IF(Tabela8[[#This Row],[Lucro p/Ação]]="","",IF(Tabela8[[#This Row],[Lucro p/Ação]]&gt;0,Tabela8[[#This Row],[Total Exercício]]/Tabela8[[#This Row],[Lucro p/Ação]],0))</f>
        <v/>
      </c>
      <c r="M8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0" s="19" t="str">
        <f>IF(Tabela8[[#This Row],[Média Lucro p/Ação]]&lt;&gt;"",Tabela8[[#This Row],[Média Pago]]/Tabela8[[#This Row],[Média Lucro p/Ação]],"")</f>
        <v/>
      </c>
      <c r="P8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0" s="134">
        <f>SUMPRODUCT(N(Tabela1[Código]=Tabela8[[#This Row],[Papel]]),Tabela1[Fechamento])</f>
        <v>27.3</v>
      </c>
      <c r="R810" s="7">
        <f>SUMPRODUCT(N(Tabela17[Código]=Tabela8[[#This Row],[Papel]]),Tabela17[Fechamento])</f>
        <v>0</v>
      </c>
      <c r="S810" s="7">
        <f>SUMPRODUCT(N(Tabela176[Código]=Tabela8[[#This Row],[Papel]]),Tabela176[Fechamento])</f>
        <v>0</v>
      </c>
      <c r="T810" s="7">
        <f>SUMPRODUCT(N(Tabela1768[Código]=Tabela8[[#This Row],[Papel]]),Tabela1768[Fechamento])</f>
        <v>0</v>
      </c>
      <c r="U810" s="7">
        <f>SUMPRODUCT(N(Tabela17683[Código]=Tabela8[[#This Row],[Papel]]),Tabela17683[Fechamento])</f>
        <v>0</v>
      </c>
      <c r="V810" s="7">
        <f>IF(MAX(Tabela8[[#This Row],[Cotação 1]]:Tabela8[[#This Row],[Cotação 5]])=0,"",MAX(Tabela8[[#This Row],[Cotação 1]]:Tabela8[[#This Row],[Cotação 5]]))</f>
        <v>27.3</v>
      </c>
      <c r="W8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0" s="19" t="str">
        <f>IF(AND([Ref]=5,[Cotação]&gt;0,[Cotação]&lt;&gt;""),[Total Exercício]/[Cotação],IF([Ref]&lt;4,0,""))</f>
        <v/>
      </c>
      <c r="Y810" s="14">
        <f>IF([Tipo]="div",1,0)</f>
        <v>1</v>
      </c>
      <c r="Z810" s="14">
        <f>IF([Tipo]="jcp",1,0)</f>
        <v>0</v>
      </c>
    </row>
    <row r="811" spans="1:26" hidden="1">
      <c r="A811" s="4" t="s">
        <v>12</v>
      </c>
      <c r="B811" s="3" t="s">
        <v>89</v>
      </c>
      <c r="C811" s="15">
        <v>4</v>
      </c>
      <c r="D811" s="14">
        <v>2012</v>
      </c>
      <c r="E811" s="14" t="s">
        <v>1468</v>
      </c>
      <c r="G811" s="145">
        <v>41017</v>
      </c>
      <c r="H811" s="46">
        <v>41038</v>
      </c>
      <c r="I811" s="133">
        <v>1.1283399999999999</v>
      </c>
      <c r="J811" s="133">
        <f>IF(Tabela8[[#This Row],[Tipo]]="jcp",Tabela8[[#This Row],[Provento p/Ação]]*85%,Tabela8[[#This Row],[Provento p/Ação]])</f>
        <v>1.1283399999999999</v>
      </c>
      <c r="K811" s="133" t="str">
        <f>IF([Lucro p/Ação]&lt;&gt;0,SUMPRODUCT(N([Papel]=Tabela8[[#This Row],[Papel]]),N([Exercício]=Tabela8[[#This Row],[Exercício]]),[Líquido p/Ação]),"")</f>
        <v/>
      </c>
      <c r="L811" s="42" t="str">
        <f>IF(Tabela8[[#This Row],[Lucro p/Ação]]="","",IF(Tabela8[[#This Row],[Lucro p/Ação]]&gt;0,Tabela8[[#This Row],[Total Exercício]]/Tabela8[[#This Row],[Lucro p/Ação]],0))</f>
        <v/>
      </c>
      <c r="M8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1" s="19" t="str">
        <f>IF(Tabela8[[#This Row],[Média Lucro p/Ação]]&lt;&gt;"",Tabela8[[#This Row],[Média Pago]]/Tabela8[[#This Row],[Média Lucro p/Ação]],"")</f>
        <v/>
      </c>
      <c r="P8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1" s="134">
        <f>SUMPRODUCT(N(Tabela1[Código]=Tabela8[[#This Row],[Papel]]),Tabela1[Fechamento])</f>
        <v>32.01</v>
      </c>
      <c r="R811" s="7">
        <f>SUMPRODUCT(N(Tabela17[Código]=Tabela8[[#This Row],[Papel]]),Tabela17[Fechamento])</f>
        <v>0</v>
      </c>
      <c r="S811" s="7">
        <f>SUMPRODUCT(N(Tabela176[Código]=Tabela8[[#This Row],[Papel]]),Tabela176[Fechamento])</f>
        <v>0</v>
      </c>
      <c r="T811" s="7">
        <f>SUMPRODUCT(N(Tabela1768[Código]=Tabela8[[#This Row],[Papel]]),Tabela1768[Fechamento])</f>
        <v>0</v>
      </c>
      <c r="U811" s="7">
        <f>SUMPRODUCT(N(Tabela17683[Código]=Tabela8[[#This Row],[Papel]]),Tabela17683[Fechamento])</f>
        <v>0</v>
      </c>
      <c r="V811" s="7">
        <f>IF(MAX(Tabela8[[#This Row],[Cotação 1]]:Tabela8[[#This Row],[Cotação 5]])=0,"",MAX(Tabela8[[#This Row],[Cotação 1]]:Tabela8[[#This Row],[Cotação 5]]))</f>
        <v>32.01</v>
      </c>
      <c r="W8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1" s="19" t="str">
        <f>IF(AND([Ref]=5,[Cotação]&gt;0,[Cotação]&lt;&gt;""),[Total Exercício]/[Cotação],IF([Ref]&lt;4,0,""))</f>
        <v/>
      </c>
      <c r="Y811" s="14">
        <f>IF([Tipo]="div",1,0)</f>
        <v>1</v>
      </c>
      <c r="Z811" s="14">
        <f>IF([Tipo]="jcp",1,0)</f>
        <v>0</v>
      </c>
    </row>
    <row r="812" spans="1:26" hidden="1">
      <c r="A812" s="4" t="s">
        <v>12</v>
      </c>
      <c r="B812" s="3" t="s">
        <v>466</v>
      </c>
      <c r="C812" s="15">
        <v>4</v>
      </c>
      <c r="D812" s="14">
        <v>2012</v>
      </c>
      <c r="E812" s="14" t="s">
        <v>1468</v>
      </c>
      <c r="G812" s="145">
        <v>41017</v>
      </c>
      <c r="H812" s="46">
        <v>41038</v>
      </c>
      <c r="I812" s="133">
        <v>1.2411799999999999</v>
      </c>
      <c r="J812" s="133">
        <f>IF(Tabela8[[#This Row],[Tipo]]="jcp",Tabela8[[#This Row],[Provento p/Ação]]*85%,Tabela8[[#This Row],[Provento p/Ação]])</f>
        <v>1.2411799999999999</v>
      </c>
      <c r="K812" s="133" t="str">
        <f>IF([Lucro p/Ação]&lt;&gt;0,SUMPRODUCT(N([Papel]=Tabela8[[#This Row],[Papel]]),N([Exercício]=Tabela8[[#This Row],[Exercício]]),[Líquido p/Ação]),"")</f>
        <v/>
      </c>
      <c r="L812" s="42" t="str">
        <f>IF(Tabela8[[#This Row],[Lucro p/Ação]]="","",IF(Tabela8[[#This Row],[Lucro p/Ação]]&gt;0,Tabela8[[#This Row],[Total Exercício]]/Tabela8[[#This Row],[Lucro p/Ação]],0))</f>
        <v/>
      </c>
      <c r="M8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2" s="19" t="str">
        <f>IF(Tabela8[[#This Row],[Média Lucro p/Ação]]&lt;&gt;"",Tabela8[[#This Row],[Média Pago]]/Tabela8[[#This Row],[Média Lucro p/Ação]],"")</f>
        <v/>
      </c>
      <c r="P8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2" s="134">
        <f>SUMPRODUCT(N(Tabela1[Código]=Tabela8[[#This Row],[Papel]]),Tabela1[Fechamento])</f>
        <v>0</v>
      </c>
      <c r="R812" s="7">
        <f>SUMPRODUCT(N(Tabela17[Código]=Tabela8[[#This Row],[Papel]]),Tabela17[Fechamento])</f>
        <v>0</v>
      </c>
      <c r="S812" s="7">
        <f>SUMPRODUCT(N(Tabela176[Código]=Tabela8[[#This Row],[Papel]]),Tabela176[Fechamento])</f>
        <v>0</v>
      </c>
      <c r="T812" s="7">
        <f>SUMPRODUCT(N(Tabela1768[Código]=Tabela8[[#This Row],[Papel]]),Tabela1768[Fechamento])</f>
        <v>0</v>
      </c>
      <c r="U812" s="7">
        <f>SUMPRODUCT(N(Tabela17683[Código]=Tabela8[[#This Row],[Papel]]),Tabela17683[Fechamento])</f>
        <v>0</v>
      </c>
      <c r="V812" s="7" t="str">
        <f>IF(MAX(Tabela8[[#This Row],[Cotação 1]]:Tabela8[[#This Row],[Cotação 5]])=0,"",MAX(Tabela8[[#This Row],[Cotação 1]]:Tabela8[[#This Row],[Cotação 5]]))</f>
        <v/>
      </c>
      <c r="W8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2" s="19" t="str">
        <f>IF(AND([Ref]=5,[Cotação]&gt;0,[Cotação]&lt;&gt;""),[Total Exercício]/[Cotação],IF([Ref]&lt;4,0,""))</f>
        <v/>
      </c>
      <c r="Y812" s="14">
        <f>IF([Tipo]="div",1,0)</f>
        <v>1</v>
      </c>
      <c r="Z812" s="14">
        <f>IF([Tipo]="jcp",1,0)</f>
        <v>0</v>
      </c>
    </row>
    <row r="813" spans="1:26" hidden="1">
      <c r="A813" s="4" t="s">
        <v>12</v>
      </c>
      <c r="B813" s="3" t="s">
        <v>88</v>
      </c>
      <c r="C813" s="15">
        <v>4</v>
      </c>
      <c r="D813" s="14">
        <v>2012</v>
      </c>
      <c r="E813" s="14" t="s">
        <v>1468</v>
      </c>
      <c r="G813" s="145">
        <v>41017</v>
      </c>
      <c r="H813" s="46">
        <v>41262</v>
      </c>
      <c r="I813" s="133">
        <v>0.33522000000000002</v>
      </c>
      <c r="J813" s="133">
        <f>IF(Tabela8[[#This Row],[Tipo]]="jcp",Tabela8[[#This Row],[Provento p/Ação]]*85%,Tabela8[[#This Row],[Provento p/Ação]])</f>
        <v>0.33522000000000002</v>
      </c>
      <c r="K813" s="133" t="str">
        <f>IF([Lucro p/Ação]&lt;&gt;0,SUMPRODUCT(N([Papel]=Tabela8[[#This Row],[Papel]]),N([Exercício]=Tabela8[[#This Row],[Exercício]]),[Líquido p/Ação]),"")</f>
        <v/>
      </c>
      <c r="L813" s="42" t="str">
        <f>IF(Tabela8[[#This Row],[Lucro p/Ação]]="","",IF(Tabela8[[#This Row],[Lucro p/Ação]]&gt;0,Tabela8[[#This Row],[Total Exercício]]/Tabela8[[#This Row],[Lucro p/Ação]],0))</f>
        <v/>
      </c>
      <c r="M8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3" s="19" t="str">
        <f>IF(Tabela8[[#This Row],[Média Lucro p/Ação]]&lt;&gt;"",Tabela8[[#This Row],[Média Pago]]/Tabela8[[#This Row],[Média Lucro p/Ação]],"")</f>
        <v/>
      </c>
      <c r="P8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3" s="134">
        <f>SUMPRODUCT(N(Tabela1[Código]=Tabela8[[#This Row],[Papel]]),Tabela1[Fechamento])</f>
        <v>27.3</v>
      </c>
      <c r="R813" s="7">
        <f>SUMPRODUCT(N(Tabela17[Código]=Tabela8[[#This Row],[Papel]]),Tabela17[Fechamento])</f>
        <v>0</v>
      </c>
      <c r="S813" s="7">
        <f>SUMPRODUCT(N(Tabela176[Código]=Tabela8[[#This Row],[Papel]]),Tabela176[Fechamento])</f>
        <v>0</v>
      </c>
      <c r="T813" s="7">
        <f>SUMPRODUCT(N(Tabela1768[Código]=Tabela8[[#This Row],[Papel]]),Tabela1768[Fechamento])</f>
        <v>0</v>
      </c>
      <c r="U813" s="7">
        <f>SUMPRODUCT(N(Tabela17683[Código]=Tabela8[[#This Row],[Papel]]),Tabela17683[Fechamento])</f>
        <v>0</v>
      </c>
      <c r="V813" s="7">
        <f>IF(MAX(Tabela8[[#This Row],[Cotação 1]]:Tabela8[[#This Row],[Cotação 5]])=0,"",MAX(Tabela8[[#This Row],[Cotação 1]]:Tabela8[[#This Row],[Cotação 5]]))</f>
        <v>27.3</v>
      </c>
      <c r="W8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3" s="19" t="str">
        <f>IF(AND([Ref]=5,[Cotação]&gt;0,[Cotação]&lt;&gt;""),[Total Exercício]/[Cotação],IF([Ref]&lt;4,0,""))</f>
        <v/>
      </c>
      <c r="Y813" s="14">
        <f>IF([Tipo]="div",1,0)</f>
        <v>1</v>
      </c>
      <c r="Z813" s="14">
        <f>IF([Tipo]="jcp",1,0)</f>
        <v>0</v>
      </c>
    </row>
    <row r="814" spans="1:26" hidden="1">
      <c r="A814" s="4" t="s">
        <v>12</v>
      </c>
      <c r="B814" s="3" t="s">
        <v>89</v>
      </c>
      <c r="C814" s="15">
        <v>4</v>
      </c>
      <c r="D814" s="14">
        <v>2012</v>
      </c>
      <c r="E814" s="14" t="s">
        <v>1468</v>
      </c>
      <c r="G814" s="145">
        <v>41017</v>
      </c>
      <c r="H814" s="46">
        <v>41262</v>
      </c>
      <c r="I814" s="133">
        <v>0.33522000000000002</v>
      </c>
      <c r="J814" s="133">
        <f>IF(Tabela8[[#This Row],[Tipo]]="jcp",Tabela8[[#This Row],[Provento p/Ação]]*85%,Tabela8[[#This Row],[Provento p/Ação]])</f>
        <v>0.33522000000000002</v>
      </c>
      <c r="K814" s="133" t="str">
        <f>IF([Lucro p/Ação]&lt;&gt;0,SUMPRODUCT(N([Papel]=Tabela8[[#This Row],[Papel]]),N([Exercício]=Tabela8[[#This Row],[Exercício]]),[Líquido p/Ação]),"")</f>
        <v/>
      </c>
      <c r="L814" s="42" t="str">
        <f>IF(Tabela8[[#This Row],[Lucro p/Ação]]="","",IF(Tabela8[[#This Row],[Lucro p/Ação]]&gt;0,Tabela8[[#This Row],[Total Exercício]]/Tabela8[[#This Row],[Lucro p/Ação]],0))</f>
        <v/>
      </c>
      <c r="M8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4" s="19" t="str">
        <f>IF(Tabela8[[#This Row],[Média Lucro p/Ação]]&lt;&gt;"",Tabela8[[#This Row],[Média Pago]]/Tabela8[[#This Row],[Média Lucro p/Ação]],"")</f>
        <v/>
      </c>
      <c r="P8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4" s="134">
        <f>SUMPRODUCT(N(Tabela1[Código]=Tabela8[[#This Row],[Papel]]),Tabela1[Fechamento])</f>
        <v>32.01</v>
      </c>
      <c r="R814" s="7">
        <f>SUMPRODUCT(N(Tabela17[Código]=Tabela8[[#This Row],[Papel]]),Tabela17[Fechamento])</f>
        <v>0</v>
      </c>
      <c r="S814" s="7">
        <f>SUMPRODUCT(N(Tabela176[Código]=Tabela8[[#This Row],[Papel]]),Tabela176[Fechamento])</f>
        <v>0</v>
      </c>
      <c r="T814" s="7">
        <f>SUMPRODUCT(N(Tabela1768[Código]=Tabela8[[#This Row],[Papel]]),Tabela1768[Fechamento])</f>
        <v>0</v>
      </c>
      <c r="U814" s="7">
        <f>SUMPRODUCT(N(Tabela17683[Código]=Tabela8[[#This Row],[Papel]]),Tabela17683[Fechamento])</f>
        <v>0</v>
      </c>
      <c r="V814" s="7">
        <f>IF(MAX(Tabela8[[#This Row],[Cotação 1]]:Tabela8[[#This Row],[Cotação 5]])=0,"",MAX(Tabela8[[#This Row],[Cotação 1]]:Tabela8[[#This Row],[Cotação 5]]))</f>
        <v>32.01</v>
      </c>
      <c r="W8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4" s="19" t="str">
        <f>IF(AND([Ref]=5,[Cotação]&gt;0,[Cotação]&lt;&gt;""),[Total Exercício]/[Cotação],IF([Ref]&lt;4,0,""))</f>
        <v/>
      </c>
      <c r="Y814" s="14">
        <f>IF([Tipo]="div",1,0)</f>
        <v>1</v>
      </c>
      <c r="Z814" s="14">
        <f>IF([Tipo]="jcp",1,0)</f>
        <v>0</v>
      </c>
    </row>
    <row r="815" spans="1:26" hidden="1">
      <c r="A815" s="4" t="s">
        <v>12</v>
      </c>
      <c r="B815" s="3" t="s">
        <v>466</v>
      </c>
      <c r="C815" s="15">
        <v>4</v>
      </c>
      <c r="D815" s="14">
        <v>2012</v>
      </c>
      <c r="E815" s="14" t="s">
        <v>1468</v>
      </c>
      <c r="G815" s="145">
        <v>41017</v>
      </c>
      <c r="H815" s="46">
        <v>41262</v>
      </c>
      <c r="I815" s="133">
        <v>0.36874000000000001</v>
      </c>
      <c r="J815" s="133">
        <f>IF(Tabela8[[#This Row],[Tipo]]="jcp",Tabela8[[#This Row],[Provento p/Ação]]*85%,Tabela8[[#This Row],[Provento p/Ação]])</f>
        <v>0.36874000000000001</v>
      </c>
      <c r="K815" s="133" t="str">
        <f>IF([Lucro p/Ação]&lt;&gt;0,SUMPRODUCT(N([Papel]=Tabela8[[#This Row],[Papel]]),N([Exercício]=Tabela8[[#This Row],[Exercício]]),[Líquido p/Ação]),"")</f>
        <v/>
      </c>
      <c r="L815" s="42" t="str">
        <f>IF(Tabela8[[#This Row],[Lucro p/Ação]]="","",IF(Tabela8[[#This Row],[Lucro p/Ação]]&gt;0,Tabela8[[#This Row],[Total Exercício]]/Tabela8[[#This Row],[Lucro p/Ação]],0))</f>
        <v/>
      </c>
      <c r="M8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5" s="19" t="str">
        <f>IF(Tabela8[[#This Row],[Média Lucro p/Ação]]&lt;&gt;"",Tabela8[[#This Row],[Média Pago]]/Tabela8[[#This Row],[Média Lucro p/Ação]],"")</f>
        <v/>
      </c>
      <c r="P8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5" s="134">
        <f>SUMPRODUCT(N(Tabela1[Código]=Tabela8[[#This Row],[Papel]]),Tabela1[Fechamento])</f>
        <v>0</v>
      </c>
      <c r="R815" s="7">
        <f>SUMPRODUCT(N(Tabela17[Código]=Tabela8[[#This Row],[Papel]]),Tabela17[Fechamento])</f>
        <v>0</v>
      </c>
      <c r="S815" s="7">
        <f>SUMPRODUCT(N(Tabela176[Código]=Tabela8[[#This Row],[Papel]]),Tabela176[Fechamento])</f>
        <v>0</v>
      </c>
      <c r="T815" s="7">
        <f>SUMPRODUCT(N(Tabela1768[Código]=Tabela8[[#This Row],[Papel]]),Tabela1768[Fechamento])</f>
        <v>0</v>
      </c>
      <c r="U815" s="7">
        <f>SUMPRODUCT(N(Tabela17683[Código]=Tabela8[[#This Row],[Papel]]),Tabela17683[Fechamento])</f>
        <v>0</v>
      </c>
      <c r="V815" s="7" t="str">
        <f>IF(MAX(Tabela8[[#This Row],[Cotação 1]]:Tabela8[[#This Row],[Cotação 5]])=0,"",MAX(Tabela8[[#This Row],[Cotação 1]]:Tabela8[[#This Row],[Cotação 5]]))</f>
        <v/>
      </c>
      <c r="W8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5" s="19" t="str">
        <f>IF(AND([Ref]=5,[Cotação]&gt;0,[Cotação]&lt;&gt;""),[Total Exercício]/[Cotação],IF([Ref]&lt;4,0,""))</f>
        <v/>
      </c>
      <c r="Y815" s="14">
        <f>IF([Tipo]="div",1,0)</f>
        <v>1</v>
      </c>
      <c r="Z815" s="14">
        <f>IF([Tipo]="jcp",1,0)</f>
        <v>0</v>
      </c>
    </row>
    <row r="816" spans="1:26" hidden="1">
      <c r="A816" s="4" t="s">
        <v>12</v>
      </c>
      <c r="B816" s="3" t="s">
        <v>88</v>
      </c>
      <c r="C816" s="15">
        <v>4</v>
      </c>
      <c r="D816" s="14">
        <v>2012</v>
      </c>
      <c r="E816" s="14" t="s">
        <v>1475</v>
      </c>
      <c r="G816" s="145">
        <v>41271</v>
      </c>
      <c r="I816" s="133">
        <v>0.58301000000000003</v>
      </c>
      <c r="J816" s="133">
        <f>IF(Tabela8[[#This Row],[Tipo]]="jcp",Tabela8[[#This Row],[Provento p/Ação]]*85%,Tabela8[[#This Row],[Provento p/Ação]])</f>
        <v>0.49555850000000001</v>
      </c>
      <c r="K816" s="133" t="str">
        <f>IF([Lucro p/Ação]&lt;&gt;0,SUMPRODUCT(N([Papel]=Tabela8[[#This Row],[Papel]]),N([Exercício]=Tabela8[[#This Row],[Exercício]]),[Líquido p/Ação]),"")</f>
        <v/>
      </c>
      <c r="L816" s="42" t="str">
        <f>IF(Tabela8[[#This Row],[Lucro p/Ação]]="","",IF(Tabela8[[#This Row],[Lucro p/Ação]]&gt;0,Tabela8[[#This Row],[Total Exercício]]/Tabela8[[#This Row],[Lucro p/Ação]],0))</f>
        <v/>
      </c>
      <c r="M8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6" s="19" t="str">
        <f>IF(Tabela8[[#This Row],[Média Lucro p/Ação]]&lt;&gt;"",Tabela8[[#This Row],[Média Pago]]/Tabela8[[#This Row],[Média Lucro p/Ação]],"")</f>
        <v/>
      </c>
      <c r="P8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6" s="134">
        <f>SUMPRODUCT(N(Tabela1[Código]=Tabela8[[#This Row],[Papel]]),Tabela1[Fechamento])</f>
        <v>27.3</v>
      </c>
      <c r="R816" s="7">
        <f>SUMPRODUCT(N(Tabela17[Código]=Tabela8[[#This Row],[Papel]]),Tabela17[Fechamento])</f>
        <v>0</v>
      </c>
      <c r="S816" s="7">
        <f>SUMPRODUCT(N(Tabela176[Código]=Tabela8[[#This Row],[Papel]]),Tabela176[Fechamento])</f>
        <v>0</v>
      </c>
      <c r="T816" s="7">
        <f>SUMPRODUCT(N(Tabela1768[Código]=Tabela8[[#This Row],[Papel]]),Tabela1768[Fechamento])</f>
        <v>0</v>
      </c>
      <c r="U816" s="7">
        <f>SUMPRODUCT(N(Tabela17683[Código]=Tabela8[[#This Row],[Papel]]),Tabela17683[Fechamento])</f>
        <v>0</v>
      </c>
      <c r="V816" s="7">
        <f>IF(MAX(Tabela8[[#This Row],[Cotação 1]]:Tabela8[[#This Row],[Cotação 5]])=0,"",MAX(Tabela8[[#This Row],[Cotação 1]]:Tabela8[[#This Row],[Cotação 5]]))</f>
        <v>27.3</v>
      </c>
      <c r="W8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6" s="19" t="str">
        <f>IF(AND([Ref]=5,[Cotação]&gt;0,[Cotação]&lt;&gt;""),[Total Exercício]/[Cotação],IF([Ref]&lt;4,0,""))</f>
        <v/>
      </c>
      <c r="Y816" s="14">
        <f>IF([Tipo]="div",1,0)</f>
        <v>0</v>
      </c>
      <c r="Z816" s="14">
        <f>IF([Tipo]="jcp",1,0)</f>
        <v>1</v>
      </c>
    </row>
    <row r="817" spans="1:26" hidden="1">
      <c r="A817" s="4" t="s">
        <v>12</v>
      </c>
      <c r="B817" s="3" t="s">
        <v>89</v>
      </c>
      <c r="C817" s="15">
        <v>4</v>
      </c>
      <c r="D817" s="14">
        <v>2012</v>
      </c>
      <c r="E817" s="14" t="s">
        <v>1475</v>
      </c>
      <c r="G817" s="145">
        <v>41271</v>
      </c>
      <c r="I817" s="133">
        <v>0.58301000000000003</v>
      </c>
      <c r="J817" s="133">
        <f>IF(Tabela8[[#This Row],[Tipo]]="jcp",Tabela8[[#This Row],[Provento p/Ação]]*85%,Tabela8[[#This Row],[Provento p/Ação]])</f>
        <v>0.49555850000000001</v>
      </c>
      <c r="K817" s="133" t="str">
        <f>IF([Lucro p/Ação]&lt;&gt;0,SUMPRODUCT(N([Papel]=Tabela8[[#This Row],[Papel]]),N([Exercício]=Tabela8[[#This Row],[Exercício]]),[Líquido p/Ação]),"")</f>
        <v/>
      </c>
      <c r="L817" s="42" t="str">
        <f>IF(Tabela8[[#This Row],[Lucro p/Ação]]="","",IF(Tabela8[[#This Row],[Lucro p/Ação]]&gt;0,Tabela8[[#This Row],[Total Exercício]]/Tabela8[[#This Row],[Lucro p/Ação]],0))</f>
        <v/>
      </c>
      <c r="M81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7" s="19" t="str">
        <f>IF(Tabela8[[#This Row],[Média Lucro p/Ação]]&lt;&gt;"",Tabela8[[#This Row],[Média Pago]]/Tabela8[[#This Row],[Média Lucro p/Ação]],"")</f>
        <v/>
      </c>
      <c r="P8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7" s="134">
        <f>SUMPRODUCT(N(Tabela1[Código]=Tabela8[[#This Row],[Papel]]),Tabela1[Fechamento])</f>
        <v>32.01</v>
      </c>
      <c r="R817" s="7">
        <f>SUMPRODUCT(N(Tabela17[Código]=Tabela8[[#This Row],[Papel]]),Tabela17[Fechamento])</f>
        <v>0</v>
      </c>
      <c r="S817" s="7">
        <f>SUMPRODUCT(N(Tabela176[Código]=Tabela8[[#This Row],[Papel]]),Tabela176[Fechamento])</f>
        <v>0</v>
      </c>
      <c r="T817" s="7">
        <f>SUMPRODUCT(N(Tabela1768[Código]=Tabela8[[#This Row],[Papel]]),Tabela1768[Fechamento])</f>
        <v>0</v>
      </c>
      <c r="U817" s="7">
        <f>SUMPRODUCT(N(Tabela17683[Código]=Tabela8[[#This Row],[Papel]]),Tabela17683[Fechamento])</f>
        <v>0</v>
      </c>
      <c r="V817" s="7">
        <f>IF(MAX(Tabela8[[#This Row],[Cotação 1]]:Tabela8[[#This Row],[Cotação 5]])=0,"",MAX(Tabela8[[#This Row],[Cotação 1]]:Tabela8[[#This Row],[Cotação 5]]))</f>
        <v>32.01</v>
      </c>
      <c r="W8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7" s="19" t="str">
        <f>IF(AND([Ref]=5,[Cotação]&gt;0,[Cotação]&lt;&gt;""),[Total Exercício]/[Cotação],IF([Ref]&lt;4,0,""))</f>
        <v/>
      </c>
      <c r="Y817" s="14">
        <f>IF([Tipo]="div",1,0)</f>
        <v>0</v>
      </c>
      <c r="Z817" s="14">
        <f>IF([Tipo]="jcp",1,0)</f>
        <v>1</v>
      </c>
    </row>
    <row r="818" spans="1:26" hidden="1">
      <c r="A818" s="4" t="s">
        <v>12</v>
      </c>
      <c r="B818" s="3" t="s">
        <v>466</v>
      </c>
      <c r="C818" s="15">
        <v>4</v>
      </c>
      <c r="D818" s="14">
        <v>2012</v>
      </c>
      <c r="E818" s="14" t="s">
        <v>1475</v>
      </c>
      <c r="G818" s="145">
        <v>41271</v>
      </c>
      <c r="I818" s="133">
        <v>0.64131000000000005</v>
      </c>
      <c r="J818" s="133">
        <f>IF(Tabela8[[#This Row],[Tipo]]="jcp",Tabela8[[#This Row],[Provento p/Ação]]*85%,Tabela8[[#This Row],[Provento p/Ação]])</f>
        <v>0.54511350000000003</v>
      </c>
      <c r="K818" s="133" t="str">
        <f>IF([Lucro p/Ação]&lt;&gt;0,SUMPRODUCT(N([Papel]=Tabela8[[#This Row],[Papel]]),N([Exercício]=Tabela8[[#This Row],[Exercício]]),[Líquido p/Ação]),"")</f>
        <v/>
      </c>
      <c r="L818" s="42" t="str">
        <f>IF(Tabela8[[#This Row],[Lucro p/Ação]]="","",IF(Tabela8[[#This Row],[Lucro p/Ação]]&gt;0,Tabela8[[#This Row],[Total Exercício]]/Tabela8[[#This Row],[Lucro p/Ação]],0))</f>
        <v/>
      </c>
      <c r="M8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8" s="19" t="str">
        <f>IF(Tabela8[[#This Row],[Média Lucro p/Ação]]&lt;&gt;"",Tabela8[[#This Row],[Média Pago]]/Tabela8[[#This Row],[Média Lucro p/Ação]],"")</f>
        <v/>
      </c>
      <c r="P8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8" s="134">
        <f>SUMPRODUCT(N(Tabela1[Código]=Tabela8[[#This Row],[Papel]]),Tabela1[Fechamento])</f>
        <v>0</v>
      </c>
      <c r="R818" s="7">
        <f>SUMPRODUCT(N(Tabela17[Código]=Tabela8[[#This Row],[Papel]]),Tabela17[Fechamento])</f>
        <v>0</v>
      </c>
      <c r="S818" s="7">
        <f>SUMPRODUCT(N(Tabela176[Código]=Tabela8[[#This Row],[Papel]]),Tabela176[Fechamento])</f>
        <v>0</v>
      </c>
      <c r="T818" s="7">
        <f>SUMPRODUCT(N(Tabela1768[Código]=Tabela8[[#This Row],[Papel]]),Tabela1768[Fechamento])</f>
        <v>0</v>
      </c>
      <c r="U818" s="7">
        <f>SUMPRODUCT(N(Tabela17683[Código]=Tabela8[[#This Row],[Papel]]),Tabela17683[Fechamento])</f>
        <v>0</v>
      </c>
      <c r="V818" s="7" t="str">
        <f>IF(MAX(Tabela8[[#This Row],[Cotação 1]]:Tabela8[[#This Row],[Cotação 5]])=0,"",MAX(Tabela8[[#This Row],[Cotação 1]]:Tabela8[[#This Row],[Cotação 5]]))</f>
        <v/>
      </c>
      <c r="W8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8" s="19" t="str">
        <f>IF(AND([Ref]=5,[Cotação]&gt;0,[Cotação]&lt;&gt;""),[Total Exercício]/[Cotação],IF([Ref]&lt;4,0,""))</f>
        <v/>
      </c>
      <c r="Y818" s="14">
        <f>IF([Tipo]="div",1,0)</f>
        <v>0</v>
      </c>
      <c r="Z818" s="14">
        <f>IF([Tipo]="jcp",1,0)</f>
        <v>1</v>
      </c>
    </row>
    <row r="819" spans="1:26" hidden="1">
      <c r="A819" s="4" t="s">
        <v>12</v>
      </c>
      <c r="B819" s="3" t="s">
        <v>88</v>
      </c>
      <c r="C819" s="15">
        <v>4</v>
      </c>
      <c r="D819" s="14">
        <v>2012</v>
      </c>
      <c r="E819" s="14" t="s">
        <v>1468</v>
      </c>
      <c r="I819" s="133">
        <v>0.2727</v>
      </c>
      <c r="J819" s="133">
        <f>IF(Tabela8[[#This Row],[Tipo]]="jcp",Tabela8[[#This Row],[Provento p/Ação]]*85%,Tabela8[[#This Row],[Provento p/Ação]])</f>
        <v>0.2727</v>
      </c>
      <c r="K819" s="133" t="str">
        <f>IF([Lucro p/Ação]&lt;&gt;0,SUMPRODUCT(N([Papel]=Tabela8[[#This Row],[Papel]]),N([Exercício]=Tabela8[[#This Row],[Exercício]]),[Líquido p/Ação]),"")</f>
        <v/>
      </c>
      <c r="L819" s="42" t="str">
        <f>IF(Tabela8[[#This Row],[Lucro p/Ação]]="","",IF(Tabela8[[#This Row],[Lucro p/Ação]]&gt;0,Tabela8[[#This Row],[Total Exercício]]/Tabela8[[#This Row],[Lucro p/Ação]],0))</f>
        <v/>
      </c>
      <c r="M8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1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19" s="19" t="str">
        <f>IF(Tabela8[[#This Row],[Média Lucro p/Ação]]&lt;&gt;"",Tabela8[[#This Row],[Média Pago]]/Tabela8[[#This Row],[Média Lucro p/Ação]],"")</f>
        <v/>
      </c>
      <c r="P8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19" s="134">
        <f>SUMPRODUCT(N(Tabela1[Código]=Tabela8[[#This Row],[Papel]]),Tabela1[Fechamento])</f>
        <v>27.3</v>
      </c>
      <c r="R819" s="7">
        <f>SUMPRODUCT(N(Tabela17[Código]=Tabela8[[#This Row],[Papel]]),Tabela17[Fechamento])</f>
        <v>0</v>
      </c>
      <c r="S819" s="7">
        <f>SUMPRODUCT(N(Tabela176[Código]=Tabela8[[#This Row],[Papel]]),Tabela176[Fechamento])</f>
        <v>0</v>
      </c>
      <c r="T819" s="7">
        <f>SUMPRODUCT(N(Tabela1768[Código]=Tabela8[[#This Row],[Papel]]),Tabela1768[Fechamento])</f>
        <v>0</v>
      </c>
      <c r="U819" s="7">
        <f>SUMPRODUCT(N(Tabela17683[Código]=Tabela8[[#This Row],[Papel]]),Tabela17683[Fechamento])</f>
        <v>0</v>
      </c>
      <c r="V819" s="7">
        <f>IF(MAX(Tabela8[[#This Row],[Cotação 1]]:Tabela8[[#This Row],[Cotação 5]])=0,"",MAX(Tabela8[[#This Row],[Cotação 1]]:Tabela8[[#This Row],[Cotação 5]]))</f>
        <v>27.3</v>
      </c>
      <c r="W8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19" s="19" t="str">
        <f>IF(AND([Ref]=5,[Cotação]&gt;0,[Cotação]&lt;&gt;""),[Total Exercício]/[Cotação],IF([Ref]&lt;4,0,""))</f>
        <v/>
      </c>
      <c r="Y819" s="14">
        <f>IF([Tipo]="div",1,0)</f>
        <v>1</v>
      </c>
      <c r="Z819" s="14">
        <f>IF([Tipo]="jcp",1,0)</f>
        <v>0</v>
      </c>
    </row>
    <row r="820" spans="1:26" hidden="1">
      <c r="A820" s="4" t="s">
        <v>12</v>
      </c>
      <c r="B820" s="3" t="s">
        <v>89</v>
      </c>
      <c r="C820" s="15">
        <v>4</v>
      </c>
      <c r="D820" s="14">
        <v>2012</v>
      </c>
      <c r="E820" s="14" t="s">
        <v>1468</v>
      </c>
      <c r="I820" s="133">
        <v>0.2727</v>
      </c>
      <c r="J820" s="133">
        <f>IF(Tabela8[[#This Row],[Tipo]]="jcp",Tabela8[[#This Row],[Provento p/Ação]]*85%,Tabela8[[#This Row],[Provento p/Ação]])</f>
        <v>0.2727</v>
      </c>
      <c r="K820" s="133" t="str">
        <f>IF([Lucro p/Ação]&lt;&gt;0,SUMPRODUCT(N([Papel]=Tabela8[[#This Row],[Papel]]),N([Exercício]=Tabela8[[#This Row],[Exercício]]),[Líquido p/Ação]),"")</f>
        <v/>
      </c>
      <c r="L820" s="42" t="str">
        <f>IF(Tabela8[[#This Row],[Lucro p/Ação]]="","",IF(Tabela8[[#This Row],[Lucro p/Ação]]&gt;0,Tabela8[[#This Row],[Total Exercício]]/Tabela8[[#This Row],[Lucro p/Ação]],0))</f>
        <v/>
      </c>
      <c r="M82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0" s="19" t="str">
        <f>IF(Tabela8[[#This Row],[Média Lucro p/Ação]]&lt;&gt;"",Tabela8[[#This Row],[Média Pago]]/Tabela8[[#This Row],[Média Lucro p/Ação]],"")</f>
        <v/>
      </c>
      <c r="P8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0" s="134">
        <f>SUMPRODUCT(N(Tabela1[Código]=Tabela8[[#This Row],[Papel]]),Tabela1[Fechamento])</f>
        <v>32.01</v>
      </c>
      <c r="R820" s="7">
        <f>SUMPRODUCT(N(Tabela17[Código]=Tabela8[[#This Row],[Papel]]),Tabela17[Fechamento])</f>
        <v>0</v>
      </c>
      <c r="S820" s="7">
        <f>SUMPRODUCT(N(Tabela176[Código]=Tabela8[[#This Row],[Papel]]),Tabela176[Fechamento])</f>
        <v>0</v>
      </c>
      <c r="T820" s="7">
        <f>SUMPRODUCT(N(Tabela1768[Código]=Tabela8[[#This Row],[Papel]]),Tabela1768[Fechamento])</f>
        <v>0</v>
      </c>
      <c r="U820" s="7">
        <f>SUMPRODUCT(N(Tabela17683[Código]=Tabela8[[#This Row],[Papel]]),Tabela17683[Fechamento])</f>
        <v>0</v>
      </c>
      <c r="V820" s="7">
        <f>IF(MAX(Tabela8[[#This Row],[Cotação 1]]:Tabela8[[#This Row],[Cotação 5]])=0,"",MAX(Tabela8[[#This Row],[Cotação 1]]:Tabela8[[#This Row],[Cotação 5]]))</f>
        <v>32.01</v>
      </c>
      <c r="W8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0" s="19" t="str">
        <f>IF(AND([Ref]=5,[Cotação]&gt;0,[Cotação]&lt;&gt;""),[Total Exercício]/[Cotação],IF([Ref]&lt;4,0,""))</f>
        <v/>
      </c>
      <c r="Y820" s="14">
        <f>IF([Tipo]="div",1,0)</f>
        <v>1</v>
      </c>
      <c r="Z820" s="14">
        <f>IF([Tipo]="jcp",1,0)</f>
        <v>0</v>
      </c>
    </row>
    <row r="821" spans="1:26" hidden="1">
      <c r="A821" s="4" t="s">
        <v>12</v>
      </c>
      <c r="B821" s="3" t="s">
        <v>466</v>
      </c>
      <c r="C821" s="15">
        <v>4</v>
      </c>
      <c r="D821" s="14">
        <v>2012</v>
      </c>
      <c r="E821" s="14" t="s">
        <v>1468</v>
      </c>
      <c r="I821" s="133">
        <v>0.29997000000000001</v>
      </c>
      <c r="J821" s="133">
        <f>IF(Tabela8[[#This Row],[Tipo]]="jcp",Tabela8[[#This Row],[Provento p/Ação]]*85%,Tabela8[[#This Row],[Provento p/Ação]])</f>
        <v>0.29997000000000001</v>
      </c>
      <c r="K821" s="133" t="str">
        <f>IF([Lucro p/Ação]&lt;&gt;0,SUMPRODUCT(N([Papel]=Tabela8[[#This Row],[Papel]]),N([Exercício]=Tabela8[[#This Row],[Exercício]]),[Líquido p/Ação]),"")</f>
        <v/>
      </c>
      <c r="L821" s="42" t="str">
        <f>IF(Tabela8[[#This Row],[Lucro p/Ação]]="","",IF(Tabela8[[#This Row],[Lucro p/Ação]]&gt;0,Tabela8[[#This Row],[Total Exercício]]/Tabela8[[#This Row],[Lucro p/Ação]],0))</f>
        <v/>
      </c>
      <c r="M8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1" s="19" t="str">
        <f>IF(Tabela8[[#This Row],[Média Lucro p/Ação]]&lt;&gt;"",Tabela8[[#This Row],[Média Pago]]/Tabela8[[#This Row],[Média Lucro p/Ação]],"")</f>
        <v/>
      </c>
      <c r="P8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1" s="134">
        <f>SUMPRODUCT(N(Tabela1[Código]=Tabela8[[#This Row],[Papel]]),Tabela1[Fechamento])</f>
        <v>0</v>
      </c>
      <c r="R821" s="7">
        <f>SUMPRODUCT(N(Tabela17[Código]=Tabela8[[#This Row],[Papel]]),Tabela17[Fechamento])</f>
        <v>0</v>
      </c>
      <c r="S821" s="7">
        <f>SUMPRODUCT(N(Tabela176[Código]=Tabela8[[#This Row],[Papel]]),Tabela176[Fechamento])</f>
        <v>0</v>
      </c>
      <c r="T821" s="7">
        <f>SUMPRODUCT(N(Tabela1768[Código]=Tabela8[[#This Row],[Papel]]),Tabela1768[Fechamento])</f>
        <v>0</v>
      </c>
      <c r="U821" s="7">
        <f>SUMPRODUCT(N(Tabela17683[Código]=Tabela8[[#This Row],[Papel]]),Tabela17683[Fechamento])</f>
        <v>0</v>
      </c>
      <c r="V821" s="7" t="str">
        <f>IF(MAX(Tabela8[[#This Row],[Cotação 1]]:Tabela8[[#This Row],[Cotação 5]])=0,"",MAX(Tabela8[[#This Row],[Cotação 1]]:Tabela8[[#This Row],[Cotação 5]]))</f>
        <v/>
      </c>
      <c r="W8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1" s="19" t="str">
        <f>IF(AND([Ref]=5,[Cotação]&gt;0,[Cotação]&lt;&gt;""),[Total Exercício]/[Cotação],IF([Ref]&lt;4,0,""))</f>
        <v/>
      </c>
      <c r="Y821" s="14">
        <f>IF([Tipo]="div",1,0)</f>
        <v>1</v>
      </c>
      <c r="Z821" s="14">
        <f>IF([Tipo]="jcp",1,0)</f>
        <v>0</v>
      </c>
    </row>
    <row r="822" spans="1:26" hidden="1">
      <c r="A822" s="4" t="s">
        <v>12</v>
      </c>
      <c r="B822" s="3" t="s">
        <v>88</v>
      </c>
      <c r="C822" s="15">
        <v>5</v>
      </c>
      <c r="D822" s="14">
        <v>2012</v>
      </c>
      <c r="E822" s="14" t="s">
        <v>1468</v>
      </c>
      <c r="F822" s="133">
        <v>4.1500000000000004</v>
      </c>
      <c r="I822" s="133">
        <v>1.7469999999999999E-2</v>
      </c>
      <c r="J822" s="133">
        <f>IF(Tabela8[[#This Row],[Tipo]]="jcp",Tabela8[[#This Row],[Provento p/Ação]]*85%,Tabela8[[#This Row],[Provento p/Ação]])</f>
        <v>1.7469999999999999E-2</v>
      </c>
      <c r="K822" s="133">
        <f>IF([Lucro p/Ação]&lt;&gt;0,SUMPRODUCT(N([Papel]=Tabela8[[#This Row],[Papel]]),N([Exercício]=Tabela8[[#This Row],[Exercício]]),[Líquido p/Ação]),"")</f>
        <v>2.2492885</v>
      </c>
      <c r="L822" s="42">
        <f>IF(Tabela8[[#This Row],[Lucro p/Ação]]="","",IF(Tabela8[[#This Row],[Lucro p/Ação]]&gt;0,Tabela8[[#This Row],[Total Exercício]]/Tabela8[[#This Row],[Lucro p/Ação]],0))</f>
        <v>0.5419972289156626</v>
      </c>
      <c r="M8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4.2700000000000005</v>
      </c>
      <c r="N82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3.3895238333333335</v>
      </c>
      <c r="O822" s="19">
        <f>IF(Tabela8[[#This Row],[Média Lucro p/Ação]]&lt;&gt;"",Tabela8[[#This Row],[Média Pago]]/Tabela8[[#This Row],[Média Lucro p/Ação]],"")</f>
        <v>0.7937994925839188</v>
      </c>
      <c r="P8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2" s="134">
        <f>SUMPRODUCT(N(Tabela1[Código]=Tabela8[[#This Row],[Papel]]),Tabela1[Fechamento])</f>
        <v>27.3</v>
      </c>
      <c r="R822" s="7">
        <f>SUMPRODUCT(N(Tabela17[Código]=Tabela8[[#This Row],[Papel]]),Tabela17[Fechamento])</f>
        <v>0</v>
      </c>
      <c r="S822" s="7">
        <f>SUMPRODUCT(N(Tabela176[Código]=Tabela8[[#This Row],[Papel]]),Tabela176[Fechamento])</f>
        <v>0</v>
      </c>
      <c r="T822" s="7">
        <f>SUMPRODUCT(N(Tabela1768[Código]=Tabela8[[#This Row],[Papel]]),Tabela1768[Fechamento])</f>
        <v>0</v>
      </c>
      <c r="U822" s="7">
        <f>SUMPRODUCT(N(Tabela17683[Código]=Tabela8[[#This Row],[Papel]]),Tabela17683[Fechamento])</f>
        <v>0</v>
      </c>
      <c r="V822" s="7">
        <f>IF(MAX(Tabela8[[#This Row],[Cotação 1]]:Tabela8[[#This Row],[Cotação 5]])=0,"",MAX(Tabela8[[#This Row],[Cotação 1]]:Tabela8[[#This Row],[Cotação 5]]))</f>
        <v>27.3</v>
      </c>
      <c r="W8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2" s="19">
        <f>IF(AND([Ref]=5,[Cotação]&gt;0,[Cotação]&lt;&gt;""),[Total Exercício]/[Cotação],IF([Ref]&lt;4,0,""))</f>
        <v>8.2391520146520139E-2</v>
      </c>
      <c r="Y822" s="14">
        <f>IF([Tipo]="div",1,0)</f>
        <v>1</v>
      </c>
      <c r="Z822" s="14">
        <f>IF([Tipo]="jcp",1,0)</f>
        <v>0</v>
      </c>
    </row>
    <row r="823" spans="1:26" hidden="1">
      <c r="A823" s="4" t="s">
        <v>12</v>
      </c>
      <c r="B823" s="3" t="s">
        <v>89</v>
      </c>
      <c r="C823" s="15">
        <v>5</v>
      </c>
      <c r="D823" s="14">
        <v>2012</v>
      </c>
      <c r="E823" s="14" t="s">
        <v>1468</v>
      </c>
      <c r="F823" s="133">
        <v>4.1500000000000004</v>
      </c>
      <c r="I823" s="133">
        <v>1.7469999999999999E-2</v>
      </c>
      <c r="J823" s="133">
        <f>IF(Tabela8[[#This Row],[Tipo]]="jcp",Tabela8[[#This Row],[Provento p/Ação]]*85%,Tabela8[[#This Row],[Provento p/Ação]])</f>
        <v>1.7469999999999999E-2</v>
      </c>
      <c r="K823" s="133">
        <f>IF([Lucro p/Ação]&lt;&gt;0,SUMPRODUCT(N([Papel]=Tabela8[[#This Row],[Papel]]),N([Exercício]=Tabela8[[#This Row],[Exercício]]),[Líquido p/Ação]),"")</f>
        <v>2.2492885</v>
      </c>
      <c r="L823" s="42">
        <f>IF(Tabela8[[#This Row],[Lucro p/Ação]]="","",IF(Tabela8[[#This Row],[Lucro p/Ação]]&gt;0,Tabela8[[#This Row],[Total Exercício]]/Tabela8[[#This Row],[Lucro p/Ação]],0))</f>
        <v>0.5419972289156626</v>
      </c>
      <c r="M8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4.2700000000000005</v>
      </c>
      <c r="N82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3.3895238333333335</v>
      </c>
      <c r="O823" s="19">
        <f>IF(Tabela8[[#This Row],[Média Lucro p/Ação]]&lt;&gt;"",Tabela8[[#This Row],[Média Pago]]/Tabela8[[#This Row],[Média Lucro p/Ação]],"")</f>
        <v>0.7937994925839188</v>
      </c>
      <c r="P8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3" s="134">
        <f>SUMPRODUCT(N(Tabela1[Código]=Tabela8[[#This Row],[Papel]]),Tabela1[Fechamento])</f>
        <v>32.01</v>
      </c>
      <c r="R823" s="7">
        <f>SUMPRODUCT(N(Tabela17[Código]=Tabela8[[#This Row],[Papel]]),Tabela17[Fechamento])</f>
        <v>0</v>
      </c>
      <c r="S823" s="7">
        <f>SUMPRODUCT(N(Tabela176[Código]=Tabela8[[#This Row],[Papel]]),Tabela176[Fechamento])</f>
        <v>0</v>
      </c>
      <c r="T823" s="7">
        <f>SUMPRODUCT(N(Tabela1768[Código]=Tabela8[[#This Row],[Papel]]),Tabela1768[Fechamento])</f>
        <v>0</v>
      </c>
      <c r="U823" s="7">
        <f>SUMPRODUCT(N(Tabela17683[Código]=Tabela8[[#This Row],[Papel]]),Tabela17683[Fechamento])</f>
        <v>0</v>
      </c>
      <c r="V823" s="7">
        <f>IF(MAX(Tabela8[[#This Row],[Cotação 1]]:Tabela8[[#This Row],[Cotação 5]])=0,"",MAX(Tabela8[[#This Row],[Cotação 1]]:Tabela8[[#This Row],[Cotação 5]]))</f>
        <v>32.01</v>
      </c>
      <c r="W8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3" s="19">
        <f>IF(AND([Ref]=5,[Cotação]&gt;0,[Cotação]&lt;&gt;""),[Total Exercício]/[Cotação],IF([Ref]&lt;4,0,""))</f>
        <v>7.0268306779131526E-2</v>
      </c>
      <c r="Y823" s="14">
        <f>IF([Tipo]="div",1,0)</f>
        <v>1</v>
      </c>
      <c r="Z823" s="14">
        <f>IF([Tipo]="jcp",1,0)</f>
        <v>0</v>
      </c>
    </row>
    <row r="824" spans="1:26" hidden="1">
      <c r="A824" s="4" t="s">
        <v>12</v>
      </c>
      <c r="B824" s="3" t="s">
        <v>466</v>
      </c>
      <c r="C824" s="15">
        <v>5</v>
      </c>
      <c r="D824" s="14">
        <v>2012</v>
      </c>
      <c r="E824" s="14" t="s">
        <v>1468</v>
      </c>
      <c r="F824" s="133">
        <v>4.5599999999999996</v>
      </c>
      <c r="I824" s="133">
        <v>1.9220000000000001E-2</v>
      </c>
      <c r="J824" s="133">
        <f>IF(Tabela8[[#This Row],[Tipo]]="jcp",Tabela8[[#This Row],[Provento p/Ação]]*85%,Tabela8[[#This Row],[Provento p/Ação]])</f>
        <v>1.9220000000000001E-2</v>
      </c>
      <c r="K824" s="133">
        <f>IF([Lucro p/Ação]&lt;&gt;0,SUMPRODUCT(N([Papel]=Tabela8[[#This Row],[Papel]]),N([Exercício]=Tabela8[[#This Row],[Exercício]]),[Líquido p/Ação]),"")</f>
        <v>2.4742234999999999</v>
      </c>
      <c r="L824" s="42">
        <f>IF(Tabela8[[#This Row],[Lucro p/Ação]]="","",IF(Tabela8[[#This Row],[Lucro p/Ação]]&gt;0,Tabela8[[#This Row],[Total Exercício]]/Tabela8[[#This Row],[Lucro p/Ação]],0))</f>
        <v>0.54259287280701762</v>
      </c>
      <c r="M82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4.6900000000000004</v>
      </c>
      <c r="N824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3.7284763333333344</v>
      </c>
      <c r="O824" s="19">
        <f>IF(Tabela8[[#This Row],[Média Lucro p/Ação]]&lt;&gt;"",Tabela8[[#This Row],[Média Pago]]/Tabela8[[#This Row],[Média Lucro p/Ação]],"")</f>
        <v>0.79498429282160643</v>
      </c>
      <c r="P8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4" s="134">
        <f>SUMPRODUCT(N(Tabela1[Código]=Tabela8[[#This Row],[Papel]]),Tabela1[Fechamento])</f>
        <v>0</v>
      </c>
      <c r="R824" s="17">
        <f>SUMPRODUCT(N(Tabela17[Código]=Tabela8[[#This Row],[Papel]]),Tabela17[Fechamento])</f>
        <v>0</v>
      </c>
      <c r="S824" s="17">
        <f>SUMPRODUCT(N(Tabela176[Código]=Tabela8[[#This Row],[Papel]]),Tabela176[Fechamento])</f>
        <v>0</v>
      </c>
      <c r="T824" s="17">
        <f>SUMPRODUCT(N(Tabela1768[Código]=Tabela8[[#This Row],[Papel]]),Tabela1768[Fechamento])</f>
        <v>0</v>
      </c>
      <c r="U824" s="17">
        <f>SUMPRODUCT(N(Tabela17683[Código]=Tabela8[[#This Row],[Papel]]),Tabela17683[Fechamento])</f>
        <v>0</v>
      </c>
      <c r="V824" s="17" t="str">
        <f>IF(MAX(Tabela8[[#This Row],[Cotação 1]]:Tabela8[[#This Row],[Cotação 5]])=0,"",MAX(Tabela8[[#This Row],[Cotação 1]]:Tabela8[[#This Row],[Cotação 5]]))</f>
        <v/>
      </c>
      <c r="W8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4" s="19" t="str">
        <f>IF(AND([Ref]=5,[Cotação]&gt;0,[Cotação]&lt;&gt;""),[Total Exercício]/[Cotação],IF([Ref]&lt;4,0,""))</f>
        <v/>
      </c>
      <c r="Y824" s="14">
        <f>IF([Tipo]="div",1,0)</f>
        <v>1</v>
      </c>
      <c r="Z824" s="14">
        <f>IF([Tipo]="jcp",1,0)</f>
        <v>0</v>
      </c>
    </row>
    <row r="825" spans="1:26" hidden="1">
      <c r="A825" s="4" t="s">
        <v>12</v>
      </c>
      <c r="B825" s="3" t="s">
        <v>88</v>
      </c>
      <c r="C825" s="15">
        <v>5</v>
      </c>
      <c r="D825" s="14">
        <v>2013</v>
      </c>
      <c r="E825" s="14" t="s">
        <v>1468</v>
      </c>
      <c r="F825" s="133">
        <v>2.2400000000000002</v>
      </c>
      <c r="G825" s="145">
        <v>41393</v>
      </c>
      <c r="H825" s="145">
        <v>41409</v>
      </c>
      <c r="I825" s="133">
        <v>0.29016999999999998</v>
      </c>
      <c r="J825" s="133">
        <f>IF(Tabela8[[#This Row],[Tipo]]="jcp",Tabela8[[#This Row],[Provento p/Ação]]*85%,Tabela8[[#This Row],[Provento p/Ação]])</f>
        <v>0.29016999999999998</v>
      </c>
      <c r="K825" s="133">
        <f>IF([Lucro p/Ação]&lt;&gt;0,SUMPRODUCT(N([Papel]=Tabela8[[#This Row],[Papel]]),N([Exercício]=Tabela8[[#This Row],[Exercício]]),[Líquido p/Ação]),"")</f>
        <v>0.29016999999999998</v>
      </c>
      <c r="L825" s="42">
        <f>IF(Tabela8[[#This Row],[Lucro p/Ação]]="","",IF(Tabela8[[#This Row],[Lucro p/Ação]]&gt;0,Tabela8[[#This Row],[Total Exercício]]/Tabela8[[#This Row],[Lucro p/Ação]],0))</f>
        <v>0.12954017857142855</v>
      </c>
      <c r="M8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3.7625000000000002</v>
      </c>
      <c r="N825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2.6146853750000001</v>
      </c>
      <c r="O825" s="19">
        <f>IF(Tabela8[[#This Row],[Média Lucro p/Ação]]&lt;&gt;"",Tabela8[[#This Row],[Média Pago]]/Tabela8[[#This Row],[Média Lucro p/Ação]],"")</f>
        <v>0.69493299003322262</v>
      </c>
      <c r="P8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5" s="134">
        <f>SUMPRODUCT(N(Tabela1[Código]=Tabela8[[#This Row],[Papel]]),Tabela1[Fechamento])</f>
        <v>27.3</v>
      </c>
      <c r="R825" s="7">
        <f>SUMPRODUCT(N(Tabela17[Código]=Tabela8[[#This Row],[Papel]]),Tabela17[Fechamento])</f>
        <v>0</v>
      </c>
      <c r="S825" s="7">
        <f>SUMPRODUCT(N(Tabela176[Código]=Tabela8[[#This Row],[Papel]]),Tabela176[Fechamento])</f>
        <v>0</v>
      </c>
      <c r="T825" s="7">
        <f>SUMPRODUCT(N(Tabela1768[Código]=Tabela8[[#This Row],[Papel]]),Tabela1768[Fechamento])</f>
        <v>0</v>
      </c>
      <c r="U825" s="7">
        <f>SUMPRODUCT(N(Tabela17683[Código]=Tabela8[[#This Row],[Papel]]),Tabela17683[Fechamento])</f>
        <v>0</v>
      </c>
      <c r="V825" s="7">
        <f>IF(MAX(Tabela8[[#This Row],[Cotação 1]]:Tabela8[[#This Row],[Cotação 5]])=0,"",MAX(Tabela8[[#This Row],[Cotação 1]]:Tabela8[[#This Row],[Cotação 5]]))</f>
        <v>27.3</v>
      </c>
      <c r="W8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5" s="19">
        <f>IF(AND([Ref]=5,[Cotação]&gt;0,[Cotação]&lt;&gt;""),[Total Exercício]/[Cotação],IF([Ref]&lt;4,0,""))</f>
        <v>1.0628937728937728E-2</v>
      </c>
      <c r="Y825" s="14">
        <f>IF([Tipo]="div",1,0)</f>
        <v>1</v>
      </c>
      <c r="Z825" s="14">
        <f>IF([Tipo]="jcp",1,0)</f>
        <v>0</v>
      </c>
    </row>
    <row r="826" spans="1:26" hidden="1">
      <c r="A826" s="4" t="s">
        <v>12</v>
      </c>
      <c r="B826" s="3" t="s">
        <v>89</v>
      </c>
      <c r="C826" s="15">
        <v>5</v>
      </c>
      <c r="D826" s="14">
        <v>2013</v>
      </c>
      <c r="E826" s="14" t="s">
        <v>1468</v>
      </c>
      <c r="F826" s="133">
        <v>2.2400000000000002</v>
      </c>
      <c r="G826" s="145">
        <v>41393</v>
      </c>
      <c r="H826" s="145">
        <v>41409</v>
      </c>
      <c r="I826" s="133">
        <v>0.29016999999999998</v>
      </c>
      <c r="J826" s="133">
        <f>IF(Tabela8[[#This Row],[Tipo]]="jcp",Tabela8[[#This Row],[Provento p/Ação]]*85%,Tabela8[[#This Row],[Provento p/Ação]])</f>
        <v>0.29016999999999998</v>
      </c>
      <c r="K826" s="133">
        <f>IF([Lucro p/Ação]&lt;&gt;0,SUMPRODUCT(N([Papel]=Tabela8[[#This Row],[Papel]]),N([Exercício]=Tabela8[[#This Row],[Exercício]]),[Líquido p/Ação]),"")</f>
        <v>0.29016999999999998</v>
      </c>
      <c r="L826" s="42">
        <f>IF(Tabela8[[#This Row],[Lucro p/Ação]]="","",IF(Tabela8[[#This Row],[Lucro p/Ação]]&gt;0,Tabela8[[#This Row],[Total Exercício]]/Tabela8[[#This Row],[Lucro p/Ação]],0))</f>
        <v>0.12954017857142855</v>
      </c>
      <c r="M8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3.7625000000000002</v>
      </c>
      <c r="N82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2.6146853750000001</v>
      </c>
      <c r="O826" s="19">
        <f>IF(Tabela8[[#This Row],[Média Lucro p/Ação]]&lt;&gt;"",Tabela8[[#This Row],[Média Pago]]/Tabela8[[#This Row],[Média Lucro p/Ação]],"")</f>
        <v>0.69493299003322262</v>
      </c>
      <c r="P8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6" s="134">
        <f>SUMPRODUCT(N(Tabela1[Código]=Tabela8[[#This Row],[Papel]]),Tabela1[Fechamento])</f>
        <v>32.01</v>
      </c>
      <c r="R826" s="7">
        <f>SUMPRODUCT(N(Tabela17[Código]=Tabela8[[#This Row],[Papel]]),Tabela17[Fechamento])</f>
        <v>0</v>
      </c>
      <c r="S826" s="7">
        <f>SUMPRODUCT(N(Tabela176[Código]=Tabela8[[#This Row],[Papel]]),Tabela176[Fechamento])</f>
        <v>0</v>
      </c>
      <c r="T826" s="7">
        <f>SUMPRODUCT(N(Tabela1768[Código]=Tabela8[[#This Row],[Papel]]),Tabela1768[Fechamento])</f>
        <v>0</v>
      </c>
      <c r="U826" s="7">
        <f>SUMPRODUCT(N(Tabela17683[Código]=Tabela8[[#This Row],[Papel]]),Tabela17683[Fechamento])</f>
        <v>0</v>
      </c>
      <c r="V826" s="7">
        <f>IF(MAX(Tabela8[[#This Row],[Cotação 1]]:Tabela8[[#This Row],[Cotação 5]])=0,"",MAX(Tabela8[[#This Row],[Cotação 1]]:Tabela8[[#This Row],[Cotação 5]]))</f>
        <v>32.01</v>
      </c>
      <c r="W8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6" s="19">
        <f>IF(AND([Ref]=5,[Cotação]&gt;0,[Cotação]&lt;&gt;""),[Total Exercício]/[Cotação],IF([Ref]&lt;4,0,""))</f>
        <v>9.0649796938456727E-3</v>
      </c>
      <c r="Y826" s="14">
        <f>IF([Tipo]="div",1,0)</f>
        <v>1</v>
      </c>
      <c r="Z826" s="14">
        <f>IF([Tipo]="jcp",1,0)</f>
        <v>0</v>
      </c>
    </row>
    <row r="827" spans="1:26" hidden="1">
      <c r="A827" s="4" t="s">
        <v>12</v>
      </c>
      <c r="B827" s="3" t="s">
        <v>466</v>
      </c>
      <c r="C827" s="15">
        <v>5</v>
      </c>
      <c r="D827" s="14">
        <v>2013</v>
      </c>
      <c r="E827" s="14" t="s">
        <v>1468</v>
      </c>
      <c r="F827" s="133">
        <v>2.46</v>
      </c>
      <c r="G827" s="145">
        <v>41393</v>
      </c>
      <c r="H827" s="145">
        <v>41409</v>
      </c>
      <c r="I827" s="133">
        <v>0.31918999999999997</v>
      </c>
      <c r="J827" s="133">
        <f>IF(Tabela8[[#This Row],[Tipo]]="jcp",Tabela8[[#This Row],[Provento p/Ação]]*85%,Tabela8[[#This Row],[Provento p/Ação]])</f>
        <v>0.31918999999999997</v>
      </c>
      <c r="K827" s="133">
        <f>IF([Lucro p/Ação]&lt;&gt;0,SUMPRODUCT(N([Papel]=Tabela8[[#This Row],[Papel]]),N([Exercício]=Tabela8[[#This Row],[Exercício]]),[Líquido p/Ação]),"")</f>
        <v>0.31918999999999997</v>
      </c>
      <c r="L827" s="42">
        <f>IF(Tabela8[[#This Row],[Lucro p/Ação]]="","",IF(Tabela8[[#This Row],[Lucro p/Ação]]&gt;0,Tabela8[[#This Row],[Total Exercício]]/Tabela8[[#This Row],[Lucro p/Ação]],0))</f>
        <v>0.12975203252032519</v>
      </c>
      <c r="M82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4.1325000000000003</v>
      </c>
      <c r="N82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2.8761547500000009</v>
      </c>
      <c r="O827" s="19">
        <f>IF(Tabela8[[#This Row],[Média Lucro p/Ação]]&lt;&gt;"",Tabela8[[#This Row],[Média Pago]]/Tabela8[[#This Row],[Média Lucro p/Ação]],"")</f>
        <v>0.69598421052631598</v>
      </c>
      <c r="P8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7" s="134">
        <f>SUMPRODUCT(N(Tabela1[Código]=Tabela8[[#This Row],[Papel]]),Tabela1[Fechamento])</f>
        <v>0</v>
      </c>
      <c r="R827" s="17">
        <f>SUMPRODUCT(N(Tabela17[Código]=Tabela8[[#This Row],[Papel]]),Tabela17[Fechamento])</f>
        <v>0</v>
      </c>
      <c r="S827" s="17">
        <f>SUMPRODUCT(N(Tabela176[Código]=Tabela8[[#This Row],[Papel]]),Tabela176[Fechamento])</f>
        <v>0</v>
      </c>
      <c r="T827" s="17">
        <f>SUMPRODUCT(N(Tabela1768[Código]=Tabela8[[#This Row],[Papel]]),Tabela1768[Fechamento])</f>
        <v>0</v>
      </c>
      <c r="U827" s="17">
        <f>SUMPRODUCT(N(Tabela17683[Código]=Tabela8[[#This Row],[Papel]]),Tabela17683[Fechamento])</f>
        <v>0</v>
      </c>
      <c r="V827" s="17" t="str">
        <f>IF(MAX(Tabela8[[#This Row],[Cotação 1]]:Tabela8[[#This Row],[Cotação 5]])=0,"",MAX(Tabela8[[#This Row],[Cotação 1]]:Tabela8[[#This Row],[Cotação 5]]))</f>
        <v/>
      </c>
      <c r="W8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7" s="19" t="str">
        <f>IF(AND([Ref]=5,[Cotação]&gt;0,[Cotação]&lt;&gt;""),[Total Exercício]/[Cotação],IF([Ref]&lt;4,0,""))</f>
        <v/>
      </c>
      <c r="Y827" s="14">
        <f>IF([Tipo]="div",1,0)</f>
        <v>1</v>
      </c>
      <c r="Z827" s="14">
        <f>IF([Tipo]="jcp",1,0)</f>
        <v>0</v>
      </c>
    </row>
    <row r="828" spans="1:26" hidden="1">
      <c r="A828" s="4" t="s">
        <v>12</v>
      </c>
      <c r="B828" s="3" t="s">
        <v>171</v>
      </c>
      <c r="C828" s="15">
        <v>4</v>
      </c>
      <c r="D828" s="14">
        <v>2010</v>
      </c>
      <c r="E828" s="14" t="s">
        <v>1475</v>
      </c>
      <c r="G828" s="145">
        <v>40487</v>
      </c>
      <c r="I828" s="133">
        <v>0.33704000000000001</v>
      </c>
      <c r="J828" s="134">
        <f>IF(Tabela8[[#This Row],[Tipo]]="jcp",Tabela8[[#This Row],[Provento p/Ação]]*85%,Tabela8[[#This Row],[Provento p/Ação]])</f>
        <v>0.28648400000000002</v>
      </c>
      <c r="K828" s="133" t="str">
        <f>IF([Lucro p/Ação]&lt;&gt;0,SUMPRODUCT(N([Papel]=Tabela8[[#This Row],[Papel]]),N([Exercício]=Tabela8[[#This Row],[Exercício]]),[Líquido p/Ação]),"")</f>
        <v/>
      </c>
      <c r="L828" s="42" t="str">
        <f>IF(Tabela8[[#This Row],[Lucro p/Ação]]="","",IF(Tabela8[[#This Row],[Lucro p/Ação]]&gt;0,Tabela8[[#This Row],[Total Exercício]]/Tabela8[[#This Row],[Lucro p/Ação]],0))</f>
        <v/>
      </c>
      <c r="M82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2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28" s="87" t="str">
        <f>IF(Tabela8[[#This Row],[Média Lucro p/Ação]]&lt;&gt;"",Tabela8[[#This Row],[Média Pago]]/Tabela8[[#This Row],[Média Lucro p/Ação]],"")</f>
        <v/>
      </c>
      <c r="P8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8" s="134">
        <f>SUMPRODUCT(N(Tabela1[Código]=Tabela8[[#This Row],[Papel]]),Tabela1[Fechamento])</f>
        <v>32.65</v>
      </c>
      <c r="R828" s="17">
        <f>SUMPRODUCT(N(Tabela17[Código]=Tabela8[[#This Row],[Papel]]),Tabela17[Fechamento])</f>
        <v>0</v>
      </c>
      <c r="S828" s="17">
        <f>SUMPRODUCT(N(Tabela176[Código]=Tabela8[[#This Row],[Papel]]),Tabela176[Fechamento])</f>
        <v>0</v>
      </c>
      <c r="T828" s="17">
        <f>SUMPRODUCT(N(Tabela1768[Código]=Tabela8[[#This Row],[Papel]]),Tabela1768[Fechamento])</f>
        <v>0</v>
      </c>
      <c r="U828" s="17">
        <f>SUMPRODUCT(N(Tabela17683[Código]=Tabela8[[#This Row],[Papel]]),Tabela17683[Fechamento])</f>
        <v>0</v>
      </c>
      <c r="V828" s="17">
        <f>IF(MAX(Tabela8[[#This Row],[Cotação 1]]:Tabela8[[#This Row],[Cotação 5]])=0,"",MAX(Tabela8[[#This Row],[Cotação 1]]:Tabela8[[#This Row],[Cotação 5]]))</f>
        <v>32.65</v>
      </c>
      <c r="W8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8" s="19" t="str">
        <f>IF(AND([Ref]=5,[Cotação]&gt;0,[Cotação]&lt;&gt;""),[Total Exercício]/[Cotação],IF([Ref]&lt;4,0,""))</f>
        <v/>
      </c>
      <c r="Y828" s="14">
        <f>IF([Tipo]="div",1,0)</f>
        <v>0</v>
      </c>
      <c r="Z828" s="14">
        <f>IF([Tipo]="jcp",1,0)</f>
        <v>1</v>
      </c>
    </row>
    <row r="829" spans="1:26" hidden="1">
      <c r="A829" s="4" t="s">
        <v>12</v>
      </c>
      <c r="B829" s="3" t="s">
        <v>171</v>
      </c>
      <c r="C829" s="15">
        <v>5</v>
      </c>
      <c r="D829" s="14">
        <v>2010</v>
      </c>
      <c r="E829" s="14" t="s">
        <v>1468</v>
      </c>
      <c r="F829" s="133">
        <v>1.8562399999999999</v>
      </c>
      <c r="G829" s="145">
        <v>40578</v>
      </c>
      <c r="I829" s="133">
        <v>0.24246999999999999</v>
      </c>
      <c r="J829" s="134">
        <f>IF(Tabela8[[#This Row],[Tipo]]="jcp",Tabela8[[#This Row],[Provento p/Ação]]*85%,Tabela8[[#This Row],[Provento p/Ação]])</f>
        <v>0.24246999999999999</v>
      </c>
      <c r="K829" s="133">
        <f>IF([Lucro p/Ação]&lt;&gt;0,SUMPRODUCT(N([Papel]=Tabela8[[#This Row],[Papel]]),N([Exercício]=Tabela8[[#This Row],[Exercício]]),[Líquido p/Ação]),"")</f>
        <v>0.96725400000000006</v>
      </c>
      <c r="L829" s="42">
        <f>IF(Tabela8[[#This Row],[Lucro p/Ação]]="","",IF(Tabela8[[#This Row],[Lucro p/Ação]]&gt;0,Tabela8[[#This Row],[Total Exercício]]/Tabela8[[#This Row],[Lucro p/Ação]],0))</f>
        <v>0.52108240313752541</v>
      </c>
      <c r="M8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1.8562399999999999</v>
      </c>
      <c r="N8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0.96725400000000006</v>
      </c>
      <c r="O829" s="87">
        <f>IF(Tabela8[[#This Row],[Média Lucro p/Ação]]&lt;&gt;"",Tabela8[[#This Row],[Média Pago]]/Tabela8[[#This Row],[Média Lucro p/Ação]],"")</f>
        <v>0.52108240313752541</v>
      </c>
      <c r="P8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29" s="134">
        <f>SUMPRODUCT(N(Tabela1[Código]=Tabela8[[#This Row],[Papel]]),Tabela1[Fechamento])</f>
        <v>32.65</v>
      </c>
      <c r="R829" s="17">
        <f>SUMPRODUCT(N(Tabela17[Código]=Tabela8[[#This Row],[Papel]]),Tabela17[Fechamento])</f>
        <v>0</v>
      </c>
      <c r="S829" s="17">
        <f>SUMPRODUCT(N(Tabela176[Código]=Tabela8[[#This Row],[Papel]]),Tabela176[Fechamento])</f>
        <v>0</v>
      </c>
      <c r="T829" s="17">
        <f>SUMPRODUCT(N(Tabela1768[Código]=Tabela8[[#This Row],[Papel]]),Tabela1768[Fechamento])</f>
        <v>0</v>
      </c>
      <c r="U829" s="17">
        <f>SUMPRODUCT(N(Tabela17683[Código]=Tabela8[[#This Row],[Papel]]),Tabela17683[Fechamento])</f>
        <v>0</v>
      </c>
      <c r="V829" s="17">
        <f>IF(MAX(Tabela8[[#This Row],[Cotação 1]]:Tabela8[[#This Row],[Cotação 5]])=0,"",MAX(Tabela8[[#This Row],[Cotação 1]]:Tabela8[[#This Row],[Cotação 5]]))</f>
        <v>32.65</v>
      </c>
      <c r="W8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29" s="19">
        <f>IF(AND([Ref]=5,[Cotação]&gt;0,[Cotação]&lt;&gt;""),[Total Exercício]/[Cotação],IF([Ref]&lt;4,0,""))</f>
        <v>2.9624931087289436E-2</v>
      </c>
      <c r="Y829" s="14">
        <f>IF([Tipo]="div",1,0)</f>
        <v>1</v>
      </c>
      <c r="Z829" s="14">
        <f>IF([Tipo]="jcp",1,0)</f>
        <v>0</v>
      </c>
    </row>
    <row r="830" spans="1:26" hidden="1">
      <c r="A830" s="4" t="s">
        <v>12</v>
      </c>
      <c r="B830" s="3" t="s">
        <v>171</v>
      </c>
      <c r="C830" s="15">
        <v>4</v>
      </c>
      <c r="D830" s="14">
        <v>2011</v>
      </c>
      <c r="E830" s="4" t="s">
        <v>1468</v>
      </c>
      <c r="G830" s="145">
        <v>40753</v>
      </c>
      <c r="H830" s="46">
        <v>40822</v>
      </c>
      <c r="I830" s="133">
        <v>1.00807</v>
      </c>
      <c r="J830" s="134">
        <f>IF(Tabela8[[#This Row],[Tipo]]="jcp",Tabela8[[#This Row],[Provento p/Ação]]*85%,Tabela8[[#This Row],[Provento p/Ação]])</f>
        <v>1.00807</v>
      </c>
      <c r="K830" s="133" t="str">
        <f>IF([Lucro p/Ação]&lt;&gt;0,SUMPRODUCT(N([Papel]=Tabela8[[#This Row],[Papel]]),N([Exercício]=Tabela8[[#This Row],[Exercício]]),[Líquido p/Ação]),"")</f>
        <v/>
      </c>
      <c r="L830" s="42" t="str">
        <f>IF(Tabela8[[#This Row],[Lucro p/Ação]]="","",IF(Tabela8[[#This Row],[Lucro p/Ação]]&gt;0,Tabela8[[#This Row],[Total Exercício]]/Tabela8[[#This Row],[Lucro p/Ação]],0))</f>
        <v/>
      </c>
      <c r="M83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0" s="87" t="str">
        <f>IF(Tabela8[[#This Row],[Média Lucro p/Ação]]&lt;&gt;"",Tabela8[[#This Row],[Média Pago]]/Tabela8[[#This Row],[Média Lucro p/Ação]],"")</f>
        <v/>
      </c>
      <c r="P8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0" s="134">
        <f>SUMPRODUCT(N(Tabela1[Código]=Tabela8[[#This Row],[Papel]]),Tabela1[Fechamento])</f>
        <v>32.65</v>
      </c>
      <c r="R830" s="17">
        <f>SUMPRODUCT(N(Tabela17[Código]=Tabela8[[#This Row],[Papel]]),Tabela17[Fechamento])</f>
        <v>0</v>
      </c>
      <c r="S830" s="17">
        <f>SUMPRODUCT(N(Tabela176[Código]=Tabela8[[#This Row],[Papel]]),Tabela176[Fechamento])</f>
        <v>0</v>
      </c>
      <c r="T830" s="17">
        <f>SUMPRODUCT(N(Tabela1768[Código]=Tabela8[[#This Row],[Papel]]),Tabela1768[Fechamento])</f>
        <v>0</v>
      </c>
      <c r="U830" s="17">
        <f>SUMPRODUCT(N(Tabela17683[Código]=Tabela8[[#This Row],[Papel]]),Tabela17683[Fechamento])</f>
        <v>0</v>
      </c>
      <c r="V830" s="17">
        <f>IF(MAX(Tabela8[[#This Row],[Cotação 1]]:Tabela8[[#This Row],[Cotação 5]])=0,"",MAX(Tabela8[[#This Row],[Cotação 1]]:Tabela8[[#This Row],[Cotação 5]]))</f>
        <v>32.65</v>
      </c>
      <c r="W8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0" s="19" t="str">
        <f>IF(AND([Ref]=5,[Cotação]&gt;0,[Cotação]&lt;&gt;""),[Total Exercício]/[Cotação],IF([Ref]&lt;4,0,""))</f>
        <v/>
      </c>
      <c r="Y830" s="14">
        <f>IF([Tipo]="div",1,0)</f>
        <v>1</v>
      </c>
      <c r="Z830" s="14">
        <f>IF([Tipo]="jcp",1,0)</f>
        <v>0</v>
      </c>
    </row>
    <row r="831" spans="1:26" hidden="1">
      <c r="A831" s="4" t="s">
        <v>12</v>
      </c>
      <c r="B831" s="3" t="s">
        <v>171</v>
      </c>
      <c r="C831" s="15">
        <v>4</v>
      </c>
      <c r="D831" s="14">
        <v>2011</v>
      </c>
      <c r="E831" s="14" t="s">
        <v>1475</v>
      </c>
      <c r="G831" s="145">
        <v>41217</v>
      </c>
      <c r="H831" s="46">
        <v>40949</v>
      </c>
      <c r="I831" s="133">
        <v>0.38911000000000001</v>
      </c>
      <c r="J831" s="134">
        <f>IF(Tabela8[[#This Row],[Tipo]]="jcp",Tabela8[[#This Row],[Provento p/Ação]]*85%,Tabela8[[#This Row],[Provento p/Ação]])</f>
        <v>0.33074350000000002</v>
      </c>
      <c r="K831" s="133" t="str">
        <f>IF([Lucro p/Ação]&lt;&gt;0,SUMPRODUCT(N([Papel]=Tabela8[[#This Row],[Papel]]),N([Exercício]=Tabela8[[#This Row],[Exercício]]),[Líquido p/Ação]),"")</f>
        <v/>
      </c>
      <c r="L831" s="42" t="str">
        <f>IF(Tabela8[[#This Row],[Lucro p/Ação]]="","",IF(Tabela8[[#This Row],[Lucro p/Ação]]&gt;0,Tabela8[[#This Row],[Total Exercício]]/Tabela8[[#This Row],[Lucro p/Ação]],0))</f>
        <v/>
      </c>
      <c r="M83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1" s="87" t="str">
        <f>IF(Tabela8[[#This Row],[Média Lucro p/Ação]]&lt;&gt;"",Tabela8[[#This Row],[Média Pago]]/Tabela8[[#This Row],[Média Lucro p/Ação]],"")</f>
        <v/>
      </c>
      <c r="P8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1" s="134">
        <f>SUMPRODUCT(N(Tabela1[Código]=Tabela8[[#This Row],[Papel]]),Tabela1[Fechamento])</f>
        <v>32.65</v>
      </c>
      <c r="R831" s="7">
        <f>SUMPRODUCT(N(Tabela17[Código]=Tabela8[[#This Row],[Papel]]),Tabela17[Fechamento])</f>
        <v>0</v>
      </c>
      <c r="S831" s="7">
        <f>SUMPRODUCT(N(Tabela176[Código]=Tabela8[[#This Row],[Papel]]),Tabela176[Fechamento])</f>
        <v>0</v>
      </c>
      <c r="T831" s="7">
        <f>SUMPRODUCT(N(Tabela1768[Código]=Tabela8[[#This Row],[Papel]]),Tabela1768[Fechamento])</f>
        <v>0</v>
      </c>
      <c r="U831" s="7">
        <f>SUMPRODUCT(N(Tabela17683[Código]=Tabela8[[#This Row],[Papel]]),Tabela17683[Fechamento])</f>
        <v>0</v>
      </c>
      <c r="V831" s="7">
        <f>IF(MAX(Tabela8[[#This Row],[Cotação 1]]:Tabela8[[#This Row],[Cotação 5]])=0,"",MAX(Tabela8[[#This Row],[Cotação 1]]:Tabela8[[#This Row],[Cotação 5]]))</f>
        <v>32.65</v>
      </c>
      <c r="W8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1" s="19" t="str">
        <f>IF(AND([Ref]=5,[Cotação]&gt;0,[Cotação]&lt;&gt;""),[Total Exercício]/[Cotação],IF([Ref]&lt;4,0,""))</f>
        <v/>
      </c>
      <c r="Y831" s="14">
        <f>IF([Tipo]="div",1,0)</f>
        <v>0</v>
      </c>
      <c r="Z831" s="14">
        <f>IF([Tipo]="jcp",1,0)</f>
        <v>1</v>
      </c>
    </row>
    <row r="832" spans="1:26" hidden="1">
      <c r="A832" s="4" t="s">
        <v>12</v>
      </c>
      <c r="B832" s="3" t="s">
        <v>171</v>
      </c>
      <c r="C832" s="15">
        <v>5</v>
      </c>
      <c r="D832" s="14">
        <v>2011</v>
      </c>
      <c r="E832" s="14" t="s">
        <v>1468</v>
      </c>
      <c r="F832" s="133">
        <v>2.2177799999999999</v>
      </c>
      <c r="G832" s="145">
        <v>40946</v>
      </c>
      <c r="I832" s="133">
        <v>0.79256000000000004</v>
      </c>
      <c r="J832" s="134">
        <f>IF(Tabela8[[#This Row],[Tipo]]="jcp",Tabela8[[#This Row],[Provento p/Ação]]*85%,Tabela8[[#This Row],[Provento p/Ação]])</f>
        <v>0.79256000000000004</v>
      </c>
      <c r="K832" s="133">
        <f>IF([Lucro p/Ação]&lt;&gt;0,SUMPRODUCT(N([Papel]=Tabela8[[#This Row],[Papel]]),N([Exercício]=Tabela8[[#This Row],[Exercício]]),[Líquido p/Ação]),"")</f>
        <v>2.1313735</v>
      </c>
      <c r="L832" s="42">
        <f>IF(Tabela8[[#This Row],[Lucro p/Ação]]="","",IF(Tabela8[[#This Row],[Lucro p/Ação]]&gt;0,Tabela8[[#This Row],[Total Exercício]]/Tabela8[[#This Row],[Lucro p/Ação]],0))</f>
        <v>0.96103919234549873</v>
      </c>
      <c r="M83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2.03701</v>
      </c>
      <c r="N83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1.54931375</v>
      </c>
      <c r="O832" s="87">
        <f>IF(Tabela8[[#This Row],[Média Lucro p/Ação]]&lt;&gt;"",Tabela8[[#This Row],[Média Pago]]/Tabela8[[#This Row],[Média Lucro p/Ação]],"")</f>
        <v>0.76058229954688494</v>
      </c>
      <c r="P8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2" s="134">
        <f>SUMPRODUCT(N(Tabela1[Código]=Tabela8[[#This Row],[Papel]]),Tabela1[Fechamento])</f>
        <v>32.65</v>
      </c>
      <c r="R832" s="17">
        <f>SUMPRODUCT(N(Tabela17[Código]=Tabela8[[#This Row],[Papel]]),Tabela17[Fechamento])</f>
        <v>0</v>
      </c>
      <c r="S832" s="17">
        <f>SUMPRODUCT(N(Tabela176[Código]=Tabela8[[#This Row],[Papel]]),Tabela176[Fechamento])</f>
        <v>0</v>
      </c>
      <c r="T832" s="17">
        <f>SUMPRODUCT(N(Tabela1768[Código]=Tabela8[[#This Row],[Papel]]),Tabela1768[Fechamento])</f>
        <v>0</v>
      </c>
      <c r="U832" s="17">
        <f>SUMPRODUCT(N(Tabela17683[Código]=Tabela8[[#This Row],[Papel]]),Tabela17683[Fechamento])</f>
        <v>0</v>
      </c>
      <c r="V832" s="17">
        <f>IF(MAX(Tabela8[[#This Row],[Cotação 1]]:Tabela8[[#This Row],[Cotação 5]])=0,"",MAX(Tabela8[[#This Row],[Cotação 1]]:Tabela8[[#This Row],[Cotação 5]]))</f>
        <v>32.65</v>
      </c>
      <c r="W8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2" s="19">
        <f>IF(AND([Ref]=5,[Cotação]&gt;0,[Cotação]&lt;&gt;""),[Total Exercício]/[Cotação],IF([Ref]&lt;4,0,""))</f>
        <v>6.527943338437979E-2</v>
      </c>
      <c r="Y832" s="14">
        <f>IF([Tipo]="div",1,0)</f>
        <v>1</v>
      </c>
      <c r="Z832" s="14">
        <f>IF([Tipo]="jcp",1,0)</f>
        <v>0</v>
      </c>
    </row>
    <row r="833" spans="1:26" hidden="1">
      <c r="A833" s="4" t="s">
        <v>12</v>
      </c>
      <c r="B833" s="3" t="s">
        <v>171</v>
      </c>
      <c r="C833" s="15">
        <v>4</v>
      </c>
      <c r="D833" s="14">
        <v>2012</v>
      </c>
      <c r="E833" s="4" t="s">
        <v>1468</v>
      </c>
      <c r="G833" s="145">
        <v>41116</v>
      </c>
      <c r="H833" s="46">
        <v>41179</v>
      </c>
      <c r="I833" s="133">
        <v>1.06284</v>
      </c>
      <c r="J833" s="134">
        <f>IF(Tabela8[[#This Row],[Tipo]]="jcp",Tabela8[[#This Row],[Provento p/Ação]]*85%,Tabela8[[#This Row],[Provento p/Ação]])</f>
        <v>1.06284</v>
      </c>
      <c r="K833" s="133" t="str">
        <f>IF([Lucro p/Ação]&lt;&gt;0,SUMPRODUCT(N([Papel]=Tabela8[[#This Row],[Papel]]),N([Exercício]=Tabela8[[#This Row],[Exercício]]),[Líquido p/Ação]),"")</f>
        <v/>
      </c>
      <c r="L833" s="42" t="str">
        <f>IF(Tabela8[[#This Row],[Lucro p/Ação]]="","",IF(Tabela8[[#This Row],[Lucro p/Ação]]&gt;0,Tabela8[[#This Row],[Total Exercício]]/Tabela8[[#This Row],[Lucro p/Ação]],0))</f>
        <v/>
      </c>
      <c r="M8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3" s="87" t="str">
        <f>IF(Tabela8[[#This Row],[Média Lucro p/Ação]]&lt;&gt;"",Tabela8[[#This Row],[Média Pago]]/Tabela8[[#This Row],[Média Lucro p/Ação]],"")</f>
        <v/>
      </c>
      <c r="P8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3" s="134">
        <f>SUMPRODUCT(N(Tabela1[Código]=Tabela8[[#This Row],[Papel]]),Tabela1[Fechamento])</f>
        <v>32.65</v>
      </c>
      <c r="R833" s="7">
        <f>SUMPRODUCT(N(Tabela17[Código]=Tabela8[[#This Row],[Papel]]),Tabela17[Fechamento])</f>
        <v>0</v>
      </c>
      <c r="S833" s="7">
        <f>SUMPRODUCT(N(Tabela176[Código]=Tabela8[[#This Row],[Papel]]),Tabela176[Fechamento])</f>
        <v>0</v>
      </c>
      <c r="T833" s="7">
        <f>SUMPRODUCT(N(Tabela1768[Código]=Tabela8[[#This Row],[Papel]]),Tabela1768[Fechamento])</f>
        <v>0</v>
      </c>
      <c r="U833" s="7">
        <f>SUMPRODUCT(N(Tabela17683[Código]=Tabela8[[#This Row],[Papel]]),Tabela17683[Fechamento])</f>
        <v>0</v>
      </c>
      <c r="V833" s="7">
        <f>IF(MAX(Tabela8[[#This Row],[Cotação 1]]:Tabela8[[#This Row],[Cotação 5]])=0,"",MAX(Tabela8[[#This Row],[Cotação 1]]:Tabela8[[#This Row],[Cotação 5]]))</f>
        <v>32.65</v>
      </c>
      <c r="W8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3" s="19" t="str">
        <f>IF(AND([Ref]=5,[Cotação]&gt;0,[Cotação]&lt;&gt;""),[Total Exercício]/[Cotação],IF([Ref]&lt;4,0,""))</f>
        <v/>
      </c>
      <c r="Y833" s="14">
        <f>IF([Tipo]="div",1,0)</f>
        <v>1</v>
      </c>
      <c r="Z833" s="14">
        <f>IF([Tipo]="jcp",1,0)</f>
        <v>0</v>
      </c>
    </row>
    <row r="834" spans="1:26" hidden="1">
      <c r="A834" s="4" t="s">
        <v>12</v>
      </c>
      <c r="B834" s="3" t="s">
        <v>171</v>
      </c>
      <c r="C834" s="15">
        <v>4</v>
      </c>
      <c r="D834" s="14">
        <v>2012</v>
      </c>
      <c r="E834" s="14" t="s">
        <v>1475</v>
      </c>
      <c r="G834" s="145">
        <v>41207</v>
      </c>
      <c r="I834" s="133">
        <v>0.42314000000000002</v>
      </c>
      <c r="J834" s="134">
        <f>IF(Tabela8[[#This Row],[Tipo]]="jcp",Tabela8[[#This Row],[Provento p/Ação]]*85%,Tabela8[[#This Row],[Provento p/Ação]])</f>
        <v>0.35966900000000002</v>
      </c>
      <c r="K834" s="133" t="str">
        <f>IF([Lucro p/Ação]&lt;&gt;0,SUMPRODUCT(N([Papel]=Tabela8[[#This Row],[Papel]]),N([Exercício]=Tabela8[[#This Row],[Exercício]]),[Líquido p/Ação]),"")</f>
        <v/>
      </c>
      <c r="L834" s="42" t="str">
        <f>IF(Tabela8[[#This Row],[Lucro p/Ação]]="","",IF(Tabela8[[#This Row],[Lucro p/Ação]]&gt;0,Tabela8[[#This Row],[Total Exercício]]/Tabela8[[#This Row],[Lucro p/Ação]],0))</f>
        <v/>
      </c>
      <c r="M8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4" s="87" t="str">
        <f>IF(Tabela8[[#This Row],[Média Lucro p/Ação]]&lt;&gt;"",Tabela8[[#This Row],[Média Pago]]/Tabela8[[#This Row],[Média Lucro p/Ação]],"")</f>
        <v/>
      </c>
      <c r="P8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4" s="134">
        <f>SUMPRODUCT(N(Tabela1[Código]=Tabela8[[#This Row],[Papel]]),Tabela1[Fechamento])</f>
        <v>32.65</v>
      </c>
      <c r="R834" s="7">
        <f>SUMPRODUCT(N(Tabela17[Código]=Tabela8[[#This Row],[Papel]]),Tabela17[Fechamento])</f>
        <v>0</v>
      </c>
      <c r="S834" s="7">
        <f>SUMPRODUCT(N(Tabela176[Código]=Tabela8[[#This Row],[Papel]]),Tabela176[Fechamento])</f>
        <v>0</v>
      </c>
      <c r="T834" s="7">
        <f>SUMPRODUCT(N(Tabela1768[Código]=Tabela8[[#This Row],[Papel]]),Tabela1768[Fechamento])</f>
        <v>0</v>
      </c>
      <c r="U834" s="7">
        <f>SUMPRODUCT(N(Tabela17683[Código]=Tabela8[[#This Row],[Papel]]),Tabela17683[Fechamento])</f>
        <v>0</v>
      </c>
      <c r="V834" s="7">
        <f>IF(MAX(Tabela8[[#This Row],[Cotação 1]]:Tabela8[[#This Row],[Cotação 5]])=0,"",MAX(Tabela8[[#This Row],[Cotação 1]]:Tabela8[[#This Row],[Cotação 5]]))</f>
        <v>32.65</v>
      </c>
      <c r="W8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4" s="19" t="str">
        <f>IF(AND([Ref]=5,[Cotação]&gt;0,[Cotação]&lt;&gt;""),[Total Exercício]/[Cotação],IF([Ref]&lt;4,0,""))</f>
        <v/>
      </c>
      <c r="Y834" s="14">
        <f>IF([Tipo]="div",1,0)</f>
        <v>0</v>
      </c>
      <c r="Z834" s="14">
        <f>IF([Tipo]="jcp",1,0)</f>
        <v>1</v>
      </c>
    </row>
    <row r="835" spans="1:26" hidden="1">
      <c r="A835" s="4" t="s">
        <v>12</v>
      </c>
      <c r="B835" s="3" t="s">
        <v>171</v>
      </c>
      <c r="C835" s="15">
        <v>5</v>
      </c>
      <c r="D835" s="14">
        <v>2012</v>
      </c>
      <c r="E835" s="14" t="s">
        <v>1468</v>
      </c>
      <c r="F835" s="133">
        <v>2.2972299999999999</v>
      </c>
      <c r="G835" s="145">
        <v>41312</v>
      </c>
      <c r="I835" s="133">
        <v>0.88309000000000004</v>
      </c>
      <c r="J835" s="134">
        <f>IF(Tabela8[[#This Row],[Tipo]]="jcp",Tabela8[[#This Row],[Provento p/Ação]]*85%,Tabela8[[#This Row],[Provento p/Ação]])</f>
        <v>0.88309000000000004</v>
      </c>
      <c r="K835" s="133">
        <f>IF([Lucro p/Ação]&lt;&gt;0,SUMPRODUCT(N([Papel]=Tabela8[[#This Row],[Papel]]),N([Exercício]=Tabela8[[#This Row],[Exercício]]),[Líquido p/Ação]),"")</f>
        <v>2.305599</v>
      </c>
      <c r="L835" s="42">
        <f>IF(Tabela8[[#This Row],[Lucro p/Ação]]="","",IF(Tabela8[[#This Row],[Lucro p/Ação]]&gt;0,Tabela8[[#This Row],[Total Exercício]]/Tabela8[[#This Row],[Lucro p/Ação]],0))</f>
        <v>1.003643083191496</v>
      </c>
      <c r="M8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2.1237499999999998</v>
      </c>
      <c r="N83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1.8014088333333333</v>
      </c>
      <c r="O835" s="87">
        <f>IF(Tabela8[[#This Row],[Média Lucro p/Ação]]&lt;&gt;"",Tabela8[[#This Row],[Média Pago]]/Tabela8[[#This Row],[Média Lucro p/Ação]],"")</f>
        <v>0.84822075730822055</v>
      </c>
      <c r="P8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5" s="134">
        <f>SUMPRODUCT(N(Tabela1[Código]=Tabela8[[#This Row],[Papel]]),Tabela1[Fechamento])</f>
        <v>32.65</v>
      </c>
      <c r="R835" s="17">
        <f>SUMPRODUCT(N(Tabela17[Código]=Tabela8[[#This Row],[Papel]]),Tabela17[Fechamento])</f>
        <v>0</v>
      </c>
      <c r="S835" s="17">
        <f>SUMPRODUCT(N(Tabela176[Código]=Tabela8[[#This Row],[Papel]]),Tabela176[Fechamento])</f>
        <v>0</v>
      </c>
      <c r="T835" s="17">
        <f>SUMPRODUCT(N(Tabela1768[Código]=Tabela8[[#This Row],[Papel]]),Tabela1768[Fechamento])</f>
        <v>0</v>
      </c>
      <c r="U835" s="17">
        <f>SUMPRODUCT(N(Tabela17683[Código]=Tabela8[[#This Row],[Papel]]),Tabela17683[Fechamento])</f>
        <v>0</v>
      </c>
      <c r="V835" s="17">
        <f>IF(MAX(Tabela8[[#This Row],[Cotação 1]]:Tabela8[[#This Row],[Cotação 5]])=0,"",MAX(Tabela8[[#This Row],[Cotação 1]]:Tabela8[[#This Row],[Cotação 5]]))</f>
        <v>32.65</v>
      </c>
      <c r="W8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5" s="19">
        <f>IF(AND([Ref]=5,[Cotação]&gt;0,[Cotação]&lt;&gt;""),[Total Exercício]/[Cotação],IF([Ref]&lt;4,0,""))</f>
        <v>7.0615589586523739E-2</v>
      </c>
      <c r="Y835" s="14">
        <f>IF([Tipo]="div",1,0)</f>
        <v>1</v>
      </c>
      <c r="Z835" s="14">
        <f>IF([Tipo]="jcp",1,0)</f>
        <v>0</v>
      </c>
    </row>
    <row r="836" spans="1:26" hidden="1">
      <c r="A836" s="4" t="s">
        <v>12</v>
      </c>
      <c r="B836" s="3" t="s">
        <v>171</v>
      </c>
      <c r="C836" s="15">
        <v>4</v>
      </c>
      <c r="D836" s="14">
        <v>2013</v>
      </c>
      <c r="E836" s="4" t="s">
        <v>1468</v>
      </c>
      <c r="G836" s="145">
        <v>41485</v>
      </c>
      <c r="H836" s="46">
        <v>41540</v>
      </c>
      <c r="I836" s="133">
        <v>1.17591</v>
      </c>
      <c r="J836" s="134">
        <f>IF(Tabela8[[#This Row],[Tipo]]="jcp",Tabela8[[#This Row],[Provento p/Ação]]*85%,Tabela8[[#This Row],[Provento p/Ação]])</f>
        <v>1.17591</v>
      </c>
      <c r="K836" s="133" t="str">
        <f>IF([Lucro p/Ação]&lt;&gt;0,SUMPRODUCT(N([Papel]=Tabela8[[#This Row],[Papel]]),N([Exercício]=Tabela8[[#This Row],[Exercício]]),[Líquido p/Ação]),"")</f>
        <v/>
      </c>
      <c r="L836" s="42" t="str">
        <f>IF(Tabela8[[#This Row],[Lucro p/Ação]]="","",IF(Tabela8[[#This Row],[Lucro p/Ação]]&gt;0,Tabela8[[#This Row],[Total Exercício]]/Tabela8[[#This Row],[Lucro p/Ação]],0))</f>
        <v/>
      </c>
      <c r="M83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6" s="87" t="str">
        <f>IF(Tabela8[[#This Row],[Média Lucro p/Ação]]&lt;&gt;"",Tabela8[[#This Row],[Média Pago]]/Tabela8[[#This Row],[Média Lucro p/Ação]],"")</f>
        <v/>
      </c>
      <c r="P8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6" s="134">
        <f>SUMPRODUCT(N(Tabela1[Código]=Tabela8[[#This Row],[Papel]]),Tabela1[Fechamento])</f>
        <v>32.65</v>
      </c>
      <c r="R836" s="7">
        <f>SUMPRODUCT(N(Tabela17[Código]=Tabela8[[#This Row],[Papel]]),Tabela17[Fechamento])</f>
        <v>0</v>
      </c>
      <c r="S836" s="7">
        <f>SUMPRODUCT(N(Tabela176[Código]=Tabela8[[#This Row],[Papel]]),Tabela176[Fechamento])</f>
        <v>0</v>
      </c>
      <c r="T836" s="7">
        <f>SUMPRODUCT(N(Tabela1768[Código]=Tabela8[[#This Row],[Papel]]),Tabela1768[Fechamento])</f>
        <v>0</v>
      </c>
      <c r="U836" s="7">
        <f>SUMPRODUCT(N(Tabela17683[Código]=Tabela8[[#This Row],[Papel]]),Tabela17683[Fechamento])</f>
        <v>0</v>
      </c>
      <c r="V836" s="7">
        <f>IF(MAX(Tabela8[[#This Row],[Cotação 1]]:Tabela8[[#This Row],[Cotação 5]])=0,"",MAX(Tabela8[[#This Row],[Cotação 1]]:Tabela8[[#This Row],[Cotação 5]]))</f>
        <v>32.65</v>
      </c>
      <c r="W8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6" s="19" t="str">
        <f>IF(AND([Ref]=5,[Cotação]&gt;0,[Cotação]&lt;&gt;""),[Total Exercício]/[Cotação],IF([Ref]&lt;4,0,""))</f>
        <v/>
      </c>
      <c r="Y836" s="14">
        <f>IF([Tipo]="div",1,0)</f>
        <v>1</v>
      </c>
      <c r="Z836" s="14">
        <f>IF([Tipo]="jcp",1,0)</f>
        <v>0</v>
      </c>
    </row>
    <row r="837" spans="1:26" hidden="1">
      <c r="A837" s="4" t="s">
        <v>12</v>
      </c>
      <c r="B837" s="3" t="s">
        <v>171</v>
      </c>
      <c r="C837" s="15">
        <v>4</v>
      </c>
      <c r="D837" s="14">
        <v>2013</v>
      </c>
      <c r="E837" s="14" t="s">
        <v>1475</v>
      </c>
      <c r="G837" s="145">
        <v>41572</v>
      </c>
      <c r="H837" s="46">
        <v>41698</v>
      </c>
      <c r="I837" s="133">
        <v>0.37502999999999997</v>
      </c>
      <c r="J837" s="134">
        <f>IF(Tabela8[[#This Row],[Tipo]]="jcp",Tabela8[[#This Row],[Provento p/Ação]]*85%,Tabela8[[#This Row],[Provento p/Ação]])</f>
        <v>0.31877549999999999</v>
      </c>
      <c r="K837" s="133" t="str">
        <f>IF([Lucro p/Ação]&lt;&gt;0,SUMPRODUCT(N([Papel]=Tabela8[[#This Row],[Papel]]),N([Exercício]=Tabela8[[#This Row],[Exercício]]),[Líquido p/Ação]),"")</f>
        <v/>
      </c>
      <c r="L837" s="42" t="str">
        <f>IF(Tabela8[[#This Row],[Lucro p/Ação]]="","",IF(Tabela8[[#This Row],[Lucro p/Ação]]&gt;0,Tabela8[[#This Row],[Total Exercício]]/Tabela8[[#This Row],[Lucro p/Ação]],0))</f>
        <v/>
      </c>
      <c r="M8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7" s="87" t="str">
        <f>IF(Tabela8[[#This Row],[Média Lucro p/Ação]]&lt;&gt;"",Tabela8[[#This Row],[Média Pago]]/Tabela8[[#This Row],[Média Lucro p/Ação]],"")</f>
        <v/>
      </c>
      <c r="P8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7" s="134">
        <f>SUMPRODUCT(N(Tabela1[Código]=Tabela8[[#This Row],[Papel]]),Tabela1[Fechamento])</f>
        <v>32.65</v>
      </c>
      <c r="R837" s="7">
        <f>SUMPRODUCT(N(Tabela17[Código]=Tabela8[[#This Row],[Papel]]),Tabela17[Fechamento])</f>
        <v>0</v>
      </c>
      <c r="S837" s="7">
        <f>SUMPRODUCT(N(Tabela176[Código]=Tabela8[[#This Row],[Papel]]),Tabela176[Fechamento])</f>
        <v>0</v>
      </c>
      <c r="T837" s="7">
        <f>SUMPRODUCT(N(Tabela1768[Código]=Tabela8[[#This Row],[Papel]]),Tabela1768[Fechamento])</f>
        <v>0</v>
      </c>
      <c r="U837" s="7">
        <f>SUMPRODUCT(N(Tabela17683[Código]=Tabela8[[#This Row],[Papel]]),Tabela17683[Fechamento])</f>
        <v>0</v>
      </c>
      <c r="V837" s="7">
        <f>IF(MAX(Tabela8[[#This Row],[Cotação 1]]:Tabela8[[#This Row],[Cotação 5]])=0,"",MAX(Tabela8[[#This Row],[Cotação 1]]:Tabela8[[#This Row],[Cotação 5]]))</f>
        <v>32.65</v>
      </c>
      <c r="W8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7" s="19" t="str">
        <f>IF(AND([Ref]=5,[Cotação]&gt;0,[Cotação]&lt;&gt;""),[Total Exercício]/[Cotação],IF([Ref]&lt;4,0,""))</f>
        <v/>
      </c>
      <c r="Y837" s="14">
        <f>IF([Tipo]="div",1,0)</f>
        <v>0</v>
      </c>
      <c r="Z837" s="14">
        <f>IF([Tipo]="jcp",1,0)</f>
        <v>1</v>
      </c>
    </row>
    <row r="838" spans="1:26" hidden="1">
      <c r="A838" s="4" t="s">
        <v>12</v>
      </c>
      <c r="B838" s="3" t="s">
        <v>171</v>
      </c>
      <c r="C838" s="15">
        <v>5</v>
      </c>
      <c r="D838" s="14">
        <v>2013</v>
      </c>
      <c r="E838" s="14" t="s">
        <v>1468</v>
      </c>
      <c r="F838" s="133">
        <v>2.2001200000000001</v>
      </c>
      <c r="G838" s="145">
        <v>41690</v>
      </c>
      <c r="I838" s="133">
        <v>0.70745999999999998</v>
      </c>
      <c r="J838" s="134">
        <f>IF(Tabela8[[#This Row],[Tipo]]="jcp",Tabela8[[#This Row],[Provento p/Ação]]*85%,Tabela8[[#This Row],[Provento p/Ação]])</f>
        <v>0.70745999999999998</v>
      </c>
      <c r="K838" s="133">
        <f>IF([Lucro p/Ação]&lt;&gt;0,SUMPRODUCT(N([Papel]=Tabela8[[#This Row],[Papel]]),N([Exercício]=Tabela8[[#This Row],[Exercício]]),[Líquido p/Ação]),"")</f>
        <v>2.2021455000000003</v>
      </c>
      <c r="L838" s="42">
        <f>IF(Tabela8[[#This Row],[Lucro p/Ação]]="","",IF(Tabela8[[#This Row],[Lucro p/Ação]]&gt;0,Tabela8[[#This Row],[Total Exercício]]/Tabela8[[#This Row],[Lucro p/Ação]],0))</f>
        <v>1.0009206316019128</v>
      </c>
      <c r="M83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2.1428425</v>
      </c>
      <c r="N83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1.9015930000000001</v>
      </c>
      <c r="O838" s="87">
        <f>IF(Tabela8[[#This Row],[Média Lucro p/Ação]]&lt;&gt;"",Tabela8[[#This Row],[Média Pago]]/Tabela8[[#This Row],[Média Lucro p/Ação]],"")</f>
        <v>0.88741613067689296</v>
      </c>
      <c r="P8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8" s="134">
        <f>SUMPRODUCT(N(Tabela1[Código]=Tabela8[[#This Row],[Papel]]),Tabela1[Fechamento])</f>
        <v>32.65</v>
      </c>
      <c r="R838" s="17">
        <f>SUMPRODUCT(N(Tabela17[Código]=Tabela8[[#This Row],[Papel]]),Tabela17[Fechamento])</f>
        <v>0</v>
      </c>
      <c r="S838" s="17">
        <f>SUMPRODUCT(N(Tabela176[Código]=Tabela8[[#This Row],[Papel]]),Tabela176[Fechamento])</f>
        <v>0</v>
      </c>
      <c r="T838" s="17">
        <f>SUMPRODUCT(N(Tabela1768[Código]=Tabela8[[#This Row],[Papel]]),Tabela1768[Fechamento])</f>
        <v>0</v>
      </c>
      <c r="U838" s="17">
        <f>SUMPRODUCT(N(Tabela17683[Código]=Tabela8[[#This Row],[Papel]]),Tabela17683[Fechamento])</f>
        <v>0</v>
      </c>
      <c r="V838" s="17">
        <f>IF(MAX(Tabela8[[#This Row],[Cotação 1]]:Tabela8[[#This Row],[Cotação 5]])=0,"",MAX(Tabela8[[#This Row],[Cotação 1]]:Tabela8[[#This Row],[Cotação 5]]))</f>
        <v>32.65</v>
      </c>
      <c r="W8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8" s="19">
        <f>IF(AND([Ref]=5,[Cotação]&gt;0,[Cotação]&lt;&gt;""),[Total Exercício]/[Cotação],IF([Ref]&lt;4,0,""))</f>
        <v>6.7447029096477804E-2</v>
      </c>
      <c r="Y838" s="14">
        <f>IF([Tipo]="div",1,0)</f>
        <v>1</v>
      </c>
      <c r="Z838" s="14">
        <f>IF([Tipo]="jcp",1,0)</f>
        <v>0</v>
      </c>
    </row>
    <row r="839" spans="1:26" hidden="1">
      <c r="A839" s="24" t="s">
        <v>12</v>
      </c>
      <c r="B839" s="3" t="s">
        <v>34</v>
      </c>
      <c r="C839" s="15">
        <v>4</v>
      </c>
      <c r="D839" s="14">
        <v>2010</v>
      </c>
      <c r="E839" s="14" t="s">
        <v>1475</v>
      </c>
      <c r="G839" s="145">
        <v>40407</v>
      </c>
      <c r="H839" s="46">
        <v>40441</v>
      </c>
      <c r="I839" s="133">
        <v>0.29661999999999999</v>
      </c>
      <c r="J839" s="134">
        <f>IF(Tabela8[[#This Row],[Tipo]]="jcp",Tabela8[[#This Row],[Provento p/Ação]]*85%,Tabela8[[#This Row],[Provento p/Ação]])</f>
        <v>0.25212699999999999</v>
      </c>
      <c r="K839" s="133" t="str">
        <f>IF([Lucro p/Ação]&lt;&gt;0,SUMPRODUCT(N([Papel]=Tabela8[[#This Row],[Papel]]),N([Exercício]=Tabela8[[#This Row],[Exercício]]),[Líquido p/Ação]),"")</f>
        <v/>
      </c>
      <c r="L839" s="42" t="str">
        <f>IF(Tabela8[[#This Row],[Lucro p/Ação]]="","",IF(Tabela8[[#This Row],[Lucro p/Ação]]&gt;0,Tabela8[[#This Row],[Total Exercício]]/Tabela8[[#This Row],[Lucro p/Ação]],0))</f>
        <v/>
      </c>
      <c r="M8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3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39" s="19" t="str">
        <f>IF(Tabela8[[#This Row],[Média Lucro p/Ação]]&lt;&gt;"",Tabela8[[#This Row],[Média Pago]]/Tabela8[[#This Row],[Média Lucro p/Ação]],"")</f>
        <v/>
      </c>
      <c r="P8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39" s="134">
        <f>SUMPRODUCT(N(Tabela1[Código]=Tabela8[[#This Row],[Papel]]),Tabela1[Fechamento])</f>
        <v>19.05</v>
      </c>
      <c r="R839" s="7">
        <f>SUMPRODUCT(N(Tabela17[Código]=Tabela8[[#This Row],[Papel]]),Tabela17[Fechamento])</f>
        <v>0</v>
      </c>
      <c r="S839" s="7">
        <f>SUMPRODUCT(N(Tabela176[Código]=Tabela8[[#This Row],[Papel]]),Tabela176[Fechamento])</f>
        <v>0</v>
      </c>
      <c r="T839" s="7">
        <f>SUMPRODUCT(N(Tabela1768[Código]=Tabela8[[#This Row],[Papel]]),Tabela1768[Fechamento])</f>
        <v>0</v>
      </c>
      <c r="U839" s="7">
        <f>SUMPRODUCT(N(Tabela17683[Código]=Tabela8[[#This Row],[Papel]]),Tabela17683[Fechamento])</f>
        <v>0</v>
      </c>
      <c r="V839" s="7">
        <f>IF(MAX(Tabela8[[#This Row],[Cotação 1]]:Tabela8[[#This Row],[Cotação 5]])=0,"",MAX(Tabela8[[#This Row],[Cotação 1]]:Tabela8[[#This Row],[Cotação 5]]))</f>
        <v>19.05</v>
      </c>
      <c r="W8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39" s="19" t="str">
        <f>IF(AND([Ref]=5,[Cotação]&gt;0,[Cotação]&lt;&gt;""),[Total Exercício]/[Cotação],IF([Ref]&lt;4,0,""))</f>
        <v/>
      </c>
      <c r="Y839" s="14">
        <f>IF([Tipo]="div",1,0)</f>
        <v>0</v>
      </c>
      <c r="Z839" s="14">
        <f>IF([Tipo]="jcp",1,0)</f>
        <v>1</v>
      </c>
    </row>
    <row r="840" spans="1:26" hidden="1">
      <c r="A840" s="4" t="s">
        <v>12</v>
      </c>
      <c r="B840" s="3" t="s">
        <v>99</v>
      </c>
      <c r="C840" s="15">
        <v>4</v>
      </c>
      <c r="D840" s="14">
        <v>2010</v>
      </c>
      <c r="E840" s="14" t="s">
        <v>1475</v>
      </c>
      <c r="G840" s="145">
        <v>40407</v>
      </c>
      <c r="H840" s="46">
        <v>40441</v>
      </c>
      <c r="I840" s="133">
        <v>0.32638</v>
      </c>
      <c r="J840" s="134">
        <f>IF(Tabela8[[#This Row],[Tipo]]="jcp",Tabela8[[#This Row],[Provento p/Ação]]*85%,Tabela8[[#This Row],[Provento p/Ação]])</f>
        <v>0.27742299999999998</v>
      </c>
      <c r="K840" s="133" t="str">
        <f>IF([Lucro p/Ação]&lt;&gt;0,SUMPRODUCT(N([Papel]=Tabela8[[#This Row],[Papel]]),N([Exercício]=Tabela8[[#This Row],[Exercício]]),[Líquido p/Ação]),"")</f>
        <v/>
      </c>
      <c r="L840" s="42" t="str">
        <f>IF(Tabela8[[#This Row],[Lucro p/Ação]]="","",IF(Tabela8[[#This Row],[Lucro p/Ação]]&gt;0,Tabela8[[#This Row],[Total Exercício]]/Tabela8[[#This Row],[Lucro p/Ação]],0))</f>
        <v/>
      </c>
      <c r="M8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0" s="19" t="str">
        <f>IF(Tabela8[[#This Row],[Média Lucro p/Ação]]&lt;&gt;"",Tabela8[[#This Row],[Média Pago]]/Tabela8[[#This Row],[Média Lucro p/Ação]],"")</f>
        <v/>
      </c>
      <c r="P8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0" s="134">
        <f>SUMPRODUCT(N(Tabela1[Código]=Tabela8[[#This Row],[Papel]]),Tabela1[Fechamento])</f>
        <v>30</v>
      </c>
      <c r="R840" s="7">
        <f>SUMPRODUCT(N(Tabela17[Código]=Tabela8[[#This Row],[Papel]]),Tabela17[Fechamento])</f>
        <v>0</v>
      </c>
      <c r="S840" s="7">
        <f>SUMPRODUCT(N(Tabela176[Código]=Tabela8[[#This Row],[Papel]]),Tabela176[Fechamento])</f>
        <v>0</v>
      </c>
      <c r="T840" s="7">
        <f>SUMPRODUCT(N(Tabela1768[Código]=Tabela8[[#This Row],[Papel]]),Tabela1768[Fechamento])</f>
        <v>0</v>
      </c>
      <c r="U840" s="7">
        <f>SUMPRODUCT(N(Tabela17683[Código]=Tabela8[[#This Row],[Papel]]),Tabela17683[Fechamento])</f>
        <v>0</v>
      </c>
      <c r="V840" s="7">
        <f>IF(MAX(Tabela8[[#This Row],[Cotação 1]]:Tabela8[[#This Row],[Cotação 5]])=0,"",MAX(Tabela8[[#This Row],[Cotação 1]]:Tabela8[[#This Row],[Cotação 5]]))</f>
        <v>30</v>
      </c>
      <c r="W8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0" s="19" t="str">
        <f>IF(AND([Ref]=5,[Cotação]&gt;0,[Cotação]&lt;&gt;""),[Total Exercício]/[Cotação],IF([Ref]&lt;4,0,""))</f>
        <v/>
      </c>
      <c r="Y840" s="14">
        <f>IF([Tipo]="div",1,0)</f>
        <v>0</v>
      </c>
      <c r="Z840" s="14">
        <f>IF([Tipo]="jcp",1,0)</f>
        <v>1</v>
      </c>
    </row>
    <row r="841" spans="1:26" hidden="1">
      <c r="A841" s="4" t="s">
        <v>12</v>
      </c>
      <c r="B841" s="3" t="s">
        <v>100</v>
      </c>
      <c r="C841" s="15">
        <v>4</v>
      </c>
      <c r="D841" s="14">
        <v>2010</v>
      </c>
      <c r="E841" s="14" t="s">
        <v>1475</v>
      </c>
      <c r="G841" s="145">
        <v>40407</v>
      </c>
      <c r="H841" s="46">
        <v>40441</v>
      </c>
      <c r="I841" s="133">
        <v>0.32638</v>
      </c>
      <c r="J841" s="134">
        <f>IF(Tabela8[[#This Row],[Tipo]]="jcp",Tabela8[[#This Row],[Provento p/Ação]]*85%,Tabela8[[#This Row],[Provento p/Ação]])</f>
        <v>0.27742299999999998</v>
      </c>
      <c r="K841" s="133" t="str">
        <f>IF([Lucro p/Ação]&lt;&gt;0,SUMPRODUCT(N([Papel]=Tabela8[[#This Row],[Papel]]),N([Exercício]=Tabela8[[#This Row],[Exercício]]),[Líquido p/Ação]),"")</f>
        <v/>
      </c>
      <c r="L841" s="42" t="str">
        <f>IF(Tabela8[[#This Row],[Lucro p/Ação]]="","",IF(Tabela8[[#This Row],[Lucro p/Ação]]&gt;0,Tabela8[[#This Row],[Total Exercício]]/Tabela8[[#This Row],[Lucro p/Ação]],0))</f>
        <v/>
      </c>
      <c r="M84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1" s="19" t="str">
        <f>IF(Tabela8[[#This Row],[Média Lucro p/Ação]]&lt;&gt;"",Tabela8[[#This Row],[Média Pago]]/Tabela8[[#This Row],[Média Lucro p/Ação]],"")</f>
        <v/>
      </c>
      <c r="P8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1" s="134">
        <f>SUMPRODUCT(N(Tabela1[Código]=Tabela8[[#This Row],[Papel]]),Tabela1[Fechamento])</f>
        <v>26.32</v>
      </c>
      <c r="R841" s="17">
        <f>SUMPRODUCT(N(Tabela17[Código]=Tabela8[[#This Row],[Papel]]),Tabela17[Fechamento])</f>
        <v>0</v>
      </c>
      <c r="S841" s="17">
        <f>SUMPRODUCT(N(Tabela176[Código]=Tabela8[[#This Row],[Papel]]),Tabela176[Fechamento])</f>
        <v>0</v>
      </c>
      <c r="T841" s="17">
        <f>SUMPRODUCT(N(Tabela1768[Código]=Tabela8[[#This Row],[Papel]]),Tabela1768[Fechamento])</f>
        <v>0</v>
      </c>
      <c r="U841" s="17">
        <f>SUMPRODUCT(N(Tabela17683[Código]=Tabela8[[#This Row],[Papel]]),Tabela17683[Fechamento])</f>
        <v>0</v>
      </c>
      <c r="V841" s="17">
        <f>IF(MAX(Tabela8[[#This Row],[Cotação 1]]:Tabela8[[#This Row],[Cotação 5]])=0,"",MAX(Tabela8[[#This Row],[Cotação 1]]:Tabela8[[#This Row],[Cotação 5]]))</f>
        <v>26.32</v>
      </c>
      <c r="W8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1" s="19" t="str">
        <f>IF(AND([Ref]=5,[Cotação]&gt;0,[Cotação]&lt;&gt;""),[Total Exercício]/[Cotação],IF([Ref]&lt;4,0,""))</f>
        <v/>
      </c>
      <c r="Y841" s="14">
        <f>IF([Tipo]="div",1,0)</f>
        <v>0</v>
      </c>
      <c r="Z841" s="14">
        <f>IF([Tipo]="jcp",1,0)</f>
        <v>1</v>
      </c>
    </row>
    <row r="842" spans="1:26" hidden="1">
      <c r="A842" s="24" t="s">
        <v>12</v>
      </c>
      <c r="B842" s="3" t="s">
        <v>34</v>
      </c>
      <c r="C842" s="15">
        <v>5</v>
      </c>
      <c r="D842" s="14">
        <v>2010</v>
      </c>
      <c r="E842" s="14" t="s">
        <v>1475</v>
      </c>
      <c r="F842" s="133">
        <v>3.45</v>
      </c>
      <c r="I842" s="133">
        <v>0.40037</v>
      </c>
      <c r="J842" s="134">
        <f>IF(Tabela8[[#This Row],[Tipo]]="jcp",Tabela8[[#This Row],[Provento p/Ação]]*85%,Tabela8[[#This Row],[Provento p/Ação]])</f>
        <v>0.34031450000000002</v>
      </c>
      <c r="K842" s="133">
        <f>IF([Lucro p/Ação]&lt;&gt;0,SUMPRODUCT(N([Papel]=Tabela8[[#This Row],[Papel]]),N([Exercício]=Tabela8[[#This Row],[Exercício]]),[Líquido p/Ação]),"")</f>
        <v>0.87572150000000004</v>
      </c>
      <c r="L842" s="42">
        <f>IF(Tabela8[[#This Row],[Lucro p/Ação]]="","",IF(Tabela8[[#This Row],[Lucro p/Ação]]&gt;0,Tabela8[[#This Row],[Total Exercício]]/Tabela8[[#This Row],[Lucro p/Ação]],0))</f>
        <v>0.25383231884057972</v>
      </c>
      <c r="M84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3.45</v>
      </c>
      <c r="N84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0.87572150000000004</v>
      </c>
      <c r="O842" s="19">
        <f>IF(Tabela8[[#This Row],[Média Lucro p/Ação]]&lt;&gt;"",Tabela8[[#This Row],[Média Pago]]/Tabela8[[#This Row],[Média Lucro p/Ação]],"")</f>
        <v>0.25383231884057972</v>
      </c>
      <c r="P8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2" s="134">
        <f>SUMPRODUCT(N(Tabela1[Código]=Tabela8[[#This Row],[Papel]]),Tabela1[Fechamento])</f>
        <v>19.05</v>
      </c>
      <c r="R842" s="7">
        <f>SUMPRODUCT(N(Tabela17[Código]=Tabela8[[#This Row],[Papel]]),Tabela17[Fechamento])</f>
        <v>0</v>
      </c>
      <c r="S842" s="7">
        <f>SUMPRODUCT(N(Tabela176[Código]=Tabela8[[#This Row],[Papel]]),Tabela176[Fechamento])</f>
        <v>0</v>
      </c>
      <c r="T842" s="7">
        <f>SUMPRODUCT(N(Tabela1768[Código]=Tabela8[[#This Row],[Papel]]),Tabela1768[Fechamento])</f>
        <v>0</v>
      </c>
      <c r="U842" s="7">
        <f>SUMPRODUCT(N(Tabela17683[Código]=Tabela8[[#This Row],[Papel]]),Tabela17683[Fechamento])</f>
        <v>0</v>
      </c>
      <c r="V842" s="7">
        <f>IF(MAX(Tabela8[[#This Row],[Cotação 1]]:Tabela8[[#This Row],[Cotação 5]])=0,"",MAX(Tabela8[[#This Row],[Cotação 1]]:Tabela8[[#This Row],[Cotação 5]]))</f>
        <v>19.05</v>
      </c>
      <c r="W8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2" s="19">
        <f>IF(AND([Ref]=5,[Cotação]&gt;0,[Cotação]&lt;&gt;""),[Total Exercício]/[Cotação],IF([Ref]&lt;4,0,""))</f>
        <v>4.5969632545931761E-2</v>
      </c>
      <c r="Y842" s="14">
        <f>IF([Tipo]="div",1,0)</f>
        <v>0</v>
      </c>
      <c r="Z842" s="14">
        <f>IF([Tipo]="jcp",1,0)</f>
        <v>1</v>
      </c>
    </row>
    <row r="843" spans="1:26" hidden="1">
      <c r="A843" s="4" t="s">
        <v>12</v>
      </c>
      <c r="B843" s="3" t="s">
        <v>99</v>
      </c>
      <c r="C843" s="15">
        <v>5</v>
      </c>
      <c r="D843" s="14">
        <v>2010</v>
      </c>
      <c r="E843" s="14" t="s">
        <v>1475</v>
      </c>
      <c r="F843" s="133">
        <v>5.21</v>
      </c>
      <c r="I843" s="133">
        <v>1.1508700000000001</v>
      </c>
      <c r="J843" s="134">
        <f>IF(Tabela8[[#This Row],[Tipo]]="jcp",Tabela8[[#This Row],[Provento p/Ação]]*85%,Tabela8[[#This Row],[Provento p/Ação]])</f>
        <v>0.97823950000000004</v>
      </c>
      <c r="K843" s="133">
        <f>IF([Lucro p/Ação]&lt;&gt;0,SUMPRODUCT(N([Papel]=Tabela8[[#This Row],[Papel]]),N([Exercício]=Tabela8[[#This Row],[Exercício]]),[Líquido p/Ação]),"")</f>
        <v>2.3034824999999999</v>
      </c>
      <c r="L843" s="42">
        <f>IF(Tabela8[[#This Row],[Lucro p/Ação]]="","",IF(Tabela8[[#This Row],[Lucro p/Ação]]&gt;0,Tabela8[[#This Row],[Total Exercício]]/Tabela8[[#This Row],[Lucro p/Ação]],0))</f>
        <v>0.44212715930902108</v>
      </c>
      <c r="M84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5.21</v>
      </c>
      <c r="N84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2.3034824999999999</v>
      </c>
      <c r="O843" s="19">
        <f>IF(Tabela8[[#This Row],[Média Lucro p/Ação]]&lt;&gt;"",Tabela8[[#This Row],[Média Pago]]/Tabela8[[#This Row],[Média Lucro p/Ação]],"")</f>
        <v>0.44212715930902108</v>
      </c>
      <c r="P8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3" s="134">
        <f>SUMPRODUCT(N(Tabela1[Código]=Tabela8[[#This Row],[Papel]]),Tabela1[Fechamento])</f>
        <v>30</v>
      </c>
      <c r="R843" s="7">
        <f>SUMPRODUCT(N(Tabela17[Código]=Tabela8[[#This Row],[Papel]]),Tabela17[Fechamento])</f>
        <v>0</v>
      </c>
      <c r="S843" s="7">
        <f>SUMPRODUCT(N(Tabela176[Código]=Tabela8[[#This Row],[Papel]]),Tabela176[Fechamento])</f>
        <v>0</v>
      </c>
      <c r="T843" s="7">
        <f>SUMPRODUCT(N(Tabela1768[Código]=Tabela8[[#This Row],[Papel]]),Tabela1768[Fechamento])</f>
        <v>0</v>
      </c>
      <c r="U843" s="7">
        <f>SUMPRODUCT(N(Tabela17683[Código]=Tabela8[[#This Row],[Papel]]),Tabela17683[Fechamento])</f>
        <v>0</v>
      </c>
      <c r="V843" s="7">
        <f>IF(MAX(Tabela8[[#This Row],[Cotação 1]]:Tabela8[[#This Row],[Cotação 5]])=0,"",MAX(Tabela8[[#This Row],[Cotação 1]]:Tabela8[[#This Row],[Cotação 5]]))</f>
        <v>30</v>
      </c>
      <c r="W8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3" s="19">
        <f>IF(AND([Ref]=5,[Cotação]&gt;0,[Cotação]&lt;&gt;""),[Total Exercício]/[Cotação],IF([Ref]&lt;4,0,""))</f>
        <v>7.6782749999999997E-2</v>
      </c>
      <c r="Y843" s="14">
        <f>IF([Tipo]="div",1,0)</f>
        <v>0</v>
      </c>
      <c r="Z843" s="14">
        <f>IF([Tipo]="jcp",1,0)</f>
        <v>1</v>
      </c>
    </row>
    <row r="844" spans="1:26" hidden="1">
      <c r="A844" s="4" t="s">
        <v>12</v>
      </c>
      <c r="B844" s="3" t="s">
        <v>100</v>
      </c>
      <c r="C844" s="15">
        <v>5</v>
      </c>
      <c r="D844" s="14">
        <v>2010</v>
      </c>
      <c r="E844" s="14" t="s">
        <v>1475</v>
      </c>
      <c r="F844" s="133">
        <v>3.79</v>
      </c>
      <c r="I844" s="133">
        <v>0.44048999999999999</v>
      </c>
      <c r="J844" s="134">
        <f>IF(Tabela8[[#This Row],[Tipo]]="jcp",Tabela8[[#This Row],[Provento p/Ação]]*85%,Tabela8[[#This Row],[Provento p/Ação]])</f>
        <v>0.37441649999999999</v>
      </c>
      <c r="K844" s="133">
        <f>IF([Lucro p/Ação]&lt;&gt;0,SUMPRODUCT(N([Papel]=Tabela8[[#This Row],[Papel]]),N([Exercício]=Tabela8[[#This Row],[Exercício]]),[Líquido p/Ação]),"")</f>
        <v>0.96350950000000002</v>
      </c>
      <c r="L844" s="42">
        <f>IF(Tabela8[[#This Row],[Lucro p/Ação]]="","",IF(Tabela8[[#This Row],[Lucro p/Ação]]&gt;0,Tabela8[[#This Row],[Total Exercício]]/Tabela8[[#This Row],[Lucro p/Ação]],0))</f>
        <v>0.25422414248021108</v>
      </c>
      <c r="M84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3.79</v>
      </c>
      <c r="N84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0.96350950000000002</v>
      </c>
      <c r="O844" s="19">
        <f>IF(Tabela8[[#This Row],[Média Lucro p/Ação]]&lt;&gt;"",Tabela8[[#This Row],[Média Pago]]/Tabela8[[#This Row],[Média Lucro p/Ação]],"")</f>
        <v>0.25422414248021108</v>
      </c>
      <c r="P8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4" s="134">
        <f>SUMPRODUCT(N(Tabela1[Código]=Tabela8[[#This Row],[Papel]]),Tabela1[Fechamento])</f>
        <v>26.32</v>
      </c>
      <c r="R844" s="17">
        <f>SUMPRODUCT(N(Tabela17[Código]=Tabela8[[#This Row],[Papel]]),Tabela17[Fechamento])</f>
        <v>0</v>
      </c>
      <c r="S844" s="17">
        <f>SUMPRODUCT(N(Tabela176[Código]=Tabela8[[#This Row],[Papel]]),Tabela176[Fechamento])</f>
        <v>0</v>
      </c>
      <c r="T844" s="17">
        <f>SUMPRODUCT(N(Tabela1768[Código]=Tabela8[[#This Row],[Papel]]),Tabela1768[Fechamento])</f>
        <v>0</v>
      </c>
      <c r="U844" s="17">
        <f>SUMPRODUCT(N(Tabela17683[Código]=Tabela8[[#This Row],[Papel]]),Tabela17683[Fechamento])</f>
        <v>0</v>
      </c>
      <c r="V844" s="17">
        <f>IF(MAX(Tabela8[[#This Row],[Cotação 1]]:Tabela8[[#This Row],[Cotação 5]])=0,"",MAX(Tabela8[[#This Row],[Cotação 1]]:Tabela8[[#This Row],[Cotação 5]]))</f>
        <v>26.32</v>
      </c>
      <c r="W8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4" s="19">
        <f>IF(AND([Ref]=5,[Cotação]&gt;0,[Cotação]&lt;&gt;""),[Total Exercício]/[Cotação],IF([Ref]&lt;4,0,""))</f>
        <v>3.6607503799392101E-2</v>
      </c>
      <c r="Y844" s="14">
        <f>IF([Tipo]="div",1,0)</f>
        <v>0</v>
      </c>
      <c r="Z844" s="14">
        <f>IF([Tipo]="jcp",1,0)</f>
        <v>1</v>
      </c>
    </row>
    <row r="845" spans="1:26" hidden="1">
      <c r="A845" s="24" t="s">
        <v>12</v>
      </c>
      <c r="B845" s="3" t="s">
        <v>34</v>
      </c>
      <c r="C845" s="15">
        <v>4</v>
      </c>
      <c r="D845" s="14">
        <v>2011</v>
      </c>
      <c r="E845" s="4" t="s">
        <v>1468</v>
      </c>
      <c r="G845" s="145">
        <v>40661</v>
      </c>
      <c r="H845" s="46">
        <v>40686</v>
      </c>
      <c r="I845" s="133">
        <v>0.28327999999999998</v>
      </c>
      <c r="J845" s="134">
        <f>IF(Tabela8[[#This Row],[Tipo]]="jcp",Tabela8[[#This Row],[Provento p/Ação]]*85%,Tabela8[[#This Row],[Provento p/Ação]])</f>
        <v>0.28327999999999998</v>
      </c>
      <c r="K845" s="133" t="str">
        <f>IF([Lucro p/Ação]&lt;&gt;0,SUMPRODUCT(N([Papel]=Tabela8[[#This Row],[Papel]]),N([Exercício]=Tabela8[[#This Row],[Exercício]]),[Líquido p/Ação]),"")</f>
        <v/>
      </c>
      <c r="L845" s="42" t="str">
        <f>IF(Tabela8[[#This Row],[Lucro p/Ação]]="","",IF(Tabela8[[#This Row],[Lucro p/Ação]]&gt;0,Tabela8[[#This Row],[Total Exercício]]/Tabela8[[#This Row],[Lucro p/Ação]],0))</f>
        <v/>
      </c>
      <c r="M8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5" s="19" t="str">
        <f>IF(Tabela8[[#This Row],[Média Lucro p/Ação]]&lt;&gt;"",Tabela8[[#This Row],[Média Pago]]/Tabela8[[#This Row],[Média Lucro p/Ação]],"")</f>
        <v/>
      </c>
      <c r="P8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5" s="134">
        <f>SUMPRODUCT(N(Tabela1[Código]=Tabela8[[#This Row],[Papel]]),Tabela1[Fechamento])</f>
        <v>19.05</v>
      </c>
      <c r="R845" s="7">
        <f>SUMPRODUCT(N(Tabela17[Código]=Tabela8[[#This Row],[Papel]]),Tabela17[Fechamento])</f>
        <v>0</v>
      </c>
      <c r="S845" s="7">
        <f>SUMPRODUCT(N(Tabela176[Código]=Tabela8[[#This Row],[Papel]]),Tabela176[Fechamento])</f>
        <v>0</v>
      </c>
      <c r="T845" s="7">
        <f>SUMPRODUCT(N(Tabela1768[Código]=Tabela8[[#This Row],[Papel]]),Tabela1768[Fechamento])</f>
        <v>0</v>
      </c>
      <c r="U845" s="7">
        <f>SUMPRODUCT(N(Tabela17683[Código]=Tabela8[[#This Row],[Papel]]),Tabela17683[Fechamento])</f>
        <v>0</v>
      </c>
      <c r="V845" s="7">
        <f>IF(MAX(Tabela8[[#This Row],[Cotação 1]]:Tabela8[[#This Row],[Cotação 5]])=0,"",MAX(Tabela8[[#This Row],[Cotação 1]]:Tabela8[[#This Row],[Cotação 5]]))</f>
        <v>19.05</v>
      </c>
      <c r="W8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5" s="19" t="str">
        <f>IF(AND([Ref]=5,[Cotação]&gt;0,[Cotação]&lt;&gt;""),[Total Exercício]/[Cotação],IF([Ref]&lt;4,0,""))</f>
        <v/>
      </c>
      <c r="Y845" s="14">
        <f>IF([Tipo]="div",1,0)</f>
        <v>1</v>
      </c>
      <c r="Z845" s="14">
        <f>IF([Tipo]="jcp",1,0)</f>
        <v>0</v>
      </c>
    </row>
    <row r="846" spans="1:26" hidden="1">
      <c r="A846" s="4" t="s">
        <v>12</v>
      </c>
      <c r="B846" s="3" t="s">
        <v>99</v>
      </c>
      <c r="C846" s="15">
        <v>4</v>
      </c>
      <c r="D846" s="14">
        <v>2011</v>
      </c>
      <c r="E846" s="4" t="s">
        <v>1468</v>
      </c>
      <c r="G846" s="145">
        <v>40661</v>
      </c>
      <c r="H846" s="46">
        <v>40686</v>
      </c>
      <c r="I846" s="133">
        <v>1.04782</v>
      </c>
      <c r="J846" s="134">
        <f>IF(Tabela8[[#This Row],[Tipo]]="jcp",Tabela8[[#This Row],[Provento p/Ação]]*85%,Tabela8[[#This Row],[Provento p/Ação]])</f>
        <v>1.04782</v>
      </c>
      <c r="K846" s="133" t="str">
        <f>IF([Lucro p/Ação]&lt;&gt;0,SUMPRODUCT(N([Papel]=Tabela8[[#This Row],[Papel]]),N([Exercício]=Tabela8[[#This Row],[Exercício]]),[Líquido p/Ação]),"")</f>
        <v/>
      </c>
      <c r="L846" s="42" t="str">
        <f>IF(Tabela8[[#This Row],[Lucro p/Ação]]="","",IF(Tabela8[[#This Row],[Lucro p/Ação]]&gt;0,Tabela8[[#This Row],[Total Exercício]]/Tabela8[[#This Row],[Lucro p/Ação]],0))</f>
        <v/>
      </c>
      <c r="M8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6" s="19" t="str">
        <f>IF(Tabela8[[#This Row],[Média Lucro p/Ação]]&lt;&gt;"",Tabela8[[#This Row],[Média Pago]]/Tabela8[[#This Row],[Média Lucro p/Ação]],"")</f>
        <v/>
      </c>
      <c r="P8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6" s="134">
        <f>SUMPRODUCT(N(Tabela1[Código]=Tabela8[[#This Row],[Papel]]),Tabela1[Fechamento])</f>
        <v>30</v>
      </c>
      <c r="R846" s="7">
        <f>SUMPRODUCT(N(Tabela17[Código]=Tabela8[[#This Row],[Papel]]),Tabela17[Fechamento])</f>
        <v>0</v>
      </c>
      <c r="S846" s="7">
        <f>SUMPRODUCT(N(Tabela176[Código]=Tabela8[[#This Row],[Papel]]),Tabela176[Fechamento])</f>
        <v>0</v>
      </c>
      <c r="T846" s="7">
        <f>SUMPRODUCT(N(Tabela1768[Código]=Tabela8[[#This Row],[Papel]]),Tabela1768[Fechamento])</f>
        <v>0</v>
      </c>
      <c r="U846" s="7">
        <f>SUMPRODUCT(N(Tabela17683[Código]=Tabela8[[#This Row],[Papel]]),Tabela17683[Fechamento])</f>
        <v>0</v>
      </c>
      <c r="V846" s="7">
        <f>IF(MAX(Tabela8[[#This Row],[Cotação 1]]:Tabela8[[#This Row],[Cotação 5]])=0,"",MAX(Tabela8[[#This Row],[Cotação 1]]:Tabela8[[#This Row],[Cotação 5]]))</f>
        <v>30</v>
      </c>
      <c r="W8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6" s="19" t="str">
        <f>IF(AND([Ref]=5,[Cotação]&gt;0,[Cotação]&lt;&gt;""),[Total Exercício]/[Cotação],IF([Ref]&lt;4,0,""))</f>
        <v/>
      </c>
      <c r="Y846" s="14">
        <f>IF([Tipo]="div",1,0)</f>
        <v>1</v>
      </c>
      <c r="Z846" s="14">
        <f>IF([Tipo]="jcp",1,0)</f>
        <v>0</v>
      </c>
    </row>
    <row r="847" spans="1:26" hidden="1">
      <c r="A847" s="4" t="s">
        <v>12</v>
      </c>
      <c r="B847" s="3" t="s">
        <v>100</v>
      </c>
      <c r="C847" s="15">
        <v>4</v>
      </c>
      <c r="D847" s="14">
        <v>2011</v>
      </c>
      <c r="E847" s="4" t="s">
        <v>1468</v>
      </c>
      <c r="G847" s="145">
        <v>40661</v>
      </c>
      <c r="H847" s="46">
        <v>40686</v>
      </c>
      <c r="I847" s="133">
        <v>0.31167</v>
      </c>
      <c r="J847" s="134">
        <f>IF(Tabela8[[#This Row],[Tipo]]="jcp",Tabela8[[#This Row],[Provento p/Ação]]*85%,Tabela8[[#This Row],[Provento p/Ação]])</f>
        <v>0.31167</v>
      </c>
      <c r="K847" s="133" t="str">
        <f>IF([Lucro p/Ação]&lt;&gt;0,SUMPRODUCT(N([Papel]=Tabela8[[#This Row],[Papel]]),N([Exercício]=Tabela8[[#This Row],[Exercício]]),[Líquido p/Ação]),"")</f>
        <v/>
      </c>
      <c r="L847" s="42" t="str">
        <f>IF(Tabela8[[#This Row],[Lucro p/Ação]]="","",IF(Tabela8[[#This Row],[Lucro p/Ação]]&gt;0,Tabela8[[#This Row],[Total Exercício]]/Tabela8[[#This Row],[Lucro p/Ação]],0))</f>
        <v/>
      </c>
      <c r="M8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7" s="19" t="str">
        <f>IF(Tabela8[[#This Row],[Média Lucro p/Ação]]&lt;&gt;"",Tabela8[[#This Row],[Média Pago]]/Tabela8[[#This Row],[Média Lucro p/Ação]],"")</f>
        <v/>
      </c>
      <c r="P8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7" s="134">
        <f>SUMPRODUCT(N(Tabela1[Código]=Tabela8[[#This Row],[Papel]]),Tabela1[Fechamento])</f>
        <v>26.32</v>
      </c>
      <c r="R847" s="17">
        <f>SUMPRODUCT(N(Tabela17[Código]=Tabela8[[#This Row],[Papel]]),Tabela17[Fechamento])</f>
        <v>0</v>
      </c>
      <c r="S847" s="17">
        <f>SUMPRODUCT(N(Tabela176[Código]=Tabela8[[#This Row],[Papel]]),Tabela176[Fechamento])</f>
        <v>0</v>
      </c>
      <c r="T847" s="17">
        <f>SUMPRODUCT(N(Tabela1768[Código]=Tabela8[[#This Row],[Papel]]),Tabela1768[Fechamento])</f>
        <v>0</v>
      </c>
      <c r="U847" s="17">
        <f>SUMPRODUCT(N(Tabela17683[Código]=Tabela8[[#This Row],[Papel]]),Tabela17683[Fechamento])</f>
        <v>0</v>
      </c>
      <c r="V847" s="17">
        <f>IF(MAX(Tabela8[[#This Row],[Cotação 1]]:Tabela8[[#This Row],[Cotação 5]])=0,"",MAX(Tabela8[[#This Row],[Cotação 1]]:Tabela8[[#This Row],[Cotação 5]]))</f>
        <v>26.32</v>
      </c>
      <c r="W8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7" s="19" t="str">
        <f>IF(AND([Ref]=5,[Cotação]&gt;0,[Cotação]&lt;&gt;""),[Total Exercício]/[Cotação],IF([Ref]&lt;4,0,""))</f>
        <v/>
      </c>
      <c r="Y847" s="14">
        <f>IF([Tipo]="div",1,0)</f>
        <v>1</v>
      </c>
      <c r="Z847" s="14">
        <f>IF([Tipo]="jcp",1,0)</f>
        <v>0</v>
      </c>
    </row>
    <row r="848" spans="1:26" hidden="1">
      <c r="A848" s="24" t="s">
        <v>12</v>
      </c>
      <c r="B848" s="3" t="s">
        <v>34</v>
      </c>
      <c r="C848" s="15">
        <v>4</v>
      </c>
      <c r="D848" s="14">
        <v>2011</v>
      </c>
      <c r="E848" s="14" t="s">
        <v>1475</v>
      </c>
      <c r="G848" s="145">
        <v>40661</v>
      </c>
      <c r="H848" s="46">
        <v>40686</v>
      </c>
      <c r="I848" s="133">
        <v>0.40037</v>
      </c>
      <c r="J848" s="134">
        <f>IF(Tabela8[[#This Row],[Tipo]]="jcp",Tabela8[[#This Row],[Provento p/Ação]]*85%,Tabela8[[#This Row],[Provento p/Ação]])</f>
        <v>0.34031450000000002</v>
      </c>
      <c r="K848" s="133" t="str">
        <f>IF([Lucro p/Ação]&lt;&gt;0,SUMPRODUCT(N([Papel]=Tabela8[[#This Row],[Papel]]),N([Exercício]=Tabela8[[#This Row],[Exercício]]),[Líquido p/Ação]),"")</f>
        <v/>
      </c>
      <c r="L848" s="42" t="str">
        <f>IF(Tabela8[[#This Row],[Lucro p/Ação]]="","",IF(Tabela8[[#This Row],[Lucro p/Ação]]&gt;0,Tabela8[[#This Row],[Total Exercício]]/Tabela8[[#This Row],[Lucro p/Ação]],0))</f>
        <v/>
      </c>
      <c r="M84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8" s="19" t="str">
        <f>IF(Tabela8[[#This Row],[Média Lucro p/Ação]]&lt;&gt;"",Tabela8[[#This Row],[Média Pago]]/Tabela8[[#This Row],[Média Lucro p/Ação]],"")</f>
        <v/>
      </c>
      <c r="P8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8" s="134">
        <f>SUMPRODUCT(N(Tabela1[Código]=Tabela8[[#This Row],[Papel]]),Tabela1[Fechamento])</f>
        <v>19.05</v>
      </c>
      <c r="R848" s="7">
        <f>SUMPRODUCT(N(Tabela17[Código]=Tabela8[[#This Row],[Papel]]),Tabela17[Fechamento])</f>
        <v>0</v>
      </c>
      <c r="S848" s="7">
        <f>SUMPRODUCT(N(Tabela176[Código]=Tabela8[[#This Row],[Papel]]),Tabela176[Fechamento])</f>
        <v>0</v>
      </c>
      <c r="T848" s="7">
        <f>SUMPRODUCT(N(Tabela1768[Código]=Tabela8[[#This Row],[Papel]]),Tabela1768[Fechamento])</f>
        <v>0</v>
      </c>
      <c r="U848" s="7">
        <f>SUMPRODUCT(N(Tabela17683[Código]=Tabela8[[#This Row],[Papel]]),Tabela17683[Fechamento])</f>
        <v>0</v>
      </c>
      <c r="V848" s="7">
        <f>IF(MAX(Tabela8[[#This Row],[Cotação 1]]:Tabela8[[#This Row],[Cotação 5]])=0,"",MAX(Tabela8[[#This Row],[Cotação 1]]:Tabela8[[#This Row],[Cotação 5]]))</f>
        <v>19.05</v>
      </c>
      <c r="W8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8" s="19" t="str">
        <f>IF(AND([Ref]=5,[Cotação]&gt;0,[Cotação]&lt;&gt;""),[Total Exercício]/[Cotação],IF([Ref]&lt;4,0,""))</f>
        <v/>
      </c>
      <c r="Y848" s="14">
        <f>IF([Tipo]="div",1,0)</f>
        <v>0</v>
      </c>
      <c r="Z848" s="14">
        <f>IF([Tipo]="jcp",1,0)</f>
        <v>1</v>
      </c>
    </row>
    <row r="849" spans="1:26" hidden="1">
      <c r="A849" s="4" t="s">
        <v>12</v>
      </c>
      <c r="B849" s="3" t="s">
        <v>99</v>
      </c>
      <c r="C849" s="15">
        <v>4</v>
      </c>
      <c r="D849" s="14">
        <v>2011</v>
      </c>
      <c r="E849" s="14" t="s">
        <v>1475</v>
      </c>
      <c r="G849" s="145">
        <v>40661</v>
      </c>
      <c r="H849" s="46">
        <v>40686</v>
      </c>
      <c r="I849" s="133">
        <v>1.1508700000000001</v>
      </c>
      <c r="J849" s="134">
        <f>IF(Tabela8[[#This Row],[Tipo]]="jcp",Tabela8[[#This Row],[Provento p/Ação]]*85%,Tabela8[[#This Row],[Provento p/Ação]])</f>
        <v>0.97823950000000004</v>
      </c>
      <c r="K849" s="133" t="str">
        <f>IF([Lucro p/Ação]&lt;&gt;0,SUMPRODUCT(N([Papel]=Tabela8[[#This Row],[Papel]]),N([Exercício]=Tabela8[[#This Row],[Exercício]]),[Líquido p/Ação]),"")</f>
        <v/>
      </c>
      <c r="L849" s="42" t="str">
        <f>IF(Tabela8[[#This Row],[Lucro p/Ação]]="","",IF(Tabela8[[#This Row],[Lucro p/Ação]]&gt;0,Tabela8[[#This Row],[Total Exercício]]/Tabela8[[#This Row],[Lucro p/Ação]],0))</f>
        <v/>
      </c>
      <c r="M84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4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49" s="19" t="str">
        <f>IF(Tabela8[[#This Row],[Média Lucro p/Ação]]&lt;&gt;"",Tabela8[[#This Row],[Média Pago]]/Tabela8[[#This Row],[Média Lucro p/Ação]],"")</f>
        <v/>
      </c>
      <c r="P8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49" s="134">
        <f>SUMPRODUCT(N(Tabela1[Código]=Tabela8[[#This Row],[Papel]]),Tabela1[Fechamento])</f>
        <v>30</v>
      </c>
      <c r="R849" s="7">
        <f>SUMPRODUCT(N(Tabela17[Código]=Tabela8[[#This Row],[Papel]]),Tabela17[Fechamento])</f>
        <v>0</v>
      </c>
      <c r="S849" s="7">
        <f>SUMPRODUCT(N(Tabela176[Código]=Tabela8[[#This Row],[Papel]]),Tabela176[Fechamento])</f>
        <v>0</v>
      </c>
      <c r="T849" s="7">
        <f>SUMPRODUCT(N(Tabela1768[Código]=Tabela8[[#This Row],[Papel]]),Tabela1768[Fechamento])</f>
        <v>0</v>
      </c>
      <c r="U849" s="7">
        <f>SUMPRODUCT(N(Tabela17683[Código]=Tabela8[[#This Row],[Papel]]),Tabela17683[Fechamento])</f>
        <v>0</v>
      </c>
      <c r="V849" s="7">
        <f>IF(MAX(Tabela8[[#This Row],[Cotação 1]]:Tabela8[[#This Row],[Cotação 5]])=0,"",MAX(Tabela8[[#This Row],[Cotação 1]]:Tabela8[[#This Row],[Cotação 5]]))</f>
        <v>30</v>
      </c>
      <c r="W8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49" s="19" t="str">
        <f>IF(AND([Ref]=5,[Cotação]&gt;0,[Cotação]&lt;&gt;""),[Total Exercício]/[Cotação],IF([Ref]&lt;4,0,""))</f>
        <v/>
      </c>
      <c r="Y849" s="14">
        <f>IF([Tipo]="div",1,0)</f>
        <v>0</v>
      </c>
      <c r="Z849" s="14">
        <f>IF([Tipo]="jcp",1,0)</f>
        <v>1</v>
      </c>
    </row>
    <row r="850" spans="1:26" hidden="1">
      <c r="A850" s="4" t="s">
        <v>12</v>
      </c>
      <c r="B850" s="3" t="s">
        <v>100</v>
      </c>
      <c r="C850" s="15">
        <v>4</v>
      </c>
      <c r="D850" s="14">
        <v>2011</v>
      </c>
      <c r="E850" s="14" t="s">
        <v>1475</v>
      </c>
      <c r="G850" s="145">
        <v>40661</v>
      </c>
      <c r="H850" s="46">
        <v>40686</v>
      </c>
      <c r="I850" s="133">
        <v>0.44048999999999999</v>
      </c>
      <c r="J850" s="134">
        <f>IF(Tabela8[[#This Row],[Tipo]]="jcp",Tabela8[[#This Row],[Provento p/Ação]]*85%,Tabela8[[#This Row],[Provento p/Ação]])</f>
        <v>0.37441649999999999</v>
      </c>
      <c r="K850" s="133" t="str">
        <f>IF([Lucro p/Ação]&lt;&gt;0,SUMPRODUCT(N([Papel]=Tabela8[[#This Row],[Papel]]),N([Exercício]=Tabela8[[#This Row],[Exercício]]),[Líquido p/Ação]),"")</f>
        <v/>
      </c>
      <c r="L850" s="42" t="str">
        <f>IF(Tabela8[[#This Row],[Lucro p/Ação]]="","",IF(Tabela8[[#This Row],[Lucro p/Ação]]&gt;0,Tabela8[[#This Row],[Total Exercício]]/Tabela8[[#This Row],[Lucro p/Ação]],0))</f>
        <v/>
      </c>
      <c r="M85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0" s="19" t="str">
        <f>IF(Tabela8[[#This Row],[Média Lucro p/Ação]]&lt;&gt;"",Tabela8[[#This Row],[Média Pago]]/Tabela8[[#This Row],[Média Lucro p/Ação]],"")</f>
        <v/>
      </c>
      <c r="P8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0" s="134">
        <f>SUMPRODUCT(N(Tabela1[Código]=Tabela8[[#This Row],[Papel]]),Tabela1[Fechamento])</f>
        <v>26.32</v>
      </c>
      <c r="R850" s="7">
        <f>SUMPRODUCT(N(Tabela17[Código]=Tabela8[[#This Row],[Papel]]),Tabela17[Fechamento])</f>
        <v>0</v>
      </c>
      <c r="S850" s="7">
        <f>SUMPRODUCT(N(Tabela176[Código]=Tabela8[[#This Row],[Papel]]),Tabela176[Fechamento])</f>
        <v>0</v>
      </c>
      <c r="T850" s="7">
        <f>SUMPRODUCT(N(Tabela1768[Código]=Tabela8[[#This Row],[Papel]]),Tabela1768[Fechamento])</f>
        <v>0</v>
      </c>
      <c r="U850" s="7">
        <f>SUMPRODUCT(N(Tabela17683[Código]=Tabela8[[#This Row],[Papel]]),Tabela17683[Fechamento])</f>
        <v>0</v>
      </c>
      <c r="V850" s="7">
        <f>IF(MAX(Tabela8[[#This Row],[Cotação 1]]:Tabela8[[#This Row],[Cotação 5]])=0,"",MAX(Tabela8[[#This Row],[Cotação 1]]:Tabela8[[#This Row],[Cotação 5]]))</f>
        <v>26.32</v>
      </c>
      <c r="W8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0" s="19" t="str">
        <f>IF(AND([Ref]=5,[Cotação]&gt;0,[Cotação]&lt;&gt;""),[Total Exercício]/[Cotação],IF([Ref]&lt;4,0,""))</f>
        <v/>
      </c>
      <c r="Y850" s="14">
        <f>IF([Tipo]="div",1,0)</f>
        <v>0</v>
      </c>
      <c r="Z850" s="14">
        <f>IF([Tipo]="jcp",1,0)</f>
        <v>1</v>
      </c>
    </row>
    <row r="851" spans="1:26" hidden="1">
      <c r="A851" s="24" t="s">
        <v>12</v>
      </c>
      <c r="B851" s="3" t="s">
        <v>34</v>
      </c>
      <c r="C851" s="15">
        <v>5</v>
      </c>
      <c r="D851" s="14">
        <v>2011</v>
      </c>
      <c r="E851" s="14" t="s">
        <v>1475</v>
      </c>
      <c r="F851" s="133">
        <v>4.04</v>
      </c>
      <c r="G851" s="145">
        <v>40766</v>
      </c>
      <c r="H851" s="46">
        <v>40801</v>
      </c>
      <c r="I851" s="133">
        <v>0.78803000000000001</v>
      </c>
      <c r="J851" s="134">
        <f>IF(Tabela8[[#This Row],[Tipo]]="jcp",Tabela8[[#This Row],[Provento p/Ação]]*85%,Tabela8[[#This Row],[Provento p/Ação]])</f>
        <v>0.66982549999999996</v>
      </c>
      <c r="K851" s="133">
        <f>IF([Lucro p/Ação]&lt;&gt;0,SUMPRODUCT(N([Papel]=Tabela8[[#This Row],[Papel]]),N([Exercício]=Tabela8[[#This Row],[Exercício]]),[Líquido p/Ação]),"")</f>
        <v>1.29342</v>
      </c>
      <c r="L851" s="42">
        <f>IF(Tabela8[[#This Row],[Lucro p/Ação]]="","",IF(Tabela8[[#This Row],[Lucro p/Ação]]&gt;0,Tabela8[[#This Row],[Total Exercício]]/Tabela8[[#This Row],[Lucro p/Ação]],0))</f>
        <v>0.32015346534653466</v>
      </c>
      <c r="M85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3.7450000000000001</v>
      </c>
      <c r="N85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1.0845707500000001</v>
      </c>
      <c r="O851" s="19">
        <f>IF(Tabela8[[#This Row],[Média Lucro p/Ação]]&lt;&gt;"",Tabela8[[#This Row],[Média Pago]]/Tabela8[[#This Row],[Média Lucro p/Ação]],"")</f>
        <v>0.28960500667556743</v>
      </c>
      <c r="P8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1" s="134">
        <f>SUMPRODUCT(N(Tabela1[Código]=Tabela8[[#This Row],[Papel]]),Tabela1[Fechamento])</f>
        <v>19.05</v>
      </c>
      <c r="R851" s="7">
        <f>SUMPRODUCT(N(Tabela17[Código]=Tabela8[[#This Row],[Papel]]),Tabela17[Fechamento])</f>
        <v>0</v>
      </c>
      <c r="S851" s="7">
        <f>SUMPRODUCT(N(Tabela176[Código]=Tabela8[[#This Row],[Papel]]),Tabela176[Fechamento])</f>
        <v>0</v>
      </c>
      <c r="T851" s="7">
        <f>SUMPRODUCT(N(Tabela1768[Código]=Tabela8[[#This Row],[Papel]]),Tabela1768[Fechamento])</f>
        <v>0</v>
      </c>
      <c r="U851" s="7">
        <f>SUMPRODUCT(N(Tabela17683[Código]=Tabela8[[#This Row],[Papel]]),Tabela17683[Fechamento])</f>
        <v>0</v>
      </c>
      <c r="V851" s="7">
        <f>IF(MAX(Tabela8[[#This Row],[Cotação 1]]:Tabela8[[#This Row],[Cotação 5]])=0,"",MAX(Tabela8[[#This Row],[Cotação 1]]:Tabela8[[#This Row],[Cotação 5]]))</f>
        <v>19.05</v>
      </c>
      <c r="W8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1" s="19">
        <f>IF(AND([Ref]=5,[Cotação]&gt;0,[Cotação]&lt;&gt;""),[Total Exercício]/[Cotação],IF([Ref]&lt;4,0,""))</f>
        <v>6.7896062992125986E-2</v>
      </c>
      <c r="Y851" s="14">
        <f>IF([Tipo]="div",1,0)</f>
        <v>0</v>
      </c>
      <c r="Z851" s="14">
        <f>IF([Tipo]="jcp",1,0)</f>
        <v>1</v>
      </c>
    </row>
    <row r="852" spans="1:26" hidden="1">
      <c r="A852" s="4" t="s">
        <v>12</v>
      </c>
      <c r="B852" s="3" t="s">
        <v>99</v>
      </c>
      <c r="C852" s="15">
        <v>5</v>
      </c>
      <c r="D852" s="14">
        <v>2011</v>
      </c>
      <c r="E852" s="14" t="s">
        <v>1475</v>
      </c>
      <c r="F852" s="133">
        <v>5.33</v>
      </c>
      <c r="G852" s="145">
        <v>40766</v>
      </c>
      <c r="H852" s="46">
        <v>40801</v>
      </c>
      <c r="I852" s="133">
        <v>0.86706000000000005</v>
      </c>
      <c r="J852" s="134">
        <f>IF(Tabela8[[#This Row],[Tipo]]="jcp",Tabela8[[#This Row],[Provento p/Ação]]*85%,Tabela8[[#This Row],[Provento p/Ação]])</f>
        <v>0.73700100000000002</v>
      </c>
      <c r="K852" s="133">
        <f>IF([Lucro p/Ação]&lt;&gt;0,SUMPRODUCT(N([Papel]=Tabela8[[#This Row],[Papel]]),N([Exercício]=Tabela8[[#This Row],[Exercício]]),[Líquido p/Ação]),"")</f>
        <v>2.7630604999999999</v>
      </c>
      <c r="L852" s="42">
        <f>IF(Tabela8[[#This Row],[Lucro p/Ação]]="","",IF(Tabela8[[#This Row],[Lucro p/Ação]]&gt;0,Tabela8[[#This Row],[Total Exercício]]/Tabela8[[#This Row],[Lucro p/Ação]],0))</f>
        <v>0.51839784240150089</v>
      </c>
      <c r="M85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5.27</v>
      </c>
      <c r="N85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2.5332714999999997</v>
      </c>
      <c r="O852" s="19">
        <f>IF(Tabela8[[#This Row],[Média Lucro p/Ação]]&lt;&gt;"",Tabela8[[#This Row],[Média Pago]]/Tabela8[[#This Row],[Média Lucro p/Ação]],"")</f>
        <v>0.48069667931688803</v>
      </c>
      <c r="P8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2" s="134">
        <f>SUMPRODUCT(N(Tabela1[Código]=Tabela8[[#This Row],[Papel]]),Tabela1[Fechamento])</f>
        <v>30</v>
      </c>
      <c r="R852" s="7">
        <f>SUMPRODUCT(N(Tabela17[Código]=Tabela8[[#This Row],[Papel]]),Tabela17[Fechamento])</f>
        <v>0</v>
      </c>
      <c r="S852" s="7">
        <f>SUMPRODUCT(N(Tabela176[Código]=Tabela8[[#This Row],[Papel]]),Tabela176[Fechamento])</f>
        <v>0</v>
      </c>
      <c r="T852" s="7">
        <f>SUMPRODUCT(N(Tabela1768[Código]=Tabela8[[#This Row],[Papel]]),Tabela1768[Fechamento])</f>
        <v>0</v>
      </c>
      <c r="U852" s="7">
        <f>SUMPRODUCT(N(Tabela17683[Código]=Tabela8[[#This Row],[Papel]]),Tabela17683[Fechamento])</f>
        <v>0</v>
      </c>
      <c r="V852" s="7">
        <f>IF(MAX(Tabela8[[#This Row],[Cotação 1]]:Tabela8[[#This Row],[Cotação 5]])=0,"",MAX(Tabela8[[#This Row],[Cotação 1]]:Tabela8[[#This Row],[Cotação 5]]))</f>
        <v>30</v>
      </c>
      <c r="W8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2" s="19">
        <f>IF(AND([Ref]=5,[Cotação]&gt;0,[Cotação]&lt;&gt;""),[Total Exercício]/[Cotação],IF([Ref]&lt;4,0,""))</f>
        <v>9.2102016666666661E-2</v>
      </c>
      <c r="Y852" s="14">
        <f>IF([Tipo]="div",1,0)</f>
        <v>0</v>
      </c>
      <c r="Z852" s="14">
        <f>IF([Tipo]="jcp",1,0)</f>
        <v>1</v>
      </c>
    </row>
    <row r="853" spans="1:26" hidden="1">
      <c r="A853" s="4" t="s">
        <v>12</v>
      </c>
      <c r="B853" s="3" t="s">
        <v>100</v>
      </c>
      <c r="C853" s="15">
        <v>5</v>
      </c>
      <c r="D853" s="14">
        <v>2011</v>
      </c>
      <c r="E853" s="14" t="s">
        <v>1475</v>
      </c>
      <c r="F853" s="133">
        <v>4.4400000000000004</v>
      </c>
      <c r="G853" s="145">
        <v>40766</v>
      </c>
      <c r="H853" s="46">
        <v>40801</v>
      </c>
      <c r="I853" s="133">
        <v>0.86706000000000005</v>
      </c>
      <c r="J853" s="134">
        <f>IF(Tabela8[[#This Row],[Tipo]]="jcp",Tabela8[[#This Row],[Provento p/Ação]]*85%,Tabela8[[#This Row],[Provento p/Ação]])</f>
        <v>0.73700100000000002</v>
      </c>
      <c r="K853" s="133">
        <f>IF([Lucro p/Ação]&lt;&gt;0,SUMPRODUCT(N([Papel]=Tabela8[[#This Row],[Papel]]),N([Exercício]=Tabela8[[#This Row],[Exercício]]),[Líquido p/Ação]),"")</f>
        <v>1.4230875000000001</v>
      </c>
      <c r="L853" s="42">
        <f>IF(Tabela8[[#This Row],[Lucro p/Ação]]="","",IF(Tabela8[[#This Row],[Lucro p/Ação]]&gt;0,Tabela8[[#This Row],[Total Exercício]]/Tabela8[[#This Row],[Lucro p/Ação]],0))</f>
        <v>0.32051520270270267</v>
      </c>
      <c r="M85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4.1150000000000002</v>
      </c>
      <c r="N85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1.1932985</v>
      </c>
      <c r="O853" s="19">
        <f>IF(Tabela8[[#This Row],[Média Lucro p/Ação]]&lt;&gt;"",Tabela8[[#This Row],[Média Pago]]/Tabela8[[#This Row],[Média Lucro p/Ação]],"")</f>
        <v>0.28998748481166464</v>
      </c>
      <c r="P8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3" s="134">
        <f>SUMPRODUCT(N(Tabela1[Código]=Tabela8[[#This Row],[Papel]]),Tabela1[Fechamento])</f>
        <v>26.32</v>
      </c>
      <c r="R853" s="17">
        <f>SUMPRODUCT(N(Tabela17[Código]=Tabela8[[#This Row],[Papel]]),Tabela17[Fechamento])</f>
        <v>0</v>
      </c>
      <c r="S853" s="17">
        <f>SUMPRODUCT(N(Tabela176[Código]=Tabela8[[#This Row],[Papel]]),Tabela176[Fechamento])</f>
        <v>0</v>
      </c>
      <c r="T853" s="17">
        <f>SUMPRODUCT(N(Tabela1768[Código]=Tabela8[[#This Row],[Papel]]),Tabela1768[Fechamento])</f>
        <v>0</v>
      </c>
      <c r="U853" s="17">
        <f>SUMPRODUCT(N(Tabela17683[Código]=Tabela8[[#This Row],[Papel]]),Tabela17683[Fechamento])</f>
        <v>0</v>
      </c>
      <c r="V853" s="17">
        <f>IF(MAX(Tabela8[[#This Row],[Cotação 1]]:Tabela8[[#This Row],[Cotação 5]])=0,"",MAX(Tabela8[[#This Row],[Cotação 1]]:Tabela8[[#This Row],[Cotação 5]]))</f>
        <v>26.32</v>
      </c>
      <c r="W8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3" s="19">
        <f>IF(AND([Ref]=5,[Cotação]&gt;0,[Cotação]&lt;&gt;""),[Total Exercício]/[Cotação],IF([Ref]&lt;4,0,""))</f>
        <v>5.4068674012158056E-2</v>
      </c>
      <c r="Y853" s="14">
        <f>IF([Tipo]="div",1,0)</f>
        <v>0</v>
      </c>
      <c r="Z853" s="14">
        <f>IF([Tipo]="jcp",1,0)</f>
        <v>1</v>
      </c>
    </row>
    <row r="854" spans="1:26" hidden="1">
      <c r="A854" s="24" t="s">
        <v>12</v>
      </c>
      <c r="B854" s="3" t="s">
        <v>34</v>
      </c>
      <c r="C854" s="15">
        <v>4</v>
      </c>
      <c r="D854" s="14">
        <v>2012</v>
      </c>
      <c r="E854" s="4" t="s">
        <v>1475</v>
      </c>
      <c r="G854" s="145">
        <v>40407</v>
      </c>
      <c r="H854" s="46">
        <v>40441</v>
      </c>
      <c r="I854" s="133">
        <v>0.29661999999999999</v>
      </c>
      <c r="J854" s="134">
        <f>IF(Tabela8[[#This Row],[Tipo]]="jcp",Tabela8[[#This Row],[Provento p/Ação]]*85%,Tabela8[[#This Row],[Provento p/Ação]])</f>
        <v>0.25212699999999999</v>
      </c>
      <c r="K854" s="133" t="str">
        <f>IF([Lucro p/Ação]&lt;&gt;0,SUMPRODUCT(N([Papel]=Tabela8[[#This Row],[Papel]]),N([Exercício]=Tabela8[[#This Row],[Exercício]]),[Líquido p/Ação]),"")</f>
        <v/>
      </c>
      <c r="L854" s="42" t="str">
        <f>IF(Tabela8[[#This Row],[Lucro p/Ação]]="","",IF(Tabela8[[#This Row],[Lucro p/Ação]]&gt;0,Tabela8[[#This Row],[Total Exercício]]/Tabela8[[#This Row],[Lucro p/Ação]],0))</f>
        <v/>
      </c>
      <c r="M8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4" s="19" t="str">
        <f>IF(Tabela8[[#This Row],[Média Lucro p/Ação]]&lt;&gt;"",Tabela8[[#This Row],[Média Pago]]/Tabela8[[#This Row],[Média Lucro p/Ação]],"")</f>
        <v/>
      </c>
      <c r="P8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4" s="134">
        <f>SUMPRODUCT(N(Tabela1[Código]=Tabela8[[#This Row],[Papel]]),Tabela1[Fechamento])</f>
        <v>19.05</v>
      </c>
      <c r="R854" s="7">
        <f>SUMPRODUCT(N(Tabela17[Código]=Tabela8[[#This Row],[Papel]]),Tabela17[Fechamento])</f>
        <v>0</v>
      </c>
      <c r="S854" s="7">
        <f>SUMPRODUCT(N(Tabela176[Código]=Tabela8[[#This Row],[Papel]]),Tabela176[Fechamento])</f>
        <v>0</v>
      </c>
      <c r="T854" s="7">
        <f>SUMPRODUCT(N(Tabela1768[Código]=Tabela8[[#This Row],[Papel]]),Tabela1768[Fechamento])</f>
        <v>0</v>
      </c>
      <c r="U854" s="7">
        <f>SUMPRODUCT(N(Tabela17683[Código]=Tabela8[[#This Row],[Papel]]),Tabela17683[Fechamento])</f>
        <v>0</v>
      </c>
      <c r="V854" s="7">
        <f>IF(MAX(Tabela8[[#This Row],[Cotação 1]]:Tabela8[[#This Row],[Cotação 5]])=0,"",MAX(Tabela8[[#This Row],[Cotação 1]]:Tabela8[[#This Row],[Cotação 5]]))</f>
        <v>19.05</v>
      </c>
      <c r="W8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4" s="19" t="str">
        <f>IF(AND([Ref]=5,[Cotação]&gt;0,[Cotação]&lt;&gt;""),[Total Exercício]/[Cotação],IF([Ref]&lt;4,0,""))</f>
        <v/>
      </c>
      <c r="Y854" s="14">
        <f>IF([Tipo]="div",1,0)</f>
        <v>0</v>
      </c>
      <c r="Z854" s="14">
        <f>IF([Tipo]="jcp",1,0)</f>
        <v>1</v>
      </c>
    </row>
    <row r="855" spans="1:26" hidden="1">
      <c r="A855" s="4" t="s">
        <v>12</v>
      </c>
      <c r="B855" s="3" t="s">
        <v>99</v>
      </c>
      <c r="C855" s="15">
        <v>4</v>
      </c>
      <c r="D855" s="14">
        <v>2012</v>
      </c>
      <c r="E855" s="4" t="s">
        <v>1475</v>
      </c>
      <c r="G855" s="145">
        <v>40407</v>
      </c>
      <c r="H855" s="46">
        <v>40441</v>
      </c>
      <c r="I855" s="133">
        <v>0.32638</v>
      </c>
      <c r="J855" s="134">
        <f>IF(Tabela8[[#This Row],[Tipo]]="jcp",Tabela8[[#This Row],[Provento p/Ação]]*85%,Tabela8[[#This Row],[Provento p/Ação]])</f>
        <v>0.27742299999999998</v>
      </c>
      <c r="K855" s="133" t="str">
        <f>IF([Lucro p/Ação]&lt;&gt;0,SUMPRODUCT(N([Papel]=Tabela8[[#This Row],[Papel]]),N([Exercício]=Tabela8[[#This Row],[Exercício]]),[Líquido p/Ação]),"")</f>
        <v/>
      </c>
      <c r="L855" s="42" t="str">
        <f>IF(Tabela8[[#This Row],[Lucro p/Ação]]="","",IF(Tabela8[[#This Row],[Lucro p/Ação]]&gt;0,Tabela8[[#This Row],[Total Exercício]]/Tabela8[[#This Row],[Lucro p/Ação]],0))</f>
        <v/>
      </c>
      <c r="M85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5" s="19" t="str">
        <f>IF(Tabela8[[#This Row],[Média Lucro p/Ação]]&lt;&gt;"",Tabela8[[#This Row],[Média Pago]]/Tabela8[[#This Row],[Média Lucro p/Ação]],"")</f>
        <v/>
      </c>
      <c r="P8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5" s="134">
        <f>SUMPRODUCT(N(Tabela1[Código]=Tabela8[[#This Row],[Papel]]),Tabela1[Fechamento])</f>
        <v>30</v>
      </c>
      <c r="R855" s="7">
        <f>SUMPRODUCT(N(Tabela17[Código]=Tabela8[[#This Row],[Papel]]),Tabela17[Fechamento])</f>
        <v>0</v>
      </c>
      <c r="S855" s="7">
        <f>SUMPRODUCT(N(Tabela176[Código]=Tabela8[[#This Row],[Papel]]),Tabela176[Fechamento])</f>
        <v>0</v>
      </c>
      <c r="T855" s="7">
        <f>SUMPRODUCT(N(Tabela1768[Código]=Tabela8[[#This Row],[Papel]]),Tabela1768[Fechamento])</f>
        <v>0</v>
      </c>
      <c r="U855" s="7">
        <f>SUMPRODUCT(N(Tabela17683[Código]=Tabela8[[#This Row],[Papel]]),Tabela17683[Fechamento])</f>
        <v>0</v>
      </c>
      <c r="V855" s="7">
        <f>IF(MAX(Tabela8[[#This Row],[Cotação 1]]:Tabela8[[#This Row],[Cotação 5]])=0,"",MAX(Tabela8[[#This Row],[Cotação 1]]:Tabela8[[#This Row],[Cotação 5]]))</f>
        <v>30</v>
      </c>
      <c r="W8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5" s="19" t="str">
        <f>IF(AND([Ref]=5,[Cotação]&gt;0,[Cotação]&lt;&gt;""),[Total Exercício]/[Cotação],IF([Ref]&lt;4,0,""))</f>
        <v/>
      </c>
      <c r="Y855" s="14">
        <f>IF([Tipo]="div",1,0)</f>
        <v>0</v>
      </c>
      <c r="Z855" s="14">
        <f>IF([Tipo]="jcp",1,0)</f>
        <v>1</v>
      </c>
    </row>
    <row r="856" spans="1:26" hidden="1">
      <c r="A856" s="4" t="s">
        <v>12</v>
      </c>
      <c r="B856" s="3" t="s">
        <v>100</v>
      </c>
      <c r="C856" s="15">
        <v>4</v>
      </c>
      <c r="D856" s="14">
        <v>2012</v>
      </c>
      <c r="E856" s="4" t="s">
        <v>1475</v>
      </c>
      <c r="G856" s="145">
        <v>40407</v>
      </c>
      <c r="H856" s="46">
        <v>40441</v>
      </c>
      <c r="I856" s="133">
        <v>0.23638000000000001</v>
      </c>
      <c r="J856" s="134">
        <f>IF(Tabela8[[#This Row],[Tipo]]="jcp",Tabela8[[#This Row],[Provento p/Ação]]*85%,Tabela8[[#This Row],[Provento p/Ação]])</f>
        <v>0.20092299999999999</v>
      </c>
      <c r="K856" s="133" t="str">
        <f>IF([Lucro p/Ação]&lt;&gt;0,SUMPRODUCT(N([Papel]=Tabela8[[#This Row],[Papel]]),N([Exercício]=Tabela8[[#This Row],[Exercício]]),[Líquido p/Ação]),"")</f>
        <v/>
      </c>
      <c r="L856" s="42" t="str">
        <f>IF(Tabela8[[#This Row],[Lucro p/Ação]]="","",IF(Tabela8[[#This Row],[Lucro p/Ação]]&gt;0,Tabela8[[#This Row],[Total Exercício]]/Tabela8[[#This Row],[Lucro p/Ação]],0))</f>
        <v/>
      </c>
      <c r="M85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6" s="19" t="str">
        <f>IF(Tabela8[[#This Row],[Média Lucro p/Ação]]&lt;&gt;"",Tabela8[[#This Row],[Média Pago]]/Tabela8[[#This Row],[Média Lucro p/Ação]],"")</f>
        <v/>
      </c>
      <c r="P8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6" s="134">
        <f>SUMPRODUCT(N(Tabela1[Código]=Tabela8[[#This Row],[Papel]]),Tabela1[Fechamento])</f>
        <v>26.32</v>
      </c>
      <c r="R856" s="7">
        <f>SUMPRODUCT(N(Tabela17[Código]=Tabela8[[#This Row],[Papel]]),Tabela17[Fechamento])</f>
        <v>0</v>
      </c>
      <c r="S856" s="7">
        <f>SUMPRODUCT(N(Tabela176[Código]=Tabela8[[#This Row],[Papel]]),Tabela176[Fechamento])</f>
        <v>0</v>
      </c>
      <c r="T856" s="7">
        <f>SUMPRODUCT(N(Tabela1768[Código]=Tabela8[[#This Row],[Papel]]),Tabela1768[Fechamento])</f>
        <v>0</v>
      </c>
      <c r="U856" s="7">
        <f>SUMPRODUCT(N(Tabela17683[Código]=Tabela8[[#This Row],[Papel]]),Tabela17683[Fechamento])</f>
        <v>0</v>
      </c>
      <c r="V856" s="7">
        <f>IF(MAX(Tabela8[[#This Row],[Cotação 1]]:Tabela8[[#This Row],[Cotação 5]])=0,"",MAX(Tabela8[[#This Row],[Cotação 1]]:Tabela8[[#This Row],[Cotação 5]]))</f>
        <v>26.32</v>
      </c>
      <c r="W8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6" s="19" t="str">
        <f>IF(AND([Ref]=5,[Cotação]&gt;0,[Cotação]&lt;&gt;""),[Total Exercício]/[Cotação],IF([Ref]&lt;4,0,""))</f>
        <v/>
      </c>
      <c r="Y856" s="14">
        <f>IF([Tipo]="div",1,0)</f>
        <v>0</v>
      </c>
      <c r="Z856" s="14">
        <f>IF([Tipo]="jcp",1,0)</f>
        <v>1</v>
      </c>
    </row>
    <row r="857" spans="1:26" hidden="1">
      <c r="A857" s="24" t="s">
        <v>12</v>
      </c>
      <c r="B857" s="3" t="s">
        <v>34</v>
      </c>
      <c r="C857" s="15">
        <v>4</v>
      </c>
      <c r="D857" s="14">
        <v>2012</v>
      </c>
      <c r="E857" s="14" t="s">
        <v>1468</v>
      </c>
      <c r="G857" s="145">
        <v>40296</v>
      </c>
      <c r="H857" s="46">
        <v>40321</v>
      </c>
      <c r="I857" s="133">
        <v>0.28327999999999998</v>
      </c>
      <c r="J857" s="134">
        <f>IF(Tabela8[[#This Row],[Tipo]]="jcp",Tabela8[[#This Row],[Provento p/Ação]]*85%,Tabela8[[#This Row],[Provento p/Ação]])</f>
        <v>0.28327999999999998</v>
      </c>
      <c r="K857" s="133" t="str">
        <f>IF([Lucro p/Ação]&lt;&gt;0,SUMPRODUCT(N([Papel]=Tabela8[[#This Row],[Papel]]),N([Exercício]=Tabela8[[#This Row],[Exercício]]),[Líquido p/Ação]),"")</f>
        <v/>
      </c>
      <c r="L857" s="42" t="str">
        <f>IF(Tabela8[[#This Row],[Lucro p/Ação]]="","",IF(Tabela8[[#This Row],[Lucro p/Ação]]&gt;0,Tabela8[[#This Row],[Total Exercício]]/Tabela8[[#This Row],[Lucro p/Ação]],0))</f>
        <v/>
      </c>
      <c r="M85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7" s="19" t="str">
        <f>IF(Tabela8[[#This Row],[Média Lucro p/Ação]]&lt;&gt;"",Tabela8[[#This Row],[Média Pago]]/Tabela8[[#This Row],[Média Lucro p/Ação]],"")</f>
        <v/>
      </c>
      <c r="P8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7" s="134">
        <f>SUMPRODUCT(N(Tabela1[Código]=Tabela8[[#This Row],[Papel]]),Tabela1[Fechamento])</f>
        <v>19.05</v>
      </c>
      <c r="R857" s="7">
        <f>SUMPRODUCT(N(Tabela17[Código]=Tabela8[[#This Row],[Papel]]),Tabela17[Fechamento])</f>
        <v>0</v>
      </c>
      <c r="S857" s="7">
        <f>SUMPRODUCT(N(Tabela176[Código]=Tabela8[[#This Row],[Papel]]),Tabela176[Fechamento])</f>
        <v>0</v>
      </c>
      <c r="T857" s="7">
        <f>SUMPRODUCT(N(Tabela1768[Código]=Tabela8[[#This Row],[Papel]]),Tabela1768[Fechamento])</f>
        <v>0</v>
      </c>
      <c r="U857" s="7">
        <f>SUMPRODUCT(N(Tabela17683[Código]=Tabela8[[#This Row],[Papel]]),Tabela17683[Fechamento])</f>
        <v>0</v>
      </c>
      <c r="V857" s="7">
        <f>IF(MAX(Tabela8[[#This Row],[Cotação 1]]:Tabela8[[#This Row],[Cotação 5]])=0,"",MAX(Tabela8[[#This Row],[Cotação 1]]:Tabela8[[#This Row],[Cotação 5]]))</f>
        <v>19.05</v>
      </c>
      <c r="W8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7" s="19" t="str">
        <f>IF(AND([Ref]=5,[Cotação]&gt;0,[Cotação]&lt;&gt;""),[Total Exercício]/[Cotação],IF([Ref]&lt;4,0,""))</f>
        <v/>
      </c>
      <c r="Y857" s="14">
        <f>IF([Tipo]="div",1,0)</f>
        <v>1</v>
      </c>
      <c r="Z857" s="14">
        <f>IF([Tipo]="jcp",1,0)</f>
        <v>0</v>
      </c>
    </row>
    <row r="858" spans="1:26" hidden="1">
      <c r="A858" s="4" t="s">
        <v>12</v>
      </c>
      <c r="B858" s="3" t="s">
        <v>99</v>
      </c>
      <c r="C858" s="15">
        <v>4</v>
      </c>
      <c r="D858" s="14">
        <v>2012</v>
      </c>
      <c r="E858" s="14" t="s">
        <v>1468</v>
      </c>
      <c r="G858" s="145">
        <v>40296</v>
      </c>
      <c r="H858" s="46">
        <v>40321</v>
      </c>
      <c r="I858" s="133">
        <v>1.04782</v>
      </c>
      <c r="J858" s="134">
        <f>IF(Tabela8[[#This Row],[Tipo]]="jcp",Tabela8[[#This Row],[Provento p/Ação]]*85%,Tabela8[[#This Row],[Provento p/Ação]])</f>
        <v>1.04782</v>
      </c>
      <c r="K858" s="133" t="str">
        <f>IF([Lucro p/Ação]&lt;&gt;0,SUMPRODUCT(N([Papel]=Tabela8[[#This Row],[Papel]]),N([Exercício]=Tabela8[[#This Row],[Exercício]]),[Líquido p/Ação]),"")</f>
        <v/>
      </c>
      <c r="L858" s="42" t="str">
        <f>IF(Tabela8[[#This Row],[Lucro p/Ação]]="","",IF(Tabela8[[#This Row],[Lucro p/Ação]]&gt;0,Tabela8[[#This Row],[Total Exercício]]/Tabela8[[#This Row],[Lucro p/Ação]],0))</f>
        <v/>
      </c>
      <c r="M85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8" s="19" t="str">
        <f>IF(Tabela8[[#This Row],[Média Lucro p/Ação]]&lt;&gt;"",Tabela8[[#This Row],[Média Pago]]/Tabela8[[#This Row],[Média Lucro p/Ação]],"")</f>
        <v/>
      </c>
      <c r="P8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8" s="134">
        <f>SUMPRODUCT(N(Tabela1[Código]=Tabela8[[#This Row],[Papel]]),Tabela1[Fechamento])</f>
        <v>30</v>
      </c>
      <c r="R858" s="7">
        <f>SUMPRODUCT(N(Tabela17[Código]=Tabela8[[#This Row],[Papel]]),Tabela17[Fechamento])</f>
        <v>0</v>
      </c>
      <c r="S858" s="7">
        <f>SUMPRODUCT(N(Tabela176[Código]=Tabela8[[#This Row],[Papel]]),Tabela176[Fechamento])</f>
        <v>0</v>
      </c>
      <c r="T858" s="7">
        <f>SUMPRODUCT(N(Tabela1768[Código]=Tabela8[[#This Row],[Papel]]),Tabela1768[Fechamento])</f>
        <v>0</v>
      </c>
      <c r="U858" s="7">
        <f>SUMPRODUCT(N(Tabela17683[Código]=Tabela8[[#This Row],[Papel]]),Tabela17683[Fechamento])</f>
        <v>0</v>
      </c>
      <c r="V858" s="7">
        <f>IF(MAX(Tabela8[[#This Row],[Cotação 1]]:Tabela8[[#This Row],[Cotação 5]])=0,"",MAX(Tabela8[[#This Row],[Cotação 1]]:Tabela8[[#This Row],[Cotação 5]]))</f>
        <v>30</v>
      </c>
      <c r="W8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8" s="19" t="str">
        <f>IF(AND([Ref]=5,[Cotação]&gt;0,[Cotação]&lt;&gt;""),[Total Exercício]/[Cotação],IF([Ref]&lt;4,0,""))</f>
        <v/>
      </c>
      <c r="Y858" s="14">
        <f>IF([Tipo]="div",1,0)</f>
        <v>1</v>
      </c>
      <c r="Z858" s="14">
        <f>IF([Tipo]="jcp",1,0)</f>
        <v>0</v>
      </c>
    </row>
    <row r="859" spans="1:26" hidden="1">
      <c r="A859" s="4" t="s">
        <v>12</v>
      </c>
      <c r="B859" s="3" t="s">
        <v>100</v>
      </c>
      <c r="C859" s="15">
        <v>4</v>
      </c>
      <c r="D859" s="14">
        <v>2012</v>
      </c>
      <c r="E859" s="14" t="s">
        <v>1468</v>
      </c>
      <c r="G859" s="145">
        <v>40296</v>
      </c>
      <c r="H859" s="46">
        <v>40321</v>
      </c>
      <c r="I859" s="133">
        <v>0.31167</v>
      </c>
      <c r="J859" s="134">
        <f>IF(Tabela8[[#This Row],[Tipo]]="jcp",Tabela8[[#This Row],[Provento p/Ação]]*85%,Tabela8[[#This Row],[Provento p/Ação]])</f>
        <v>0.31167</v>
      </c>
      <c r="K859" s="133" t="str">
        <f>IF([Lucro p/Ação]&lt;&gt;0,SUMPRODUCT(N([Papel]=Tabela8[[#This Row],[Papel]]),N([Exercício]=Tabela8[[#This Row],[Exercício]]),[Líquido p/Ação]),"")</f>
        <v/>
      </c>
      <c r="L859" s="42" t="str">
        <f>IF(Tabela8[[#This Row],[Lucro p/Ação]]="","",IF(Tabela8[[#This Row],[Lucro p/Ação]]&gt;0,Tabela8[[#This Row],[Total Exercício]]/Tabela8[[#This Row],[Lucro p/Ação]],0))</f>
        <v/>
      </c>
      <c r="M8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5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59" s="19" t="str">
        <f>IF(Tabela8[[#This Row],[Média Lucro p/Ação]]&lt;&gt;"",Tabela8[[#This Row],[Média Pago]]/Tabela8[[#This Row],[Média Lucro p/Ação]],"")</f>
        <v/>
      </c>
      <c r="P8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59" s="134">
        <f>SUMPRODUCT(N(Tabela1[Código]=Tabela8[[#This Row],[Papel]]),Tabela1[Fechamento])</f>
        <v>26.32</v>
      </c>
      <c r="R859" s="7">
        <f>SUMPRODUCT(N(Tabela17[Código]=Tabela8[[#This Row],[Papel]]),Tabela17[Fechamento])</f>
        <v>0</v>
      </c>
      <c r="S859" s="7">
        <f>SUMPRODUCT(N(Tabela176[Código]=Tabela8[[#This Row],[Papel]]),Tabela176[Fechamento])</f>
        <v>0</v>
      </c>
      <c r="T859" s="7">
        <f>SUMPRODUCT(N(Tabela1768[Código]=Tabela8[[#This Row],[Papel]]),Tabela1768[Fechamento])</f>
        <v>0</v>
      </c>
      <c r="U859" s="7">
        <f>SUMPRODUCT(N(Tabela17683[Código]=Tabela8[[#This Row],[Papel]]),Tabela17683[Fechamento])</f>
        <v>0</v>
      </c>
      <c r="V859" s="7">
        <f>IF(MAX(Tabela8[[#This Row],[Cotação 1]]:Tabela8[[#This Row],[Cotação 5]])=0,"",MAX(Tabela8[[#This Row],[Cotação 1]]:Tabela8[[#This Row],[Cotação 5]]))</f>
        <v>26.32</v>
      </c>
      <c r="W8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59" s="19" t="str">
        <f>IF(AND([Ref]=5,[Cotação]&gt;0,[Cotação]&lt;&gt;""),[Total Exercício]/[Cotação],IF([Ref]&lt;4,0,""))</f>
        <v/>
      </c>
      <c r="Y859" s="14">
        <f>IF([Tipo]="div",1,0)</f>
        <v>1</v>
      </c>
      <c r="Z859" s="14">
        <f>IF([Tipo]="jcp",1,0)</f>
        <v>0</v>
      </c>
    </row>
    <row r="860" spans="1:26" hidden="1">
      <c r="A860" s="24" t="s">
        <v>12</v>
      </c>
      <c r="B860" s="3" t="s">
        <v>34</v>
      </c>
      <c r="C860" s="15">
        <v>4</v>
      </c>
      <c r="D860" s="14">
        <v>2012</v>
      </c>
      <c r="E860" s="14" t="s">
        <v>1475</v>
      </c>
      <c r="G860" s="145">
        <v>40296</v>
      </c>
      <c r="H860" s="46">
        <v>40321</v>
      </c>
      <c r="I860" s="133">
        <v>0.40037</v>
      </c>
      <c r="J860" s="134">
        <f>IF(Tabela8[[#This Row],[Tipo]]="jcp",Tabela8[[#This Row],[Provento p/Ação]]*85%,Tabela8[[#This Row],[Provento p/Ação]])</f>
        <v>0.34031450000000002</v>
      </c>
      <c r="K860" s="133" t="str">
        <f>IF([Lucro p/Ação]&lt;&gt;0,SUMPRODUCT(N([Papel]=Tabela8[[#This Row],[Papel]]),N([Exercício]=Tabela8[[#This Row],[Exercício]]),[Líquido p/Ação]),"")</f>
        <v/>
      </c>
      <c r="L860" s="42" t="str">
        <f>IF(Tabela8[[#This Row],[Lucro p/Ação]]="","",IF(Tabela8[[#This Row],[Lucro p/Ação]]&gt;0,Tabela8[[#This Row],[Total Exercício]]/Tabela8[[#This Row],[Lucro p/Ação]],0))</f>
        <v/>
      </c>
      <c r="M8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0" s="19" t="str">
        <f>IF(Tabela8[[#This Row],[Média Lucro p/Ação]]&lt;&gt;"",Tabela8[[#This Row],[Média Pago]]/Tabela8[[#This Row],[Média Lucro p/Ação]],"")</f>
        <v/>
      </c>
      <c r="P8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0" s="134">
        <f>SUMPRODUCT(N(Tabela1[Código]=Tabela8[[#This Row],[Papel]]),Tabela1[Fechamento])</f>
        <v>19.05</v>
      </c>
      <c r="R860" s="7">
        <f>SUMPRODUCT(N(Tabela17[Código]=Tabela8[[#This Row],[Papel]]),Tabela17[Fechamento])</f>
        <v>0</v>
      </c>
      <c r="S860" s="7">
        <f>SUMPRODUCT(N(Tabela176[Código]=Tabela8[[#This Row],[Papel]]),Tabela176[Fechamento])</f>
        <v>0</v>
      </c>
      <c r="T860" s="7">
        <f>SUMPRODUCT(N(Tabela1768[Código]=Tabela8[[#This Row],[Papel]]),Tabela1768[Fechamento])</f>
        <v>0</v>
      </c>
      <c r="U860" s="7">
        <f>SUMPRODUCT(N(Tabela17683[Código]=Tabela8[[#This Row],[Papel]]),Tabela17683[Fechamento])</f>
        <v>0</v>
      </c>
      <c r="V860" s="7">
        <f>IF(MAX(Tabela8[[#This Row],[Cotação 1]]:Tabela8[[#This Row],[Cotação 5]])=0,"",MAX(Tabela8[[#This Row],[Cotação 1]]:Tabela8[[#This Row],[Cotação 5]]))</f>
        <v>19.05</v>
      </c>
      <c r="W8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0" s="19" t="str">
        <f>IF(AND([Ref]=5,[Cotação]&gt;0,[Cotação]&lt;&gt;""),[Total Exercício]/[Cotação],IF([Ref]&lt;4,0,""))</f>
        <v/>
      </c>
      <c r="Y860" s="14">
        <f>IF([Tipo]="div",1,0)</f>
        <v>0</v>
      </c>
      <c r="Z860" s="14">
        <f>IF([Tipo]="jcp",1,0)</f>
        <v>1</v>
      </c>
    </row>
    <row r="861" spans="1:26" hidden="1">
      <c r="A861" s="4" t="s">
        <v>12</v>
      </c>
      <c r="B861" s="3" t="s">
        <v>99</v>
      </c>
      <c r="C861" s="15">
        <v>4</v>
      </c>
      <c r="D861" s="14">
        <v>2012</v>
      </c>
      <c r="E861" s="14" t="s">
        <v>1475</v>
      </c>
      <c r="G861" s="145">
        <v>40296</v>
      </c>
      <c r="H861" s="46">
        <v>40321</v>
      </c>
      <c r="I861" s="133">
        <v>1.1508700000000001</v>
      </c>
      <c r="J861" s="134">
        <f>IF(Tabela8[[#This Row],[Tipo]]="jcp",Tabela8[[#This Row],[Provento p/Ação]]*85%,Tabela8[[#This Row],[Provento p/Ação]])</f>
        <v>0.97823950000000004</v>
      </c>
      <c r="K861" s="133" t="str">
        <f>IF([Lucro p/Ação]&lt;&gt;0,SUMPRODUCT(N([Papel]=Tabela8[[#This Row],[Papel]]),N([Exercício]=Tabela8[[#This Row],[Exercício]]),[Líquido p/Ação]),"")</f>
        <v/>
      </c>
      <c r="L861" s="42" t="str">
        <f>IF(Tabela8[[#This Row],[Lucro p/Ação]]="","",IF(Tabela8[[#This Row],[Lucro p/Ação]]&gt;0,Tabela8[[#This Row],[Total Exercício]]/Tabela8[[#This Row],[Lucro p/Ação]],0))</f>
        <v/>
      </c>
      <c r="M8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1" s="19" t="str">
        <f>IF(Tabela8[[#This Row],[Média Lucro p/Ação]]&lt;&gt;"",Tabela8[[#This Row],[Média Pago]]/Tabela8[[#This Row],[Média Lucro p/Ação]],"")</f>
        <v/>
      </c>
      <c r="P8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1" s="134">
        <f>SUMPRODUCT(N(Tabela1[Código]=Tabela8[[#This Row],[Papel]]),Tabela1[Fechamento])</f>
        <v>30</v>
      </c>
      <c r="R861" s="7">
        <f>SUMPRODUCT(N(Tabela17[Código]=Tabela8[[#This Row],[Papel]]),Tabela17[Fechamento])</f>
        <v>0</v>
      </c>
      <c r="S861" s="7">
        <f>SUMPRODUCT(N(Tabela176[Código]=Tabela8[[#This Row],[Papel]]),Tabela176[Fechamento])</f>
        <v>0</v>
      </c>
      <c r="T861" s="7">
        <f>SUMPRODUCT(N(Tabela1768[Código]=Tabela8[[#This Row],[Papel]]),Tabela1768[Fechamento])</f>
        <v>0</v>
      </c>
      <c r="U861" s="7">
        <f>SUMPRODUCT(N(Tabela17683[Código]=Tabela8[[#This Row],[Papel]]),Tabela17683[Fechamento])</f>
        <v>0</v>
      </c>
      <c r="V861" s="7">
        <f>IF(MAX(Tabela8[[#This Row],[Cotação 1]]:Tabela8[[#This Row],[Cotação 5]])=0,"",MAX(Tabela8[[#This Row],[Cotação 1]]:Tabela8[[#This Row],[Cotação 5]]))</f>
        <v>30</v>
      </c>
      <c r="W8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1" s="19" t="str">
        <f>IF(AND([Ref]=5,[Cotação]&gt;0,[Cotação]&lt;&gt;""),[Total Exercício]/[Cotação],IF([Ref]&lt;4,0,""))</f>
        <v/>
      </c>
      <c r="Y861" s="14">
        <f>IF([Tipo]="div",1,0)</f>
        <v>0</v>
      </c>
      <c r="Z861" s="14">
        <f>IF([Tipo]="jcp",1,0)</f>
        <v>1</v>
      </c>
    </row>
    <row r="862" spans="1:26" hidden="1">
      <c r="A862" s="4" t="s">
        <v>12</v>
      </c>
      <c r="B862" s="3" t="s">
        <v>100</v>
      </c>
      <c r="C862" s="15">
        <v>4</v>
      </c>
      <c r="D862" s="14">
        <v>2012</v>
      </c>
      <c r="E862" s="14" t="s">
        <v>1475</v>
      </c>
      <c r="G862" s="145">
        <v>40296</v>
      </c>
      <c r="H862" s="46">
        <v>40321</v>
      </c>
      <c r="I862" s="133">
        <v>0.44048999999999999</v>
      </c>
      <c r="J862" s="134">
        <f>IF(Tabela8[[#This Row],[Tipo]]="jcp",Tabela8[[#This Row],[Provento p/Ação]]*85%,Tabela8[[#This Row],[Provento p/Ação]])</f>
        <v>0.37441649999999999</v>
      </c>
      <c r="K862" s="133" t="str">
        <f>IF([Lucro p/Ação]&lt;&gt;0,SUMPRODUCT(N([Papel]=Tabela8[[#This Row],[Papel]]),N([Exercício]=Tabela8[[#This Row],[Exercício]]),[Líquido p/Ação]),"")</f>
        <v/>
      </c>
      <c r="L862" s="42" t="str">
        <f>IF(Tabela8[[#This Row],[Lucro p/Ação]]="","",IF(Tabela8[[#This Row],[Lucro p/Ação]]&gt;0,Tabela8[[#This Row],[Total Exercício]]/Tabela8[[#This Row],[Lucro p/Ação]],0))</f>
        <v/>
      </c>
      <c r="M86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2" s="19" t="str">
        <f>IF(Tabela8[[#This Row],[Média Lucro p/Ação]]&lt;&gt;"",Tabela8[[#This Row],[Média Pago]]/Tabela8[[#This Row],[Média Lucro p/Ação]],"")</f>
        <v/>
      </c>
      <c r="P8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2" s="134">
        <f>SUMPRODUCT(N(Tabela1[Código]=Tabela8[[#This Row],[Papel]]),Tabela1[Fechamento])</f>
        <v>26.32</v>
      </c>
      <c r="R862" s="17">
        <f>SUMPRODUCT(N(Tabela17[Código]=Tabela8[[#This Row],[Papel]]),Tabela17[Fechamento])</f>
        <v>0</v>
      </c>
      <c r="S862" s="17">
        <f>SUMPRODUCT(N(Tabela176[Código]=Tabela8[[#This Row],[Papel]]),Tabela176[Fechamento])</f>
        <v>0</v>
      </c>
      <c r="T862" s="17">
        <f>SUMPRODUCT(N(Tabela1768[Código]=Tabela8[[#This Row],[Papel]]),Tabela1768[Fechamento])</f>
        <v>0</v>
      </c>
      <c r="U862" s="17">
        <f>SUMPRODUCT(N(Tabela17683[Código]=Tabela8[[#This Row],[Papel]]),Tabela17683[Fechamento])</f>
        <v>0</v>
      </c>
      <c r="V862" s="17">
        <f>IF(MAX(Tabela8[[#This Row],[Cotação 1]]:Tabela8[[#This Row],[Cotação 5]])=0,"",MAX(Tabela8[[#This Row],[Cotação 1]]:Tabela8[[#This Row],[Cotação 5]]))</f>
        <v>26.32</v>
      </c>
      <c r="W8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2" s="19" t="str">
        <f>IF(AND([Ref]=5,[Cotação]&gt;0,[Cotação]&lt;&gt;""),[Total Exercício]/[Cotação],IF([Ref]&lt;4,0,""))</f>
        <v/>
      </c>
      <c r="Y862" s="14">
        <f>IF([Tipo]="div",1,0)</f>
        <v>0</v>
      </c>
      <c r="Z862" s="14">
        <f>IF([Tipo]="jcp",1,0)</f>
        <v>1</v>
      </c>
    </row>
    <row r="863" spans="1:26" hidden="1">
      <c r="A863" s="24" t="s">
        <v>12</v>
      </c>
      <c r="B863" s="3" t="s">
        <v>34</v>
      </c>
      <c r="C863" s="15">
        <v>4</v>
      </c>
      <c r="D863" s="14">
        <v>2012</v>
      </c>
      <c r="E863" s="4" t="s">
        <v>1475</v>
      </c>
      <c r="G863" s="145">
        <v>40766</v>
      </c>
      <c r="H863" s="46">
        <v>40801</v>
      </c>
      <c r="I863" s="133">
        <v>0.78803000000000001</v>
      </c>
      <c r="J863" s="134">
        <f>IF(Tabela8[[#This Row],[Tipo]]="jcp",Tabela8[[#This Row],[Provento p/Ação]]*85%,Tabela8[[#This Row],[Provento p/Ação]])</f>
        <v>0.66982549999999996</v>
      </c>
      <c r="K863" s="133" t="str">
        <f>IF([Lucro p/Ação]&lt;&gt;0,SUMPRODUCT(N([Papel]=Tabela8[[#This Row],[Papel]]),N([Exercício]=Tabela8[[#This Row],[Exercício]]),[Líquido p/Ação]),"")</f>
        <v/>
      </c>
      <c r="L863" s="42" t="str">
        <f>IF(Tabela8[[#This Row],[Lucro p/Ação]]="","",IF(Tabela8[[#This Row],[Lucro p/Ação]]&gt;0,Tabela8[[#This Row],[Total Exercício]]/Tabela8[[#This Row],[Lucro p/Ação]],0))</f>
        <v/>
      </c>
      <c r="M8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3" s="19" t="str">
        <f>IF(Tabela8[[#This Row],[Média Lucro p/Ação]]&lt;&gt;"",Tabela8[[#This Row],[Média Pago]]/Tabela8[[#This Row],[Média Lucro p/Ação]],"")</f>
        <v/>
      </c>
      <c r="P8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3" s="134">
        <f>SUMPRODUCT(N(Tabela1[Código]=Tabela8[[#This Row],[Papel]]),Tabela1[Fechamento])</f>
        <v>19.05</v>
      </c>
      <c r="R863" s="7">
        <f>SUMPRODUCT(N(Tabela17[Código]=Tabela8[[#This Row],[Papel]]),Tabela17[Fechamento])</f>
        <v>0</v>
      </c>
      <c r="S863" s="7">
        <f>SUMPRODUCT(N(Tabela176[Código]=Tabela8[[#This Row],[Papel]]),Tabela176[Fechamento])</f>
        <v>0</v>
      </c>
      <c r="T863" s="7">
        <f>SUMPRODUCT(N(Tabela1768[Código]=Tabela8[[#This Row],[Papel]]),Tabela1768[Fechamento])</f>
        <v>0</v>
      </c>
      <c r="U863" s="7">
        <f>SUMPRODUCT(N(Tabela17683[Código]=Tabela8[[#This Row],[Papel]]),Tabela17683[Fechamento])</f>
        <v>0</v>
      </c>
      <c r="V863" s="7">
        <f>IF(MAX(Tabela8[[#This Row],[Cotação 1]]:Tabela8[[#This Row],[Cotação 5]])=0,"",MAX(Tabela8[[#This Row],[Cotação 1]]:Tabela8[[#This Row],[Cotação 5]]))</f>
        <v>19.05</v>
      </c>
      <c r="W8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3" s="19" t="str">
        <f>IF(AND([Ref]=5,[Cotação]&gt;0,[Cotação]&lt;&gt;""),[Total Exercício]/[Cotação],IF([Ref]&lt;4,0,""))</f>
        <v/>
      </c>
      <c r="Y863" s="14">
        <f>IF([Tipo]="div",1,0)</f>
        <v>0</v>
      </c>
      <c r="Z863" s="14">
        <f>IF([Tipo]="jcp",1,0)</f>
        <v>1</v>
      </c>
    </row>
    <row r="864" spans="1:26" hidden="1">
      <c r="A864" s="4" t="s">
        <v>12</v>
      </c>
      <c r="B864" s="3" t="s">
        <v>99</v>
      </c>
      <c r="C864" s="15">
        <v>4</v>
      </c>
      <c r="D864" s="14">
        <v>2012</v>
      </c>
      <c r="E864" s="4" t="s">
        <v>1475</v>
      </c>
      <c r="G864" s="145">
        <v>40766</v>
      </c>
      <c r="H864" s="46">
        <v>40801</v>
      </c>
      <c r="I864" s="133">
        <v>0.86706000000000005</v>
      </c>
      <c r="J864" s="134">
        <f>IF(Tabela8[[#This Row],[Tipo]]="jcp",Tabela8[[#This Row],[Provento p/Ação]]*85%,Tabela8[[#This Row],[Provento p/Ação]])</f>
        <v>0.73700100000000002</v>
      </c>
      <c r="K864" s="133" t="str">
        <f>IF([Lucro p/Ação]&lt;&gt;0,SUMPRODUCT(N([Papel]=Tabela8[[#This Row],[Papel]]),N([Exercício]=Tabela8[[#This Row],[Exercício]]),[Líquido p/Ação]),"")</f>
        <v/>
      </c>
      <c r="L864" s="42" t="str">
        <f>IF(Tabela8[[#This Row],[Lucro p/Ação]]="","",IF(Tabela8[[#This Row],[Lucro p/Ação]]&gt;0,Tabela8[[#This Row],[Total Exercício]]/Tabela8[[#This Row],[Lucro p/Ação]],0))</f>
        <v/>
      </c>
      <c r="M8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4" s="19" t="str">
        <f>IF(Tabela8[[#This Row],[Média Lucro p/Ação]]&lt;&gt;"",Tabela8[[#This Row],[Média Pago]]/Tabela8[[#This Row],[Média Lucro p/Ação]],"")</f>
        <v/>
      </c>
      <c r="P8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4" s="134">
        <f>SUMPRODUCT(N(Tabela1[Código]=Tabela8[[#This Row],[Papel]]),Tabela1[Fechamento])</f>
        <v>30</v>
      </c>
      <c r="R864" s="7">
        <f>SUMPRODUCT(N(Tabela17[Código]=Tabela8[[#This Row],[Papel]]),Tabela17[Fechamento])</f>
        <v>0</v>
      </c>
      <c r="S864" s="7">
        <f>SUMPRODUCT(N(Tabela176[Código]=Tabela8[[#This Row],[Papel]]),Tabela176[Fechamento])</f>
        <v>0</v>
      </c>
      <c r="T864" s="7">
        <f>SUMPRODUCT(N(Tabela1768[Código]=Tabela8[[#This Row],[Papel]]),Tabela1768[Fechamento])</f>
        <v>0</v>
      </c>
      <c r="U864" s="7">
        <f>SUMPRODUCT(N(Tabela17683[Código]=Tabela8[[#This Row],[Papel]]),Tabela17683[Fechamento])</f>
        <v>0</v>
      </c>
      <c r="V864" s="7">
        <f>IF(MAX(Tabela8[[#This Row],[Cotação 1]]:Tabela8[[#This Row],[Cotação 5]])=0,"",MAX(Tabela8[[#This Row],[Cotação 1]]:Tabela8[[#This Row],[Cotação 5]]))</f>
        <v>30</v>
      </c>
      <c r="W8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4" s="19" t="str">
        <f>IF(AND([Ref]=5,[Cotação]&gt;0,[Cotação]&lt;&gt;""),[Total Exercício]/[Cotação],IF([Ref]&lt;4,0,""))</f>
        <v/>
      </c>
      <c r="Y864" s="14">
        <f>IF([Tipo]="div",1,0)</f>
        <v>0</v>
      </c>
      <c r="Z864" s="14">
        <f>IF([Tipo]="jcp",1,0)</f>
        <v>1</v>
      </c>
    </row>
    <row r="865" spans="1:26" hidden="1">
      <c r="A865" s="4" t="s">
        <v>12</v>
      </c>
      <c r="B865" s="3" t="s">
        <v>100</v>
      </c>
      <c r="C865" s="15">
        <v>4</v>
      </c>
      <c r="D865" s="14">
        <v>2012</v>
      </c>
      <c r="E865" s="4" t="s">
        <v>1475</v>
      </c>
      <c r="G865" s="145">
        <v>40766</v>
      </c>
      <c r="H865" s="46">
        <v>40801</v>
      </c>
      <c r="I865" s="133">
        <v>0.86706000000000005</v>
      </c>
      <c r="J865" s="134">
        <f>IF(Tabela8[[#This Row],[Tipo]]="jcp",Tabela8[[#This Row],[Provento p/Ação]]*85%,Tabela8[[#This Row],[Provento p/Ação]])</f>
        <v>0.73700100000000002</v>
      </c>
      <c r="K865" s="133" t="str">
        <f>IF([Lucro p/Ação]&lt;&gt;0,SUMPRODUCT(N([Papel]=Tabela8[[#This Row],[Papel]]),N([Exercício]=Tabela8[[#This Row],[Exercício]]),[Líquido p/Ação]),"")</f>
        <v/>
      </c>
      <c r="L865" s="42" t="str">
        <f>IF(Tabela8[[#This Row],[Lucro p/Ação]]="","",IF(Tabela8[[#This Row],[Lucro p/Ação]]&gt;0,Tabela8[[#This Row],[Total Exercício]]/Tabela8[[#This Row],[Lucro p/Ação]],0))</f>
        <v/>
      </c>
      <c r="M8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5" s="19" t="str">
        <f>IF(Tabela8[[#This Row],[Média Lucro p/Ação]]&lt;&gt;"",Tabela8[[#This Row],[Média Pago]]/Tabela8[[#This Row],[Média Lucro p/Ação]],"")</f>
        <v/>
      </c>
      <c r="P8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5" s="134">
        <f>SUMPRODUCT(N(Tabela1[Código]=Tabela8[[#This Row],[Papel]]),Tabela1[Fechamento])</f>
        <v>26.32</v>
      </c>
      <c r="R865" s="7">
        <f>SUMPRODUCT(N(Tabela17[Código]=Tabela8[[#This Row],[Papel]]),Tabela17[Fechamento])</f>
        <v>0</v>
      </c>
      <c r="S865" s="7">
        <f>SUMPRODUCT(N(Tabela176[Código]=Tabela8[[#This Row],[Papel]]),Tabela176[Fechamento])</f>
        <v>0</v>
      </c>
      <c r="T865" s="7">
        <f>SUMPRODUCT(N(Tabela1768[Código]=Tabela8[[#This Row],[Papel]]),Tabela1768[Fechamento])</f>
        <v>0</v>
      </c>
      <c r="U865" s="7">
        <f>SUMPRODUCT(N(Tabela17683[Código]=Tabela8[[#This Row],[Papel]]),Tabela17683[Fechamento])</f>
        <v>0</v>
      </c>
      <c r="V865" s="7">
        <f>IF(MAX(Tabela8[[#This Row],[Cotação 1]]:Tabela8[[#This Row],[Cotação 5]])=0,"",MAX(Tabela8[[#This Row],[Cotação 1]]:Tabela8[[#This Row],[Cotação 5]]))</f>
        <v>26.32</v>
      </c>
      <c r="W8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5" s="19" t="str">
        <f>IF(AND([Ref]=5,[Cotação]&gt;0,[Cotação]&lt;&gt;""),[Total Exercício]/[Cotação],IF([Ref]&lt;4,0,""))</f>
        <v/>
      </c>
      <c r="Y865" s="14">
        <f>IF([Tipo]="div",1,0)</f>
        <v>0</v>
      </c>
      <c r="Z865" s="14">
        <f>IF([Tipo]="jcp",1,0)</f>
        <v>1</v>
      </c>
    </row>
    <row r="866" spans="1:26" hidden="1">
      <c r="A866" s="24" t="s">
        <v>12</v>
      </c>
      <c r="B866" s="3" t="s">
        <v>34</v>
      </c>
      <c r="C866" s="15">
        <v>4</v>
      </c>
      <c r="D866" s="14">
        <v>2012</v>
      </c>
      <c r="E866" s="14" t="s">
        <v>1475</v>
      </c>
      <c r="G866" s="145">
        <v>41025</v>
      </c>
      <c r="H866" s="46">
        <v>41058</v>
      </c>
      <c r="I866" s="133">
        <v>0.68030000000000002</v>
      </c>
      <c r="J866" s="134">
        <f>IF(Tabela8[[#This Row],[Tipo]]="jcp",Tabela8[[#This Row],[Provento p/Ação]]*85%,Tabela8[[#This Row],[Provento p/Ação]])</f>
        <v>0.57825499999999996</v>
      </c>
      <c r="K866" s="133" t="str">
        <f>IF([Lucro p/Ação]&lt;&gt;0,SUMPRODUCT(N([Papel]=Tabela8[[#This Row],[Papel]]),N([Exercício]=Tabela8[[#This Row],[Exercício]]),[Líquido p/Ação]),"")</f>
        <v/>
      </c>
      <c r="L866" s="42" t="str">
        <f>IF(Tabela8[[#This Row],[Lucro p/Ação]]="","",IF(Tabela8[[#This Row],[Lucro p/Ação]]&gt;0,Tabela8[[#This Row],[Total Exercício]]/Tabela8[[#This Row],[Lucro p/Ação]],0))</f>
        <v/>
      </c>
      <c r="M86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6" s="19" t="str">
        <f>IF(Tabela8[[#This Row],[Média Lucro p/Ação]]&lt;&gt;"",Tabela8[[#This Row],[Média Pago]]/Tabela8[[#This Row],[Média Lucro p/Ação]],"")</f>
        <v/>
      </c>
      <c r="P8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6" s="134">
        <f>SUMPRODUCT(N(Tabela1[Código]=Tabela8[[#This Row],[Papel]]),Tabela1[Fechamento])</f>
        <v>19.05</v>
      </c>
      <c r="R866" s="7">
        <f>SUMPRODUCT(N(Tabela17[Código]=Tabela8[[#This Row],[Papel]]),Tabela17[Fechamento])</f>
        <v>0</v>
      </c>
      <c r="S866" s="7">
        <f>SUMPRODUCT(N(Tabela176[Código]=Tabela8[[#This Row],[Papel]]),Tabela176[Fechamento])</f>
        <v>0</v>
      </c>
      <c r="T866" s="7">
        <f>SUMPRODUCT(N(Tabela1768[Código]=Tabela8[[#This Row],[Papel]]),Tabela1768[Fechamento])</f>
        <v>0</v>
      </c>
      <c r="U866" s="7">
        <f>SUMPRODUCT(N(Tabela17683[Código]=Tabela8[[#This Row],[Papel]]),Tabela17683[Fechamento])</f>
        <v>0</v>
      </c>
      <c r="V866" s="7">
        <f>IF(MAX(Tabela8[[#This Row],[Cotação 1]]:Tabela8[[#This Row],[Cotação 5]])=0,"",MAX(Tabela8[[#This Row],[Cotação 1]]:Tabela8[[#This Row],[Cotação 5]]))</f>
        <v>19.05</v>
      </c>
      <c r="W8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6" s="19" t="str">
        <f>IF(AND([Ref]=5,[Cotação]&gt;0,[Cotação]&lt;&gt;""),[Total Exercício]/[Cotação],IF([Ref]&lt;4,0,""))</f>
        <v/>
      </c>
      <c r="Y866" s="14">
        <f>IF([Tipo]="div",1,0)</f>
        <v>0</v>
      </c>
      <c r="Z866" s="14">
        <f>IF([Tipo]="jcp",1,0)</f>
        <v>1</v>
      </c>
    </row>
    <row r="867" spans="1:26" hidden="1">
      <c r="A867" s="4" t="s">
        <v>12</v>
      </c>
      <c r="B867" s="3" t="s">
        <v>99</v>
      </c>
      <c r="C867" s="15">
        <v>4</v>
      </c>
      <c r="D867" s="14">
        <v>2012</v>
      </c>
      <c r="E867" s="14" t="s">
        <v>1475</v>
      </c>
      <c r="G867" s="145">
        <v>41025</v>
      </c>
      <c r="H867" s="46">
        <v>41058</v>
      </c>
      <c r="I867" s="133">
        <v>1.65801</v>
      </c>
      <c r="J867" s="134">
        <f>IF(Tabela8[[#This Row],[Tipo]]="jcp",Tabela8[[#This Row],[Provento p/Ação]]*85%,Tabela8[[#This Row],[Provento p/Ação]])</f>
        <v>1.4093084999999999</v>
      </c>
      <c r="K867" s="133" t="str">
        <f>IF([Lucro p/Ação]&lt;&gt;0,SUMPRODUCT(N([Papel]=Tabela8[[#This Row],[Papel]]),N([Exercício]=Tabela8[[#This Row],[Exercício]]),[Líquido p/Ação]),"")</f>
        <v/>
      </c>
      <c r="L867" s="42" t="str">
        <f>IF(Tabela8[[#This Row],[Lucro p/Ação]]="","",IF(Tabela8[[#This Row],[Lucro p/Ação]]&gt;0,Tabela8[[#This Row],[Total Exercício]]/Tabela8[[#This Row],[Lucro p/Ação]],0))</f>
        <v/>
      </c>
      <c r="M86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7" s="19" t="str">
        <f>IF(Tabela8[[#This Row],[Média Lucro p/Ação]]&lt;&gt;"",Tabela8[[#This Row],[Média Pago]]/Tabela8[[#This Row],[Média Lucro p/Ação]],"")</f>
        <v/>
      </c>
      <c r="P8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7" s="134">
        <f>SUMPRODUCT(N(Tabela1[Código]=Tabela8[[#This Row],[Papel]]),Tabela1[Fechamento])</f>
        <v>30</v>
      </c>
      <c r="R867" s="7">
        <f>SUMPRODUCT(N(Tabela17[Código]=Tabela8[[#This Row],[Papel]]),Tabela17[Fechamento])</f>
        <v>0</v>
      </c>
      <c r="S867" s="7">
        <f>SUMPRODUCT(N(Tabela176[Código]=Tabela8[[#This Row],[Papel]]),Tabela176[Fechamento])</f>
        <v>0</v>
      </c>
      <c r="T867" s="7">
        <f>SUMPRODUCT(N(Tabela1768[Código]=Tabela8[[#This Row],[Papel]]),Tabela1768[Fechamento])</f>
        <v>0</v>
      </c>
      <c r="U867" s="7">
        <f>SUMPRODUCT(N(Tabela17683[Código]=Tabela8[[#This Row],[Papel]]),Tabela17683[Fechamento])</f>
        <v>0</v>
      </c>
      <c r="V867" s="7">
        <f>IF(MAX(Tabela8[[#This Row],[Cotação 1]]:Tabela8[[#This Row],[Cotação 5]])=0,"",MAX(Tabela8[[#This Row],[Cotação 1]]:Tabela8[[#This Row],[Cotação 5]]))</f>
        <v>30</v>
      </c>
      <c r="W8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7" s="19" t="str">
        <f>IF(AND([Ref]=5,[Cotação]&gt;0,[Cotação]&lt;&gt;""),[Total Exercício]/[Cotação],IF([Ref]&lt;4,0,""))</f>
        <v/>
      </c>
      <c r="Y867" s="14">
        <f>IF([Tipo]="div",1,0)</f>
        <v>0</v>
      </c>
      <c r="Z867" s="14">
        <f>IF([Tipo]="jcp",1,0)</f>
        <v>1</v>
      </c>
    </row>
    <row r="868" spans="1:26" hidden="1">
      <c r="A868" s="4" t="s">
        <v>12</v>
      </c>
      <c r="B868" s="3" t="s">
        <v>100</v>
      </c>
      <c r="C868" s="15">
        <v>4</v>
      </c>
      <c r="D868" s="14">
        <v>2012</v>
      </c>
      <c r="E868" s="14" t="s">
        <v>1475</v>
      </c>
      <c r="G868" s="145">
        <v>41025</v>
      </c>
      <c r="H868" s="46">
        <v>41058</v>
      </c>
      <c r="I868" s="133">
        <v>0.74839999999999995</v>
      </c>
      <c r="J868" s="134">
        <f>IF(Tabela8[[#This Row],[Tipo]]="jcp",Tabela8[[#This Row],[Provento p/Ação]]*85%,Tabela8[[#This Row],[Provento p/Ação]])</f>
        <v>0.63613999999999993</v>
      </c>
      <c r="K868" s="133" t="str">
        <f>IF([Lucro p/Ação]&lt;&gt;0,SUMPRODUCT(N([Papel]=Tabela8[[#This Row],[Papel]]),N([Exercício]=Tabela8[[#This Row],[Exercício]]),[Líquido p/Ação]),"")</f>
        <v/>
      </c>
      <c r="L868" s="42" t="str">
        <f>IF(Tabela8[[#This Row],[Lucro p/Ação]]="","",IF(Tabela8[[#This Row],[Lucro p/Ação]]&gt;0,Tabela8[[#This Row],[Total Exercício]]/Tabela8[[#This Row],[Lucro p/Ação]],0))</f>
        <v/>
      </c>
      <c r="M86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8" s="19" t="str">
        <f>IF(Tabela8[[#This Row],[Média Lucro p/Ação]]&lt;&gt;"",Tabela8[[#This Row],[Média Pago]]/Tabela8[[#This Row],[Média Lucro p/Ação]],"")</f>
        <v/>
      </c>
      <c r="P8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8" s="134">
        <f>SUMPRODUCT(N(Tabela1[Código]=Tabela8[[#This Row],[Papel]]),Tabela1[Fechamento])</f>
        <v>26.32</v>
      </c>
      <c r="R868" s="7">
        <f>SUMPRODUCT(N(Tabela17[Código]=Tabela8[[#This Row],[Papel]]),Tabela17[Fechamento])</f>
        <v>0</v>
      </c>
      <c r="S868" s="7">
        <f>SUMPRODUCT(N(Tabela176[Código]=Tabela8[[#This Row],[Papel]]),Tabela176[Fechamento])</f>
        <v>0</v>
      </c>
      <c r="T868" s="7">
        <f>SUMPRODUCT(N(Tabela1768[Código]=Tabela8[[#This Row],[Papel]]),Tabela1768[Fechamento])</f>
        <v>0</v>
      </c>
      <c r="U868" s="7">
        <f>SUMPRODUCT(N(Tabela17683[Código]=Tabela8[[#This Row],[Papel]]),Tabela17683[Fechamento])</f>
        <v>0</v>
      </c>
      <c r="V868" s="7">
        <f>IF(MAX(Tabela8[[#This Row],[Cotação 1]]:Tabela8[[#This Row],[Cotação 5]])=0,"",MAX(Tabela8[[#This Row],[Cotação 1]]:Tabela8[[#This Row],[Cotação 5]]))</f>
        <v>26.32</v>
      </c>
      <c r="W8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8" s="19" t="str">
        <f>IF(AND([Ref]=5,[Cotação]&gt;0,[Cotação]&lt;&gt;""),[Total Exercício]/[Cotação],IF([Ref]&lt;4,0,""))</f>
        <v/>
      </c>
      <c r="Y868" s="14">
        <f>IF([Tipo]="div",1,0)</f>
        <v>0</v>
      </c>
      <c r="Z868" s="14">
        <f>IF([Tipo]="jcp",1,0)</f>
        <v>1</v>
      </c>
    </row>
    <row r="869" spans="1:26" hidden="1">
      <c r="A869" s="24" t="s">
        <v>12</v>
      </c>
      <c r="B869" s="3" t="s">
        <v>34</v>
      </c>
      <c r="C869" s="15">
        <v>4</v>
      </c>
      <c r="D869" s="14">
        <v>2012</v>
      </c>
      <c r="E869" s="14" t="s">
        <v>1475</v>
      </c>
      <c r="G869" s="145">
        <v>41262</v>
      </c>
      <c r="H869" s="46">
        <v>41289</v>
      </c>
      <c r="I869" s="133">
        <v>0.47920000000000001</v>
      </c>
      <c r="J869" s="134">
        <f>IF(Tabela8[[#This Row],[Tipo]]="jcp",Tabela8[[#This Row],[Provento p/Ação]]*85%,Tabela8[[#This Row],[Provento p/Ação]])</f>
        <v>0.40732000000000002</v>
      </c>
      <c r="K869" s="133" t="str">
        <f>IF([Lucro p/Ação]&lt;&gt;0,SUMPRODUCT(N([Papel]=Tabela8[[#This Row],[Papel]]),N([Exercício]=Tabela8[[#This Row],[Exercício]]),[Líquido p/Ação]),"")</f>
        <v/>
      </c>
      <c r="L869" s="42" t="str">
        <f>IF(Tabela8[[#This Row],[Lucro p/Ação]]="","",IF(Tabela8[[#This Row],[Lucro p/Ação]]&gt;0,Tabela8[[#This Row],[Total Exercício]]/Tabela8[[#This Row],[Lucro p/Ação]],0))</f>
        <v/>
      </c>
      <c r="M86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6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69" s="19" t="str">
        <f>IF(Tabela8[[#This Row],[Média Lucro p/Ação]]&lt;&gt;"",Tabela8[[#This Row],[Média Pago]]/Tabela8[[#This Row],[Média Lucro p/Ação]],"")</f>
        <v/>
      </c>
      <c r="P8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69" s="134">
        <f>SUMPRODUCT(N(Tabela1[Código]=Tabela8[[#This Row],[Papel]]),Tabela1[Fechamento])</f>
        <v>19.05</v>
      </c>
      <c r="R869" s="7">
        <f>SUMPRODUCT(N(Tabela17[Código]=Tabela8[[#This Row],[Papel]]),Tabela17[Fechamento])</f>
        <v>0</v>
      </c>
      <c r="S869" s="7">
        <f>SUMPRODUCT(N(Tabela176[Código]=Tabela8[[#This Row],[Papel]]),Tabela176[Fechamento])</f>
        <v>0</v>
      </c>
      <c r="T869" s="7">
        <f>SUMPRODUCT(N(Tabela1768[Código]=Tabela8[[#This Row],[Papel]]),Tabela1768[Fechamento])</f>
        <v>0</v>
      </c>
      <c r="U869" s="7">
        <f>SUMPRODUCT(N(Tabela17683[Código]=Tabela8[[#This Row],[Papel]]),Tabela17683[Fechamento])</f>
        <v>0</v>
      </c>
      <c r="V869" s="7">
        <f>IF(MAX(Tabela8[[#This Row],[Cotação 1]]:Tabela8[[#This Row],[Cotação 5]])=0,"",MAX(Tabela8[[#This Row],[Cotação 1]]:Tabela8[[#This Row],[Cotação 5]]))</f>
        <v>19.05</v>
      </c>
      <c r="W8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69" s="19" t="str">
        <f>IF(AND([Ref]=5,[Cotação]&gt;0,[Cotação]&lt;&gt;""),[Total Exercício]/[Cotação],IF([Ref]&lt;4,0,""))</f>
        <v/>
      </c>
      <c r="Y869" s="14">
        <f>IF([Tipo]="div",1,0)</f>
        <v>0</v>
      </c>
      <c r="Z869" s="14">
        <f>IF([Tipo]="jcp",1,0)</f>
        <v>1</v>
      </c>
    </row>
    <row r="870" spans="1:26" hidden="1">
      <c r="A870" s="4" t="s">
        <v>12</v>
      </c>
      <c r="B870" s="3" t="s">
        <v>99</v>
      </c>
      <c r="C870" s="15">
        <v>5</v>
      </c>
      <c r="D870" s="14">
        <v>2012</v>
      </c>
      <c r="E870" s="14" t="s">
        <v>1475</v>
      </c>
      <c r="F870" s="133">
        <v>2.4434999999999998</v>
      </c>
      <c r="G870" s="145">
        <v>41262</v>
      </c>
      <c r="H870" s="46">
        <v>41289</v>
      </c>
      <c r="I870" s="133">
        <v>2.5250699999999999</v>
      </c>
      <c r="J870" s="134">
        <f>IF(Tabela8[[#This Row],[Tipo]]="jcp",Tabela8[[#This Row],[Provento p/Ação]]*85%,Tabela8[[#This Row],[Provento p/Ação]])</f>
        <v>2.1463095000000001</v>
      </c>
      <c r="K870" s="133">
        <f>IF([Lucro p/Ação]&lt;&gt;0,SUMPRODUCT(N([Papel]=Tabela8[[#This Row],[Papel]]),N([Exercício]=Tabela8[[#This Row],[Exercício]]),[Líquido p/Ação]),"")</f>
        <v>6.5961014999999996</v>
      </c>
      <c r="L870" s="42">
        <f>IF(Tabela8[[#This Row],[Lucro p/Ação]]="","",IF(Tabela8[[#This Row],[Lucro p/Ação]]&gt;0,Tabela8[[#This Row],[Total Exercício]]/Tabela8[[#This Row],[Lucro p/Ação]],0))</f>
        <v>2.699448127685697</v>
      </c>
      <c r="M87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4.3278333333333334</v>
      </c>
      <c r="N87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3.8875481666666665</v>
      </c>
      <c r="O870" s="19">
        <f>IF(Tabela8[[#This Row],[Média Lucro p/Ação]]&lt;&gt;"",Tabela8[[#This Row],[Média Pago]]/Tabela8[[#This Row],[Média Lucro p/Ação]],"")</f>
        <v>0.89826660761736044</v>
      </c>
      <c r="P8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0" s="134">
        <f>SUMPRODUCT(N(Tabela1[Código]=Tabela8[[#This Row],[Papel]]),Tabela1[Fechamento])</f>
        <v>30</v>
      </c>
      <c r="R870" s="7">
        <f>SUMPRODUCT(N(Tabela17[Código]=Tabela8[[#This Row],[Papel]]),Tabela17[Fechamento])</f>
        <v>0</v>
      </c>
      <c r="S870" s="7">
        <f>SUMPRODUCT(N(Tabela176[Código]=Tabela8[[#This Row],[Papel]]),Tabela176[Fechamento])</f>
        <v>0</v>
      </c>
      <c r="T870" s="7">
        <f>SUMPRODUCT(N(Tabela1768[Código]=Tabela8[[#This Row],[Papel]]),Tabela1768[Fechamento])</f>
        <v>0</v>
      </c>
      <c r="U870" s="7">
        <f>SUMPRODUCT(N(Tabela17683[Código]=Tabela8[[#This Row],[Papel]]),Tabela17683[Fechamento])</f>
        <v>0</v>
      </c>
      <c r="V870" s="7">
        <f>IF(MAX(Tabela8[[#This Row],[Cotação 1]]:Tabela8[[#This Row],[Cotação 5]])=0,"",MAX(Tabela8[[#This Row],[Cotação 1]]:Tabela8[[#This Row],[Cotação 5]]))</f>
        <v>30</v>
      </c>
      <c r="W8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0" s="19">
        <f>IF(AND([Ref]=5,[Cotação]&gt;0,[Cotação]&lt;&gt;""),[Total Exercício]/[Cotação],IF([Ref]&lt;4,0,""))</f>
        <v>0.21987004999999998</v>
      </c>
      <c r="Y870" s="14">
        <f>IF([Tipo]="div",1,0)</f>
        <v>0</v>
      </c>
      <c r="Z870" s="14">
        <f>IF([Tipo]="jcp",1,0)</f>
        <v>1</v>
      </c>
    </row>
    <row r="871" spans="1:26" hidden="1">
      <c r="A871" s="4" t="s">
        <v>12</v>
      </c>
      <c r="B871" s="3" t="s">
        <v>100</v>
      </c>
      <c r="C871" s="15">
        <v>4</v>
      </c>
      <c r="D871" s="14">
        <v>2012</v>
      </c>
      <c r="E871" s="14" t="s">
        <v>1475</v>
      </c>
      <c r="G871" s="145">
        <v>41262</v>
      </c>
      <c r="H871" s="46">
        <v>41289</v>
      </c>
      <c r="I871" s="133">
        <v>0.5272</v>
      </c>
      <c r="J871" s="134">
        <f>IF(Tabela8[[#This Row],[Tipo]]="jcp",Tabela8[[#This Row],[Provento p/Ação]]*85%,Tabela8[[#This Row],[Provento p/Ação]])</f>
        <v>0.44811999999999996</v>
      </c>
      <c r="K871" s="133" t="str">
        <f>IF([Lucro p/Ação]&lt;&gt;0,SUMPRODUCT(N([Papel]=Tabela8[[#This Row],[Papel]]),N([Exercício]=Tabela8[[#This Row],[Exercício]]),[Líquido p/Ação]),"")</f>
        <v/>
      </c>
      <c r="L871" s="42" t="str">
        <f>IF(Tabela8[[#This Row],[Lucro p/Ação]]="","",IF(Tabela8[[#This Row],[Lucro p/Ação]]&gt;0,Tabela8[[#This Row],[Total Exercício]]/Tabela8[[#This Row],[Lucro p/Ação]],0))</f>
        <v/>
      </c>
      <c r="M87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1" s="19" t="str">
        <f>IF(Tabela8[[#This Row],[Média Lucro p/Ação]]&lt;&gt;"",Tabela8[[#This Row],[Média Pago]]/Tabela8[[#This Row],[Média Lucro p/Ação]],"")</f>
        <v/>
      </c>
      <c r="P8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1" s="134">
        <f>SUMPRODUCT(N(Tabela1[Código]=Tabela8[[#This Row],[Papel]]),Tabela1[Fechamento])</f>
        <v>26.32</v>
      </c>
      <c r="R871" s="17">
        <f>SUMPRODUCT(N(Tabela17[Código]=Tabela8[[#This Row],[Papel]]),Tabela17[Fechamento])</f>
        <v>0</v>
      </c>
      <c r="S871" s="17">
        <f>SUMPRODUCT(N(Tabela176[Código]=Tabela8[[#This Row],[Papel]]),Tabela176[Fechamento])</f>
        <v>0</v>
      </c>
      <c r="T871" s="17">
        <f>SUMPRODUCT(N(Tabela1768[Código]=Tabela8[[#This Row],[Papel]]),Tabela1768[Fechamento])</f>
        <v>0</v>
      </c>
      <c r="U871" s="17">
        <f>SUMPRODUCT(N(Tabela17683[Código]=Tabela8[[#This Row],[Papel]]),Tabela17683[Fechamento])</f>
        <v>0</v>
      </c>
      <c r="V871" s="17">
        <f>IF(MAX(Tabela8[[#This Row],[Cotação 1]]:Tabela8[[#This Row],[Cotação 5]])=0,"",MAX(Tabela8[[#This Row],[Cotação 1]]:Tabela8[[#This Row],[Cotação 5]]))</f>
        <v>26.32</v>
      </c>
      <c r="W8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1" s="19" t="str">
        <f>IF(AND([Ref]=5,[Cotação]&gt;0,[Cotação]&lt;&gt;""),[Total Exercício]/[Cotação],IF([Ref]&lt;4,0,""))</f>
        <v/>
      </c>
      <c r="Y871" s="14">
        <f>IF([Tipo]="div",1,0)</f>
        <v>0</v>
      </c>
      <c r="Z871" s="14">
        <f>IF([Tipo]="jcp",1,0)</f>
        <v>1</v>
      </c>
    </row>
    <row r="872" spans="1:26" hidden="1">
      <c r="A872" s="24" t="s">
        <v>12</v>
      </c>
      <c r="B872" s="3" t="s">
        <v>34</v>
      </c>
      <c r="C872" s="15">
        <v>5</v>
      </c>
      <c r="D872" s="14">
        <v>2012</v>
      </c>
      <c r="E872" s="14" t="s">
        <v>1468</v>
      </c>
      <c r="F872" s="133">
        <v>2.6879</v>
      </c>
      <c r="G872" s="145">
        <v>41389</v>
      </c>
      <c r="I872" s="133">
        <v>0.45606999999999998</v>
      </c>
      <c r="J872" s="134">
        <f>IF(Tabela8[[#This Row],[Tipo]]="jcp",Tabela8[[#This Row],[Provento p/Ação]]*85%,Tabela8[[#This Row],[Provento p/Ação]])</f>
        <v>0.45606999999999998</v>
      </c>
      <c r="K872" s="133">
        <f>IF([Lucro p/Ação]&lt;&gt;0,SUMPRODUCT(N([Papel]=Tabela8[[#This Row],[Papel]]),N([Exercício]=Tabela8[[#This Row],[Exercício]]),[Líquido p/Ação]),"")</f>
        <v>2.9871919999999998</v>
      </c>
      <c r="L872" s="42">
        <f>IF(Tabela8[[#This Row],[Lucro p/Ação]]="","",IF(Tabela8[[#This Row],[Lucro p/Ação]]&gt;0,Tabela8[[#This Row],[Total Exercício]]/Tabela8[[#This Row],[Lucro p/Ação]],0))</f>
        <v>1.1113478924067115</v>
      </c>
      <c r="M87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3.3926333333333338</v>
      </c>
      <c r="N87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1.7187778333333334</v>
      </c>
      <c r="O872" s="19">
        <f>IF(Tabela8[[#This Row],[Média Lucro p/Ação]]&lt;&gt;"",Tabela8[[#This Row],[Média Pago]]/Tabela8[[#This Row],[Média Lucro p/Ação]],"")</f>
        <v>0.50662057005865646</v>
      </c>
      <c r="P8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2" s="134">
        <f>SUMPRODUCT(N(Tabela1[Código]=Tabela8[[#This Row],[Papel]]),Tabela1[Fechamento])</f>
        <v>19.05</v>
      </c>
      <c r="R872" s="7">
        <f>SUMPRODUCT(N(Tabela17[Código]=Tabela8[[#This Row],[Papel]]),Tabela17[Fechamento])</f>
        <v>0</v>
      </c>
      <c r="S872" s="7">
        <f>SUMPRODUCT(N(Tabela176[Código]=Tabela8[[#This Row],[Papel]]),Tabela176[Fechamento])</f>
        <v>0</v>
      </c>
      <c r="T872" s="7">
        <f>SUMPRODUCT(N(Tabela1768[Código]=Tabela8[[#This Row],[Papel]]),Tabela1768[Fechamento])</f>
        <v>0</v>
      </c>
      <c r="U872" s="7">
        <f>SUMPRODUCT(N(Tabela17683[Código]=Tabela8[[#This Row],[Papel]]),Tabela17683[Fechamento])</f>
        <v>0</v>
      </c>
      <c r="V872" s="7">
        <f>IF(MAX(Tabela8[[#This Row],[Cotação 1]]:Tabela8[[#This Row],[Cotação 5]])=0,"",MAX(Tabela8[[#This Row],[Cotação 1]]:Tabela8[[#This Row],[Cotação 5]]))</f>
        <v>19.05</v>
      </c>
      <c r="W8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2" s="19">
        <f>IF(AND([Ref]=5,[Cotação]&gt;0,[Cotação]&lt;&gt;""),[Total Exercício]/[Cotação],IF([Ref]&lt;4,0,""))</f>
        <v>0.15680797900262466</v>
      </c>
      <c r="Y872" s="14">
        <f>IF([Tipo]="div",1,0)</f>
        <v>1</v>
      </c>
      <c r="Z872" s="14">
        <f>IF([Tipo]="jcp",1,0)</f>
        <v>0</v>
      </c>
    </row>
    <row r="873" spans="1:26" hidden="1">
      <c r="A873" s="4" t="s">
        <v>12</v>
      </c>
      <c r="B873" s="3" t="s">
        <v>100</v>
      </c>
      <c r="C873" s="15">
        <v>5</v>
      </c>
      <c r="D873" s="14">
        <v>2012</v>
      </c>
      <c r="E873" s="14" t="s">
        <v>1468</v>
      </c>
      <c r="F873" s="133">
        <v>4.1741999999999999</v>
      </c>
      <c r="G873" s="145">
        <v>41389</v>
      </c>
      <c r="I873" s="133">
        <v>0.50168999999999997</v>
      </c>
      <c r="J873" s="134">
        <f>IF(Tabela8[[#This Row],[Tipo]]="jcp",Tabela8[[#This Row],[Provento p/Ação]]*85%,Tabela8[[#This Row],[Provento p/Ação]])</f>
        <v>0.50168999999999997</v>
      </c>
      <c r="K873" s="133">
        <f>IF([Lucro p/Ação]&lt;&gt;0,SUMPRODUCT(N([Papel]=Tabela8[[#This Row],[Papel]]),N([Exercício]=Tabela8[[#This Row],[Exercício]]),[Líquido p/Ação]),"")</f>
        <v>3.2099604999999998</v>
      </c>
      <c r="L873" s="42">
        <f>IF(Tabela8[[#This Row],[Lucro p/Ação]]="","",IF(Tabela8[[#This Row],[Lucro p/Ação]]&gt;0,Tabela8[[#This Row],[Total Exercício]]/Tabela8[[#This Row],[Lucro p/Ação]],0))</f>
        <v>0.76900016769680413</v>
      </c>
      <c r="M87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4.1347333333333331</v>
      </c>
      <c r="N87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1.8655191666666664</v>
      </c>
      <c r="O873" s="19">
        <f>IF(Tabela8[[#This Row],[Média Lucro p/Ação]]&lt;&gt;"",Tabela8[[#This Row],[Média Pago]]/Tabela8[[#This Row],[Média Lucro p/Ação]],"")</f>
        <v>0.45118246239177051</v>
      </c>
      <c r="P8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3" s="134">
        <f>SUMPRODUCT(N(Tabela1[Código]=Tabela8[[#This Row],[Papel]]),Tabela1[Fechamento])</f>
        <v>26.32</v>
      </c>
      <c r="R873" s="17">
        <f>SUMPRODUCT(N(Tabela17[Código]=Tabela8[[#This Row],[Papel]]),Tabela17[Fechamento])</f>
        <v>0</v>
      </c>
      <c r="S873" s="17">
        <f>SUMPRODUCT(N(Tabela176[Código]=Tabela8[[#This Row],[Papel]]),Tabela176[Fechamento])</f>
        <v>0</v>
      </c>
      <c r="T873" s="17">
        <f>SUMPRODUCT(N(Tabela1768[Código]=Tabela8[[#This Row],[Papel]]),Tabela1768[Fechamento])</f>
        <v>0</v>
      </c>
      <c r="U873" s="17">
        <f>SUMPRODUCT(N(Tabela17683[Código]=Tabela8[[#This Row],[Papel]]),Tabela17683[Fechamento])</f>
        <v>0</v>
      </c>
      <c r="V873" s="17">
        <f>IF(MAX(Tabela8[[#This Row],[Cotação 1]]:Tabela8[[#This Row],[Cotação 5]])=0,"",MAX(Tabela8[[#This Row],[Cotação 1]]:Tabela8[[#This Row],[Cotação 5]]))</f>
        <v>26.32</v>
      </c>
      <c r="W8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3" s="19">
        <f>IF(AND([Ref]=5,[Cotação]&gt;0,[Cotação]&lt;&gt;""),[Total Exercício]/[Cotação],IF([Ref]&lt;4,0,""))</f>
        <v>0.12195898556231002</v>
      </c>
      <c r="Y873" s="14">
        <f>IF([Tipo]="div",1,0)</f>
        <v>1</v>
      </c>
      <c r="Z873" s="14">
        <f>IF([Tipo]="jcp",1,0)</f>
        <v>0</v>
      </c>
    </row>
    <row r="874" spans="1:26" hidden="1">
      <c r="A874" s="24" t="s">
        <v>12</v>
      </c>
      <c r="B874" s="3" t="s">
        <v>34</v>
      </c>
      <c r="C874" s="15">
        <v>4</v>
      </c>
      <c r="D874" s="14">
        <v>2013</v>
      </c>
      <c r="E874" s="14" t="s">
        <v>1468</v>
      </c>
      <c r="G874" s="145">
        <v>40661</v>
      </c>
      <c r="H874" s="46">
        <v>40686</v>
      </c>
      <c r="I874" s="133">
        <v>0.28327999999999998</v>
      </c>
      <c r="J874" s="134">
        <f>IF(Tabela8[[#This Row],[Tipo]]="jcp",Tabela8[[#This Row],[Provento p/Ação]]*85%,Tabela8[[#This Row],[Provento p/Ação]])</f>
        <v>0.28327999999999998</v>
      </c>
      <c r="K874" s="133" t="str">
        <f>IF([Lucro p/Ação]&lt;&gt;0,SUMPRODUCT(N([Papel]=Tabela8[[#This Row],[Papel]]),N([Exercício]=Tabela8[[#This Row],[Exercício]]),[Líquido p/Ação]),"")</f>
        <v/>
      </c>
      <c r="L874" s="42" t="str">
        <f>IF(Tabela8[[#This Row],[Lucro p/Ação]]="","",IF(Tabela8[[#This Row],[Lucro p/Ação]]&gt;0,Tabela8[[#This Row],[Total Exercício]]/Tabela8[[#This Row],[Lucro p/Ação]],0))</f>
        <v/>
      </c>
      <c r="M87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4" s="87" t="str">
        <f>IF(Tabela8[[#This Row],[Média Lucro p/Ação]]&lt;&gt;"",Tabela8[[#This Row],[Média Pago]]/Tabela8[[#This Row],[Média Lucro p/Ação]],"")</f>
        <v/>
      </c>
      <c r="P8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4" s="134">
        <f>SUMPRODUCT(N(Tabela1[Código]=Tabela8[[#This Row],[Papel]]),Tabela1[Fechamento])</f>
        <v>19.05</v>
      </c>
      <c r="R874" s="7">
        <f>SUMPRODUCT(N(Tabela17[Código]=Tabela8[[#This Row],[Papel]]),Tabela17[Fechamento])</f>
        <v>0</v>
      </c>
      <c r="S874" s="7">
        <f>SUMPRODUCT(N(Tabela176[Código]=Tabela8[[#This Row],[Papel]]),Tabela176[Fechamento])</f>
        <v>0</v>
      </c>
      <c r="T874" s="7">
        <f>SUMPRODUCT(N(Tabela1768[Código]=Tabela8[[#This Row],[Papel]]),Tabela1768[Fechamento])</f>
        <v>0</v>
      </c>
      <c r="U874" s="7">
        <f>SUMPRODUCT(N(Tabela17683[Código]=Tabela8[[#This Row],[Papel]]),Tabela17683[Fechamento])</f>
        <v>0</v>
      </c>
      <c r="V874" s="7">
        <f>IF(MAX(Tabela8[[#This Row],[Cotação 1]]:Tabela8[[#This Row],[Cotação 5]])=0,"",MAX(Tabela8[[#This Row],[Cotação 1]]:Tabela8[[#This Row],[Cotação 5]]))</f>
        <v>19.05</v>
      </c>
      <c r="W8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4" s="19" t="str">
        <f>IF(AND([Ref]=5,[Cotação]&gt;0,[Cotação]&lt;&gt;""),[Total Exercício]/[Cotação],IF([Ref]&lt;4,0,""))</f>
        <v/>
      </c>
      <c r="Y874" s="14">
        <f>IF([Tipo]="div",1,0)</f>
        <v>1</v>
      </c>
      <c r="Z874" s="14">
        <f>IF([Tipo]="jcp",1,0)</f>
        <v>0</v>
      </c>
    </row>
    <row r="875" spans="1:26" hidden="1">
      <c r="A875" s="4" t="s">
        <v>12</v>
      </c>
      <c r="B875" s="3" t="s">
        <v>99</v>
      </c>
      <c r="C875" s="15">
        <v>4</v>
      </c>
      <c r="D875" s="14">
        <v>2013</v>
      </c>
      <c r="E875" s="14" t="s">
        <v>1468</v>
      </c>
      <c r="G875" s="145">
        <v>40661</v>
      </c>
      <c r="H875" s="46">
        <v>40686</v>
      </c>
      <c r="I875" s="133">
        <v>1.04782</v>
      </c>
      <c r="J875" s="134">
        <f>IF(Tabela8[[#This Row],[Tipo]]="jcp",Tabela8[[#This Row],[Provento p/Ação]]*85%,Tabela8[[#This Row],[Provento p/Ação]])</f>
        <v>1.04782</v>
      </c>
      <c r="K875" s="133" t="str">
        <f>IF([Lucro p/Ação]&lt;&gt;0,SUMPRODUCT(N([Papel]=Tabela8[[#This Row],[Papel]]),N([Exercício]=Tabela8[[#This Row],[Exercício]]),[Líquido p/Ação]),"")</f>
        <v/>
      </c>
      <c r="L875" s="42" t="str">
        <f>IF(Tabela8[[#This Row],[Lucro p/Ação]]="","",IF(Tabela8[[#This Row],[Lucro p/Ação]]&gt;0,Tabela8[[#This Row],[Total Exercício]]/Tabela8[[#This Row],[Lucro p/Ação]],0))</f>
        <v/>
      </c>
      <c r="M87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5" s="87" t="str">
        <f>IF(Tabela8[[#This Row],[Média Lucro p/Ação]]&lt;&gt;"",Tabela8[[#This Row],[Média Pago]]/Tabela8[[#This Row],[Média Lucro p/Ação]],"")</f>
        <v/>
      </c>
      <c r="P8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5" s="134">
        <f>SUMPRODUCT(N(Tabela1[Código]=Tabela8[[#This Row],[Papel]]),Tabela1[Fechamento])</f>
        <v>30</v>
      </c>
      <c r="R875" s="7">
        <f>SUMPRODUCT(N(Tabela17[Código]=Tabela8[[#This Row],[Papel]]),Tabela17[Fechamento])</f>
        <v>0</v>
      </c>
      <c r="S875" s="7">
        <f>SUMPRODUCT(N(Tabela176[Código]=Tabela8[[#This Row],[Papel]]),Tabela176[Fechamento])</f>
        <v>0</v>
      </c>
      <c r="T875" s="7">
        <f>SUMPRODUCT(N(Tabela1768[Código]=Tabela8[[#This Row],[Papel]]),Tabela1768[Fechamento])</f>
        <v>0</v>
      </c>
      <c r="U875" s="7">
        <f>SUMPRODUCT(N(Tabela17683[Código]=Tabela8[[#This Row],[Papel]]),Tabela17683[Fechamento])</f>
        <v>0</v>
      </c>
      <c r="V875" s="7">
        <f>IF(MAX(Tabela8[[#This Row],[Cotação 1]]:Tabela8[[#This Row],[Cotação 5]])=0,"",MAX(Tabela8[[#This Row],[Cotação 1]]:Tabela8[[#This Row],[Cotação 5]]))</f>
        <v>30</v>
      </c>
      <c r="W8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5" s="19" t="str">
        <f>IF(AND([Ref]=5,[Cotação]&gt;0,[Cotação]&lt;&gt;""),[Total Exercício]/[Cotação],IF([Ref]&lt;4,0,""))</f>
        <v/>
      </c>
      <c r="Y875" s="14">
        <f>IF([Tipo]="div",1,0)</f>
        <v>1</v>
      </c>
      <c r="Z875" s="14">
        <f>IF([Tipo]="jcp",1,0)</f>
        <v>0</v>
      </c>
    </row>
    <row r="876" spans="1:26" hidden="1">
      <c r="A876" s="4" t="s">
        <v>12</v>
      </c>
      <c r="B876" s="3" t="s">
        <v>100</v>
      </c>
      <c r="C876" s="15">
        <v>4</v>
      </c>
      <c r="D876" s="14">
        <v>2013</v>
      </c>
      <c r="E876" s="14" t="s">
        <v>1468</v>
      </c>
      <c r="G876" s="145">
        <v>40661</v>
      </c>
      <c r="H876" s="46">
        <v>40686</v>
      </c>
      <c r="I876" s="4">
        <v>0.31167</v>
      </c>
      <c r="J876" s="17">
        <f>IF(Tabela8[[#This Row],[Tipo]]="jcp",Tabela8[[#This Row],[Provento p/Ação]]*85%,Tabela8[[#This Row],[Provento p/Ação]])</f>
        <v>0.31167</v>
      </c>
      <c r="K876" s="143" t="str">
        <f>IF([Lucro p/Ação]&lt;&gt;0,SUMPRODUCT(N([Papel]=Tabela8[[#This Row],[Papel]]),N([Exercício]=Tabela8[[#This Row],[Exercício]]),[Líquido p/Ação]),"")</f>
        <v/>
      </c>
      <c r="L876" s="42" t="str">
        <f>IF(Tabela8[[#This Row],[Lucro p/Ação]]="","",IF(Tabela8[[#This Row],[Lucro p/Ação]]&gt;0,Tabela8[[#This Row],[Total Exercício]]/Tabela8[[#This Row],[Lucro p/Ação]],0))</f>
        <v/>
      </c>
      <c r="M87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6" s="87" t="str">
        <f>IF(Tabela8[[#This Row],[Média Lucro p/Ação]]&lt;&gt;"",Tabela8[[#This Row],[Média Pago]]/Tabela8[[#This Row],[Média Lucro p/Ação]],"")</f>
        <v/>
      </c>
      <c r="P8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6" s="134">
        <f>SUMPRODUCT(N(Tabela1[Código]=Tabela8[[#This Row],[Papel]]),Tabela1[Fechamento])</f>
        <v>26.32</v>
      </c>
      <c r="R876" s="7">
        <f>SUMPRODUCT(N(Tabela17[Código]=Tabela8[[#This Row],[Papel]]),Tabela17[Fechamento])</f>
        <v>0</v>
      </c>
      <c r="S876" s="7">
        <f>SUMPRODUCT(N(Tabela176[Código]=Tabela8[[#This Row],[Papel]]),Tabela176[Fechamento])</f>
        <v>0</v>
      </c>
      <c r="T876" s="7">
        <f>SUMPRODUCT(N(Tabela1768[Código]=Tabela8[[#This Row],[Papel]]),Tabela1768[Fechamento])</f>
        <v>0</v>
      </c>
      <c r="U876" s="7">
        <f>SUMPRODUCT(N(Tabela17683[Código]=Tabela8[[#This Row],[Papel]]),Tabela17683[Fechamento])</f>
        <v>0</v>
      </c>
      <c r="V876" s="7">
        <f>IF(MAX(Tabela8[[#This Row],[Cotação 1]]:Tabela8[[#This Row],[Cotação 5]])=0,"",MAX(Tabela8[[#This Row],[Cotação 1]]:Tabela8[[#This Row],[Cotação 5]]))</f>
        <v>26.32</v>
      </c>
      <c r="W8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6" s="19" t="str">
        <f>IF(AND([Ref]=5,[Cotação]&gt;0,[Cotação]&lt;&gt;""),[Total Exercício]/[Cotação],IF([Ref]&lt;4,0,""))</f>
        <v/>
      </c>
      <c r="Y876" s="14">
        <f>IF([Tipo]="div",1,0)</f>
        <v>1</v>
      </c>
      <c r="Z876" s="14">
        <f>IF([Tipo]="jcp",1,0)</f>
        <v>0</v>
      </c>
    </row>
    <row r="877" spans="1:26" hidden="1">
      <c r="A877" s="24" t="s">
        <v>12</v>
      </c>
      <c r="B877" s="3" t="s">
        <v>34</v>
      </c>
      <c r="C877" s="15">
        <v>4</v>
      </c>
      <c r="D877" s="14">
        <v>2013</v>
      </c>
      <c r="E877" s="14" t="s">
        <v>1475</v>
      </c>
      <c r="G877" s="145">
        <v>40661</v>
      </c>
      <c r="H877" s="46">
        <v>40686</v>
      </c>
      <c r="I877" s="4">
        <v>0.40037</v>
      </c>
      <c r="J877" s="17">
        <f>IF(Tabela8[[#This Row],[Tipo]]="jcp",Tabela8[[#This Row],[Provento p/Ação]]*85%,Tabela8[[#This Row],[Provento p/Ação]])</f>
        <v>0.34031450000000002</v>
      </c>
      <c r="K877" s="143" t="str">
        <f>IF([Lucro p/Ação]&lt;&gt;0,SUMPRODUCT(N([Papel]=Tabela8[[#This Row],[Papel]]),N([Exercício]=Tabela8[[#This Row],[Exercício]]),[Líquido p/Ação]),"")</f>
        <v/>
      </c>
      <c r="L877" s="42" t="str">
        <f>IF(Tabela8[[#This Row],[Lucro p/Ação]]="","",IF(Tabela8[[#This Row],[Lucro p/Ação]]&gt;0,Tabela8[[#This Row],[Total Exercício]]/Tabela8[[#This Row],[Lucro p/Ação]],0))</f>
        <v/>
      </c>
      <c r="M87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7" s="87" t="str">
        <f>IF(Tabela8[[#This Row],[Média Lucro p/Ação]]&lt;&gt;"",Tabela8[[#This Row],[Média Pago]]/Tabela8[[#This Row],[Média Lucro p/Ação]],"")</f>
        <v/>
      </c>
      <c r="P8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7" s="134">
        <f>SUMPRODUCT(N(Tabela1[Código]=Tabela8[[#This Row],[Papel]]),Tabela1[Fechamento])</f>
        <v>19.05</v>
      </c>
      <c r="R877" s="7">
        <f>SUMPRODUCT(N(Tabela17[Código]=Tabela8[[#This Row],[Papel]]),Tabela17[Fechamento])</f>
        <v>0</v>
      </c>
      <c r="S877" s="7">
        <f>SUMPRODUCT(N(Tabela176[Código]=Tabela8[[#This Row],[Papel]]),Tabela176[Fechamento])</f>
        <v>0</v>
      </c>
      <c r="T877" s="7">
        <f>SUMPRODUCT(N(Tabela1768[Código]=Tabela8[[#This Row],[Papel]]),Tabela1768[Fechamento])</f>
        <v>0</v>
      </c>
      <c r="U877" s="7">
        <f>SUMPRODUCT(N(Tabela17683[Código]=Tabela8[[#This Row],[Papel]]),Tabela17683[Fechamento])</f>
        <v>0</v>
      </c>
      <c r="V877" s="7">
        <f>IF(MAX(Tabela8[[#This Row],[Cotação 1]]:Tabela8[[#This Row],[Cotação 5]])=0,"",MAX(Tabela8[[#This Row],[Cotação 1]]:Tabela8[[#This Row],[Cotação 5]]))</f>
        <v>19.05</v>
      </c>
      <c r="W8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7" s="19" t="str">
        <f>IF(AND([Ref]=5,[Cotação]&gt;0,[Cotação]&lt;&gt;""),[Total Exercício]/[Cotação],IF([Ref]&lt;4,0,""))</f>
        <v/>
      </c>
      <c r="Y877" s="14">
        <f>IF([Tipo]="div",1,0)</f>
        <v>0</v>
      </c>
      <c r="Z877" s="14">
        <f>IF([Tipo]="jcp",1,0)</f>
        <v>1</v>
      </c>
    </row>
    <row r="878" spans="1:26" hidden="1">
      <c r="A878" s="4" t="s">
        <v>12</v>
      </c>
      <c r="B878" s="3" t="s">
        <v>99</v>
      </c>
      <c r="C878" s="15">
        <v>4</v>
      </c>
      <c r="D878" s="14">
        <v>2013</v>
      </c>
      <c r="E878" s="14" t="s">
        <v>1475</v>
      </c>
      <c r="G878" s="145">
        <v>40661</v>
      </c>
      <c r="H878" s="46">
        <v>40686</v>
      </c>
      <c r="I878" s="4">
        <v>1.1508700000000001</v>
      </c>
      <c r="J878" s="17">
        <f>IF(Tabela8[[#This Row],[Tipo]]="jcp",Tabela8[[#This Row],[Provento p/Ação]]*85%,Tabela8[[#This Row],[Provento p/Ação]])</f>
        <v>0.97823950000000004</v>
      </c>
      <c r="K878" s="143" t="str">
        <f>IF([Lucro p/Ação]&lt;&gt;0,SUMPRODUCT(N([Papel]=Tabela8[[#This Row],[Papel]]),N([Exercício]=Tabela8[[#This Row],[Exercício]]),[Líquido p/Ação]),"")</f>
        <v/>
      </c>
      <c r="L878" s="42" t="str">
        <f>IF(Tabela8[[#This Row],[Lucro p/Ação]]="","",IF(Tabela8[[#This Row],[Lucro p/Ação]]&gt;0,Tabela8[[#This Row],[Total Exercício]]/Tabela8[[#This Row],[Lucro p/Ação]],0))</f>
        <v/>
      </c>
      <c r="M87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8" s="87" t="str">
        <f>IF(Tabela8[[#This Row],[Média Lucro p/Ação]]&lt;&gt;"",Tabela8[[#This Row],[Média Pago]]/Tabela8[[#This Row],[Média Lucro p/Ação]],"")</f>
        <v/>
      </c>
      <c r="P8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8" s="134">
        <f>SUMPRODUCT(N(Tabela1[Código]=Tabela8[[#This Row],[Papel]]),Tabela1[Fechamento])</f>
        <v>30</v>
      </c>
      <c r="R878" s="7">
        <f>SUMPRODUCT(N(Tabela17[Código]=Tabela8[[#This Row],[Papel]]),Tabela17[Fechamento])</f>
        <v>0</v>
      </c>
      <c r="S878" s="7">
        <f>SUMPRODUCT(N(Tabela176[Código]=Tabela8[[#This Row],[Papel]]),Tabela176[Fechamento])</f>
        <v>0</v>
      </c>
      <c r="T878" s="7">
        <f>SUMPRODUCT(N(Tabela1768[Código]=Tabela8[[#This Row],[Papel]]),Tabela1768[Fechamento])</f>
        <v>0</v>
      </c>
      <c r="U878" s="7">
        <f>SUMPRODUCT(N(Tabela17683[Código]=Tabela8[[#This Row],[Papel]]),Tabela17683[Fechamento])</f>
        <v>0</v>
      </c>
      <c r="V878" s="7">
        <f>IF(MAX(Tabela8[[#This Row],[Cotação 1]]:Tabela8[[#This Row],[Cotação 5]])=0,"",MAX(Tabela8[[#This Row],[Cotação 1]]:Tabela8[[#This Row],[Cotação 5]]))</f>
        <v>30</v>
      </c>
      <c r="W8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8" s="19" t="str">
        <f>IF(AND([Ref]=5,[Cotação]&gt;0,[Cotação]&lt;&gt;""),[Total Exercício]/[Cotação],IF([Ref]&lt;4,0,""))</f>
        <v/>
      </c>
      <c r="Y878" s="14">
        <f>IF([Tipo]="div",1,0)</f>
        <v>0</v>
      </c>
      <c r="Z878" s="14">
        <f>IF([Tipo]="jcp",1,0)</f>
        <v>1</v>
      </c>
    </row>
    <row r="879" spans="1:26" hidden="1">
      <c r="A879" s="4" t="s">
        <v>12</v>
      </c>
      <c r="B879" s="3" t="s">
        <v>100</v>
      </c>
      <c r="C879" s="15">
        <v>4</v>
      </c>
      <c r="D879" s="14">
        <v>2013</v>
      </c>
      <c r="E879" s="14" t="s">
        <v>1475</v>
      </c>
      <c r="G879" s="145">
        <v>40661</v>
      </c>
      <c r="H879" s="46">
        <v>40686</v>
      </c>
      <c r="I879" s="4">
        <v>0.44048999999999999</v>
      </c>
      <c r="J879" s="17">
        <f>IF(Tabela8[[#This Row],[Tipo]]="jcp",Tabela8[[#This Row],[Provento p/Ação]]*85%,Tabela8[[#This Row],[Provento p/Ação]])</f>
        <v>0.37441649999999999</v>
      </c>
      <c r="K879" s="143" t="str">
        <f>IF([Lucro p/Ação]&lt;&gt;0,SUMPRODUCT(N([Papel]=Tabela8[[#This Row],[Papel]]),N([Exercício]=Tabela8[[#This Row],[Exercício]]),[Líquido p/Ação]),"")</f>
        <v/>
      </c>
      <c r="L879" s="42" t="str">
        <f>IF(Tabela8[[#This Row],[Lucro p/Ação]]="","",IF(Tabela8[[#This Row],[Lucro p/Ação]]&gt;0,Tabela8[[#This Row],[Total Exercício]]/Tabela8[[#This Row],[Lucro p/Ação]],0))</f>
        <v/>
      </c>
      <c r="M87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7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79" s="87" t="str">
        <f>IF(Tabela8[[#This Row],[Média Lucro p/Ação]]&lt;&gt;"",Tabela8[[#This Row],[Média Pago]]/Tabela8[[#This Row],[Média Lucro p/Ação]],"")</f>
        <v/>
      </c>
      <c r="P8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79" s="134">
        <f>SUMPRODUCT(N(Tabela1[Código]=Tabela8[[#This Row],[Papel]]),Tabela1[Fechamento])</f>
        <v>26.32</v>
      </c>
      <c r="R879" s="7">
        <f>SUMPRODUCT(N(Tabela17[Código]=Tabela8[[#This Row],[Papel]]),Tabela17[Fechamento])</f>
        <v>0</v>
      </c>
      <c r="S879" s="7">
        <f>SUMPRODUCT(N(Tabela176[Código]=Tabela8[[#This Row],[Papel]]),Tabela176[Fechamento])</f>
        <v>0</v>
      </c>
      <c r="T879" s="7">
        <f>SUMPRODUCT(N(Tabela1768[Código]=Tabela8[[#This Row],[Papel]]),Tabela1768[Fechamento])</f>
        <v>0</v>
      </c>
      <c r="U879" s="7">
        <f>SUMPRODUCT(N(Tabela17683[Código]=Tabela8[[#This Row],[Papel]]),Tabela17683[Fechamento])</f>
        <v>0</v>
      </c>
      <c r="V879" s="7">
        <f>IF(MAX(Tabela8[[#This Row],[Cotação 1]]:Tabela8[[#This Row],[Cotação 5]])=0,"",MAX(Tabela8[[#This Row],[Cotação 1]]:Tabela8[[#This Row],[Cotação 5]]))</f>
        <v>26.32</v>
      </c>
      <c r="W8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79" s="19" t="str">
        <f>IF(AND([Ref]=5,[Cotação]&gt;0,[Cotação]&lt;&gt;""),[Total Exercício]/[Cotação],IF([Ref]&lt;4,0,""))</f>
        <v/>
      </c>
      <c r="Y879" s="14">
        <f>IF([Tipo]="div",1,0)</f>
        <v>0</v>
      </c>
      <c r="Z879" s="14">
        <f>IF([Tipo]="jcp",1,0)</f>
        <v>1</v>
      </c>
    </row>
    <row r="880" spans="1:26" hidden="1">
      <c r="A880" s="24" t="s">
        <v>12</v>
      </c>
      <c r="B880" s="3" t="s">
        <v>34</v>
      </c>
      <c r="C880" s="15">
        <v>4</v>
      </c>
      <c r="D880" s="14">
        <v>2013</v>
      </c>
      <c r="E880" s="14" t="s">
        <v>1475</v>
      </c>
      <c r="G880" s="145">
        <v>40766</v>
      </c>
      <c r="H880" s="46">
        <v>40801</v>
      </c>
      <c r="I880" s="133">
        <v>0.78803000000000001</v>
      </c>
      <c r="J880" s="134">
        <f>IF(Tabela8[[#This Row],[Tipo]]="jcp",Tabela8[[#This Row],[Provento p/Ação]]*85%,Tabela8[[#This Row],[Provento p/Ação]])</f>
        <v>0.66982549999999996</v>
      </c>
      <c r="K880" s="133" t="str">
        <f>IF([Lucro p/Ação]&lt;&gt;0,SUMPRODUCT(N([Papel]=Tabela8[[#This Row],[Papel]]),N([Exercício]=Tabela8[[#This Row],[Exercício]]),[Líquido p/Ação]),"")</f>
        <v/>
      </c>
      <c r="L880" s="42" t="str">
        <f>IF(Tabela8[[#This Row],[Lucro p/Ação]]="","",IF(Tabela8[[#This Row],[Lucro p/Ação]]&gt;0,Tabela8[[#This Row],[Total Exercício]]/Tabela8[[#This Row],[Lucro p/Ação]],0))</f>
        <v/>
      </c>
      <c r="M88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0" s="87" t="str">
        <f>IF(Tabela8[[#This Row],[Média Lucro p/Ação]]&lt;&gt;"",Tabela8[[#This Row],[Média Pago]]/Tabela8[[#This Row],[Média Lucro p/Ação]],"")</f>
        <v/>
      </c>
      <c r="P8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0" s="134">
        <f>SUMPRODUCT(N(Tabela1[Código]=Tabela8[[#This Row],[Papel]]),Tabela1[Fechamento])</f>
        <v>19.05</v>
      </c>
      <c r="R880" s="7">
        <f>SUMPRODUCT(N(Tabela17[Código]=Tabela8[[#This Row],[Papel]]),Tabela17[Fechamento])</f>
        <v>0</v>
      </c>
      <c r="S880" s="7">
        <f>SUMPRODUCT(N(Tabela176[Código]=Tabela8[[#This Row],[Papel]]),Tabela176[Fechamento])</f>
        <v>0</v>
      </c>
      <c r="T880" s="7">
        <f>SUMPRODUCT(N(Tabela1768[Código]=Tabela8[[#This Row],[Papel]]),Tabela1768[Fechamento])</f>
        <v>0</v>
      </c>
      <c r="U880" s="7">
        <f>SUMPRODUCT(N(Tabela17683[Código]=Tabela8[[#This Row],[Papel]]),Tabela17683[Fechamento])</f>
        <v>0</v>
      </c>
      <c r="V880" s="7">
        <f>IF(MAX(Tabela8[[#This Row],[Cotação 1]]:Tabela8[[#This Row],[Cotação 5]])=0,"",MAX(Tabela8[[#This Row],[Cotação 1]]:Tabela8[[#This Row],[Cotação 5]]))</f>
        <v>19.05</v>
      </c>
      <c r="W8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0" s="19" t="str">
        <f>IF(AND([Ref]=5,[Cotação]&gt;0,[Cotação]&lt;&gt;""),[Total Exercício]/[Cotação],IF([Ref]&lt;4,0,""))</f>
        <v/>
      </c>
      <c r="Y880" s="14">
        <f>IF([Tipo]="div",1,0)</f>
        <v>0</v>
      </c>
      <c r="Z880" s="14">
        <f>IF([Tipo]="jcp",1,0)</f>
        <v>1</v>
      </c>
    </row>
    <row r="881" spans="1:26" hidden="1">
      <c r="A881" s="4" t="s">
        <v>12</v>
      </c>
      <c r="B881" s="3" t="s">
        <v>99</v>
      </c>
      <c r="C881" s="15">
        <v>4</v>
      </c>
      <c r="D881" s="14">
        <v>2013</v>
      </c>
      <c r="E881" s="14" t="s">
        <v>1475</v>
      </c>
      <c r="G881" s="145">
        <v>40766</v>
      </c>
      <c r="H881" s="46">
        <v>40801</v>
      </c>
      <c r="I881" s="133">
        <v>0.86706000000000005</v>
      </c>
      <c r="J881" s="134">
        <f>IF(Tabela8[[#This Row],[Tipo]]="jcp",Tabela8[[#This Row],[Provento p/Ação]]*85%,Tabela8[[#This Row],[Provento p/Ação]])</f>
        <v>0.73700100000000002</v>
      </c>
      <c r="K881" s="133" t="str">
        <f>IF([Lucro p/Ação]&lt;&gt;0,SUMPRODUCT(N([Papel]=Tabela8[[#This Row],[Papel]]),N([Exercício]=Tabela8[[#This Row],[Exercício]]),[Líquido p/Ação]),"")</f>
        <v/>
      </c>
      <c r="L881" s="42" t="str">
        <f>IF(Tabela8[[#This Row],[Lucro p/Ação]]="","",IF(Tabela8[[#This Row],[Lucro p/Ação]]&gt;0,Tabela8[[#This Row],[Total Exercício]]/Tabela8[[#This Row],[Lucro p/Ação]],0))</f>
        <v/>
      </c>
      <c r="M88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1" s="87" t="str">
        <f>IF(Tabela8[[#This Row],[Média Lucro p/Ação]]&lt;&gt;"",Tabela8[[#This Row],[Média Pago]]/Tabela8[[#This Row],[Média Lucro p/Ação]],"")</f>
        <v/>
      </c>
      <c r="P8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1" s="134">
        <f>SUMPRODUCT(N(Tabela1[Código]=Tabela8[[#This Row],[Papel]]),Tabela1[Fechamento])</f>
        <v>30</v>
      </c>
      <c r="R881" s="7">
        <f>SUMPRODUCT(N(Tabela17[Código]=Tabela8[[#This Row],[Papel]]),Tabela17[Fechamento])</f>
        <v>0</v>
      </c>
      <c r="S881" s="7">
        <f>SUMPRODUCT(N(Tabela176[Código]=Tabela8[[#This Row],[Papel]]),Tabela176[Fechamento])</f>
        <v>0</v>
      </c>
      <c r="T881" s="7">
        <f>SUMPRODUCT(N(Tabela1768[Código]=Tabela8[[#This Row],[Papel]]),Tabela1768[Fechamento])</f>
        <v>0</v>
      </c>
      <c r="U881" s="7">
        <f>SUMPRODUCT(N(Tabela17683[Código]=Tabela8[[#This Row],[Papel]]),Tabela17683[Fechamento])</f>
        <v>0</v>
      </c>
      <c r="V881" s="7">
        <f>IF(MAX(Tabela8[[#This Row],[Cotação 1]]:Tabela8[[#This Row],[Cotação 5]])=0,"",MAX(Tabela8[[#This Row],[Cotação 1]]:Tabela8[[#This Row],[Cotação 5]]))</f>
        <v>30</v>
      </c>
      <c r="W8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1" s="19" t="str">
        <f>IF(AND([Ref]=5,[Cotação]&gt;0,[Cotação]&lt;&gt;""),[Total Exercício]/[Cotação],IF([Ref]&lt;4,0,""))</f>
        <v/>
      </c>
      <c r="Y881" s="14">
        <f>IF([Tipo]="div",1,0)</f>
        <v>0</v>
      </c>
      <c r="Z881" s="14">
        <f>IF([Tipo]="jcp",1,0)</f>
        <v>1</v>
      </c>
    </row>
    <row r="882" spans="1:26" hidden="1">
      <c r="A882" s="4" t="s">
        <v>12</v>
      </c>
      <c r="B882" s="3" t="s">
        <v>100</v>
      </c>
      <c r="C882" s="15">
        <v>4</v>
      </c>
      <c r="D882" s="14">
        <v>2013</v>
      </c>
      <c r="E882" s="14" t="s">
        <v>1475</v>
      </c>
      <c r="G882" s="145">
        <v>40766</v>
      </c>
      <c r="H882" s="46">
        <v>40801</v>
      </c>
      <c r="I882" s="133">
        <v>0.86706000000000005</v>
      </c>
      <c r="J882" s="134">
        <f>IF(Tabela8[[#This Row],[Tipo]]="jcp",Tabela8[[#This Row],[Provento p/Ação]]*85%,Tabela8[[#This Row],[Provento p/Ação]])</f>
        <v>0.73700100000000002</v>
      </c>
      <c r="K882" s="133" t="str">
        <f>IF([Lucro p/Ação]&lt;&gt;0,SUMPRODUCT(N([Papel]=Tabela8[[#This Row],[Papel]]),N([Exercício]=Tabela8[[#This Row],[Exercício]]),[Líquido p/Ação]),"")</f>
        <v/>
      </c>
      <c r="L882" s="42" t="str">
        <f>IF(Tabela8[[#This Row],[Lucro p/Ação]]="","",IF(Tabela8[[#This Row],[Lucro p/Ação]]&gt;0,Tabela8[[#This Row],[Total Exercício]]/Tabela8[[#This Row],[Lucro p/Ação]],0))</f>
        <v/>
      </c>
      <c r="M88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2" s="87" t="str">
        <f>IF(Tabela8[[#This Row],[Média Lucro p/Ação]]&lt;&gt;"",Tabela8[[#This Row],[Média Pago]]/Tabela8[[#This Row],[Média Lucro p/Ação]],"")</f>
        <v/>
      </c>
      <c r="P8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2" s="134">
        <f>SUMPRODUCT(N(Tabela1[Código]=Tabela8[[#This Row],[Papel]]),Tabela1[Fechamento])</f>
        <v>26.32</v>
      </c>
      <c r="R882" s="7">
        <f>SUMPRODUCT(N(Tabela17[Código]=Tabela8[[#This Row],[Papel]]),Tabela17[Fechamento])</f>
        <v>0</v>
      </c>
      <c r="S882" s="7">
        <f>SUMPRODUCT(N(Tabela176[Código]=Tabela8[[#This Row],[Papel]]),Tabela176[Fechamento])</f>
        <v>0</v>
      </c>
      <c r="T882" s="7">
        <f>SUMPRODUCT(N(Tabela1768[Código]=Tabela8[[#This Row],[Papel]]),Tabela1768[Fechamento])</f>
        <v>0</v>
      </c>
      <c r="U882" s="7">
        <f>SUMPRODUCT(N(Tabela17683[Código]=Tabela8[[#This Row],[Papel]]),Tabela17683[Fechamento])</f>
        <v>0</v>
      </c>
      <c r="V882" s="7">
        <f>IF(MAX(Tabela8[[#This Row],[Cotação 1]]:Tabela8[[#This Row],[Cotação 5]])=0,"",MAX(Tabela8[[#This Row],[Cotação 1]]:Tabela8[[#This Row],[Cotação 5]]))</f>
        <v>26.32</v>
      </c>
      <c r="W8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2" s="19" t="str">
        <f>IF(AND([Ref]=5,[Cotação]&gt;0,[Cotação]&lt;&gt;""),[Total Exercício]/[Cotação],IF([Ref]&lt;4,0,""))</f>
        <v/>
      </c>
      <c r="Y882" s="14">
        <f>IF([Tipo]="div",1,0)</f>
        <v>0</v>
      </c>
      <c r="Z882" s="14">
        <f>IF([Tipo]="jcp",1,0)</f>
        <v>1</v>
      </c>
    </row>
    <row r="883" spans="1:26" hidden="1">
      <c r="A883" s="24" t="s">
        <v>12</v>
      </c>
      <c r="B883" s="3" t="s">
        <v>34</v>
      </c>
      <c r="C883" s="15">
        <v>4</v>
      </c>
      <c r="D883" s="14">
        <v>2013</v>
      </c>
      <c r="E883" s="14" t="s">
        <v>1475</v>
      </c>
      <c r="G883" s="145">
        <v>41025</v>
      </c>
      <c r="H883" s="46">
        <v>41058</v>
      </c>
      <c r="I883" s="133">
        <v>0.68030000000000002</v>
      </c>
      <c r="J883" s="134">
        <f>IF(Tabela8[[#This Row],[Tipo]]="jcp",Tabela8[[#This Row],[Provento p/Ação]]*85%,Tabela8[[#This Row],[Provento p/Ação]])</f>
        <v>0.57825499999999996</v>
      </c>
      <c r="K883" s="133" t="str">
        <f>IF([Lucro p/Ação]&lt;&gt;0,SUMPRODUCT(N([Papel]=Tabela8[[#This Row],[Papel]]),N([Exercício]=Tabela8[[#This Row],[Exercício]]),[Líquido p/Ação]),"")</f>
        <v/>
      </c>
      <c r="L883" s="42" t="str">
        <f>IF(Tabela8[[#This Row],[Lucro p/Ação]]="","",IF(Tabela8[[#This Row],[Lucro p/Ação]]&gt;0,Tabela8[[#This Row],[Total Exercício]]/Tabela8[[#This Row],[Lucro p/Ação]],0))</f>
        <v/>
      </c>
      <c r="M8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3" s="87" t="str">
        <f>IF(Tabela8[[#This Row],[Média Lucro p/Ação]]&lt;&gt;"",Tabela8[[#This Row],[Média Pago]]/Tabela8[[#This Row],[Média Lucro p/Ação]],"")</f>
        <v/>
      </c>
      <c r="P8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3" s="134">
        <f>SUMPRODUCT(N(Tabela1[Código]=Tabela8[[#This Row],[Papel]]),Tabela1[Fechamento])</f>
        <v>19.05</v>
      </c>
      <c r="R883" s="7">
        <f>SUMPRODUCT(N(Tabela17[Código]=Tabela8[[#This Row],[Papel]]),Tabela17[Fechamento])</f>
        <v>0</v>
      </c>
      <c r="S883" s="7">
        <f>SUMPRODUCT(N(Tabela176[Código]=Tabela8[[#This Row],[Papel]]),Tabela176[Fechamento])</f>
        <v>0</v>
      </c>
      <c r="T883" s="7">
        <f>SUMPRODUCT(N(Tabela1768[Código]=Tabela8[[#This Row],[Papel]]),Tabela1768[Fechamento])</f>
        <v>0</v>
      </c>
      <c r="U883" s="7">
        <f>SUMPRODUCT(N(Tabela17683[Código]=Tabela8[[#This Row],[Papel]]),Tabela17683[Fechamento])</f>
        <v>0</v>
      </c>
      <c r="V883" s="7">
        <f>IF(MAX(Tabela8[[#This Row],[Cotação 1]]:Tabela8[[#This Row],[Cotação 5]])=0,"",MAX(Tabela8[[#This Row],[Cotação 1]]:Tabela8[[#This Row],[Cotação 5]]))</f>
        <v>19.05</v>
      </c>
      <c r="W8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3" s="19" t="str">
        <f>IF(AND([Ref]=5,[Cotação]&gt;0,[Cotação]&lt;&gt;""),[Total Exercício]/[Cotação],IF([Ref]&lt;4,0,""))</f>
        <v/>
      </c>
      <c r="Y883" s="14">
        <f>IF([Tipo]="div",1,0)</f>
        <v>0</v>
      </c>
      <c r="Z883" s="14">
        <f>IF([Tipo]="jcp",1,0)</f>
        <v>1</v>
      </c>
    </row>
    <row r="884" spans="1:26" hidden="1">
      <c r="A884" s="4" t="s">
        <v>12</v>
      </c>
      <c r="B884" s="3" t="s">
        <v>99</v>
      </c>
      <c r="C884" s="15">
        <v>4</v>
      </c>
      <c r="D884" s="14">
        <v>2013</v>
      </c>
      <c r="E884" s="14" t="s">
        <v>1475</v>
      </c>
      <c r="G884" s="145">
        <v>41025</v>
      </c>
      <c r="H884" s="46">
        <v>41058</v>
      </c>
      <c r="I884" s="133">
        <v>1.65801</v>
      </c>
      <c r="J884" s="134">
        <f>IF(Tabela8[[#This Row],[Tipo]]="jcp",Tabela8[[#This Row],[Provento p/Ação]]*85%,Tabela8[[#This Row],[Provento p/Ação]])</f>
        <v>1.4093084999999999</v>
      </c>
      <c r="K884" s="133" t="str">
        <f>IF([Lucro p/Ação]&lt;&gt;0,SUMPRODUCT(N([Papel]=Tabela8[[#This Row],[Papel]]),N([Exercício]=Tabela8[[#This Row],[Exercício]]),[Líquido p/Ação]),"")</f>
        <v/>
      </c>
      <c r="L884" s="42" t="str">
        <f>IF(Tabela8[[#This Row],[Lucro p/Ação]]="","",IF(Tabela8[[#This Row],[Lucro p/Ação]]&gt;0,Tabela8[[#This Row],[Total Exercício]]/Tabela8[[#This Row],[Lucro p/Ação]],0))</f>
        <v/>
      </c>
      <c r="M88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4" s="87" t="str">
        <f>IF(Tabela8[[#This Row],[Média Lucro p/Ação]]&lt;&gt;"",Tabela8[[#This Row],[Média Pago]]/Tabela8[[#This Row],[Média Lucro p/Ação]],"")</f>
        <v/>
      </c>
      <c r="P8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4" s="134">
        <f>SUMPRODUCT(N(Tabela1[Código]=Tabela8[[#This Row],[Papel]]),Tabela1[Fechamento])</f>
        <v>30</v>
      </c>
      <c r="R884" s="7">
        <f>SUMPRODUCT(N(Tabela17[Código]=Tabela8[[#This Row],[Papel]]),Tabela17[Fechamento])</f>
        <v>0</v>
      </c>
      <c r="S884" s="7">
        <f>SUMPRODUCT(N(Tabela176[Código]=Tabela8[[#This Row],[Papel]]),Tabela176[Fechamento])</f>
        <v>0</v>
      </c>
      <c r="T884" s="7">
        <f>SUMPRODUCT(N(Tabela1768[Código]=Tabela8[[#This Row],[Papel]]),Tabela1768[Fechamento])</f>
        <v>0</v>
      </c>
      <c r="U884" s="7">
        <f>SUMPRODUCT(N(Tabela17683[Código]=Tabela8[[#This Row],[Papel]]),Tabela17683[Fechamento])</f>
        <v>0</v>
      </c>
      <c r="V884" s="7">
        <f>IF(MAX(Tabela8[[#This Row],[Cotação 1]]:Tabela8[[#This Row],[Cotação 5]])=0,"",MAX(Tabela8[[#This Row],[Cotação 1]]:Tabela8[[#This Row],[Cotação 5]]))</f>
        <v>30</v>
      </c>
      <c r="W8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4" s="19" t="str">
        <f>IF(AND([Ref]=5,[Cotação]&gt;0,[Cotação]&lt;&gt;""),[Total Exercício]/[Cotação],IF([Ref]&lt;4,0,""))</f>
        <v/>
      </c>
      <c r="Y884" s="14">
        <f>IF([Tipo]="div",1,0)</f>
        <v>0</v>
      </c>
      <c r="Z884" s="14">
        <f>IF([Tipo]="jcp",1,0)</f>
        <v>1</v>
      </c>
    </row>
    <row r="885" spans="1:26" hidden="1">
      <c r="A885" s="4" t="s">
        <v>12</v>
      </c>
      <c r="B885" s="3" t="s">
        <v>100</v>
      </c>
      <c r="C885" s="15">
        <v>4</v>
      </c>
      <c r="D885" s="14">
        <v>2013</v>
      </c>
      <c r="E885" s="14" t="s">
        <v>1475</v>
      </c>
      <c r="G885" s="145">
        <v>41025</v>
      </c>
      <c r="H885" s="46">
        <v>41058</v>
      </c>
      <c r="I885" s="133">
        <v>0.74839999999999995</v>
      </c>
      <c r="J885" s="134">
        <f>IF(Tabela8[[#This Row],[Tipo]]="jcp",Tabela8[[#This Row],[Provento p/Ação]]*85%,Tabela8[[#This Row],[Provento p/Ação]])</f>
        <v>0.63613999999999993</v>
      </c>
      <c r="K885" s="133" t="str">
        <f>IF([Lucro p/Ação]&lt;&gt;0,SUMPRODUCT(N([Papel]=Tabela8[[#This Row],[Papel]]),N([Exercício]=Tabela8[[#This Row],[Exercício]]),[Líquido p/Ação]),"")</f>
        <v/>
      </c>
      <c r="L885" s="42" t="str">
        <f>IF(Tabela8[[#This Row],[Lucro p/Ação]]="","",IF(Tabela8[[#This Row],[Lucro p/Ação]]&gt;0,Tabela8[[#This Row],[Total Exercício]]/Tabela8[[#This Row],[Lucro p/Ação]],0))</f>
        <v/>
      </c>
      <c r="M88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5" s="87" t="str">
        <f>IF(Tabela8[[#This Row],[Média Lucro p/Ação]]&lt;&gt;"",Tabela8[[#This Row],[Média Pago]]/Tabela8[[#This Row],[Média Lucro p/Ação]],"")</f>
        <v/>
      </c>
      <c r="P8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5" s="134">
        <f>SUMPRODUCT(N(Tabela1[Código]=Tabela8[[#This Row],[Papel]]),Tabela1[Fechamento])</f>
        <v>26.32</v>
      </c>
      <c r="R885" s="7">
        <f>SUMPRODUCT(N(Tabela17[Código]=Tabela8[[#This Row],[Papel]]),Tabela17[Fechamento])</f>
        <v>0</v>
      </c>
      <c r="S885" s="7">
        <f>SUMPRODUCT(N(Tabela176[Código]=Tabela8[[#This Row],[Papel]]),Tabela176[Fechamento])</f>
        <v>0</v>
      </c>
      <c r="T885" s="7">
        <f>SUMPRODUCT(N(Tabela1768[Código]=Tabela8[[#This Row],[Papel]]),Tabela1768[Fechamento])</f>
        <v>0</v>
      </c>
      <c r="U885" s="7">
        <f>SUMPRODUCT(N(Tabela17683[Código]=Tabela8[[#This Row],[Papel]]),Tabela17683[Fechamento])</f>
        <v>0</v>
      </c>
      <c r="V885" s="7">
        <f>IF(MAX(Tabela8[[#This Row],[Cotação 1]]:Tabela8[[#This Row],[Cotação 5]])=0,"",MAX(Tabela8[[#This Row],[Cotação 1]]:Tabela8[[#This Row],[Cotação 5]]))</f>
        <v>26.32</v>
      </c>
      <c r="W8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5" s="19" t="str">
        <f>IF(AND([Ref]=5,[Cotação]&gt;0,[Cotação]&lt;&gt;""),[Total Exercício]/[Cotação],IF([Ref]&lt;4,0,""))</f>
        <v/>
      </c>
      <c r="Y885" s="14">
        <f>IF([Tipo]="div",1,0)</f>
        <v>0</v>
      </c>
      <c r="Z885" s="14">
        <f>IF([Tipo]="jcp",1,0)</f>
        <v>1</v>
      </c>
    </row>
    <row r="886" spans="1:26" hidden="1">
      <c r="A886" s="24" t="s">
        <v>12</v>
      </c>
      <c r="B886" s="3" t="s">
        <v>34</v>
      </c>
      <c r="C886" s="15">
        <v>4</v>
      </c>
      <c r="D886" s="14">
        <v>2013</v>
      </c>
      <c r="E886" s="14" t="s">
        <v>1475</v>
      </c>
      <c r="G886" s="145">
        <v>41262</v>
      </c>
      <c r="H886" s="46">
        <v>41289</v>
      </c>
      <c r="I886" s="133">
        <v>0.47920000000000001</v>
      </c>
      <c r="J886" s="134">
        <f>IF(Tabela8[[#This Row],[Tipo]]="jcp",Tabela8[[#This Row],[Provento p/Ação]]*85%,Tabela8[[#This Row],[Provento p/Ação]])</f>
        <v>0.40732000000000002</v>
      </c>
      <c r="K886" s="133" t="str">
        <f>IF([Lucro p/Ação]&lt;&gt;0,SUMPRODUCT(N([Papel]=Tabela8[[#This Row],[Papel]]),N([Exercício]=Tabela8[[#This Row],[Exercício]]),[Líquido p/Ação]),"")</f>
        <v/>
      </c>
      <c r="L886" s="42" t="str">
        <f>IF(Tabela8[[#This Row],[Lucro p/Ação]]="","",IF(Tabela8[[#This Row],[Lucro p/Ação]]&gt;0,Tabela8[[#This Row],[Total Exercício]]/Tabela8[[#This Row],[Lucro p/Ação]],0))</f>
        <v/>
      </c>
      <c r="M8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6" s="87" t="str">
        <f>IF(Tabela8[[#This Row],[Média Lucro p/Ação]]&lt;&gt;"",Tabela8[[#This Row],[Média Pago]]/Tabela8[[#This Row],[Média Lucro p/Ação]],"")</f>
        <v/>
      </c>
      <c r="P8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6" s="134">
        <f>SUMPRODUCT(N(Tabela1[Código]=Tabela8[[#This Row],[Papel]]),Tabela1[Fechamento])</f>
        <v>19.05</v>
      </c>
      <c r="R886" s="7">
        <f>SUMPRODUCT(N(Tabela17[Código]=Tabela8[[#This Row],[Papel]]),Tabela17[Fechamento])</f>
        <v>0</v>
      </c>
      <c r="S886" s="7">
        <f>SUMPRODUCT(N(Tabela176[Código]=Tabela8[[#This Row],[Papel]]),Tabela176[Fechamento])</f>
        <v>0</v>
      </c>
      <c r="T886" s="7">
        <f>SUMPRODUCT(N(Tabela1768[Código]=Tabela8[[#This Row],[Papel]]),Tabela1768[Fechamento])</f>
        <v>0</v>
      </c>
      <c r="U886" s="7">
        <f>SUMPRODUCT(N(Tabela17683[Código]=Tabela8[[#This Row],[Papel]]),Tabela17683[Fechamento])</f>
        <v>0</v>
      </c>
      <c r="V886" s="7">
        <f>IF(MAX(Tabela8[[#This Row],[Cotação 1]]:Tabela8[[#This Row],[Cotação 5]])=0,"",MAX(Tabela8[[#This Row],[Cotação 1]]:Tabela8[[#This Row],[Cotação 5]]))</f>
        <v>19.05</v>
      </c>
      <c r="W8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6" s="19" t="str">
        <f>IF(AND([Ref]=5,[Cotação]&gt;0,[Cotação]&lt;&gt;""),[Total Exercício]/[Cotação],IF([Ref]&lt;4,0,""))</f>
        <v/>
      </c>
      <c r="Y886" s="14">
        <f>IF([Tipo]="div",1,0)</f>
        <v>0</v>
      </c>
      <c r="Z886" s="14">
        <f>IF([Tipo]="jcp",1,0)</f>
        <v>1</v>
      </c>
    </row>
    <row r="887" spans="1:26" hidden="1">
      <c r="A887" s="4" t="s">
        <v>12</v>
      </c>
      <c r="B887" s="3" t="s">
        <v>99</v>
      </c>
      <c r="C887" s="15">
        <v>4</v>
      </c>
      <c r="D887" s="14">
        <v>2013</v>
      </c>
      <c r="E887" s="14" t="s">
        <v>1475</v>
      </c>
      <c r="G887" s="145">
        <v>41262</v>
      </c>
      <c r="H887" s="46">
        <v>41289</v>
      </c>
      <c r="I887" s="133">
        <v>2.5250699999999999</v>
      </c>
      <c r="J887" s="134">
        <f>IF(Tabela8[[#This Row],[Tipo]]="jcp",Tabela8[[#This Row],[Provento p/Ação]]*85%,Tabela8[[#This Row],[Provento p/Ação]])</f>
        <v>2.1463095000000001</v>
      </c>
      <c r="K887" s="133" t="str">
        <f>IF([Lucro p/Ação]&lt;&gt;0,SUMPRODUCT(N([Papel]=Tabela8[[#This Row],[Papel]]),N([Exercício]=Tabela8[[#This Row],[Exercício]]),[Líquido p/Ação]),"")</f>
        <v/>
      </c>
      <c r="L887" s="42" t="str">
        <f>IF(Tabela8[[#This Row],[Lucro p/Ação]]="","",IF(Tabela8[[#This Row],[Lucro p/Ação]]&gt;0,Tabela8[[#This Row],[Total Exercício]]/Tabela8[[#This Row],[Lucro p/Ação]],0))</f>
        <v/>
      </c>
      <c r="M88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7" s="87" t="str">
        <f>IF(Tabela8[[#This Row],[Média Lucro p/Ação]]&lt;&gt;"",Tabela8[[#This Row],[Média Pago]]/Tabela8[[#This Row],[Média Lucro p/Ação]],"")</f>
        <v/>
      </c>
      <c r="P8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7" s="134">
        <f>SUMPRODUCT(N(Tabela1[Código]=Tabela8[[#This Row],[Papel]]),Tabela1[Fechamento])</f>
        <v>30</v>
      </c>
      <c r="R887" s="7">
        <f>SUMPRODUCT(N(Tabela17[Código]=Tabela8[[#This Row],[Papel]]),Tabela17[Fechamento])</f>
        <v>0</v>
      </c>
      <c r="S887" s="7">
        <f>SUMPRODUCT(N(Tabela176[Código]=Tabela8[[#This Row],[Papel]]),Tabela176[Fechamento])</f>
        <v>0</v>
      </c>
      <c r="T887" s="7">
        <f>SUMPRODUCT(N(Tabela1768[Código]=Tabela8[[#This Row],[Papel]]),Tabela1768[Fechamento])</f>
        <v>0</v>
      </c>
      <c r="U887" s="7">
        <f>SUMPRODUCT(N(Tabela17683[Código]=Tabela8[[#This Row],[Papel]]),Tabela17683[Fechamento])</f>
        <v>0</v>
      </c>
      <c r="V887" s="7">
        <f>IF(MAX(Tabela8[[#This Row],[Cotação 1]]:Tabela8[[#This Row],[Cotação 5]])=0,"",MAX(Tabela8[[#This Row],[Cotação 1]]:Tabela8[[#This Row],[Cotação 5]]))</f>
        <v>30</v>
      </c>
      <c r="W8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7" s="19" t="str">
        <f>IF(AND([Ref]=5,[Cotação]&gt;0,[Cotação]&lt;&gt;""),[Total Exercício]/[Cotação],IF([Ref]&lt;4,0,""))</f>
        <v/>
      </c>
      <c r="Y887" s="14">
        <f>IF([Tipo]="div",1,0)</f>
        <v>0</v>
      </c>
      <c r="Z887" s="14">
        <f>IF([Tipo]="jcp",1,0)</f>
        <v>1</v>
      </c>
    </row>
    <row r="888" spans="1:26" hidden="1">
      <c r="A888" s="4" t="s">
        <v>12</v>
      </c>
      <c r="B888" s="3" t="s">
        <v>100</v>
      </c>
      <c r="C888" s="15">
        <v>4</v>
      </c>
      <c r="D888" s="14">
        <v>2013</v>
      </c>
      <c r="E888" s="14" t="s">
        <v>1475</v>
      </c>
      <c r="G888" s="145">
        <v>41262</v>
      </c>
      <c r="H888" s="46">
        <v>41289</v>
      </c>
      <c r="I888" s="133">
        <v>0.5272</v>
      </c>
      <c r="J888" s="134">
        <f>IF(Tabela8[[#This Row],[Tipo]]="jcp",Tabela8[[#This Row],[Provento p/Ação]]*85%,Tabela8[[#This Row],[Provento p/Ação]])</f>
        <v>0.44811999999999996</v>
      </c>
      <c r="K888" s="133" t="str">
        <f>IF([Lucro p/Ação]&lt;&gt;0,SUMPRODUCT(N([Papel]=Tabela8[[#This Row],[Papel]]),N([Exercício]=Tabela8[[#This Row],[Exercício]]),[Líquido p/Ação]),"")</f>
        <v/>
      </c>
      <c r="L888" s="42" t="str">
        <f>IF(Tabela8[[#This Row],[Lucro p/Ação]]="","",IF(Tabela8[[#This Row],[Lucro p/Ação]]&gt;0,Tabela8[[#This Row],[Total Exercício]]/Tabela8[[#This Row],[Lucro p/Ação]],0))</f>
        <v/>
      </c>
      <c r="M88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8" s="87" t="str">
        <f>IF(Tabela8[[#This Row],[Média Lucro p/Ação]]&lt;&gt;"",Tabela8[[#This Row],[Média Pago]]/Tabela8[[#This Row],[Média Lucro p/Ação]],"")</f>
        <v/>
      </c>
      <c r="P8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8" s="134">
        <f>SUMPRODUCT(N(Tabela1[Código]=Tabela8[[#This Row],[Papel]]),Tabela1[Fechamento])</f>
        <v>26.32</v>
      </c>
      <c r="R888" s="7">
        <f>SUMPRODUCT(N(Tabela17[Código]=Tabela8[[#This Row],[Papel]]),Tabela17[Fechamento])</f>
        <v>0</v>
      </c>
      <c r="S888" s="7">
        <f>SUMPRODUCT(N(Tabela176[Código]=Tabela8[[#This Row],[Papel]]),Tabela176[Fechamento])</f>
        <v>0</v>
      </c>
      <c r="T888" s="7">
        <f>SUMPRODUCT(N(Tabela1768[Código]=Tabela8[[#This Row],[Papel]]),Tabela1768[Fechamento])</f>
        <v>0</v>
      </c>
      <c r="U888" s="7">
        <f>SUMPRODUCT(N(Tabela17683[Código]=Tabela8[[#This Row],[Papel]]),Tabela17683[Fechamento])</f>
        <v>0</v>
      </c>
      <c r="V888" s="7">
        <f>IF(MAX(Tabela8[[#This Row],[Cotação 1]]:Tabela8[[#This Row],[Cotação 5]])=0,"",MAX(Tabela8[[#This Row],[Cotação 1]]:Tabela8[[#This Row],[Cotação 5]]))</f>
        <v>26.32</v>
      </c>
      <c r="W8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8" s="19" t="str">
        <f>IF(AND([Ref]=5,[Cotação]&gt;0,[Cotação]&lt;&gt;""),[Total Exercício]/[Cotação],IF([Ref]&lt;4,0,""))</f>
        <v/>
      </c>
      <c r="Y888" s="14">
        <f>IF([Tipo]="div",1,0)</f>
        <v>0</v>
      </c>
      <c r="Z888" s="14">
        <f>IF([Tipo]="jcp",1,0)</f>
        <v>1</v>
      </c>
    </row>
    <row r="889" spans="1:26" hidden="1">
      <c r="A889" s="24" t="s">
        <v>12</v>
      </c>
      <c r="B889" s="3" t="s">
        <v>34</v>
      </c>
      <c r="C889" s="15">
        <v>4</v>
      </c>
      <c r="D889" s="14">
        <v>2013</v>
      </c>
      <c r="E889" s="14" t="s">
        <v>1468</v>
      </c>
      <c r="G889" s="145">
        <v>41389</v>
      </c>
      <c r="H889" s="46">
        <v>41417</v>
      </c>
      <c r="I889" s="133">
        <v>0.45606999999999998</v>
      </c>
      <c r="J889" s="134">
        <f>IF(Tabela8[[#This Row],[Tipo]]="jcp",Tabela8[[#This Row],[Provento p/Ação]]*85%,Tabela8[[#This Row],[Provento p/Ação]])</f>
        <v>0.45606999999999998</v>
      </c>
      <c r="K889" s="133" t="str">
        <f>IF([Lucro p/Ação]&lt;&gt;0,SUMPRODUCT(N([Papel]=Tabela8[[#This Row],[Papel]]),N([Exercício]=Tabela8[[#This Row],[Exercício]]),[Líquido p/Ação]),"")</f>
        <v/>
      </c>
      <c r="L889" s="42" t="str">
        <f>IF(Tabela8[[#This Row],[Lucro p/Ação]]="","",IF(Tabela8[[#This Row],[Lucro p/Ação]]&gt;0,Tabela8[[#This Row],[Total Exercício]]/Tabela8[[#This Row],[Lucro p/Ação]],0))</f>
        <v/>
      </c>
      <c r="M88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8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89" s="87" t="str">
        <f>IF(Tabela8[[#This Row],[Média Lucro p/Ação]]&lt;&gt;"",Tabela8[[#This Row],[Média Pago]]/Tabela8[[#This Row],[Média Lucro p/Ação]],"")</f>
        <v/>
      </c>
      <c r="P8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89" s="134">
        <f>SUMPRODUCT(N(Tabela1[Código]=Tabela8[[#This Row],[Papel]]),Tabela1[Fechamento])</f>
        <v>19.05</v>
      </c>
      <c r="R889" s="7">
        <f>SUMPRODUCT(N(Tabela17[Código]=Tabela8[[#This Row],[Papel]]),Tabela17[Fechamento])</f>
        <v>0</v>
      </c>
      <c r="S889" s="7">
        <f>SUMPRODUCT(N(Tabela176[Código]=Tabela8[[#This Row],[Papel]]),Tabela176[Fechamento])</f>
        <v>0</v>
      </c>
      <c r="T889" s="7">
        <f>SUMPRODUCT(N(Tabela1768[Código]=Tabela8[[#This Row],[Papel]]),Tabela1768[Fechamento])</f>
        <v>0</v>
      </c>
      <c r="U889" s="7">
        <f>SUMPRODUCT(N(Tabela17683[Código]=Tabela8[[#This Row],[Papel]]),Tabela17683[Fechamento])</f>
        <v>0</v>
      </c>
      <c r="V889" s="7">
        <f>IF(MAX(Tabela8[[#This Row],[Cotação 1]]:Tabela8[[#This Row],[Cotação 5]])=0,"",MAX(Tabela8[[#This Row],[Cotação 1]]:Tabela8[[#This Row],[Cotação 5]]))</f>
        <v>19.05</v>
      </c>
      <c r="W8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89" s="19" t="str">
        <f>IF(AND([Ref]=5,[Cotação]&gt;0,[Cotação]&lt;&gt;""),[Total Exercício]/[Cotação],IF([Ref]&lt;4,0,""))</f>
        <v/>
      </c>
      <c r="Y889" s="14">
        <f>IF([Tipo]="div",1,0)</f>
        <v>1</v>
      </c>
      <c r="Z889" s="14">
        <f>IF([Tipo]="jcp",1,0)</f>
        <v>0</v>
      </c>
    </row>
    <row r="890" spans="1:26" hidden="1">
      <c r="A890" s="4" t="s">
        <v>12</v>
      </c>
      <c r="B890" s="3" t="s">
        <v>99</v>
      </c>
      <c r="C890" s="15">
        <v>4</v>
      </c>
      <c r="D890" s="14">
        <v>2013</v>
      </c>
      <c r="E890" s="14" t="s">
        <v>1468</v>
      </c>
      <c r="G890" s="145">
        <v>41389</v>
      </c>
      <c r="H890" s="46">
        <v>41417</v>
      </c>
      <c r="I890" s="133">
        <v>0.50168999999999997</v>
      </c>
      <c r="J890" s="134">
        <f>IF(Tabela8[[#This Row],[Tipo]]="jcp",Tabela8[[#This Row],[Provento p/Ação]]*85%,Tabela8[[#This Row],[Provento p/Ação]])</f>
        <v>0.50168999999999997</v>
      </c>
      <c r="K890" s="133" t="str">
        <f>IF([Lucro p/Ação]&lt;&gt;0,SUMPRODUCT(N([Papel]=Tabela8[[#This Row],[Papel]]),N([Exercício]=Tabela8[[#This Row],[Exercício]]),[Líquido p/Ação]),"")</f>
        <v/>
      </c>
      <c r="L890" s="42" t="str">
        <f>IF(Tabela8[[#This Row],[Lucro p/Ação]]="","",IF(Tabela8[[#This Row],[Lucro p/Ação]]&gt;0,Tabela8[[#This Row],[Total Exercício]]/Tabela8[[#This Row],[Lucro p/Ação]],0))</f>
        <v/>
      </c>
      <c r="M8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0" s="87" t="str">
        <f>IF(Tabela8[[#This Row],[Média Lucro p/Ação]]&lt;&gt;"",Tabela8[[#This Row],[Média Pago]]/Tabela8[[#This Row],[Média Lucro p/Ação]],"")</f>
        <v/>
      </c>
      <c r="P8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0" s="134">
        <f>SUMPRODUCT(N(Tabela1[Código]=Tabela8[[#This Row],[Papel]]),Tabela1[Fechamento])</f>
        <v>30</v>
      </c>
      <c r="R890" s="7">
        <f>SUMPRODUCT(N(Tabela17[Código]=Tabela8[[#This Row],[Papel]]),Tabela17[Fechamento])</f>
        <v>0</v>
      </c>
      <c r="S890" s="7">
        <f>SUMPRODUCT(N(Tabela176[Código]=Tabela8[[#This Row],[Papel]]),Tabela176[Fechamento])</f>
        <v>0</v>
      </c>
      <c r="T890" s="7">
        <f>SUMPRODUCT(N(Tabela1768[Código]=Tabela8[[#This Row],[Papel]]),Tabela1768[Fechamento])</f>
        <v>0</v>
      </c>
      <c r="U890" s="7">
        <f>SUMPRODUCT(N(Tabela17683[Código]=Tabela8[[#This Row],[Papel]]),Tabela17683[Fechamento])</f>
        <v>0</v>
      </c>
      <c r="V890" s="7">
        <f>IF(MAX(Tabela8[[#This Row],[Cotação 1]]:Tabela8[[#This Row],[Cotação 5]])=0,"",MAX(Tabela8[[#This Row],[Cotação 1]]:Tabela8[[#This Row],[Cotação 5]]))</f>
        <v>30</v>
      </c>
      <c r="W8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0" s="19" t="str">
        <f>IF(AND([Ref]=5,[Cotação]&gt;0,[Cotação]&lt;&gt;""),[Total Exercício]/[Cotação],IF([Ref]&lt;4,0,""))</f>
        <v/>
      </c>
      <c r="Y890" s="14">
        <f>IF([Tipo]="div",1,0)</f>
        <v>1</v>
      </c>
      <c r="Z890" s="14">
        <f>IF([Tipo]="jcp",1,0)</f>
        <v>0</v>
      </c>
    </row>
    <row r="891" spans="1:26" hidden="1">
      <c r="A891" s="4" t="s">
        <v>12</v>
      </c>
      <c r="B891" s="3" t="s">
        <v>100</v>
      </c>
      <c r="C891" s="15">
        <v>4</v>
      </c>
      <c r="D891" s="14">
        <v>2013</v>
      </c>
      <c r="E891" s="14" t="s">
        <v>1468</v>
      </c>
      <c r="G891" s="145">
        <v>41389</v>
      </c>
      <c r="H891" s="46">
        <v>41417</v>
      </c>
      <c r="I891" s="133">
        <v>0.50617000000000001</v>
      </c>
      <c r="J891" s="134">
        <f>IF(Tabela8[[#This Row],[Tipo]]="jcp",Tabela8[[#This Row],[Provento p/Ação]]*85%,Tabela8[[#This Row],[Provento p/Ação]])</f>
        <v>0.50617000000000001</v>
      </c>
      <c r="K891" s="133" t="str">
        <f>IF([Lucro p/Ação]&lt;&gt;0,SUMPRODUCT(N([Papel]=Tabela8[[#This Row],[Papel]]),N([Exercício]=Tabela8[[#This Row],[Exercício]]),[Líquido p/Ação]),"")</f>
        <v/>
      </c>
      <c r="L891" s="42" t="str">
        <f>IF(Tabela8[[#This Row],[Lucro p/Ação]]="","",IF(Tabela8[[#This Row],[Lucro p/Ação]]&gt;0,Tabela8[[#This Row],[Total Exercício]]/Tabela8[[#This Row],[Lucro p/Ação]],0))</f>
        <v/>
      </c>
      <c r="M89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1" s="87" t="str">
        <f>IF(Tabela8[[#This Row],[Média Lucro p/Ação]]&lt;&gt;"",Tabela8[[#This Row],[Média Pago]]/Tabela8[[#This Row],[Média Lucro p/Ação]],"")</f>
        <v/>
      </c>
      <c r="P8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1" s="134">
        <f>SUMPRODUCT(N(Tabela1[Código]=Tabela8[[#This Row],[Papel]]),Tabela1[Fechamento])</f>
        <v>26.32</v>
      </c>
      <c r="R891" s="7">
        <f>SUMPRODUCT(N(Tabela17[Código]=Tabela8[[#This Row],[Papel]]),Tabela17[Fechamento])</f>
        <v>0</v>
      </c>
      <c r="S891" s="7">
        <f>SUMPRODUCT(N(Tabela176[Código]=Tabela8[[#This Row],[Papel]]),Tabela176[Fechamento])</f>
        <v>0</v>
      </c>
      <c r="T891" s="7">
        <f>SUMPRODUCT(N(Tabela1768[Código]=Tabela8[[#This Row],[Papel]]),Tabela1768[Fechamento])</f>
        <v>0</v>
      </c>
      <c r="U891" s="7">
        <f>SUMPRODUCT(N(Tabela17683[Código]=Tabela8[[#This Row],[Papel]]),Tabela17683[Fechamento])</f>
        <v>0</v>
      </c>
      <c r="V891" s="7">
        <f>IF(MAX(Tabela8[[#This Row],[Cotação 1]]:Tabela8[[#This Row],[Cotação 5]])=0,"",MAX(Tabela8[[#This Row],[Cotação 1]]:Tabela8[[#This Row],[Cotação 5]]))</f>
        <v>26.32</v>
      </c>
      <c r="W8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1" s="19" t="str">
        <f>IF(AND([Ref]=5,[Cotação]&gt;0,[Cotação]&lt;&gt;""),[Total Exercício]/[Cotação],IF([Ref]&lt;4,0,""))</f>
        <v/>
      </c>
      <c r="Y891" s="14">
        <f>IF([Tipo]="div",1,0)</f>
        <v>1</v>
      </c>
      <c r="Z891" s="14">
        <f>IF([Tipo]="jcp",1,0)</f>
        <v>0</v>
      </c>
    </row>
    <row r="892" spans="1:26" hidden="1">
      <c r="A892" s="24" t="s">
        <v>12</v>
      </c>
      <c r="B892" s="3" t="s">
        <v>34</v>
      </c>
      <c r="C892" s="15">
        <v>4</v>
      </c>
      <c r="D892" s="14">
        <v>2013</v>
      </c>
      <c r="E892" s="14" t="s">
        <v>1468</v>
      </c>
      <c r="G892" s="145">
        <v>41591</v>
      </c>
      <c r="H892" s="46">
        <v>41624</v>
      </c>
      <c r="I892" s="133">
        <v>0.55688000000000004</v>
      </c>
      <c r="J892" s="134">
        <f>IF(Tabela8[[#This Row],[Tipo]]="jcp",Tabela8[[#This Row],[Provento p/Ação]]*85%,Tabela8[[#This Row],[Provento p/Ação]])</f>
        <v>0.55688000000000004</v>
      </c>
      <c r="K892" s="133" t="str">
        <f>IF([Lucro p/Ação]&lt;&gt;0,SUMPRODUCT(N([Papel]=Tabela8[[#This Row],[Papel]]),N([Exercício]=Tabela8[[#This Row],[Exercício]]),[Líquido p/Ação]),"")</f>
        <v/>
      </c>
      <c r="L892" s="42" t="str">
        <f>IF(Tabela8[[#This Row],[Lucro p/Ação]]="","",IF(Tabela8[[#This Row],[Lucro p/Ação]]&gt;0,Tabela8[[#This Row],[Total Exercício]]/Tabela8[[#This Row],[Lucro p/Ação]],0))</f>
        <v/>
      </c>
      <c r="M8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2" s="87" t="str">
        <f>IF(Tabela8[[#This Row],[Média Lucro p/Ação]]&lt;&gt;"",Tabela8[[#This Row],[Média Pago]]/Tabela8[[#This Row],[Média Lucro p/Ação]],"")</f>
        <v/>
      </c>
      <c r="P8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2" s="134">
        <f>SUMPRODUCT(N(Tabela1[Código]=Tabela8[[#This Row],[Papel]]),Tabela1[Fechamento])</f>
        <v>19.05</v>
      </c>
      <c r="R892" s="7">
        <f>SUMPRODUCT(N(Tabela17[Código]=Tabela8[[#This Row],[Papel]]),Tabela17[Fechamento])</f>
        <v>0</v>
      </c>
      <c r="S892" s="7">
        <f>SUMPRODUCT(N(Tabela176[Código]=Tabela8[[#This Row],[Papel]]),Tabela176[Fechamento])</f>
        <v>0</v>
      </c>
      <c r="T892" s="7">
        <f>SUMPRODUCT(N(Tabela1768[Código]=Tabela8[[#This Row],[Papel]]),Tabela1768[Fechamento])</f>
        <v>0</v>
      </c>
      <c r="U892" s="7">
        <f>SUMPRODUCT(N(Tabela17683[Código]=Tabela8[[#This Row],[Papel]]),Tabela17683[Fechamento])</f>
        <v>0</v>
      </c>
      <c r="V892" s="7">
        <f>IF(MAX(Tabela8[[#This Row],[Cotação 1]]:Tabela8[[#This Row],[Cotação 5]])=0,"",MAX(Tabela8[[#This Row],[Cotação 1]]:Tabela8[[#This Row],[Cotação 5]]))</f>
        <v>19.05</v>
      </c>
      <c r="W8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2" s="19" t="str">
        <f>IF(AND([Ref]=5,[Cotação]&gt;0,[Cotação]&lt;&gt;""),[Total Exercício]/[Cotação],IF([Ref]&lt;4,0,""))</f>
        <v/>
      </c>
      <c r="Y892" s="14">
        <f>IF([Tipo]="div",1,0)</f>
        <v>1</v>
      </c>
      <c r="Z892" s="14">
        <f>IF([Tipo]="jcp",1,0)</f>
        <v>0</v>
      </c>
    </row>
    <row r="893" spans="1:26" hidden="1">
      <c r="A893" s="4" t="s">
        <v>12</v>
      </c>
      <c r="B893" s="3" t="s">
        <v>100</v>
      </c>
      <c r="C893" s="15">
        <v>4</v>
      </c>
      <c r="D893" s="14">
        <v>2013</v>
      </c>
      <c r="E893" s="14" t="s">
        <v>1468</v>
      </c>
      <c r="G893" s="145">
        <v>41591</v>
      </c>
      <c r="H893" s="46">
        <v>41624</v>
      </c>
      <c r="I893" s="133">
        <v>0.55688000000000004</v>
      </c>
      <c r="J893" s="134">
        <f>IF(Tabela8[[#This Row],[Tipo]]="jcp",Tabela8[[#This Row],[Provento p/Ação]]*85%,Tabela8[[#This Row],[Provento p/Ação]])</f>
        <v>0.55688000000000004</v>
      </c>
      <c r="K893" s="133" t="str">
        <f>IF([Lucro p/Ação]&lt;&gt;0,SUMPRODUCT(N([Papel]=Tabela8[[#This Row],[Papel]]),N([Exercício]=Tabela8[[#This Row],[Exercício]]),[Líquido p/Ação]),"")</f>
        <v/>
      </c>
      <c r="L893" s="42" t="str">
        <f>IF(Tabela8[[#This Row],[Lucro p/Ação]]="","",IF(Tabela8[[#This Row],[Lucro p/Ação]]&gt;0,Tabela8[[#This Row],[Total Exercício]]/Tabela8[[#This Row],[Lucro p/Ação]],0))</f>
        <v/>
      </c>
      <c r="M89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3" s="87" t="str">
        <f>IF(Tabela8[[#This Row],[Média Lucro p/Ação]]&lt;&gt;"",Tabela8[[#This Row],[Média Pago]]/Tabela8[[#This Row],[Média Lucro p/Ação]],"")</f>
        <v/>
      </c>
      <c r="P8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3" s="134">
        <f>SUMPRODUCT(N(Tabela1[Código]=Tabela8[[#This Row],[Papel]]),Tabela1[Fechamento])</f>
        <v>26.32</v>
      </c>
      <c r="R893" s="17">
        <f>SUMPRODUCT(N(Tabela17[Código]=Tabela8[[#This Row],[Papel]]),Tabela17[Fechamento])</f>
        <v>0</v>
      </c>
      <c r="S893" s="17">
        <f>SUMPRODUCT(N(Tabela176[Código]=Tabela8[[#This Row],[Papel]]),Tabela176[Fechamento])</f>
        <v>0</v>
      </c>
      <c r="T893" s="17">
        <f>SUMPRODUCT(N(Tabela1768[Código]=Tabela8[[#This Row],[Papel]]),Tabela1768[Fechamento])</f>
        <v>0</v>
      </c>
      <c r="U893" s="17">
        <f>SUMPRODUCT(N(Tabela17683[Código]=Tabela8[[#This Row],[Papel]]),Tabela17683[Fechamento])</f>
        <v>0</v>
      </c>
      <c r="V893" s="17">
        <f>IF(MAX(Tabela8[[#This Row],[Cotação 1]]:Tabela8[[#This Row],[Cotação 5]])=0,"",MAX(Tabela8[[#This Row],[Cotação 1]]:Tabela8[[#This Row],[Cotação 5]]))</f>
        <v>26.32</v>
      </c>
      <c r="W8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3" s="19" t="str">
        <f>IF(AND([Ref]=5,[Cotação]&gt;0,[Cotação]&lt;&gt;""),[Total Exercício]/[Cotação],IF([Ref]&lt;4,0,""))</f>
        <v/>
      </c>
      <c r="Y893" s="14">
        <f>IF([Tipo]="div",1,0)</f>
        <v>1</v>
      </c>
      <c r="Z893" s="14">
        <f>IF([Tipo]="jcp",1,0)</f>
        <v>0</v>
      </c>
    </row>
    <row r="894" spans="1:26" hidden="1">
      <c r="A894" s="24" t="s">
        <v>12</v>
      </c>
      <c r="B894" s="3" t="s">
        <v>34</v>
      </c>
      <c r="C894" s="15">
        <v>4</v>
      </c>
      <c r="D894" s="14">
        <v>2013</v>
      </c>
      <c r="E894" s="14" t="s">
        <v>1475</v>
      </c>
      <c r="G894" s="145">
        <v>41591</v>
      </c>
      <c r="H894" s="46">
        <v>41624</v>
      </c>
      <c r="I894" s="133">
        <v>0.62819000000000003</v>
      </c>
      <c r="J894" s="134">
        <f>IF(Tabela8[[#This Row],[Tipo]]="jcp",Tabela8[[#This Row],[Provento p/Ação]]*85%,Tabela8[[#This Row],[Provento p/Ação]])</f>
        <v>0.53396149999999998</v>
      </c>
      <c r="K894" s="133" t="str">
        <f>IF([Lucro p/Ação]&lt;&gt;0,SUMPRODUCT(N([Papel]=Tabela8[[#This Row],[Papel]]),N([Exercício]=Tabela8[[#This Row],[Exercício]]),[Líquido p/Ação]),"")</f>
        <v/>
      </c>
      <c r="L894" s="42" t="str">
        <f>IF(Tabela8[[#This Row],[Lucro p/Ação]]="","",IF(Tabela8[[#This Row],[Lucro p/Ação]]&gt;0,Tabela8[[#This Row],[Total Exercício]]/Tabela8[[#This Row],[Lucro p/Ação]],0))</f>
        <v/>
      </c>
      <c r="M89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4" s="87" t="str">
        <f>IF(Tabela8[[#This Row],[Média Lucro p/Ação]]&lt;&gt;"",Tabela8[[#This Row],[Média Pago]]/Tabela8[[#This Row],[Média Lucro p/Ação]],"")</f>
        <v/>
      </c>
      <c r="P8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4" s="134">
        <f>SUMPRODUCT(N(Tabela1[Código]=Tabela8[[#This Row],[Papel]]),Tabela1[Fechamento])</f>
        <v>19.05</v>
      </c>
      <c r="R894" s="17">
        <f>SUMPRODUCT(N(Tabela17[Código]=Tabela8[[#This Row],[Papel]]),Tabela17[Fechamento])</f>
        <v>0</v>
      </c>
      <c r="S894" s="17">
        <f>SUMPRODUCT(N(Tabela176[Código]=Tabela8[[#This Row],[Papel]]),Tabela176[Fechamento])</f>
        <v>0</v>
      </c>
      <c r="T894" s="17">
        <f>SUMPRODUCT(N(Tabela1768[Código]=Tabela8[[#This Row],[Papel]]),Tabela1768[Fechamento])</f>
        <v>0</v>
      </c>
      <c r="U894" s="17">
        <f>SUMPRODUCT(N(Tabela17683[Código]=Tabela8[[#This Row],[Papel]]),Tabela17683[Fechamento])</f>
        <v>0</v>
      </c>
      <c r="V894" s="17">
        <f>IF(MAX(Tabela8[[#This Row],[Cotação 1]]:Tabela8[[#This Row],[Cotação 5]])=0,"",MAX(Tabela8[[#This Row],[Cotação 1]]:Tabela8[[#This Row],[Cotação 5]]))</f>
        <v>19.05</v>
      </c>
      <c r="W8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4" s="19" t="str">
        <f>IF(AND([Ref]=5,[Cotação]&gt;0,[Cotação]&lt;&gt;""),[Total Exercício]/[Cotação],IF([Ref]&lt;4,0,""))</f>
        <v/>
      </c>
      <c r="Y894" s="14">
        <f>IF([Tipo]="div",1,0)</f>
        <v>0</v>
      </c>
      <c r="Z894" s="14">
        <f>IF([Tipo]="jcp",1,0)</f>
        <v>1</v>
      </c>
    </row>
    <row r="895" spans="1:26" hidden="1">
      <c r="A895" s="4" t="s">
        <v>12</v>
      </c>
      <c r="B895" s="3" t="s">
        <v>99</v>
      </c>
      <c r="C895" s="15">
        <v>4</v>
      </c>
      <c r="D895" s="14">
        <v>2013</v>
      </c>
      <c r="E895" s="14" t="s">
        <v>1475</v>
      </c>
      <c r="G895" s="145">
        <v>41591</v>
      </c>
      <c r="H895" s="46">
        <v>41624</v>
      </c>
      <c r="I895" s="133">
        <v>0.69111</v>
      </c>
      <c r="J895" s="134">
        <f>IF(Tabela8[[#This Row],[Tipo]]="jcp",Tabela8[[#This Row],[Provento p/Ação]]*85%,Tabela8[[#This Row],[Provento p/Ação]])</f>
        <v>0.58744350000000001</v>
      </c>
      <c r="K895" s="133" t="str">
        <f>IF([Lucro p/Ação]&lt;&gt;0,SUMPRODUCT(N([Papel]=Tabela8[[#This Row],[Papel]]),N([Exercício]=Tabela8[[#This Row],[Exercício]]),[Líquido p/Ação]),"")</f>
        <v/>
      </c>
      <c r="L895" s="42" t="str">
        <f>IF(Tabela8[[#This Row],[Lucro p/Ação]]="","",IF(Tabela8[[#This Row],[Lucro p/Ação]]&gt;0,Tabela8[[#This Row],[Total Exercício]]/Tabela8[[#This Row],[Lucro p/Ação]],0))</f>
        <v/>
      </c>
      <c r="M8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5" s="87" t="str">
        <f>IF(Tabela8[[#This Row],[Média Lucro p/Ação]]&lt;&gt;"",Tabela8[[#This Row],[Média Pago]]/Tabela8[[#This Row],[Média Lucro p/Ação]],"")</f>
        <v/>
      </c>
      <c r="P8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5" s="134">
        <f>SUMPRODUCT(N(Tabela1[Código]=Tabela8[[#This Row],[Papel]]),Tabela1[Fechamento])</f>
        <v>30</v>
      </c>
      <c r="R895" s="17">
        <f>SUMPRODUCT(N(Tabela17[Código]=Tabela8[[#This Row],[Papel]]),Tabela17[Fechamento])</f>
        <v>0</v>
      </c>
      <c r="S895" s="17">
        <f>SUMPRODUCT(N(Tabela176[Código]=Tabela8[[#This Row],[Papel]]),Tabela176[Fechamento])</f>
        <v>0</v>
      </c>
      <c r="T895" s="17">
        <f>SUMPRODUCT(N(Tabela1768[Código]=Tabela8[[#This Row],[Papel]]),Tabela1768[Fechamento])</f>
        <v>0</v>
      </c>
      <c r="U895" s="17">
        <f>SUMPRODUCT(N(Tabela17683[Código]=Tabela8[[#This Row],[Papel]]),Tabela17683[Fechamento])</f>
        <v>0</v>
      </c>
      <c r="V895" s="17">
        <f>IF(MAX(Tabela8[[#This Row],[Cotação 1]]:Tabela8[[#This Row],[Cotação 5]])=0,"",MAX(Tabela8[[#This Row],[Cotação 1]]:Tabela8[[#This Row],[Cotação 5]]))</f>
        <v>30</v>
      </c>
      <c r="W8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5" s="19" t="str">
        <f>IF(AND([Ref]=5,[Cotação]&gt;0,[Cotação]&lt;&gt;""),[Total Exercício]/[Cotação],IF([Ref]&lt;4,0,""))</f>
        <v/>
      </c>
      <c r="Y895" s="14">
        <f>IF([Tipo]="div",1,0)</f>
        <v>0</v>
      </c>
      <c r="Z895" s="14">
        <f>IF([Tipo]="jcp",1,0)</f>
        <v>1</v>
      </c>
    </row>
    <row r="896" spans="1:26" hidden="1">
      <c r="A896" s="4" t="s">
        <v>12</v>
      </c>
      <c r="B896" s="3" t="s">
        <v>100</v>
      </c>
      <c r="C896" s="15">
        <v>4</v>
      </c>
      <c r="D896" s="14">
        <v>2013</v>
      </c>
      <c r="E896" s="14" t="s">
        <v>1475</v>
      </c>
      <c r="G896" s="145">
        <v>41591</v>
      </c>
      <c r="H896" s="46">
        <v>41624</v>
      </c>
      <c r="I896" s="133">
        <v>0.69111</v>
      </c>
      <c r="J896" s="134">
        <f>IF(Tabela8[[#This Row],[Tipo]]="jcp",Tabela8[[#This Row],[Provento p/Ação]]*85%,Tabela8[[#This Row],[Provento p/Ação]])</f>
        <v>0.58744350000000001</v>
      </c>
      <c r="K896" s="133" t="str">
        <f>IF([Lucro p/Ação]&lt;&gt;0,SUMPRODUCT(N([Papel]=Tabela8[[#This Row],[Papel]]),N([Exercício]=Tabela8[[#This Row],[Exercício]]),[Líquido p/Ação]),"")</f>
        <v/>
      </c>
      <c r="L896" s="42" t="str">
        <f>IF(Tabela8[[#This Row],[Lucro p/Ação]]="","",IF(Tabela8[[#This Row],[Lucro p/Ação]]&gt;0,Tabela8[[#This Row],[Total Exercício]]/Tabela8[[#This Row],[Lucro p/Ação]],0))</f>
        <v/>
      </c>
      <c r="M8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89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896" s="87" t="str">
        <f>IF(Tabela8[[#This Row],[Média Lucro p/Ação]]&lt;&gt;"",Tabela8[[#This Row],[Média Pago]]/Tabela8[[#This Row],[Média Lucro p/Ação]],"")</f>
        <v/>
      </c>
      <c r="P8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6" s="134">
        <f>SUMPRODUCT(N(Tabela1[Código]=Tabela8[[#This Row],[Papel]]),Tabela1[Fechamento])</f>
        <v>26.32</v>
      </c>
      <c r="R896" s="17">
        <f>SUMPRODUCT(N(Tabela17[Código]=Tabela8[[#This Row],[Papel]]),Tabela17[Fechamento])</f>
        <v>0</v>
      </c>
      <c r="S896" s="17">
        <f>SUMPRODUCT(N(Tabela176[Código]=Tabela8[[#This Row],[Papel]]),Tabela176[Fechamento])</f>
        <v>0</v>
      </c>
      <c r="T896" s="17">
        <f>SUMPRODUCT(N(Tabela1768[Código]=Tabela8[[#This Row],[Papel]]),Tabela1768[Fechamento])</f>
        <v>0</v>
      </c>
      <c r="U896" s="17">
        <f>SUMPRODUCT(N(Tabela17683[Código]=Tabela8[[#This Row],[Papel]]),Tabela17683[Fechamento])</f>
        <v>0</v>
      </c>
      <c r="V896" s="17">
        <f>IF(MAX(Tabela8[[#This Row],[Cotação 1]]:Tabela8[[#This Row],[Cotação 5]])=0,"",MAX(Tabela8[[#This Row],[Cotação 1]]:Tabela8[[#This Row],[Cotação 5]]))</f>
        <v>26.32</v>
      </c>
      <c r="W8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6" s="19" t="str">
        <f>IF(AND([Ref]=5,[Cotação]&gt;0,[Cotação]&lt;&gt;""),[Total Exercício]/[Cotação],IF([Ref]&lt;4,0,""))</f>
        <v/>
      </c>
      <c r="Y896" s="14">
        <f>IF([Tipo]="div",1,0)</f>
        <v>0</v>
      </c>
      <c r="Z896" s="14">
        <f>IF([Tipo]="jcp",1,0)</f>
        <v>1</v>
      </c>
    </row>
    <row r="897" spans="1:26" hidden="1">
      <c r="A897" s="24" t="s">
        <v>12</v>
      </c>
      <c r="B897" s="3" t="s">
        <v>34</v>
      </c>
      <c r="C897" s="15">
        <v>5</v>
      </c>
      <c r="D897" s="14">
        <v>2013</v>
      </c>
      <c r="E897" s="14" t="s">
        <v>1468</v>
      </c>
      <c r="F897" s="133">
        <v>3.7427800000000002</v>
      </c>
      <c r="G897" s="145">
        <v>41753</v>
      </c>
      <c r="I897" s="133">
        <v>0.82135999999999998</v>
      </c>
      <c r="J897" s="134">
        <f>IF(Tabela8[[#This Row],[Tipo]]="jcp",Tabela8[[#This Row],[Provento p/Ação]]*85%,Tabela8[[#This Row],[Provento p/Ação]])</f>
        <v>0.82135999999999998</v>
      </c>
      <c r="K897" s="133">
        <f>IF([Lucro p/Ação]&lt;&gt;0,SUMPRODUCT(N([Papel]=Tabela8[[#This Row],[Papel]]),N([Exercício]=Tabela8[[#This Row],[Exercício]]),[Líquido p/Ação]),"")</f>
        <v>4.6472665000000006</v>
      </c>
      <c r="L897" s="42">
        <f>IF(Tabela8[[#This Row],[Lucro p/Ação]]="","",IF(Tabela8[[#This Row],[Lucro p/Ação]]&gt;0,Tabela8[[#This Row],[Total Exercício]]/Tabela8[[#This Row],[Lucro p/Ação]],0))</f>
        <v>1.2416616792865198</v>
      </c>
      <c r="M89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3.4801700000000002</v>
      </c>
      <c r="N89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2.4509000000000003</v>
      </c>
      <c r="O897" s="87">
        <f>IF(Tabela8[[#This Row],[Média Lucro p/Ação]]&lt;&gt;"",Tabela8[[#This Row],[Média Pago]]/Tabela8[[#This Row],[Média Lucro p/Ação]],"")</f>
        <v>0.70424720631463411</v>
      </c>
      <c r="P8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7" s="134">
        <f>SUMPRODUCT(N(Tabela1[Código]=Tabela8[[#This Row],[Papel]]),Tabela1[Fechamento])</f>
        <v>19.05</v>
      </c>
      <c r="R897" s="17">
        <f>SUMPRODUCT(N(Tabela17[Código]=Tabela8[[#This Row],[Papel]]),Tabela17[Fechamento])</f>
        <v>0</v>
      </c>
      <c r="S897" s="17">
        <f>SUMPRODUCT(N(Tabela176[Código]=Tabela8[[#This Row],[Papel]]),Tabela176[Fechamento])</f>
        <v>0</v>
      </c>
      <c r="T897" s="17">
        <f>SUMPRODUCT(N(Tabela1768[Código]=Tabela8[[#This Row],[Papel]]),Tabela1768[Fechamento])</f>
        <v>0</v>
      </c>
      <c r="U897" s="17">
        <f>SUMPRODUCT(N(Tabela17683[Código]=Tabela8[[#This Row],[Papel]]),Tabela17683[Fechamento])</f>
        <v>0</v>
      </c>
      <c r="V897" s="17">
        <f>IF(MAX(Tabela8[[#This Row],[Cotação 1]]:Tabela8[[#This Row],[Cotação 5]])=0,"",MAX(Tabela8[[#This Row],[Cotação 1]]:Tabela8[[#This Row],[Cotação 5]]))</f>
        <v>19.05</v>
      </c>
      <c r="W8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7" s="19">
        <f>IF(AND([Ref]=5,[Cotação]&gt;0,[Cotação]&lt;&gt;""),[Total Exercício]/[Cotação],IF([Ref]&lt;4,0,""))</f>
        <v>0.2439509973753281</v>
      </c>
      <c r="Y897" s="14">
        <f>IF([Tipo]="div",1,0)</f>
        <v>1</v>
      </c>
      <c r="Z897" s="14">
        <f>IF([Tipo]="jcp",1,0)</f>
        <v>0</v>
      </c>
    </row>
    <row r="898" spans="1:26" hidden="1">
      <c r="A898" s="4" t="s">
        <v>12</v>
      </c>
      <c r="B898" s="3" t="s">
        <v>99</v>
      </c>
      <c r="C898" s="15">
        <v>5</v>
      </c>
      <c r="D898" s="14">
        <v>2013</v>
      </c>
      <c r="E898" s="14" t="s">
        <v>1468</v>
      </c>
      <c r="F898" s="133">
        <v>4.4900099999999998</v>
      </c>
      <c r="G898" s="145">
        <v>41753</v>
      </c>
      <c r="I898" s="133">
        <v>1.27708</v>
      </c>
      <c r="J898" s="134">
        <f>IF(Tabela8[[#This Row],[Tipo]]="jcp",Tabela8[[#This Row],[Provento p/Ação]]*85%,Tabela8[[#This Row],[Provento p/Ação]])</f>
        <v>1.27708</v>
      </c>
      <c r="K898" s="133">
        <f>IF([Lucro p/Ação]&lt;&gt;0,SUMPRODUCT(N([Papel]=Tabela8[[#This Row],[Papel]]),N([Exercício]=Tabela8[[#This Row],[Exercício]]),[Líquido p/Ação]),"")</f>
        <v>8.6848919999999996</v>
      </c>
      <c r="L898" s="42">
        <f>IF(Tabela8[[#This Row],[Lucro p/Ação]]="","",IF(Tabela8[[#This Row],[Lucro p/Ação]]&gt;0,Tabela8[[#This Row],[Total Exercício]]/Tabela8[[#This Row],[Lucro p/Ação]],0))</f>
        <v>1.9342700795766601</v>
      </c>
      <c r="M89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4.3683774999999994</v>
      </c>
      <c r="N89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5.0868841249999992</v>
      </c>
      <c r="O898" s="87">
        <f>IF(Tabela8[[#This Row],[Média Lucro p/Ação]]&lt;&gt;"",Tabela8[[#This Row],[Média Pago]]/Tabela8[[#This Row],[Média Lucro p/Ação]],"")</f>
        <v>1.1644790600171344</v>
      </c>
      <c r="P8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8" s="134">
        <f>SUMPRODUCT(N(Tabela1[Código]=Tabela8[[#This Row],[Papel]]),Tabela1[Fechamento])</f>
        <v>30</v>
      </c>
      <c r="R898" s="17">
        <f>SUMPRODUCT(N(Tabela17[Código]=Tabela8[[#This Row],[Papel]]),Tabela17[Fechamento])</f>
        <v>0</v>
      </c>
      <c r="S898" s="17">
        <f>SUMPRODUCT(N(Tabela176[Código]=Tabela8[[#This Row],[Papel]]),Tabela176[Fechamento])</f>
        <v>0</v>
      </c>
      <c r="T898" s="17">
        <f>SUMPRODUCT(N(Tabela1768[Código]=Tabela8[[#This Row],[Papel]]),Tabela1768[Fechamento])</f>
        <v>0</v>
      </c>
      <c r="U898" s="17">
        <f>SUMPRODUCT(N(Tabela17683[Código]=Tabela8[[#This Row],[Papel]]),Tabela17683[Fechamento])</f>
        <v>0</v>
      </c>
      <c r="V898" s="17">
        <f>IF(MAX(Tabela8[[#This Row],[Cotação 1]]:Tabela8[[#This Row],[Cotação 5]])=0,"",MAX(Tabela8[[#This Row],[Cotação 1]]:Tabela8[[#This Row],[Cotação 5]]))</f>
        <v>30</v>
      </c>
      <c r="W8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8" s="19">
        <f>IF(AND([Ref]=5,[Cotação]&gt;0,[Cotação]&lt;&gt;""),[Total Exercício]/[Cotação],IF([Ref]&lt;4,0,""))</f>
        <v>0.28949639999999999</v>
      </c>
      <c r="Y898" s="14">
        <f>IF([Tipo]="div",1,0)</f>
        <v>1</v>
      </c>
      <c r="Z898" s="14">
        <f>IF([Tipo]="jcp",1,0)</f>
        <v>0</v>
      </c>
    </row>
    <row r="899" spans="1:26" hidden="1">
      <c r="A899" s="4" t="s">
        <v>12</v>
      </c>
      <c r="B899" s="3" t="s">
        <v>100</v>
      </c>
      <c r="C899" s="15">
        <v>5</v>
      </c>
      <c r="D899" s="14">
        <v>2013</v>
      </c>
      <c r="E899" s="14" t="s">
        <v>1468</v>
      </c>
      <c r="F899" s="133">
        <v>4.1174099999999996</v>
      </c>
      <c r="G899" s="145">
        <v>41753</v>
      </c>
      <c r="I899" s="133">
        <v>0.90366000000000002</v>
      </c>
      <c r="J899" s="134">
        <f>IF(Tabela8[[#This Row],[Tipo]]="jcp",Tabela8[[#This Row],[Provento p/Ação]]*85%,Tabela8[[#This Row],[Provento p/Ação]])</f>
        <v>0.90366000000000002</v>
      </c>
      <c r="K899" s="133">
        <f>IF([Lucro p/Ação]&lt;&gt;0,SUMPRODUCT(N([Papel]=Tabela8[[#This Row],[Papel]]),N([Exercício]=Tabela8[[#This Row],[Exercício]]),[Líquido p/Ação]),"")</f>
        <v>5.0615009999999998</v>
      </c>
      <c r="L899" s="42">
        <f>IF(Tabela8[[#This Row],[Lucro p/Ação]]="","",IF(Tabela8[[#This Row],[Lucro p/Ação]]&gt;0,Tabela8[[#This Row],[Total Exercício]]/Tabela8[[#This Row],[Lucro p/Ação]],0))</f>
        <v>1.2292924435506787</v>
      </c>
      <c r="M8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4.1304024999999998</v>
      </c>
      <c r="N89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2.6645146249999998</v>
      </c>
      <c r="O899" s="87">
        <f>IF(Tabela8[[#This Row],[Média Lucro p/Ação]]&lt;&gt;"",Tabela8[[#This Row],[Média Pago]]/Tabela8[[#This Row],[Média Lucro p/Ação]],"")</f>
        <v>0.64509805642428308</v>
      </c>
      <c r="P8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899" s="134">
        <f>SUMPRODUCT(N(Tabela1[Código]=Tabela8[[#This Row],[Papel]]),Tabela1[Fechamento])</f>
        <v>26.32</v>
      </c>
      <c r="R899" s="17">
        <f>SUMPRODUCT(N(Tabela17[Código]=Tabela8[[#This Row],[Papel]]),Tabela17[Fechamento])</f>
        <v>0</v>
      </c>
      <c r="S899" s="17">
        <f>SUMPRODUCT(N(Tabela176[Código]=Tabela8[[#This Row],[Papel]]),Tabela176[Fechamento])</f>
        <v>0</v>
      </c>
      <c r="T899" s="17">
        <f>SUMPRODUCT(N(Tabela1768[Código]=Tabela8[[#This Row],[Papel]]),Tabela1768[Fechamento])</f>
        <v>0</v>
      </c>
      <c r="U899" s="17">
        <f>SUMPRODUCT(N(Tabela17683[Código]=Tabela8[[#This Row],[Papel]]),Tabela17683[Fechamento])</f>
        <v>0</v>
      </c>
      <c r="V899" s="17">
        <f>IF(MAX(Tabela8[[#This Row],[Cotação 1]]:Tabela8[[#This Row],[Cotação 5]])=0,"",MAX(Tabela8[[#This Row],[Cotação 1]]:Tabela8[[#This Row],[Cotação 5]]))</f>
        <v>26.32</v>
      </c>
      <c r="W8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899" s="19">
        <f>IF(AND([Ref]=5,[Cotação]&gt;0,[Cotação]&lt;&gt;""),[Total Exercício]/[Cotação],IF([Ref]&lt;4,0,""))</f>
        <v>0.19230626899696049</v>
      </c>
      <c r="Y899" s="14">
        <f>IF([Tipo]="div",1,0)</f>
        <v>1</v>
      </c>
      <c r="Z899" s="14">
        <f>IF([Tipo]="jcp",1,0)</f>
        <v>0</v>
      </c>
    </row>
    <row r="900" spans="1:26" hidden="1">
      <c r="A900" s="4" t="s">
        <v>236</v>
      </c>
      <c r="B900" s="3" t="s">
        <v>20</v>
      </c>
      <c r="C900" s="15">
        <v>4</v>
      </c>
      <c r="D900" s="4">
        <v>2010</v>
      </c>
      <c r="E900" s="14" t="s">
        <v>1475</v>
      </c>
      <c r="G900" s="145">
        <v>40284</v>
      </c>
      <c r="H900" s="46">
        <v>40421</v>
      </c>
      <c r="I900" s="133">
        <v>0.2</v>
      </c>
      <c r="J900" s="134">
        <f>IF(Tabela8[[#This Row],[Tipo]]="jcp",Tabela8[[#This Row],[Provento p/Ação]]*85%,Tabela8[[#This Row],[Provento p/Ação]])</f>
        <v>0.17</v>
      </c>
      <c r="K900" s="133" t="str">
        <f>IF([Lucro p/Ação]&lt;&gt;0,SUMPRODUCT(N([Papel]=Tabela8[[#This Row],[Papel]]),N([Exercício]=Tabela8[[#This Row],[Exercício]]),[Líquido p/Ação]),"")</f>
        <v/>
      </c>
      <c r="L900" s="42" t="str">
        <f>IF(Tabela8[[#This Row],[Lucro p/Ação]]="","",IF(Tabela8[[#This Row],[Lucro p/Ação]]&gt;0,Tabela8[[#This Row],[Total Exercício]]/Tabela8[[#This Row],[Lucro p/Ação]],0))</f>
        <v/>
      </c>
      <c r="M90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0" s="87" t="str">
        <f>IF(Tabela8[[#This Row],[Média Lucro p/Ação]]&lt;&gt;"",Tabela8[[#This Row],[Média Pago]]/Tabela8[[#This Row],[Média Lucro p/Ação]],"")</f>
        <v/>
      </c>
      <c r="P9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0" s="134">
        <f>SUMPRODUCT(N(Tabela1[Código]=Tabela8[[#This Row],[Papel]]),Tabela1[Fechamento])</f>
        <v>0</v>
      </c>
      <c r="R900" s="7">
        <f>SUMPRODUCT(N(Tabela17[Código]=Tabela8[[#This Row],[Papel]]),Tabela17[Fechamento])</f>
        <v>12.95</v>
      </c>
      <c r="S900" s="7">
        <f>SUMPRODUCT(N(Tabela176[Código]=Tabela8[[#This Row],[Papel]]),Tabela176[Fechamento])</f>
        <v>0</v>
      </c>
      <c r="T900" s="7">
        <f>SUMPRODUCT(N(Tabela1768[Código]=Tabela8[[#This Row],[Papel]]),Tabela1768[Fechamento])</f>
        <v>0</v>
      </c>
      <c r="U900" s="7">
        <f>SUMPRODUCT(N(Tabela17683[Código]=Tabela8[[#This Row],[Papel]]),Tabela17683[Fechamento])</f>
        <v>0</v>
      </c>
      <c r="V900" s="7">
        <f>IF(MAX(Tabela8[[#This Row],[Cotação 1]]:Tabela8[[#This Row],[Cotação 5]])=0,"",MAX(Tabela8[[#This Row],[Cotação 1]]:Tabela8[[#This Row],[Cotação 5]]))</f>
        <v>12.95</v>
      </c>
      <c r="W9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0" s="19" t="str">
        <f>IF(AND([Ref]=5,[Cotação]&gt;0,[Cotação]&lt;&gt;""),[Total Exercício]/[Cotação],IF([Ref]&lt;4,0,""))</f>
        <v/>
      </c>
      <c r="Y900" s="14">
        <f>IF([Tipo]="div",1,0)</f>
        <v>0</v>
      </c>
      <c r="Z900" s="14">
        <f>IF([Tipo]="jcp",1,0)</f>
        <v>1</v>
      </c>
    </row>
    <row r="901" spans="1:26" hidden="1">
      <c r="A901" s="4" t="s">
        <v>236</v>
      </c>
      <c r="B901" s="3" t="s">
        <v>21</v>
      </c>
      <c r="C901" s="15">
        <v>4</v>
      </c>
      <c r="D901" s="4">
        <v>2010</v>
      </c>
      <c r="E901" s="14" t="s">
        <v>1475</v>
      </c>
      <c r="G901" s="145">
        <v>40284</v>
      </c>
      <c r="H901" s="46">
        <v>40421</v>
      </c>
      <c r="I901" s="133">
        <v>0.2</v>
      </c>
      <c r="J901" s="134">
        <f>IF(Tabela8[[#This Row],[Tipo]]="jcp",Tabela8[[#This Row],[Provento p/Ação]]*85%,Tabela8[[#This Row],[Provento p/Ação]])</f>
        <v>0.17</v>
      </c>
      <c r="K901" s="133" t="str">
        <f>IF([Lucro p/Ação]&lt;&gt;0,SUMPRODUCT(N([Papel]=Tabela8[[#This Row],[Papel]]),N([Exercício]=Tabela8[[#This Row],[Exercício]]),[Líquido p/Ação]),"")</f>
        <v/>
      </c>
      <c r="L901" s="42" t="str">
        <f>IF(Tabela8[[#This Row],[Lucro p/Ação]]="","",IF(Tabela8[[#This Row],[Lucro p/Ação]]&gt;0,Tabela8[[#This Row],[Total Exercício]]/Tabela8[[#This Row],[Lucro p/Ação]],0))</f>
        <v/>
      </c>
      <c r="M90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1" s="87" t="str">
        <f>IF(Tabela8[[#This Row],[Média Lucro p/Ação]]&lt;&gt;"",Tabela8[[#This Row],[Média Pago]]/Tabela8[[#This Row],[Média Lucro p/Ação]],"")</f>
        <v/>
      </c>
      <c r="P9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1" s="134">
        <f>SUMPRODUCT(N(Tabela1[Código]=Tabela8[[#This Row],[Papel]]),Tabela1[Fechamento])</f>
        <v>0</v>
      </c>
      <c r="R901" s="17">
        <f>SUMPRODUCT(N(Tabela17[Código]=Tabela8[[#This Row],[Papel]]),Tabela17[Fechamento])</f>
        <v>13.5</v>
      </c>
      <c r="S901" s="17">
        <f>SUMPRODUCT(N(Tabela176[Código]=Tabela8[[#This Row],[Papel]]),Tabela176[Fechamento])</f>
        <v>0</v>
      </c>
      <c r="T901" s="17">
        <f>SUMPRODUCT(N(Tabela1768[Código]=Tabela8[[#This Row],[Papel]]),Tabela1768[Fechamento])</f>
        <v>0</v>
      </c>
      <c r="U901" s="17">
        <f>SUMPRODUCT(N(Tabela17683[Código]=Tabela8[[#This Row],[Papel]]),Tabela17683[Fechamento])</f>
        <v>0</v>
      </c>
      <c r="V901" s="17">
        <f>IF(MAX(Tabela8[[#This Row],[Cotação 1]]:Tabela8[[#This Row],[Cotação 5]])=0,"",MAX(Tabela8[[#This Row],[Cotação 1]]:Tabela8[[#This Row],[Cotação 5]]))</f>
        <v>13.5</v>
      </c>
      <c r="W9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1" s="19" t="str">
        <f>IF(AND([Ref]=5,[Cotação]&gt;0,[Cotação]&lt;&gt;""),[Total Exercício]/[Cotação],IF([Ref]&lt;4,0,""))</f>
        <v/>
      </c>
      <c r="Y901" s="14">
        <f>IF([Tipo]="div",1,0)</f>
        <v>0</v>
      </c>
      <c r="Z901" s="14">
        <f>IF([Tipo]="jcp",1,0)</f>
        <v>1</v>
      </c>
    </row>
    <row r="902" spans="1:26" hidden="1">
      <c r="A902" s="4" t="s">
        <v>236</v>
      </c>
      <c r="B902" s="3" t="s">
        <v>20</v>
      </c>
      <c r="C902" s="15">
        <v>4</v>
      </c>
      <c r="D902" s="4">
        <v>2010</v>
      </c>
      <c r="E902" s="14" t="s">
        <v>1475</v>
      </c>
      <c r="G902" s="145">
        <v>40473</v>
      </c>
      <c r="H902" s="46">
        <v>40512</v>
      </c>
      <c r="I902" s="133">
        <v>0.14000000000000001</v>
      </c>
      <c r="J902" s="134">
        <f>IF(Tabela8[[#This Row],[Tipo]]="jcp",Tabela8[[#This Row],[Provento p/Ação]]*85%,Tabela8[[#This Row],[Provento p/Ação]])</f>
        <v>0.11900000000000001</v>
      </c>
      <c r="K902" s="133" t="str">
        <f>IF([Lucro p/Ação]&lt;&gt;0,SUMPRODUCT(N([Papel]=Tabela8[[#This Row],[Papel]]),N([Exercício]=Tabela8[[#This Row],[Exercício]]),[Líquido p/Ação]),"")</f>
        <v/>
      </c>
      <c r="L902" s="42" t="str">
        <f>IF(Tabela8[[#This Row],[Lucro p/Ação]]="","",IF(Tabela8[[#This Row],[Lucro p/Ação]]&gt;0,Tabela8[[#This Row],[Total Exercício]]/Tabela8[[#This Row],[Lucro p/Ação]],0))</f>
        <v/>
      </c>
      <c r="M9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2" s="87" t="str">
        <f>IF(Tabela8[[#This Row],[Média Lucro p/Ação]]&lt;&gt;"",Tabela8[[#This Row],[Média Pago]]/Tabela8[[#This Row],[Média Lucro p/Ação]],"")</f>
        <v/>
      </c>
      <c r="P9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2" s="134">
        <f>SUMPRODUCT(N(Tabela1[Código]=Tabela8[[#This Row],[Papel]]),Tabela1[Fechamento])</f>
        <v>0</v>
      </c>
      <c r="R902" s="7">
        <f>SUMPRODUCT(N(Tabela17[Código]=Tabela8[[#This Row],[Papel]]),Tabela17[Fechamento])</f>
        <v>12.95</v>
      </c>
      <c r="S902" s="7">
        <f>SUMPRODUCT(N(Tabela176[Código]=Tabela8[[#This Row],[Papel]]),Tabela176[Fechamento])</f>
        <v>0</v>
      </c>
      <c r="T902" s="7">
        <f>SUMPRODUCT(N(Tabela1768[Código]=Tabela8[[#This Row],[Papel]]),Tabela1768[Fechamento])</f>
        <v>0</v>
      </c>
      <c r="U902" s="7">
        <f>SUMPRODUCT(N(Tabela17683[Código]=Tabela8[[#This Row],[Papel]]),Tabela17683[Fechamento])</f>
        <v>0</v>
      </c>
      <c r="V902" s="7">
        <f>IF(MAX(Tabela8[[#This Row],[Cotação 1]]:Tabela8[[#This Row],[Cotação 5]])=0,"",MAX(Tabela8[[#This Row],[Cotação 1]]:Tabela8[[#This Row],[Cotação 5]]))</f>
        <v>12.95</v>
      </c>
      <c r="W9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2" s="19" t="str">
        <f>IF(AND([Ref]=5,[Cotação]&gt;0,[Cotação]&lt;&gt;""),[Total Exercício]/[Cotação],IF([Ref]&lt;4,0,""))</f>
        <v/>
      </c>
      <c r="Y902" s="14">
        <f>IF([Tipo]="div",1,0)</f>
        <v>0</v>
      </c>
      <c r="Z902" s="14">
        <f>IF([Tipo]="jcp",1,0)</f>
        <v>1</v>
      </c>
    </row>
    <row r="903" spans="1:26" hidden="1">
      <c r="A903" s="4" t="s">
        <v>236</v>
      </c>
      <c r="B903" s="3" t="s">
        <v>21</v>
      </c>
      <c r="C903" s="15">
        <v>4</v>
      </c>
      <c r="D903" s="4">
        <v>2010</v>
      </c>
      <c r="E903" s="14" t="s">
        <v>1475</v>
      </c>
      <c r="G903" s="145">
        <v>40473</v>
      </c>
      <c r="H903" s="46">
        <v>40512</v>
      </c>
      <c r="I903" s="133">
        <v>0.14000000000000001</v>
      </c>
      <c r="J903" s="134">
        <f>IF(Tabela8[[#This Row],[Tipo]]="jcp",Tabela8[[#This Row],[Provento p/Ação]]*85%,Tabela8[[#This Row],[Provento p/Ação]])</f>
        <v>0.11900000000000001</v>
      </c>
      <c r="K903" s="133" t="str">
        <f>IF([Lucro p/Ação]&lt;&gt;0,SUMPRODUCT(N([Papel]=Tabela8[[#This Row],[Papel]]),N([Exercício]=Tabela8[[#This Row],[Exercício]]),[Líquido p/Ação]),"")</f>
        <v/>
      </c>
      <c r="L903" s="42" t="str">
        <f>IF(Tabela8[[#This Row],[Lucro p/Ação]]="","",IF(Tabela8[[#This Row],[Lucro p/Ação]]&gt;0,Tabela8[[#This Row],[Total Exercício]]/Tabela8[[#This Row],[Lucro p/Ação]],0))</f>
        <v/>
      </c>
      <c r="M9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3" s="87" t="str">
        <f>IF(Tabela8[[#This Row],[Média Lucro p/Ação]]&lt;&gt;"",Tabela8[[#This Row],[Média Pago]]/Tabela8[[#This Row],[Média Lucro p/Ação]],"")</f>
        <v/>
      </c>
      <c r="P9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3" s="134">
        <f>SUMPRODUCT(N(Tabela1[Código]=Tabela8[[#This Row],[Papel]]),Tabela1[Fechamento])</f>
        <v>0</v>
      </c>
      <c r="R903" s="17">
        <f>SUMPRODUCT(N(Tabela17[Código]=Tabela8[[#This Row],[Papel]]),Tabela17[Fechamento])</f>
        <v>13.5</v>
      </c>
      <c r="S903" s="17">
        <f>SUMPRODUCT(N(Tabela176[Código]=Tabela8[[#This Row],[Papel]]),Tabela176[Fechamento])</f>
        <v>0</v>
      </c>
      <c r="T903" s="17">
        <f>SUMPRODUCT(N(Tabela1768[Código]=Tabela8[[#This Row],[Papel]]),Tabela1768[Fechamento])</f>
        <v>0</v>
      </c>
      <c r="U903" s="17">
        <f>SUMPRODUCT(N(Tabela17683[Código]=Tabela8[[#This Row],[Papel]]),Tabela17683[Fechamento])</f>
        <v>0</v>
      </c>
      <c r="V903" s="17">
        <f>IF(MAX(Tabela8[[#This Row],[Cotação 1]]:Tabela8[[#This Row],[Cotação 5]])=0,"",MAX(Tabela8[[#This Row],[Cotação 1]]:Tabela8[[#This Row],[Cotação 5]]))</f>
        <v>13.5</v>
      </c>
      <c r="W9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3" s="19" t="str">
        <f>IF(AND([Ref]=5,[Cotação]&gt;0,[Cotação]&lt;&gt;""),[Total Exercício]/[Cotação],IF([Ref]&lt;4,0,""))</f>
        <v/>
      </c>
      <c r="Y903" s="14">
        <f>IF([Tipo]="div",1,0)</f>
        <v>0</v>
      </c>
      <c r="Z903" s="14">
        <f>IF([Tipo]="jcp",1,0)</f>
        <v>1</v>
      </c>
    </row>
    <row r="904" spans="1:26" hidden="1">
      <c r="A904" s="4" t="s">
        <v>236</v>
      </c>
      <c r="B904" s="3" t="s">
        <v>20</v>
      </c>
      <c r="C904" s="15">
        <v>4</v>
      </c>
      <c r="D904" s="4">
        <v>2010</v>
      </c>
      <c r="E904" s="14" t="s">
        <v>1475</v>
      </c>
      <c r="G904" s="145">
        <v>40522</v>
      </c>
      <c r="H904" s="46">
        <v>40542</v>
      </c>
      <c r="I904" s="133">
        <v>0.2</v>
      </c>
      <c r="J904" s="134">
        <f>IF(Tabela8[[#This Row],[Tipo]]="jcp",Tabela8[[#This Row],[Provento p/Ação]]*85%,Tabela8[[#This Row],[Provento p/Ação]])</f>
        <v>0.17</v>
      </c>
      <c r="K904" s="133" t="str">
        <f>IF([Lucro p/Ação]&lt;&gt;0,SUMPRODUCT(N([Papel]=Tabela8[[#This Row],[Papel]]),N([Exercício]=Tabela8[[#This Row],[Exercício]]),[Líquido p/Ação]),"")</f>
        <v/>
      </c>
      <c r="L904" s="42" t="str">
        <f>IF(Tabela8[[#This Row],[Lucro p/Ação]]="","",IF(Tabela8[[#This Row],[Lucro p/Ação]]&gt;0,Tabela8[[#This Row],[Total Exercício]]/Tabela8[[#This Row],[Lucro p/Ação]],0))</f>
        <v/>
      </c>
      <c r="M9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4" s="87" t="str">
        <f>IF(Tabela8[[#This Row],[Média Lucro p/Ação]]&lt;&gt;"",Tabela8[[#This Row],[Média Pago]]/Tabela8[[#This Row],[Média Lucro p/Ação]],"")</f>
        <v/>
      </c>
      <c r="P9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4" s="134">
        <f>SUMPRODUCT(N(Tabela1[Código]=Tabela8[[#This Row],[Papel]]),Tabela1[Fechamento])</f>
        <v>0</v>
      </c>
      <c r="R904" s="7">
        <f>SUMPRODUCT(N(Tabela17[Código]=Tabela8[[#This Row],[Papel]]),Tabela17[Fechamento])</f>
        <v>12.95</v>
      </c>
      <c r="S904" s="7">
        <f>SUMPRODUCT(N(Tabela176[Código]=Tabela8[[#This Row],[Papel]]),Tabela176[Fechamento])</f>
        <v>0</v>
      </c>
      <c r="T904" s="7">
        <f>SUMPRODUCT(N(Tabela1768[Código]=Tabela8[[#This Row],[Papel]]),Tabela1768[Fechamento])</f>
        <v>0</v>
      </c>
      <c r="U904" s="7">
        <f>SUMPRODUCT(N(Tabela17683[Código]=Tabela8[[#This Row],[Papel]]),Tabela17683[Fechamento])</f>
        <v>0</v>
      </c>
      <c r="V904" s="7">
        <f>IF(MAX(Tabela8[[#This Row],[Cotação 1]]:Tabela8[[#This Row],[Cotação 5]])=0,"",MAX(Tabela8[[#This Row],[Cotação 1]]:Tabela8[[#This Row],[Cotação 5]]))</f>
        <v>12.95</v>
      </c>
      <c r="W9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4" s="19" t="str">
        <f>IF(AND([Ref]=5,[Cotação]&gt;0,[Cotação]&lt;&gt;""),[Total Exercício]/[Cotação],IF([Ref]&lt;4,0,""))</f>
        <v/>
      </c>
      <c r="Y904" s="14">
        <f>IF([Tipo]="div",1,0)</f>
        <v>0</v>
      </c>
      <c r="Z904" s="14">
        <f>IF([Tipo]="jcp",1,0)</f>
        <v>1</v>
      </c>
    </row>
    <row r="905" spans="1:26" hidden="1">
      <c r="A905" s="4" t="s">
        <v>236</v>
      </c>
      <c r="B905" s="3" t="s">
        <v>21</v>
      </c>
      <c r="C905" s="15">
        <v>4</v>
      </c>
      <c r="D905" s="4">
        <v>2010</v>
      </c>
      <c r="E905" s="14" t="s">
        <v>1475</v>
      </c>
      <c r="G905" s="145">
        <v>40522</v>
      </c>
      <c r="H905" s="46">
        <v>40542</v>
      </c>
      <c r="I905" s="133">
        <v>0.2</v>
      </c>
      <c r="J905" s="134">
        <f>IF(Tabela8[[#This Row],[Tipo]]="jcp",Tabela8[[#This Row],[Provento p/Ação]]*85%,Tabela8[[#This Row],[Provento p/Ação]])</f>
        <v>0.17</v>
      </c>
      <c r="K905" s="133" t="str">
        <f>IF([Lucro p/Ação]&lt;&gt;0,SUMPRODUCT(N([Papel]=Tabela8[[#This Row],[Papel]]),N([Exercício]=Tabela8[[#This Row],[Exercício]]),[Líquido p/Ação]),"")</f>
        <v/>
      </c>
      <c r="L905" s="42" t="str">
        <f>IF(Tabela8[[#This Row],[Lucro p/Ação]]="","",IF(Tabela8[[#This Row],[Lucro p/Ação]]&gt;0,Tabela8[[#This Row],[Total Exercício]]/Tabela8[[#This Row],[Lucro p/Ação]],0))</f>
        <v/>
      </c>
      <c r="M90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5" s="87" t="str">
        <f>IF(Tabela8[[#This Row],[Média Lucro p/Ação]]&lt;&gt;"",Tabela8[[#This Row],[Média Pago]]/Tabela8[[#This Row],[Média Lucro p/Ação]],"")</f>
        <v/>
      </c>
      <c r="P9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5" s="134">
        <f>SUMPRODUCT(N(Tabela1[Código]=Tabela8[[#This Row],[Papel]]),Tabela1[Fechamento])</f>
        <v>0</v>
      </c>
      <c r="R905" s="17">
        <f>SUMPRODUCT(N(Tabela17[Código]=Tabela8[[#This Row],[Papel]]),Tabela17[Fechamento])</f>
        <v>13.5</v>
      </c>
      <c r="S905" s="17">
        <f>SUMPRODUCT(N(Tabela176[Código]=Tabela8[[#This Row],[Papel]]),Tabela176[Fechamento])</f>
        <v>0</v>
      </c>
      <c r="T905" s="17">
        <f>SUMPRODUCT(N(Tabela1768[Código]=Tabela8[[#This Row],[Papel]]),Tabela1768[Fechamento])</f>
        <v>0</v>
      </c>
      <c r="U905" s="17">
        <f>SUMPRODUCT(N(Tabela17683[Código]=Tabela8[[#This Row],[Papel]]),Tabela17683[Fechamento])</f>
        <v>0</v>
      </c>
      <c r="V905" s="17">
        <f>IF(MAX(Tabela8[[#This Row],[Cotação 1]]:Tabela8[[#This Row],[Cotação 5]])=0,"",MAX(Tabela8[[#This Row],[Cotação 1]]:Tabela8[[#This Row],[Cotação 5]]))</f>
        <v>13.5</v>
      </c>
      <c r="W9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5" s="19" t="str">
        <f>IF(AND([Ref]=5,[Cotação]&gt;0,[Cotação]&lt;&gt;""),[Total Exercício]/[Cotação],IF([Ref]&lt;4,0,""))</f>
        <v/>
      </c>
      <c r="Y905" s="14">
        <f>IF([Tipo]="div",1,0)</f>
        <v>0</v>
      </c>
      <c r="Z905" s="14">
        <f>IF([Tipo]="jcp",1,0)</f>
        <v>1</v>
      </c>
    </row>
    <row r="906" spans="1:26" hidden="1">
      <c r="A906" s="4" t="s">
        <v>236</v>
      </c>
      <c r="B906" s="3" t="s">
        <v>20</v>
      </c>
      <c r="C906" s="15">
        <v>4</v>
      </c>
      <c r="D906" s="4">
        <v>2010</v>
      </c>
      <c r="E906" s="14" t="s">
        <v>1475</v>
      </c>
      <c r="G906" s="145">
        <v>40599</v>
      </c>
      <c r="I906" s="133">
        <v>0.17</v>
      </c>
      <c r="J906" s="134">
        <f>IF(Tabela8[[#This Row],[Tipo]]="jcp",Tabela8[[#This Row],[Provento p/Ação]]*85%,Tabela8[[#This Row],[Provento p/Ação]])</f>
        <v>0.14450000000000002</v>
      </c>
      <c r="K906" s="133" t="str">
        <f>IF([Lucro p/Ação]&lt;&gt;0,SUMPRODUCT(N([Papel]=Tabela8[[#This Row],[Papel]]),N([Exercício]=Tabela8[[#This Row],[Exercício]]),[Líquido p/Ação]),"")</f>
        <v/>
      </c>
      <c r="L906" s="42" t="str">
        <f>IF(Tabela8[[#This Row],[Lucro p/Ação]]="","",IF(Tabela8[[#This Row],[Lucro p/Ação]]&gt;0,Tabela8[[#This Row],[Total Exercício]]/Tabela8[[#This Row],[Lucro p/Ação]],0))</f>
        <v/>
      </c>
      <c r="M90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6" s="87" t="str">
        <f>IF(Tabela8[[#This Row],[Média Lucro p/Ação]]&lt;&gt;"",Tabela8[[#This Row],[Média Pago]]/Tabela8[[#This Row],[Média Lucro p/Ação]],"")</f>
        <v/>
      </c>
      <c r="P9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6" s="134">
        <f>SUMPRODUCT(N(Tabela1[Código]=Tabela8[[#This Row],[Papel]]),Tabela1[Fechamento])</f>
        <v>0</v>
      </c>
      <c r="R906" s="7">
        <f>SUMPRODUCT(N(Tabela17[Código]=Tabela8[[#This Row],[Papel]]),Tabela17[Fechamento])</f>
        <v>12.95</v>
      </c>
      <c r="S906" s="7">
        <f>SUMPRODUCT(N(Tabela176[Código]=Tabela8[[#This Row],[Papel]]),Tabela176[Fechamento])</f>
        <v>0</v>
      </c>
      <c r="T906" s="7">
        <f>SUMPRODUCT(N(Tabela1768[Código]=Tabela8[[#This Row],[Papel]]),Tabela1768[Fechamento])</f>
        <v>0</v>
      </c>
      <c r="U906" s="7">
        <f>SUMPRODUCT(N(Tabela17683[Código]=Tabela8[[#This Row],[Papel]]),Tabela17683[Fechamento])</f>
        <v>0</v>
      </c>
      <c r="V906" s="7">
        <f>IF(MAX(Tabela8[[#This Row],[Cotação 1]]:Tabela8[[#This Row],[Cotação 5]])=0,"",MAX(Tabela8[[#This Row],[Cotação 1]]:Tabela8[[#This Row],[Cotação 5]]))</f>
        <v>12.95</v>
      </c>
      <c r="W9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6" s="19" t="str">
        <f>IF(AND([Ref]=5,[Cotação]&gt;0,[Cotação]&lt;&gt;""),[Total Exercício]/[Cotação],IF([Ref]&lt;4,0,""))</f>
        <v/>
      </c>
      <c r="Y906" s="14">
        <f>IF([Tipo]="div",1,0)</f>
        <v>0</v>
      </c>
      <c r="Z906" s="14">
        <f>IF([Tipo]="jcp",1,0)</f>
        <v>1</v>
      </c>
    </row>
    <row r="907" spans="1:26" hidden="1">
      <c r="A907" s="4" t="s">
        <v>236</v>
      </c>
      <c r="B907" s="3" t="s">
        <v>21</v>
      </c>
      <c r="C907" s="15">
        <v>4</v>
      </c>
      <c r="D907" s="4">
        <v>2010</v>
      </c>
      <c r="E907" s="14" t="s">
        <v>1475</v>
      </c>
      <c r="G907" s="145">
        <v>40599</v>
      </c>
      <c r="I907" s="133">
        <v>0.17</v>
      </c>
      <c r="J907" s="134">
        <f>IF(Tabela8[[#This Row],[Tipo]]="jcp",Tabela8[[#This Row],[Provento p/Ação]]*85%,Tabela8[[#This Row],[Provento p/Ação]])</f>
        <v>0.14450000000000002</v>
      </c>
      <c r="K907" s="133" t="str">
        <f>IF([Lucro p/Ação]&lt;&gt;0,SUMPRODUCT(N([Papel]=Tabela8[[#This Row],[Papel]]),N([Exercício]=Tabela8[[#This Row],[Exercício]]),[Líquido p/Ação]),"")</f>
        <v/>
      </c>
      <c r="L907" s="42" t="str">
        <f>IF(Tabela8[[#This Row],[Lucro p/Ação]]="","",IF(Tabela8[[#This Row],[Lucro p/Ação]]&gt;0,Tabela8[[#This Row],[Total Exercício]]/Tabela8[[#This Row],[Lucro p/Ação]],0))</f>
        <v/>
      </c>
      <c r="M90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0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07" s="87" t="str">
        <f>IF(Tabela8[[#This Row],[Média Lucro p/Ação]]&lt;&gt;"",Tabela8[[#This Row],[Média Pago]]/Tabela8[[#This Row],[Média Lucro p/Ação]],"")</f>
        <v/>
      </c>
      <c r="P9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7" s="134">
        <f>SUMPRODUCT(N(Tabela1[Código]=Tabela8[[#This Row],[Papel]]),Tabela1[Fechamento])</f>
        <v>0</v>
      </c>
      <c r="R907" s="17">
        <f>SUMPRODUCT(N(Tabela17[Código]=Tabela8[[#This Row],[Papel]]),Tabela17[Fechamento])</f>
        <v>13.5</v>
      </c>
      <c r="S907" s="17">
        <f>SUMPRODUCT(N(Tabela176[Código]=Tabela8[[#This Row],[Papel]]),Tabela176[Fechamento])</f>
        <v>0</v>
      </c>
      <c r="T907" s="17">
        <f>SUMPRODUCT(N(Tabela1768[Código]=Tabela8[[#This Row],[Papel]]),Tabela1768[Fechamento])</f>
        <v>0</v>
      </c>
      <c r="U907" s="17">
        <f>SUMPRODUCT(N(Tabela17683[Código]=Tabela8[[#This Row],[Papel]]),Tabela17683[Fechamento])</f>
        <v>0</v>
      </c>
      <c r="V907" s="17">
        <f>IF(MAX(Tabela8[[#This Row],[Cotação 1]]:Tabela8[[#This Row],[Cotação 5]])=0,"",MAX(Tabela8[[#This Row],[Cotação 1]]:Tabela8[[#This Row],[Cotação 5]]))</f>
        <v>13.5</v>
      </c>
      <c r="W9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7" s="19" t="str">
        <f>IF(AND([Ref]=5,[Cotação]&gt;0,[Cotação]&lt;&gt;""),[Total Exercício]/[Cotação],IF([Ref]&lt;4,0,""))</f>
        <v/>
      </c>
      <c r="Y907" s="14">
        <f>IF([Tipo]="div",1,0)</f>
        <v>0</v>
      </c>
      <c r="Z907" s="14">
        <f>IF([Tipo]="jcp",1,0)</f>
        <v>1</v>
      </c>
    </row>
    <row r="908" spans="1:26" hidden="1">
      <c r="A908" s="4" t="s">
        <v>236</v>
      </c>
      <c r="B908" s="3" t="s">
        <v>20</v>
      </c>
      <c r="C908" s="15">
        <v>5</v>
      </c>
      <c r="D908" s="4">
        <v>2010</v>
      </c>
      <c r="E908" s="14" t="s">
        <v>1468</v>
      </c>
      <c r="F908" s="133">
        <v>3.55</v>
      </c>
      <c r="G908" s="145">
        <v>40599</v>
      </c>
      <c r="I908" s="133">
        <v>0.12</v>
      </c>
      <c r="J908" s="134">
        <f>IF(Tabela8[[#This Row],[Tipo]]="jcp",Tabela8[[#This Row],[Provento p/Ação]]*85%,Tabela8[[#This Row],[Provento p/Ação]])</f>
        <v>0.12</v>
      </c>
      <c r="K908" s="133">
        <f>IF([Lucro p/Ação]&lt;&gt;0,SUMPRODUCT(N([Papel]=Tabela8[[#This Row],[Papel]]),N([Exercício]=Tabela8[[#This Row],[Exercício]]),[Líquido p/Ação]),"")</f>
        <v>0.89350000000000007</v>
      </c>
      <c r="L908" s="42">
        <f>IF(Tabela8[[#This Row],[Lucro p/Ação]]="","",IF(Tabela8[[#This Row],[Lucro p/Ação]]&gt;0,Tabela8[[#This Row],[Total Exercício]]/Tabela8[[#This Row],[Lucro p/Ação]],0))</f>
        <v>0.25169014084507046</v>
      </c>
      <c r="M90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3.55</v>
      </c>
      <c r="N90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0.89350000000000007</v>
      </c>
      <c r="O908" s="87">
        <f>IF(Tabela8[[#This Row],[Média Lucro p/Ação]]&lt;&gt;"",Tabela8[[#This Row],[Média Pago]]/Tabela8[[#This Row],[Média Lucro p/Ação]],"")</f>
        <v>0.25169014084507046</v>
      </c>
      <c r="P9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8" s="134">
        <f>SUMPRODUCT(N(Tabela1[Código]=Tabela8[[#This Row],[Papel]]),Tabela1[Fechamento])</f>
        <v>0</v>
      </c>
      <c r="R908" s="7">
        <f>SUMPRODUCT(N(Tabela17[Código]=Tabela8[[#This Row],[Papel]]),Tabela17[Fechamento])</f>
        <v>12.95</v>
      </c>
      <c r="S908" s="7">
        <f>SUMPRODUCT(N(Tabela176[Código]=Tabela8[[#This Row],[Papel]]),Tabela176[Fechamento])</f>
        <v>0</v>
      </c>
      <c r="T908" s="7">
        <f>SUMPRODUCT(N(Tabela1768[Código]=Tabela8[[#This Row],[Papel]]),Tabela1768[Fechamento])</f>
        <v>0</v>
      </c>
      <c r="U908" s="7">
        <f>SUMPRODUCT(N(Tabela17683[Código]=Tabela8[[#This Row],[Papel]]),Tabela17683[Fechamento])</f>
        <v>0</v>
      </c>
      <c r="V908" s="7">
        <f>IF(MAX(Tabela8[[#This Row],[Cotação 1]]:Tabela8[[#This Row],[Cotação 5]])=0,"",MAX(Tabela8[[#This Row],[Cotação 1]]:Tabela8[[#This Row],[Cotação 5]]))</f>
        <v>12.95</v>
      </c>
      <c r="W9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8" s="19">
        <f>IF(AND([Ref]=5,[Cotação]&gt;0,[Cotação]&lt;&gt;""),[Total Exercício]/[Cotação],IF([Ref]&lt;4,0,""))</f>
        <v>6.8996138996139003E-2</v>
      </c>
      <c r="Y908" s="14">
        <f>IF([Tipo]="div",1,0)</f>
        <v>1</v>
      </c>
      <c r="Z908" s="14">
        <f>IF([Tipo]="jcp",1,0)</f>
        <v>0</v>
      </c>
    </row>
    <row r="909" spans="1:26" hidden="1">
      <c r="A909" s="4" t="s">
        <v>236</v>
      </c>
      <c r="B909" s="3" t="s">
        <v>21</v>
      </c>
      <c r="C909" s="15">
        <v>5</v>
      </c>
      <c r="D909" s="4">
        <v>2010</v>
      </c>
      <c r="E909" s="14" t="s">
        <v>1468</v>
      </c>
      <c r="F909" s="133">
        <v>3.55</v>
      </c>
      <c r="G909" s="145">
        <v>40599</v>
      </c>
      <c r="I909" s="133">
        <v>0.12</v>
      </c>
      <c r="J909" s="134">
        <f>IF(Tabela8[[#This Row],[Tipo]]="jcp",Tabela8[[#This Row],[Provento p/Ação]]*85%,Tabela8[[#This Row],[Provento p/Ação]])</f>
        <v>0.12</v>
      </c>
      <c r="K909" s="133">
        <f>IF([Lucro p/Ação]&lt;&gt;0,SUMPRODUCT(N([Papel]=Tabela8[[#This Row],[Papel]]),N([Exercício]=Tabela8[[#This Row],[Exercício]]),[Líquido p/Ação]),"")</f>
        <v>0.89350000000000007</v>
      </c>
      <c r="L909" s="42">
        <f>IF(Tabela8[[#This Row],[Lucro p/Ação]]="","",IF(Tabela8[[#This Row],[Lucro p/Ação]]&gt;0,Tabela8[[#This Row],[Total Exercício]]/Tabela8[[#This Row],[Lucro p/Ação]],0))</f>
        <v>0.25169014084507046</v>
      </c>
      <c r="M90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3.55</v>
      </c>
      <c r="N90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0.89350000000000007</v>
      </c>
      <c r="O909" s="87">
        <f>IF(Tabela8[[#This Row],[Média Lucro p/Ação]]&lt;&gt;"",Tabela8[[#This Row],[Média Pago]]/Tabela8[[#This Row],[Média Lucro p/Ação]],"")</f>
        <v>0.25169014084507046</v>
      </c>
      <c r="P9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09" s="134">
        <f>SUMPRODUCT(N(Tabela1[Código]=Tabela8[[#This Row],[Papel]]),Tabela1[Fechamento])</f>
        <v>0</v>
      </c>
      <c r="R909" s="17">
        <f>SUMPRODUCT(N(Tabela17[Código]=Tabela8[[#This Row],[Papel]]),Tabela17[Fechamento])</f>
        <v>13.5</v>
      </c>
      <c r="S909" s="17">
        <f>SUMPRODUCT(N(Tabela176[Código]=Tabela8[[#This Row],[Papel]]),Tabela176[Fechamento])</f>
        <v>0</v>
      </c>
      <c r="T909" s="17">
        <f>SUMPRODUCT(N(Tabela1768[Código]=Tabela8[[#This Row],[Papel]]),Tabela1768[Fechamento])</f>
        <v>0</v>
      </c>
      <c r="U909" s="17">
        <f>SUMPRODUCT(N(Tabela17683[Código]=Tabela8[[#This Row],[Papel]]),Tabela17683[Fechamento])</f>
        <v>0</v>
      </c>
      <c r="V909" s="17">
        <f>IF(MAX(Tabela8[[#This Row],[Cotação 1]]:Tabela8[[#This Row],[Cotação 5]])=0,"",MAX(Tabela8[[#This Row],[Cotação 1]]:Tabela8[[#This Row],[Cotação 5]]))</f>
        <v>13.5</v>
      </c>
      <c r="W9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09" s="19">
        <f>IF(AND([Ref]=5,[Cotação]&gt;0,[Cotação]&lt;&gt;""),[Total Exercício]/[Cotação],IF([Ref]&lt;4,0,""))</f>
        <v>6.6185185185185194E-2</v>
      </c>
      <c r="Y909" s="14">
        <f>IF([Tipo]="div",1,0)</f>
        <v>1</v>
      </c>
      <c r="Z909" s="14">
        <f>IF([Tipo]="jcp",1,0)</f>
        <v>0</v>
      </c>
    </row>
    <row r="910" spans="1:26" hidden="1">
      <c r="A910" s="4" t="s">
        <v>236</v>
      </c>
      <c r="B910" s="3" t="s">
        <v>20</v>
      </c>
      <c r="C910" s="15">
        <v>4</v>
      </c>
      <c r="D910" s="4">
        <v>2011</v>
      </c>
      <c r="E910" s="14" t="s">
        <v>1475</v>
      </c>
      <c r="G910" s="145">
        <v>40599</v>
      </c>
      <c r="H910" s="46">
        <v>40633</v>
      </c>
      <c r="I910" s="133">
        <v>0.17</v>
      </c>
      <c r="J910" s="134">
        <f>IF(Tabela8[[#This Row],[Tipo]]="jcp",Tabela8[[#This Row],[Provento p/Ação]]*85%,Tabela8[[#This Row],[Provento p/Ação]])</f>
        <v>0.14450000000000002</v>
      </c>
      <c r="K910" s="133" t="str">
        <f>IF([Lucro p/Ação]&lt;&gt;0,SUMPRODUCT(N([Papel]=Tabela8[[#This Row],[Papel]]),N([Exercício]=Tabela8[[#This Row],[Exercício]]),[Líquido p/Ação]),"")</f>
        <v/>
      </c>
      <c r="L910" s="42" t="str">
        <f>IF(Tabela8[[#This Row],[Lucro p/Ação]]="","",IF(Tabela8[[#This Row],[Lucro p/Ação]]&gt;0,Tabela8[[#This Row],[Total Exercício]]/Tabela8[[#This Row],[Lucro p/Ação]],0))</f>
        <v/>
      </c>
      <c r="M91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0" s="87" t="str">
        <f>IF(Tabela8[[#This Row],[Média Lucro p/Ação]]&lt;&gt;"",Tabela8[[#This Row],[Média Pago]]/Tabela8[[#This Row],[Média Lucro p/Ação]],"")</f>
        <v/>
      </c>
      <c r="P9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0" s="134">
        <f>SUMPRODUCT(N(Tabela1[Código]=Tabela8[[#This Row],[Papel]]),Tabela1[Fechamento])</f>
        <v>0</v>
      </c>
      <c r="R910" s="7">
        <f>SUMPRODUCT(N(Tabela17[Código]=Tabela8[[#This Row],[Papel]]),Tabela17[Fechamento])</f>
        <v>12.95</v>
      </c>
      <c r="S910" s="7">
        <f>SUMPRODUCT(N(Tabela176[Código]=Tabela8[[#This Row],[Papel]]),Tabela176[Fechamento])</f>
        <v>0</v>
      </c>
      <c r="T910" s="7">
        <f>SUMPRODUCT(N(Tabela1768[Código]=Tabela8[[#This Row],[Papel]]),Tabela1768[Fechamento])</f>
        <v>0</v>
      </c>
      <c r="U910" s="7">
        <f>SUMPRODUCT(N(Tabela17683[Código]=Tabela8[[#This Row],[Papel]]),Tabela17683[Fechamento])</f>
        <v>0</v>
      </c>
      <c r="V910" s="7">
        <f>IF(MAX(Tabela8[[#This Row],[Cotação 1]]:Tabela8[[#This Row],[Cotação 5]])=0,"",MAX(Tabela8[[#This Row],[Cotação 1]]:Tabela8[[#This Row],[Cotação 5]]))</f>
        <v>12.95</v>
      </c>
      <c r="W9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0" s="19" t="str">
        <f>IF(AND([Ref]=5,[Cotação]&gt;0,[Cotação]&lt;&gt;""),[Total Exercício]/[Cotação],IF([Ref]&lt;4,0,""))</f>
        <v/>
      </c>
      <c r="Y910" s="14">
        <f>IF([Tipo]="div",1,0)</f>
        <v>0</v>
      </c>
      <c r="Z910" s="14">
        <f>IF([Tipo]="jcp",1,0)</f>
        <v>1</v>
      </c>
    </row>
    <row r="911" spans="1:26" hidden="1">
      <c r="A911" s="4" t="s">
        <v>236</v>
      </c>
      <c r="B911" s="3" t="s">
        <v>21</v>
      </c>
      <c r="C911" s="15">
        <v>4</v>
      </c>
      <c r="D911" s="4">
        <v>2011</v>
      </c>
      <c r="E911" s="14" t="s">
        <v>1475</v>
      </c>
      <c r="G911" s="145">
        <v>40599</v>
      </c>
      <c r="H911" s="46">
        <v>40633</v>
      </c>
      <c r="I911" s="133">
        <v>0.17</v>
      </c>
      <c r="J911" s="134">
        <f>IF(Tabela8[[#This Row],[Tipo]]="jcp",Tabela8[[#This Row],[Provento p/Ação]]*85%,Tabela8[[#This Row],[Provento p/Ação]])</f>
        <v>0.14450000000000002</v>
      </c>
      <c r="K911" s="133" t="str">
        <f>IF([Lucro p/Ação]&lt;&gt;0,SUMPRODUCT(N([Papel]=Tabela8[[#This Row],[Papel]]),N([Exercício]=Tabela8[[#This Row],[Exercício]]),[Líquido p/Ação]),"")</f>
        <v/>
      </c>
      <c r="L911" s="42" t="str">
        <f>IF(Tabela8[[#This Row],[Lucro p/Ação]]="","",IF(Tabela8[[#This Row],[Lucro p/Ação]]&gt;0,Tabela8[[#This Row],[Total Exercício]]/Tabela8[[#This Row],[Lucro p/Ação]],0))</f>
        <v/>
      </c>
      <c r="M9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1" s="87" t="str">
        <f>IF(Tabela8[[#This Row],[Média Lucro p/Ação]]&lt;&gt;"",Tabela8[[#This Row],[Média Pago]]/Tabela8[[#This Row],[Média Lucro p/Ação]],"")</f>
        <v/>
      </c>
      <c r="P9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1" s="134">
        <f>SUMPRODUCT(N(Tabela1[Código]=Tabela8[[#This Row],[Papel]]),Tabela1[Fechamento])</f>
        <v>0</v>
      </c>
      <c r="R911" s="17">
        <f>SUMPRODUCT(N(Tabela17[Código]=Tabela8[[#This Row],[Papel]]),Tabela17[Fechamento])</f>
        <v>13.5</v>
      </c>
      <c r="S911" s="17">
        <f>SUMPRODUCT(N(Tabela176[Código]=Tabela8[[#This Row],[Papel]]),Tabela176[Fechamento])</f>
        <v>0</v>
      </c>
      <c r="T911" s="17">
        <f>SUMPRODUCT(N(Tabela1768[Código]=Tabela8[[#This Row],[Papel]]),Tabela1768[Fechamento])</f>
        <v>0</v>
      </c>
      <c r="U911" s="17">
        <f>SUMPRODUCT(N(Tabela17683[Código]=Tabela8[[#This Row],[Papel]]),Tabela17683[Fechamento])</f>
        <v>0</v>
      </c>
      <c r="V911" s="17">
        <f>IF(MAX(Tabela8[[#This Row],[Cotação 1]]:Tabela8[[#This Row],[Cotação 5]])=0,"",MAX(Tabela8[[#This Row],[Cotação 1]]:Tabela8[[#This Row],[Cotação 5]]))</f>
        <v>13.5</v>
      </c>
      <c r="W9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1" s="19" t="str">
        <f>IF(AND([Ref]=5,[Cotação]&gt;0,[Cotação]&lt;&gt;""),[Total Exercício]/[Cotação],IF([Ref]&lt;4,0,""))</f>
        <v/>
      </c>
      <c r="Y911" s="14">
        <f>IF([Tipo]="div",1,0)</f>
        <v>0</v>
      </c>
      <c r="Z911" s="14">
        <f>IF([Tipo]="jcp",1,0)</f>
        <v>1</v>
      </c>
    </row>
    <row r="912" spans="1:26" hidden="1">
      <c r="A912" s="4" t="s">
        <v>236</v>
      </c>
      <c r="B912" s="3" t="s">
        <v>20</v>
      </c>
      <c r="C912" s="15">
        <v>4</v>
      </c>
      <c r="D912" s="4">
        <v>2011</v>
      </c>
      <c r="E912" s="14" t="s">
        <v>1468</v>
      </c>
      <c r="G912" s="145">
        <v>40661</v>
      </c>
      <c r="H912" s="46">
        <v>40721</v>
      </c>
      <c r="I912" s="133">
        <v>0.12</v>
      </c>
      <c r="J912" s="134">
        <f>IF(Tabela8[[#This Row],[Tipo]]="jcp",Tabela8[[#This Row],[Provento p/Ação]]*85%,Tabela8[[#This Row],[Provento p/Ação]])</f>
        <v>0.12</v>
      </c>
      <c r="K912" s="133" t="str">
        <f>IF([Lucro p/Ação]&lt;&gt;0,SUMPRODUCT(N([Papel]=Tabela8[[#This Row],[Papel]]),N([Exercício]=Tabela8[[#This Row],[Exercício]]),[Líquido p/Ação]),"")</f>
        <v/>
      </c>
      <c r="L912" s="42" t="str">
        <f>IF(Tabela8[[#This Row],[Lucro p/Ação]]="","",IF(Tabela8[[#This Row],[Lucro p/Ação]]&gt;0,Tabela8[[#This Row],[Total Exercício]]/Tabela8[[#This Row],[Lucro p/Ação]],0))</f>
        <v/>
      </c>
      <c r="M9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2" s="87" t="str">
        <f>IF(Tabela8[[#This Row],[Média Lucro p/Ação]]&lt;&gt;"",Tabela8[[#This Row],[Média Pago]]/Tabela8[[#This Row],[Média Lucro p/Ação]],"")</f>
        <v/>
      </c>
      <c r="P9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2" s="134">
        <f>SUMPRODUCT(N(Tabela1[Código]=Tabela8[[#This Row],[Papel]]),Tabela1[Fechamento])</f>
        <v>0</v>
      </c>
      <c r="R912" s="7">
        <f>SUMPRODUCT(N(Tabela17[Código]=Tabela8[[#This Row],[Papel]]),Tabela17[Fechamento])</f>
        <v>12.95</v>
      </c>
      <c r="S912" s="7">
        <f>SUMPRODUCT(N(Tabela176[Código]=Tabela8[[#This Row],[Papel]]),Tabela176[Fechamento])</f>
        <v>0</v>
      </c>
      <c r="T912" s="7">
        <f>SUMPRODUCT(N(Tabela1768[Código]=Tabela8[[#This Row],[Papel]]),Tabela1768[Fechamento])</f>
        <v>0</v>
      </c>
      <c r="U912" s="7">
        <f>SUMPRODUCT(N(Tabela17683[Código]=Tabela8[[#This Row],[Papel]]),Tabela17683[Fechamento])</f>
        <v>0</v>
      </c>
      <c r="V912" s="7">
        <f>IF(MAX(Tabela8[[#This Row],[Cotação 1]]:Tabela8[[#This Row],[Cotação 5]])=0,"",MAX(Tabela8[[#This Row],[Cotação 1]]:Tabela8[[#This Row],[Cotação 5]]))</f>
        <v>12.95</v>
      </c>
      <c r="W9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2" s="19" t="str">
        <f>IF(AND([Ref]=5,[Cotação]&gt;0,[Cotação]&lt;&gt;""),[Total Exercício]/[Cotação],IF([Ref]&lt;4,0,""))</f>
        <v/>
      </c>
      <c r="Y912" s="14">
        <f>IF([Tipo]="div",1,0)</f>
        <v>1</v>
      </c>
      <c r="Z912" s="14">
        <f>IF([Tipo]="jcp",1,0)</f>
        <v>0</v>
      </c>
    </row>
    <row r="913" spans="1:26" hidden="1">
      <c r="A913" s="4" t="s">
        <v>236</v>
      </c>
      <c r="B913" s="3" t="s">
        <v>21</v>
      </c>
      <c r="C913" s="15">
        <v>4</v>
      </c>
      <c r="D913" s="4">
        <v>2011</v>
      </c>
      <c r="E913" s="14" t="s">
        <v>1468</v>
      </c>
      <c r="G913" s="145">
        <v>40661</v>
      </c>
      <c r="H913" s="46">
        <v>40721</v>
      </c>
      <c r="I913" s="133">
        <v>0.12</v>
      </c>
      <c r="J913" s="134">
        <f>IF(Tabela8[[#This Row],[Tipo]]="jcp",Tabela8[[#This Row],[Provento p/Ação]]*85%,Tabela8[[#This Row],[Provento p/Ação]])</f>
        <v>0.12</v>
      </c>
      <c r="K913" s="133" t="str">
        <f>IF([Lucro p/Ação]&lt;&gt;0,SUMPRODUCT(N([Papel]=Tabela8[[#This Row],[Papel]]),N([Exercício]=Tabela8[[#This Row],[Exercício]]),[Líquido p/Ação]),"")</f>
        <v/>
      </c>
      <c r="L913" s="42" t="str">
        <f>IF(Tabela8[[#This Row],[Lucro p/Ação]]="","",IF(Tabela8[[#This Row],[Lucro p/Ação]]&gt;0,Tabela8[[#This Row],[Total Exercício]]/Tabela8[[#This Row],[Lucro p/Ação]],0))</f>
        <v/>
      </c>
      <c r="M9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3" s="87" t="str">
        <f>IF(Tabela8[[#This Row],[Média Lucro p/Ação]]&lt;&gt;"",Tabela8[[#This Row],[Média Pago]]/Tabela8[[#This Row],[Média Lucro p/Ação]],"")</f>
        <v/>
      </c>
      <c r="P9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3" s="134">
        <f>SUMPRODUCT(N(Tabela1[Código]=Tabela8[[#This Row],[Papel]]),Tabela1[Fechamento])</f>
        <v>0</v>
      </c>
      <c r="R913" s="7">
        <f>SUMPRODUCT(N(Tabela17[Código]=Tabela8[[#This Row],[Papel]]),Tabela17[Fechamento])</f>
        <v>13.5</v>
      </c>
      <c r="S913" s="7">
        <f>SUMPRODUCT(N(Tabela176[Código]=Tabela8[[#This Row],[Papel]]),Tabela176[Fechamento])</f>
        <v>0</v>
      </c>
      <c r="T913" s="7">
        <f>SUMPRODUCT(N(Tabela1768[Código]=Tabela8[[#This Row],[Papel]]),Tabela1768[Fechamento])</f>
        <v>0</v>
      </c>
      <c r="U913" s="7">
        <f>SUMPRODUCT(N(Tabela17683[Código]=Tabela8[[#This Row],[Papel]]),Tabela17683[Fechamento])</f>
        <v>0</v>
      </c>
      <c r="V913" s="7">
        <f>IF(MAX(Tabela8[[#This Row],[Cotação 1]]:Tabela8[[#This Row],[Cotação 5]])=0,"",MAX(Tabela8[[#This Row],[Cotação 1]]:Tabela8[[#This Row],[Cotação 5]]))</f>
        <v>13.5</v>
      </c>
      <c r="W9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3" s="19" t="str">
        <f>IF(AND([Ref]=5,[Cotação]&gt;0,[Cotação]&lt;&gt;""),[Total Exercício]/[Cotação],IF([Ref]&lt;4,0,""))</f>
        <v/>
      </c>
      <c r="Y913" s="14">
        <f>IF([Tipo]="div",1,0)</f>
        <v>1</v>
      </c>
      <c r="Z913" s="14">
        <f>IF([Tipo]="jcp",1,0)</f>
        <v>0</v>
      </c>
    </row>
    <row r="914" spans="1:26" hidden="1">
      <c r="A914" s="4" t="s">
        <v>236</v>
      </c>
      <c r="B914" s="3" t="s">
        <v>20</v>
      </c>
      <c r="C914" s="15">
        <v>4</v>
      </c>
      <c r="D914" s="4">
        <v>2011</v>
      </c>
      <c r="E914" s="14" t="s">
        <v>1475</v>
      </c>
      <c r="G914" s="145">
        <v>40662</v>
      </c>
      <c r="H914" s="46">
        <v>40694</v>
      </c>
      <c r="I914" s="133">
        <v>0.2</v>
      </c>
      <c r="J914" s="134">
        <f>IF(Tabela8[[#This Row],[Tipo]]="jcp",Tabela8[[#This Row],[Provento p/Ação]]*85%,Tabela8[[#This Row],[Provento p/Ação]])</f>
        <v>0.17</v>
      </c>
      <c r="K914" s="133" t="str">
        <f>IF([Lucro p/Ação]&lt;&gt;0,SUMPRODUCT(N([Papel]=Tabela8[[#This Row],[Papel]]),N([Exercício]=Tabela8[[#This Row],[Exercício]]),[Líquido p/Ação]),"")</f>
        <v/>
      </c>
      <c r="L914" s="42" t="str">
        <f>IF(Tabela8[[#This Row],[Lucro p/Ação]]="","",IF(Tabela8[[#This Row],[Lucro p/Ação]]&gt;0,Tabela8[[#This Row],[Total Exercício]]/Tabela8[[#This Row],[Lucro p/Ação]],0))</f>
        <v/>
      </c>
      <c r="M9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4" s="87" t="str">
        <f>IF(Tabela8[[#This Row],[Média Lucro p/Ação]]&lt;&gt;"",Tabela8[[#This Row],[Média Pago]]/Tabela8[[#This Row],[Média Lucro p/Ação]],"")</f>
        <v/>
      </c>
      <c r="P9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4" s="134">
        <f>SUMPRODUCT(N(Tabela1[Código]=Tabela8[[#This Row],[Papel]]),Tabela1[Fechamento])</f>
        <v>0</v>
      </c>
      <c r="R914" s="7">
        <f>SUMPRODUCT(N(Tabela17[Código]=Tabela8[[#This Row],[Papel]]),Tabela17[Fechamento])</f>
        <v>12.95</v>
      </c>
      <c r="S914" s="7">
        <f>SUMPRODUCT(N(Tabela176[Código]=Tabela8[[#This Row],[Papel]]),Tabela176[Fechamento])</f>
        <v>0</v>
      </c>
      <c r="T914" s="7">
        <f>SUMPRODUCT(N(Tabela1768[Código]=Tabela8[[#This Row],[Papel]]),Tabela1768[Fechamento])</f>
        <v>0</v>
      </c>
      <c r="U914" s="7">
        <f>SUMPRODUCT(N(Tabela17683[Código]=Tabela8[[#This Row],[Papel]]),Tabela17683[Fechamento])</f>
        <v>0</v>
      </c>
      <c r="V914" s="7">
        <f>IF(MAX(Tabela8[[#This Row],[Cotação 1]]:Tabela8[[#This Row],[Cotação 5]])=0,"",MAX(Tabela8[[#This Row],[Cotação 1]]:Tabela8[[#This Row],[Cotação 5]]))</f>
        <v>12.95</v>
      </c>
      <c r="W9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4" s="19" t="str">
        <f>IF(AND([Ref]=5,[Cotação]&gt;0,[Cotação]&lt;&gt;""),[Total Exercício]/[Cotação],IF([Ref]&lt;4,0,""))</f>
        <v/>
      </c>
      <c r="Y914" s="14">
        <f>IF([Tipo]="div",1,0)</f>
        <v>0</v>
      </c>
      <c r="Z914" s="14">
        <f>IF([Tipo]="jcp",1,0)</f>
        <v>1</v>
      </c>
    </row>
    <row r="915" spans="1:26" hidden="1">
      <c r="A915" s="4" t="s">
        <v>236</v>
      </c>
      <c r="B915" s="3" t="s">
        <v>21</v>
      </c>
      <c r="C915" s="15">
        <v>4</v>
      </c>
      <c r="D915" s="4">
        <v>2011</v>
      </c>
      <c r="E915" s="14" t="s">
        <v>1475</v>
      </c>
      <c r="G915" s="145">
        <v>40662</v>
      </c>
      <c r="H915" s="46">
        <v>40694</v>
      </c>
      <c r="I915" s="133">
        <v>0.2</v>
      </c>
      <c r="J915" s="134">
        <f>IF(Tabela8[[#This Row],[Tipo]]="jcp",Tabela8[[#This Row],[Provento p/Ação]]*85%,Tabela8[[#This Row],[Provento p/Ação]])</f>
        <v>0.17</v>
      </c>
      <c r="K915" s="133" t="str">
        <f>IF([Lucro p/Ação]&lt;&gt;0,SUMPRODUCT(N([Papel]=Tabela8[[#This Row],[Papel]]),N([Exercício]=Tabela8[[#This Row],[Exercício]]),[Líquido p/Ação]),"")</f>
        <v/>
      </c>
      <c r="L915" s="42" t="str">
        <f>IF(Tabela8[[#This Row],[Lucro p/Ação]]="","",IF(Tabela8[[#This Row],[Lucro p/Ação]]&gt;0,Tabela8[[#This Row],[Total Exercício]]/Tabela8[[#This Row],[Lucro p/Ação]],0))</f>
        <v/>
      </c>
      <c r="M9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5" s="87" t="str">
        <f>IF(Tabela8[[#This Row],[Média Lucro p/Ação]]&lt;&gt;"",Tabela8[[#This Row],[Média Pago]]/Tabela8[[#This Row],[Média Lucro p/Ação]],"")</f>
        <v/>
      </c>
      <c r="P9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5" s="134">
        <f>SUMPRODUCT(N(Tabela1[Código]=Tabela8[[#This Row],[Papel]]),Tabela1[Fechamento])</f>
        <v>0</v>
      </c>
      <c r="R915" s="7">
        <f>SUMPRODUCT(N(Tabela17[Código]=Tabela8[[#This Row],[Papel]]),Tabela17[Fechamento])</f>
        <v>13.5</v>
      </c>
      <c r="S915" s="7">
        <f>SUMPRODUCT(N(Tabela176[Código]=Tabela8[[#This Row],[Papel]]),Tabela176[Fechamento])</f>
        <v>0</v>
      </c>
      <c r="T915" s="7">
        <f>SUMPRODUCT(N(Tabela1768[Código]=Tabela8[[#This Row],[Papel]]),Tabela1768[Fechamento])</f>
        <v>0</v>
      </c>
      <c r="U915" s="7">
        <f>SUMPRODUCT(N(Tabela17683[Código]=Tabela8[[#This Row],[Papel]]),Tabela17683[Fechamento])</f>
        <v>0</v>
      </c>
      <c r="V915" s="7">
        <f>IF(MAX(Tabela8[[#This Row],[Cotação 1]]:Tabela8[[#This Row],[Cotação 5]])=0,"",MAX(Tabela8[[#This Row],[Cotação 1]]:Tabela8[[#This Row],[Cotação 5]]))</f>
        <v>13.5</v>
      </c>
      <c r="W9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5" s="19" t="str">
        <f>IF(AND([Ref]=5,[Cotação]&gt;0,[Cotação]&lt;&gt;""),[Total Exercício]/[Cotação],IF([Ref]&lt;4,0,""))</f>
        <v/>
      </c>
      <c r="Y915" s="14">
        <f>IF([Tipo]="div",1,0)</f>
        <v>0</v>
      </c>
      <c r="Z915" s="14">
        <f>IF([Tipo]="jcp",1,0)</f>
        <v>1</v>
      </c>
    </row>
    <row r="916" spans="1:26" hidden="1">
      <c r="A916" s="4" t="s">
        <v>236</v>
      </c>
      <c r="B916" s="3" t="s">
        <v>20</v>
      </c>
      <c r="C916" s="15">
        <v>4</v>
      </c>
      <c r="D916" s="4">
        <v>2011</v>
      </c>
      <c r="E916" s="14" t="s">
        <v>1475</v>
      </c>
      <c r="G916" s="145">
        <v>40746</v>
      </c>
      <c r="H916" s="46">
        <v>40786</v>
      </c>
      <c r="I916" s="133">
        <v>0.2</v>
      </c>
      <c r="J916" s="134">
        <f>IF(Tabela8[[#This Row],[Tipo]]="jcp",Tabela8[[#This Row],[Provento p/Ação]]*85%,Tabela8[[#This Row],[Provento p/Ação]])</f>
        <v>0.17</v>
      </c>
      <c r="K916" s="133" t="str">
        <f>IF([Lucro p/Ação]&lt;&gt;0,SUMPRODUCT(N([Papel]=Tabela8[[#This Row],[Papel]]),N([Exercício]=Tabela8[[#This Row],[Exercício]]),[Líquido p/Ação]),"")</f>
        <v/>
      </c>
      <c r="L916" s="42" t="str">
        <f>IF(Tabela8[[#This Row],[Lucro p/Ação]]="","",IF(Tabela8[[#This Row],[Lucro p/Ação]]&gt;0,Tabela8[[#This Row],[Total Exercício]]/Tabela8[[#This Row],[Lucro p/Ação]],0))</f>
        <v/>
      </c>
      <c r="M9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6" s="87" t="str">
        <f>IF(Tabela8[[#This Row],[Média Lucro p/Ação]]&lt;&gt;"",Tabela8[[#This Row],[Média Pago]]/Tabela8[[#This Row],[Média Lucro p/Ação]],"")</f>
        <v/>
      </c>
      <c r="P9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6" s="134">
        <f>SUMPRODUCT(N(Tabela1[Código]=Tabela8[[#This Row],[Papel]]),Tabela1[Fechamento])</f>
        <v>0</v>
      </c>
      <c r="R916" s="7">
        <f>SUMPRODUCT(N(Tabela17[Código]=Tabela8[[#This Row],[Papel]]),Tabela17[Fechamento])</f>
        <v>12.95</v>
      </c>
      <c r="S916" s="7">
        <f>SUMPRODUCT(N(Tabela176[Código]=Tabela8[[#This Row],[Papel]]),Tabela176[Fechamento])</f>
        <v>0</v>
      </c>
      <c r="T916" s="7">
        <f>SUMPRODUCT(N(Tabela1768[Código]=Tabela8[[#This Row],[Papel]]),Tabela1768[Fechamento])</f>
        <v>0</v>
      </c>
      <c r="U916" s="7">
        <f>SUMPRODUCT(N(Tabela17683[Código]=Tabela8[[#This Row],[Papel]]),Tabela17683[Fechamento])</f>
        <v>0</v>
      </c>
      <c r="V916" s="7">
        <f>IF(MAX(Tabela8[[#This Row],[Cotação 1]]:Tabela8[[#This Row],[Cotação 5]])=0,"",MAX(Tabela8[[#This Row],[Cotação 1]]:Tabela8[[#This Row],[Cotação 5]]))</f>
        <v>12.95</v>
      </c>
      <c r="W9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6" s="19" t="str">
        <f>IF(AND([Ref]=5,[Cotação]&gt;0,[Cotação]&lt;&gt;""),[Total Exercício]/[Cotação],IF([Ref]&lt;4,0,""))</f>
        <v/>
      </c>
      <c r="Y916" s="14">
        <f>IF([Tipo]="div",1,0)</f>
        <v>0</v>
      </c>
      <c r="Z916" s="14">
        <f>IF([Tipo]="jcp",1,0)</f>
        <v>1</v>
      </c>
    </row>
    <row r="917" spans="1:26" hidden="1">
      <c r="A917" s="4" t="s">
        <v>236</v>
      </c>
      <c r="B917" s="3" t="s">
        <v>21</v>
      </c>
      <c r="C917" s="15">
        <v>4</v>
      </c>
      <c r="D917" s="4">
        <v>2011</v>
      </c>
      <c r="E917" s="14" t="s">
        <v>1475</v>
      </c>
      <c r="G917" s="145">
        <v>40746</v>
      </c>
      <c r="H917" s="46">
        <v>40786</v>
      </c>
      <c r="I917" s="133">
        <v>0.2</v>
      </c>
      <c r="J917" s="134">
        <f>IF(Tabela8[[#This Row],[Tipo]]="jcp",Tabela8[[#This Row],[Provento p/Ação]]*85%,Tabela8[[#This Row],[Provento p/Ação]])</f>
        <v>0.17</v>
      </c>
      <c r="K917" s="133" t="str">
        <f>IF([Lucro p/Ação]&lt;&gt;0,SUMPRODUCT(N([Papel]=Tabela8[[#This Row],[Papel]]),N([Exercício]=Tabela8[[#This Row],[Exercício]]),[Líquido p/Ação]),"")</f>
        <v/>
      </c>
      <c r="L917" s="42" t="str">
        <f>IF(Tabela8[[#This Row],[Lucro p/Ação]]="","",IF(Tabela8[[#This Row],[Lucro p/Ação]]&gt;0,Tabela8[[#This Row],[Total Exercício]]/Tabela8[[#This Row],[Lucro p/Ação]],0))</f>
        <v/>
      </c>
      <c r="M91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7" s="87" t="str">
        <f>IF(Tabela8[[#This Row],[Média Lucro p/Ação]]&lt;&gt;"",Tabela8[[#This Row],[Média Pago]]/Tabela8[[#This Row],[Média Lucro p/Ação]],"")</f>
        <v/>
      </c>
      <c r="P9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7" s="134">
        <f>SUMPRODUCT(N(Tabela1[Código]=Tabela8[[#This Row],[Papel]]),Tabela1[Fechamento])</f>
        <v>0</v>
      </c>
      <c r="R917" s="7">
        <f>SUMPRODUCT(N(Tabela17[Código]=Tabela8[[#This Row],[Papel]]),Tabela17[Fechamento])</f>
        <v>13.5</v>
      </c>
      <c r="S917" s="7">
        <f>SUMPRODUCT(N(Tabela176[Código]=Tabela8[[#This Row],[Papel]]),Tabela176[Fechamento])</f>
        <v>0</v>
      </c>
      <c r="T917" s="7">
        <f>SUMPRODUCT(N(Tabela1768[Código]=Tabela8[[#This Row],[Papel]]),Tabela1768[Fechamento])</f>
        <v>0</v>
      </c>
      <c r="U917" s="7">
        <f>SUMPRODUCT(N(Tabela17683[Código]=Tabela8[[#This Row],[Papel]]),Tabela17683[Fechamento])</f>
        <v>0</v>
      </c>
      <c r="V917" s="7">
        <f>IF(MAX(Tabela8[[#This Row],[Cotação 1]]:Tabela8[[#This Row],[Cotação 5]])=0,"",MAX(Tabela8[[#This Row],[Cotação 1]]:Tabela8[[#This Row],[Cotação 5]]))</f>
        <v>13.5</v>
      </c>
      <c r="W9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7" s="19" t="str">
        <f>IF(AND([Ref]=5,[Cotação]&gt;0,[Cotação]&lt;&gt;""),[Total Exercício]/[Cotação],IF([Ref]&lt;4,0,""))</f>
        <v/>
      </c>
      <c r="Y917" s="14">
        <f>IF([Tipo]="div",1,0)</f>
        <v>0</v>
      </c>
      <c r="Z917" s="14">
        <f>IF([Tipo]="jcp",1,0)</f>
        <v>1</v>
      </c>
    </row>
    <row r="918" spans="1:26" hidden="1">
      <c r="A918" s="4" t="s">
        <v>236</v>
      </c>
      <c r="B918" s="3" t="s">
        <v>20</v>
      </c>
      <c r="C918" s="15">
        <v>4</v>
      </c>
      <c r="D918" s="4">
        <v>2011</v>
      </c>
      <c r="E918" s="14" t="s">
        <v>1475</v>
      </c>
      <c r="G918" s="145">
        <v>40844</v>
      </c>
      <c r="H918" s="46">
        <v>40877</v>
      </c>
      <c r="I918" s="133">
        <v>0.2</v>
      </c>
      <c r="J918" s="134">
        <f>IF(Tabela8[[#This Row],[Tipo]]="jcp",Tabela8[[#This Row],[Provento p/Ação]]*85%,Tabela8[[#This Row],[Provento p/Ação]])</f>
        <v>0.17</v>
      </c>
      <c r="K918" s="133" t="str">
        <f>IF([Lucro p/Ação]&lt;&gt;0,SUMPRODUCT(N([Papel]=Tabela8[[#This Row],[Papel]]),N([Exercício]=Tabela8[[#This Row],[Exercício]]),[Líquido p/Ação]),"")</f>
        <v/>
      </c>
      <c r="L918" s="42" t="str">
        <f>IF(Tabela8[[#This Row],[Lucro p/Ação]]="","",IF(Tabela8[[#This Row],[Lucro p/Ação]]&gt;0,Tabela8[[#This Row],[Total Exercício]]/Tabela8[[#This Row],[Lucro p/Ação]],0))</f>
        <v/>
      </c>
      <c r="M91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8" s="87" t="str">
        <f>IF(Tabela8[[#This Row],[Média Lucro p/Ação]]&lt;&gt;"",Tabela8[[#This Row],[Média Pago]]/Tabela8[[#This Row],[Média Lucro p/Ação]],"")</f>
        <v/>
      </c>
      <c r="P9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8" s="134">
        <f>SUMPRODUCT(N(Tabela1[Código]=Tabela8[[#This Row],[Papel]]),Tabela1[Fechamento])</f>
        <v>0</v>
      </c>
      <c r="R918" s="7">
        <f>SUMPRODUCT(N(Tabela17[Código]=Tabela8[[#This Row],[Papel]]),Tabela17[Fechamento])</f>
        <v>12.95</v>
      </c>
      <c r="S918" s="7">
        <f>SUMPRODUCT(N(Tabela176[Código]=Tabela8[[#This Row],[Papel]]),Tabela176[Fechamento])</f>
        <v>0</v>
      </c>
      <c r="T918" s="7">
        <f>SUMPRODUCT(N(Tabela1768[Código]=Tabela8[[#This Row],[Papel]]),Tabela1768[Fechamento])</f>
        <v>0</v>
      </c>
      <c r="U918" s="7">
        <f>SUMPRODUCT(N(Tabela17683[Código]=Tabela8[[#This Row],[Papel]]),Tabela17683[Fechamento])</f>
        <v>0</v>
      </c>
      <c r="V918" s="7">
        <f>IF(MAX(Tabela8[[#This Row],[Cotação 1]]:Tabela8[[#This Row],[Cotação 5]])=0,"",MAX(Tabela8[[#This Row],[Cotação 1]]:Tabela8[[#This Row],[Cotação 5]]))</f>
        <v>12.95</v>
      </c>
      <c r="W9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8" s="19" t="str">
        <f>IF(AND([Ref]=5,[Cotação]&gt;0,[Cotação]&lt;&gt;""),[Total Exercício]/[Cotação],IF([Ref]&lt;4,0,""))</f>
        <v/>
      </c>
      <c r="Y918" s="14">
        <f>IF([Tipo]="div",1,0)</f>
        <v>0</v>
      </c>
      <c r="Z918" s="14">
        <f>IF([Tipo]="jcp",1,0)</f>
        <v>1</v>
      </c>
    </row>
    <row r="919" spans="1:26" hidden="1">
      <c r="A919" s="4" t="s">
        <v>236</v>
      </c>
      <c r="B919" s="3" t="s">
        <v>21</v>
      </c>
      <c r="C919" s="15">
        <v>4</v>
      </c>
      <c r="D919" s="4">
        <v>2011</v>
      </c>
      <c r="E919" s="14" t="s">
        <v>1475</v>
      </c>
      <c r="G919" s="145">
        <v>40844</v>
      </c>
      <c r="H919" s="46">
        <v>40877</v>
      </c>
      <c r="I919" s="133">
        <v>0.2</v>
      </c>
      <c r="J919" s="134">
        <f>IF(Tabela8[[#This Row],[Tipo]]="jcp",Tabela8[[#This Row],[Provento p/Ação]]*85%,Tabela8[[#This Row],[Provento p/Ação]])</f>
        <v>0.17</v>
      </c>
      <c r="K919" s="133" t="str">
        <f>IF([Lucro p/Ação]&lt;&gt;0,SUMPRODUCT(N([Papel]=Tabela8[[#This Row],[Papel]]),N([Exercício]=Tabela8[[#This Row],[Exercício]]),[Líquido p/Ação]),"")</f>
        <v/>
      </c>
      <c r="L919" s="42" t="str">
        <f>IF(Tabela8[[#This Row],[Lucro p/Ação]]="","",IF(Tabela8[[#This Row],[Lucro p/Ação]]&gt;0,Tabela8[[#This Row],[Total Exercício]]/Tabela8[[#This Row],[Lucro p/Ação]],0))</f>
        <v/>
      </c>
      <c r="M91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1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19" s="87" t="str">
        <f>IF(Tabela8[[#This Row],[Média Lucro p/Ação]]&lt;&gt;"",Tabela8[[#This Row],[Média Pago]]/Tabela8[[#This Row],[Média Lucro p/Ação]],"")</f>
        <v/>
      </c>
      <c r="P9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19" s="134">
        <f>SUMPRODUCT(N(Tabela1[Código]=Tabela8[[#This Row],[Papel]]),Tabela1[Fechamento])</f>
        <v>0</v>
      </c>
      <c r="R919" s="7">
        <f>SUMPRODUCT(N(Tabela17[Código]=Tabela8[[#This Row],[Papel]]),Tabela17[Fechamento])</f>
        <v>13.5</v>
      </c>
      <c r="S919" s="7">
        <f>SUMPRODUCT(N(Tabela176[Código]=Tabela8[[#This Row],[Papel]]),Tabela176[Fechamento])</f>
        <v>0</v>
      </c>
      <c r="T919" s="7">
        <f>SUMPRODUCT(N(Tabela1768[Código]=Tabela8[[#This Row],[Papel]]),Tabela1768[Fechamento])</f>
        <v>0</v>
      </c>
      <c r="U919" s="7">
        <f>SUMPRODUCT(N(Tabela17683[Código]=Tabela8[[#This Row],[Papel]]),Tabela17683[Fechamento])</f>
        <v>0</v>
      </c>
      <c r="V919" s="7">
        <f>IF(MAX(Tabela8[[#This Row],[Cotação 1]]:Tabela8[[#This Row],[Cotação 5]])=0,"",MAX(Tabela8[[#This Row],[Cotação 1]]:Tabela8[[#This Row],[Cotação 5]]))</f>
        <v>13.5</v>
      </c>
      <c r="W9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19" s="19" t="str">
        <f>IF(AND([Ref]=5,[Cotação]&gt;0,[Cotação]&lt;&gt;""),[Total Exercício]/[Cotação],IF([Ref]&lt;4,0,""))</f>
        <v/>
      </c>
      <c r="Y919" s="14">
        <f>IF([Tipo]="div",1,0)</f>
        <v>0</v>
      </c>
      <c r="Z919" s="14">
        <f>IF([Tipo]="jcp",1,0)</f>
        <v>1</v>
      </c>
    </row>
    <row r="920" spans="1:26" hidden="1">
      <c r="A920" s="4" t="s">
        <v>236</v>
      </c>
      <c r="B920" s="3" t="s">
        <v>20</v>
      </c>
      <c r="C920" s="15">
        <v>4</v>
      </c>
      <c r="D920" s="4">
        <v>2011</v>
      </c>
      <c r="E920" s="14" t="s">
        <v>1475</v>
      </c>
      <c r="G920" s="145">
        <v>40899</v>
      </c>
      <c r="I920" s="133">
        <v>0.2</v>
      </c>
      <c r="J920" s="134">
        <f>IF(Tabela8[[#This Row],[Tipo]]="jcp",Tabela8[[#This Row],[Provento p/Ação]]*85%,Tabela8[[#This Row],[Provento p/Ação]])</f>
        <v>0.17</v>
      </c>
      <c r="K920" s="133" t="str">
        <f>IF([Lucro p/Ação]&lt;&gt;0,SUMPRODUCT(N([Papel]=Tabela8[[#This Row],[Papel]]),N([Exercício]=Tabela8[[#This Row],[Exercício]]),[Líquido p/Ação]),"")</f>
        <v/>
      </c>
      <c r="L920" s="42" t="str">
        <f>IF(Tabela8[[#This Row],[Lucro p/Ação]]="","",IF(Tabela8[[#This Row],[Lucro p/Ação]]&gt;0,Tabela8[[#This Row],[Total Exercício]]/Tabela8[[#This Row],[Lucro p/Ação]],0))</f>
        <v/>
      </c>
      <c r="M92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0" s="87" t="str">
        <f>IF(Tabela8[[#This Row],[Média Lucro p/Ação]]&lt;&gt;"",Tabela8[[#This Row],[Média Pago]]/Tabela8[[#This Row],[Média Lucro p/Ação]],"")</f>
        <v/>
      </c>
      <c r="P9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0" s="134">
        <f>SUMPRODUCT(N(Tabela1[Código]=Tabela8[[#This Row],[Papel]]),Tabela1[Fechamento])</f>
        <v>0</v>
      </c>
      <c r="R920" s="7">
        <f>SUMPRODUCT(N(Tabela17[Código]=Tabela8[[#This Row],[Papel]]),Tabela17[Fechamento])</f>
        <v>12.95</v>
      </c>
      <c r="S920" s="7">
        <f>SUMPRODUCT(N(Tabela176[Código]=Tabela8[[#This Row],[Papel]]),Tabela176[Fechamento])</f>
        <v>0</v>
      </c>
      <c r="T920" s="7">
        <f>SUMPRODUCT(N(Tabela1768[Código]=Tabela8[[#This Row],[Papel]]),Tabela1768[Fechamento])</f>
        <v>0</v>
      </c>
      <c r="U920" s="7">
        <f>SUMPRODUCT(N(Tabela17683[Código]=Tabela8[[#This Row],[Papel]]),Tabela17683[Fechamento])</f>
        <v>0</v>
      </c>
      <c r="V920" s="7">
        <f>IF(MAX(Tabela8[[#This Row],[Cotação 1]]:Tabela8[[#This Row],[Cotação 5]])=0,"",MAX(Tabela8[[#This Row],[Cotação 1]]:Tabela8[[#This Row],[Cotação 5]]))</f>
        <v>12.95</v>
      </c>
      <c r="W9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0" s="19" t="str">
        <f>IF(AND([Ref]=5,[Cotação]&gt;0,[Cotação]&lt;&gt;""),[Total Exercício]/[Cotação],IF([Ref]&lt;4,0,""))</f>
        <v/>
      </c>
      <c r="Y920" s="14">
        <f>IF([Tipo]="div",1,0)</f>
        <v>0</v>
      </c>
      <c r="Z920" s="14">
        <f>IF([Tipo]="jcp",1,0)</f>
        <v>1</v>
      </c>
    </row>
    <row r="921" spans="1:26" hidden="1">
      <c r="A921" s="4" t="s">
        <v>236</v>
      </c>
      <c r="B921" s="3" t="s">
        <v>21</v>
      </c>
      <c r="C921" s="15">
        <v>4</v>
      </c>
      <c r="D921" s="4">
        <v>2011</v>
      </c>
      <c r="E921" s="14" t="s">
        <v>1475</v>
      </c>
      <c r="G921" s="145">
        <v>40899</v>
      </c>
      <c r="I921" s="133">
        <v>0.2</v>
      </c>
      <c r="J921" s="134">
        <f>IF(Tabela8[[#This Row],[Tipo]]="jcp",Tabela8[[#This Row],[Provento p/Ação]]*85%,Tabela8[[#This Row],[Provento p/Ação]])</f>
        <v>0.17</v>
      </c>
      <c r="K921" s="133" t="str">
        <f>IF([Lucro p/Ação]&lt;&gt;0,SUMPRODUCT(N([Papel]=Tabela8[[#This Row],[Papel]]),N([Exercício]=Tabela8[[#This Row],[Exercício]]),[Líquido p/Ação]),"")</f>
        <v/>
      </c>
      <c r="L921" s="42" t="str">
        <f>IF(Tabela8[[#This Row],[Lucro p/Ação]]="","",IF(Tabela8[[#This Row],[Lucro p/Ação]]&gt;0,Tabela8[[#This Row],[Total Exercício]]/Tabela8[[#This Row],[Lucro p/Ação]],0))</f>
        <v/>
      </c>
      <c r="M9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1" s="87" t="str">
        <f>IF(Tabela8[[#This Row],[Média Lucro p/Ação]]&lt;&gt;"",Tabela8[[#This Row],[Média Pago]]/Tabela8[[#This Row],[Média Lucro p/Ação]],"")</f>
        <v/>
      </c>
      <c r="P9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1" s="134">
        <f>SUMPRODUCT(N(Tabela1[Código]=Tabela8[[#This Row],[Papel]]),Tabela1[Fechamento])</f>
        <v>0</v>
      </c>
      <c r="R921" s="17">
        <f>SUMPRODUCT(N(Tabela17[Código]=Tabela8[[#This Row],[Papel]]),Tabela17[Fechamento])</f>
        <v>13.5</v>
      </c>
      <c r="S921" s="17">
        <f>SUMPRODUCT(N(Tabela176[Código]=Tabela8[[#This Row],[Papel]]),Tabela176[Fechamento])</f>
        <v>0</v>
      </c>
      <c r="T921" s="17">
        <f>SUMPRODUCT(N(Tabela1768[Código]=Tabela8[[#This Row],[Papel]]),Tabela1768[Fechamento])</f>
        <v>0</v>
      </c>
      <c r="U921" s="17">
        <f>SUMPRODUCT(N(Tabela17683[Código]=Tabela8[[#This Row],[Papel]]),Tabela17683[Fechamento])</f>
        <v>0</v>
      </c>
      <c r="V921" s="17">
        <f>IF(MAX(Tabela8[[#This Row],[Cotação 1]]:Tabela8[[#This Row],[Cotação 5]])=0,"",MAX(Tabela8[[#This Row],[Cotação 1]]:Tabela8[[#This Row],[Cotação 5]]))</f>
        <v>13.5</v>
      </c>
      <c r="W9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1" s="19" t="str">
        <f>IF(AND([Ref]=5,[Cotação]&gt;0,[Cotação]&lt;&gt;""),[Total Exercício]/[Cotação],IF([Ref]&lt;4,0,""))</f>
        <v/>
      </c>
      <c r="Y921" s="14">
        <f>IF([Tipo]="div",1,0)</f>
        <v>0</v>
      </c>
      <c r="Z921" s="14">
        <f>IF([Tipo]="jcp",1,0)</f>
        <v>1</v>
      </c>
    </row>
    <row r="922" spans="1:26" hidden="1">
      <c r="A922" s="4" t="s">
        <v>236</v>
      </c>
      <c r="B922" s="3" t="s">
        <v>20</v>
      </c>
      <c r="C922" s="15">
        <v>5</v>
      </c>
      <c r="D922" s="4">
        <v>2011</v>
      </c>
      <c r="E922" s="14" t="s">
        <v>1468</v>
      </c>
      <c r="F922" s="133">
        <v>2.54</v>
      </c>
      <c r="G922" s="145">
        <v>40948</v>
      </c>
      <c r="I922" s="133">
        <v>0.12</v>
      </c>
      <c r="J922" s="134">
        <f>IF(Tabela8[[#This Row],[Tipo]]="jcp",Tabela8[[#This Row],[Provento p/Ação]]*85%,Tabela8[[#This Row],[Provento p/Ação]])</f>
        <v>0.12</v>
      </c>
      <c r="K922" s="133">
        <f>IF([Lucro p/Ação]&lt;&gt;0,SUMPRODUCT(N([Papel]=Tabela8[[#This Row],[Papel]]),N([Exercício]=Tabela8[[#This Row],[Exercício]]),[Líquido p/Ação]),"")</f>
        <v>1.0645000000000002</v>
      </c>
      <c r="L922" s="42">
        <f>IF(Tabela8[[#This Row],[Lucro p/Ação]]="","",IF(Tabela8[[#This Row],[Lucro p/Ação]]&gt;0,Tabela8[[#This Row],[Total Exercício]]/Tabela8[[#This Row],[Lucro p/Ação]],0))</f>
        <v>0.41909448818897643</v>
      </c>
      <c r="M9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3.0449999999999999</v>
      </c>
      <c r="N92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0.97900000000000009</v>
      </c>
      <c r="O922" s="87">
        <f>IF(Tabela8[[#This Row],[Média Lucro p/Ação]]&lt;&gt;"",Tabela8[[#This Row],[Média Pago]]/Tabela8[[#This Row],[Média Lucro p/Ação]],"")</f>
        <v>0.3215106732348112</v>
      </c>
      <c r="P9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2" s="134">
        <f>SUMPRODUCT(N(Tabela1[Código]=Tabela8[[#This Row],[Papel]]),Tabela1[Fechamento])</f>
        <v>0</v>
      </c>
      <c r="R922" s="7">
        <f>SUMPRODUCT(N(Tabela17[Código]=Tabela8[[#This Row],[Papel]]),Tabela17[Fechamento])</f>
        <v>12.95</v>
      </c>
      <c r="S922" s="7">
        <f>SUMPRODUCT(N(Tabela176[Código]=Tabela8[[#This Row],[Papel]]),Tabela176[Fechamento])</f>
        <v>0</v>
      </c>
      <c r="T922" s="7">
        <f>SUMPRODUCT(N(Tabela1768[Código]=Tabela8[[#This Row],[Papel]]),Tabela1768[Fechamento])</f>
        <v>0</v>
      </c>
      <c r="U922" s="7">
        <f>SUMPRODUCT(N(Tabela17683[Código]=Tabela8[[#This Row],[Papel]]),Tabela17683[Fechamento])</f>
        <v>0</v>
      </c>
      <c r="V922" s="7">
        <f>IF(MAX(Tabela8[[#This Row],[Cotação 1]]:Tabela8[[#This Row],[Cotação 5]])=0,"",MAX(Tabela8[[#This Row],[Cotação 1]]:Tabela8[[#This Row],[Cotação 5]]))</f>
        <v>12.95</v>
      </c>
      <c r="W9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2" s="19">
        <f>IF(AND([Ref]=5,[Cotação]&gt;0,[Cotação]&lt;&gt;""),[Total Exercício]/[Cotação],IF([Ref]&lt;4,0,""))</f>
        <v>8.2200772200772224E-2</v>
      </c>
      <c r="Y922" s="14">
        <f>IF([Tipo]="div",1,0)</f>
        <v>1</v>
      </c>
      <c r="Z922" s="14">
        <f>IF([Tipo]="jcp",1,0)</f>
        <v>0</v>
      </c>
    </row>
    <row r="923" spans="1:26" hidden="1">
      <c r="A923" s="4" t="s">
        <v>236</v>
      </c>
      <c r="B923" s="3" t="s">
        <v>21</v>
      </c>
      <c r="C923" s="15">
        <v>5</v>
      </c>
      <c r="D923" s="4">
        <v>2011</v>
      </c>
      <c r="E923" s="14" t="s">
        <v>1468</v>
      </c>
      <c r="F923" s="133">
        <v>2.54</v>
      </c>
      <c r="G923" s="145">
        <v>40948</v>
      </c>
      <c r="I923" s="133">
        <v>0.12</v>
      </c>
      <c r="J923" s="134">
        <f>IF(Tabela8[[#This Row],[Tipo]]="jcp",Tabela8[[#This Row],[Provento p/Ação]]*85%,Tabela8[[#This Row],[Provento p/Ação]])</f>
        <v>0.12</v>
      </c>
      <c r="K923" s="133">
        <f>IF([Lucro p/Ação]&lt;&gt;0,SUMPRODUCT(N([Papel]=Tabela8[[#This Row],[Papel]]),N([Exercício]=Tabela8[[#This Row],[Exercício]]),[Líquido p/Ação]),"")</f>
        <v>1.0645000000000002</v>
      </c>
      <c r="L923" s="42">
        <f>IF(Tabela8[[#This Row],[Lucro p/Ação]]="","",IF(Tabela8[[#This Row],[Lucro p/Ação]]&gt;0,Tabela8[[#This Row],[Total Exercício]]/Tabela8[[#This Row],[Lucro p/Ação]],0))</f>
        <v>0.41909448818897643</v>
      </c>
      <c r="M9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3.0449999999999999</v>
      </c>
      <c r="N92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0.97900000000000009</v>
      </c>
      <c r="O923" s="87">
        <f>IF(Tabela8[[#This Row],[Média Lucro p/Ação]]&lt;&gt;"",Tabela8[[#This Row],[Média Pago]]/Tabela8[[#This Row],[Média Lucro p/Ação]],"")</f>
        <v>0.3215106732348112</v>
      </c>
      <c r="P9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3" s="134">
        <f>SUMPRODUCT(N(Tabela1[Código]=Tabela8[[#This Row],[Papel]]),Tabela1[Fechamento])</f>
        <v>0</v>
      </c>
      <c r="R923" s="17">
        <f>SUMPRODUCT(N(Tabela17[Código]=Tabela8[[#This Row],[Papel]]),Tabela17[Fechamento])</f>
        <v>13.5</v>
      </c>
      <c r="S923" s="17">
        <f>SUMPRODUCT(N(Tabela176[Código]=Tabela8[[#This Row],[Papel]]),Tabela176[Fechamento])</f>
        <v>0</v>
      </c>
      <c r="T923" s="17">
        <f>SUMPRODUCT(N(Tabela1768[Código]=Tabela8[[#This Row],[Papel]]),Tabela1768[Fechamento])</f>
        <v>0</v>
      </c>
      <c r="U923" s="17">
        <f>SUMPRODUCT(N(Tabela17683[Código]=Tabela8[[#This Row],[Papel]]),Tabela17683[Fechamento])</f>
        <v>0</v>
      </c>
      <c r="V923" s="17">
        <f>IF(MAX(Tabela8[[#This Row],[Cotação 1]]:Tabela8[[#This Row],[Cotação 5]])=0,"",MAX(Tabela8[[#This Row],[Cotação 1]]:Tabela8[[#This Row],[Cotação 5]]))</f>
        <v>13.5</v>
      </c>
      <c r="W9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3" s="19">
        <f>IF(AND([Ref]=5,[Cotação]&gt;0,[Cotação]&lt;&gt;""),[Total Exercício]/[Cotação],IF([Ref]&lt;4,0,""))</f>
        <v>7.8851851851851867E-2</v>
      </c>
      <c r="Y923" s="14">
        <f>IF([Tipo]="div",1,0)</f>
        <v>1</v>
      </c>
      <c r="Z923" s="14">
        <f>IF([Tipo]="jcp",1,0)</f>
        <v>0</v>
      </c>
    </row>
    <row r="924" spans="1:26" hidden="1">
      <c r="A924" s="4" t="s">
        <v>236</v>
      </c>
      <c r="B924" s="3" t="s">
        <v>20</v>
      </c>
      <c r="C924" s="15">
        <v>4</v>
      </c>
      <c r="D924" s="4">
        <v>2012</v>
      </c>
      <c r="E924" s="14" t="s">
        <v>1475</v>
      </c>
      <c r="G924" s="145">
        <v>40899</v>
      </c>
      <c r="H924" s="46">
        <v>40968</v>
      </c>
      <c r="I924" s="133">
        <v>0.2</v>
      </c>
      <c r="J924" s="134">
        <f>IF(Tabela8[[#This Row],[Tipo]]="jcp",Tabela8[[#This Row],[Provento p/Ação]]*85%,Tabela8[[#This Row],[Provento p/Ação]])</f>
        <v>0.17</v>
      </c>
      <c r="K924" s="133" t="str">
        <f>IF([Lucro p/Ação]&lt;&gt;0,SUMPRODUCT(N([Papel]=Tabela8[[#This Row],[Papel]]),N([Exercício]=Tabela8[[#This Row],[Exercício]]),[Líquido p/Ação]),"")</f>
        <v/>
      </c>
      <c r="L924" s="42" t="str">
        <f>IF(Tabela8[[#This Row],[Lucro p/Ação]]="","",IF(Tabela8[[#This Row],[Lucro p/Ação]]&gt;0,Tabela8[[#This Row],[Total Exercício]]/Tabela8[[#This Row],[Lucro p/Ação]],0))</f>
        <v/>
      </c>
      <c r="M92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4" s="87" t="str">
        <f>IF(Tabela8[[#This Row],[Média Lucro p/Ação]]&lt;&gt;"",Tabela8[[#This Row],[Média Pago]]/Tabela8[[#This Row],[Média Lucro p/Ação]],"")</f>
        <v/>
      </c>
      <c r="P9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4" s="134">
        <f>SUMPRODUCT(N(Tabela1[Código]=Tabela8[[#This Row],[Papel]]),Tabela1[Fechamento])</f>
        <v>0</v>
      </c>
      <c r="R924" s="7">
        <f>SUMPRODUCT(N(Tabela17[Código]=Tabela8[[#This Row],[Papel]]),Tabela17[Fechamento])</f>
        <v>12.95</v>
      </c>
      <c r="S924" s="7">
        <f>SUMPRODUCT(N(Tabela176[Código]=Tabela8[[#This Row],[Papel]]),Tabela176[Fechamento])</f>
        <v>0</v>
      </c>
      <c r="T924" s="7">
        <f>SUMPRODUCT(N(Tabela1768[Código]=Tabela8[[#This Row],[Papel]]),Tabela1768[Fechamento])</f>
        <v>0</v>
      </c>
      <c r="U924" s="7">
        <f>SUMPRODUCT(N(Tabela17683[Código]=Tabela8[[#This Row],[Papel]]),Tabela17683[Fechamento])</f>
        <v>0</v>
      </c>
      <c r="V924" s="7">
        <f>IF(MAX(Tabela8[[#This Row],[Cotação 1]]:Tabela8[[#This Row],[Cotação 5]])=0,"",MAX(Tabela8[[#This Row],[Cotação 1]]:Tabela8[[#This Row],[Cotação 5]]))</f>
        <v>12.95</v>
      </c>
      <c r="W9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4" s="19" t="str">
        <f>IF(AND([Ref]=5,[Cotação]&gt;0,[Cotação]&lt;&gt;""),[Total Exercício]/[Cotação],IF([Ref]&lt;4,0,""))</f>
        <v/>
      </c>
      <c r="Y924" s="14">
        <f>IF([Tipo]="div",1,0)</f>
        <v>0</v>
      </c>
      <c r="Z924" s="14">
        <f>IF([Tipo]="jcp",1,0)</f>
        <v>1</v>
      </c>
    </row>
    <row r="925" spans="1:26" hidden="1">
      <c r="A925" s="4" t="s">
        <v>236</v>
      </c>
      <c r="B925" s="3" t="s">
        <v>21</v>
      </c>
      <c r="C925" s="15">
        <v>4</v>
      </c>
      <c r="D925" s="4">
        <v>2012</v>
      </c>
      <c r="E925" s="14" t="s">
        <v>1475</v>
      </c>
      <c r="G925" s="145">
        <v>40899</v>
      </c>
      <c r="H925" s="46">
        <v>40968</v>
      </c>
      <c r="I925" s="133">
        <v>0.2</v>
      </c>
      <c r="J925" s="134">
        <f>IF(Tabela8[[#This Row],[Tipo]]="jcp",Tabela8[[#This Row],[Provento p/Ação]]*85%,Tabela8[[#This Row],[Provento p/Ação]])</f>
        <v>0.17</v>
      </c>
      <c r="K925" s="133" t="str">
        <f>IF([Lucro p/Ação]&lt;&gt;0,SUMPRODUCT(N([Papel]=Tabela8[[#This Row],[Papel]]),N([Exercício]=Tabela8[[#This Row],[Exercício]]),[Líquido p/Ação]),"")</f>
        <v/>
      </c>
      <c r="L925" s="42" t="str">
        <f>IF(Tabela8[[#This Row],[Lucro p/Ação]]="","",IF(Tabela8[[#This Row],[Lucro p/Ação]]&gt;0,Tabela8[[#This Row],[Total Exercício]]/Tabela8[[#This Row],[Lucro p/Ação]],0))</f>
        <v/>
      </c>
      <c r="M92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5" s="87" t="str">
        <f>IF(Tabela8[[#This Row],[Média Lucro p/Ação]]&lt;&gt;"",Tabela8[[#This Row],[Média Pago]]/Tabela8[[#This Row],[Média Lucro p/Ação]],"")</f>
        <v/>
      </c>
      <c r="P9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5" s="134">
        <f>SUMPRODUCT(N(Tabela1[Código]=Tabela8[[#This Row],[Papel]]),Tabela1[Fechamento])</f>
        <v>0</v>
      </c>
      <c r="R925" s="7">
        <f>SUMPRODUCT(N(Tabela17[Código]=Tabela8[[#This Row],[Papel]]),Tabela17[Fechamento])</f>
        <v>13.5</v>
      </c>
      <c r="S925" s="7">
        <f>SUMPRODUCT(N(Tabela176[Código]=Tabela8[[#This Row],[Papel]]),Tabela176[Fechamento])</f>
        <v>0</v>
      </c>
      <c r="T925" s="7">
        <f>SUMPRODUCT(N(Tabela1768[Código]=Tabela8[[#This Row],[Papel]]),Tabela1768[Fechamento])</f>
        <v>0</v>
      </c>
      <c r="U925" s="7">
        <f>SUMPRODUCT(N(Tabela17683[Código]=Tabela8[[#This Row],[Papel]]),Tabela17683[Fechamento])</f>
        <v>0</v>
      </c>
      <c r="V925" s="7">
        <f>IF(MAX(Tabela8[[#This Row],[Cotação 1]]:Tabela8[[#This Row],[Cotação 5]])=0,"",MAX(Tabela8[[#This Row],[Cotação 1]]:Tabela8[[#This Row],[Cotação 5]]))</f>
        <v>13.5</v>
      </c>
      <c r="W9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5" s="19" t="str">
        <f>IF(AND([Ref]=5,[Cotação]&gt;0,[Cotação]&lt;&gt;""),[Total Exercício]/[Cotação],IF([Ref]&lt;4,0,""))</f>
        <v/>
      </c>
      <c r="Y925" s="14">
        <f>IF([Tipo]="div",1,0)</f>
        <v>0</v>
      </c>
      <c r="Z925" s="14">
        <f>IF([Tipo]="jcp",1,0)</f>
        <v>1</v>
      </c>
    </row>
    <row r="926" spans="1:26" hidden="1">
      <c r="A926" s="4" t="s">
        <v>236</v>
      </c>
      <c r="B926" s="3" t="s">
        <v>20</v>
      </c>
      <c r="C926" s="15">
        <v>4</v>
      </c>
      <c r="D926" s="4">
        <v>2012</v>
      </c>
      <c r="E926" s="14" t="s">
        <v>1468</v>
      </c>
      <c r="G926" s="145">
        <v>40948</v>
      </c>
      <c r="H926" s="46">
        <v>41047</v>
      </c>
      <c r="I926" s="133">
        <v>0.12</v>
      </c>
      <c r="J926" s="134">
        <f>IF(Tabela8[[#This Row],[Tipo]]="jcp",Tabela8[[#This Row],[Provento p/Ação]]*85%,Tabela8[[#This Row],[Provento p/Ação]])</f>
        <v>0.12</v>
      </c>
      <c r="K926" s="133" t="str">
        <f>IF([Lucro p/Ação]&lt;&gt;0,SUMPRODUCT(N([Papel]=Tabela8[[#This Row],[Papel]]),N([Exercício]=Tabela8[[#This Row],[Exercício]]),[Líquido p/Ação]),"")</f>
        <v/>
      </c>
      <c r="L926" s="42" t="str">
        <f>IF(Tabela8[[#This Row],[Lucro p/Ação]]="","",IF(Tabela8[[#This Row],[Lucro p/Ação]]&gt;0,Tabela8[[#This Row],[Total Exercício]]/Tabela8[[#This Row],[Lucro p/Ação]],0))</f>
        <v/>
      </c>
      <c r="M92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6" s="87" t="str">
        <f>IF(Tabela8[[#This Row],[Média Lucro p/Ação]]&lt;&gt;"",Tabela8[[#This Row],[Média Pago]]/Tabela8[[#This Row],[Média Lucro p/Ação]],"")</f>
        <v/>
      </c>
      <c r="P9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6" s="134">
        <f>SUMPRODUCT(N(Tabela1[Código]=Tabela8[[#This Row],[Papel]]),Tabela1[Fechamento])</f>
        <v>0</v>
      </c>
      <c r="R926" s="7">
        <f>SUMPRODUCT(N(Tabela17[Código]=Tabela8[[#This Row],[Papel]]),Tabela17[Fechamento])</f>
        <v>12.95</v>
      </c>
      <c r="S926" s="7">
        <f>SUMPRODUCT(N(Tabela176[Código]=Tabela8[[#This Row],[Papel]]),Tabela176[Fechamento])</f>
        <v>0</v>
      </c>
      <c r="T926" s="7">
        <f>SUMPRODUCT(N(Tabela1768[Código]=Tabela8[[#This Row],[Papel]]),Tabela1768[Fechamento])</f>
        <v>0</v>
      </c>
      <c r="U926" s="7">
        <f>SUMPRODUCT(N(Tabela17683[Código]=Tabela8[[#This Row],[Papel]]),Tabela17683[Fechamento])</f>
        <v>0</v>
      </c>
      <c r="V926" s="7">
        <f>IF(MAX(Tabela8[[#This Row],[Cotação 1]]:Tabela8[[#This Row],[Cotação 5]])=0,"",MAX(Tabela8[[#This Row],[Cotação 1]]:Tabela8[[#This Row],[Cotação 5]]))</f>
        <v>12.95</v>
      </c>
      <c r="W9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6" s="19" t="str">
        <f>IF(AND([Ref]=5,[Cotação]&gt;0,[Cotação]&lt;&gt;""),[Total Exercício]/[Cotação],IF([Ref]&lt;4,0,""))</f>
        <v/>
      </c>
      <c r="Y926" s="14">
        <f>IF([Tipo]="div",1,0)</f>
        <v>1</v>
      </c>
      <c r="Z926" s="14">
        <f>IF([Tipo]="jcp",1,0)</f>
        <v>0</v>
      </c>
    </row>
    <row r="927" spans="1:26" hidden="1">
      <c r="A927" s="4" t="s">
        <v>236</v>
      </c>
      <c r="B927" s="3" t="s">
        <v>21</v>
      </c>
      <c r="C927" s="15">
        <v>4</v>
      </c>
      <c r="D927" s="4">
        <v>2012</v>
      </c>
      <c r="E927" s="14" t="s">
        <v>1468</v>
      </c>
      <c r="G927" s="145">
        <v>40948</v>
      </c>
      <c r="H927" s="46">
        <v>41047</v>
      </c>
      <c r="I927" s="133">
        <v>0.12</v>
      </c>
      <c r="J927" s="134">
        <f>IF(Tabela8[[#This Row],[Tipo]]="jcp",Tabela8[[#This Row],[Provento p/Ação]]*85%,Tabela8[[#This Row],[Provento p/Ação]])</f>
        <v>0.12</v>
      </c>
      <c r="K927" s="133" t="str">
        <f>IF([Lucro p/Ação]&lt;&gt;0,SUMPRODUCT(N([Papel]=Tabela8[[#This Row],[Papel]]),N([Exercício]=Tabela8[[#This Row],[Exercício]]),[Líquido p/Ação]),"")</f>
        <v/>
      </c>
      <c r="L927" s="42" t="str">
        <f>IF(Tabela8[[#This Row],[Lucro p/Ação]]="","",IF(Tabela8[[#This Row],[Lucro p/Ação]]&gt;0,Tabela8[[#This Row],[Total Exercício]]/Tabela8[[#This Row],[Lucro p/Ação]],0))</f>
        <v/>
      </c>
      <c r="M92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7" s="87" t="str">
        <f>IF(Tabela8[[#This Row],[Média Lucro p/Ação]]&lt;&gt;"",Tabela8[[#This Row],[Média Pago]]/Tabela8[[#This Row],[Média Lucro p/Ação]],"")</f>
        <v/>
      </c>
      <c r="P9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7" s="134">
        <f>SUMPRODUCT(N(Tabela1[Código]=Tabela8[[#This Row],[Papel]]),Tabela1[Fechamento])</f>
        <v>0</v>
      </c>
      <c r="R927" s="7">
        <f>SUMPRODUCT(N(Tabela17[Código]=Tabela8[[#This Row],[Papel]]),Tabela17[Fechamento])</f>
        <v>13.5</v>
      </c>
      <c r="S927" s="7">
        <f>SUMPRODUCT(N(Tabela176[Código]=Tabela8[[#This Row],[Papel]]),Tabela176[Fechamento])</f>
        <v>0</v>
      </c>
      <c r="T927" s="7">
        <f>SUMPRODUCT(N(Tabela1768[Código]=Tabela8[[#This Row],[Papel]]),Tabela1768[Fechamento])</f>
        <v>0</v>
      </c>
      <c r="U927" s="7">
        <f>SUMPRODUCT(N(Tabela17683[Código]=Tabela8[[#This Row],[Papel]]),Tabela17683[Fechamento])</f>
        <v>0</v>
      </c>
      <c r="V927" s="7">
        <f>IF(MAX(Tabela8[[#This Row],[Cotação 1]]:Tabela8[[#This Row],[Cotação 5]])=0,"",MAX(Tabela8[[#This Row],[Cotação 1]]:Tabela8[[#This Row],[Cotação 5]]))</f>
        <v>13.5</v>
      </c>
      <c r="W9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7" s="19" t="str">
        <f>IF(AND([Ref]=5,[Cotação]&gt;0,[Cotação]&lt;&gt;""),[Total Exercício]/[Cotação],IF([Ref]&lt;4,0,""))</f>
        <v/>
      </c>
      <c r="Y927" s="14">
        <f>IF([Tipo]="div",1,0)</f>
        <v>1</v>
      </c>
      <c r="Z927" s="14">
        <f>IF([Tipo]="jcp",1,0)</f>
        <v>0</v>
      </c>
    </row>
    <row r="928" spans="1:26" hidden="1">
      <c r="A928" s="4" t="s">
        <v>236</v>
      </c>
      <c r="B928" s="3" t="s">
        <v>20</v>
      </c>
      <c r="C928" s="15">
        <v>4</v>
      </c>
      <c r="D928" s="4">
        <v>2012</v>
      </c>
      <c r="E928" s="14" t="s">
        <v>1475</v>
      </c>
      <c r="G928" s="145">
        <v>41026</v>
      </c>
      <c r="H928" s="46">
        <v>41060</v>
      </c>
      <c r="I928" s="133">
        <v>0.2</v>
      </c>
      <c r="J928" s="134">
        <f>IF(Tabela8[[#This Row],[Tipo]]="jcp",Tabela8[[#This Row],[Provento p/Ação]]*85%,Tabela8[[#This Row],[Provento p/Ação]])</f>
        <v>0.17</v>
      </c>
      <c r="K928" s="133" t="str">
        <f>IF([Lucro p/Ação]&lt;&gt;0,SUMPRODUCT(N([Papel]=Tabela8[[#This Row],[Papel]]),N([Exercício]=Tabela8[[#This Row],[Exercício]]),[Líquido p/Ação]),"")</f>
        <v/>
      </c>
      <c r="L928" s="42" t="str">
        <f>IF(Tabela8[[#This Row],[Lucro p/Ação]]="","",IF(Tabela8[[#This Row],[Lucro p/Ação]]&gt;0,Tabela8[[#This Row],[Total Exercício]]/Tabela8[[#This Row],[Lucro p/Ação]],0))</f>
        <v/>
      </c>
      <c r="M92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8" s="87" t="str">
        <f>IF(Tabela8[[#This Row],[Média Lucro p/Ação]]&lt;&gt;"",Tabela8[[#This Row],[Média Pago]]/Tabela8[[#This Row],[Média Lucro p/Ação]],"")</f>
        <v/>
      </c>
      <c r="P9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8" s="134">
        <f>SUMPRODUCT(N(Tabela1[Código]=Tabela8[[#This Row],[Papel]]),Tabela1[Fechamento])</f>
        <v>0</v>
      </c>
      <c r="R928" s="7">
        <f>SUMPRODUCT(N(Tabela17[Código]=Tabela8[[#This Row],[Papel]]),Tabela17[Fechamento])</f>
        <v>12.95</v>
      </c>
      <c r="S928" s="7">
        <f>SUMPRODUCT(N(Tabela176[Código]=Tabela8[[#This Row],[Papel]]),Tabela176[Fechamento])</f>
        <v>0</v>
      </c>
      <c r="T928" s="7">
        <f>SUMPRODUCT(N(Tabela1768[Código]=Tabela8[[#This Row],[Papel]]),Tabela1768[Fechamento])</f>
        <v>0</v>
      </c>
      <c r="U928" s="7">
        <f>SUMPRODUCT(N(Tabela17683[Código]=Tabela8[[#This Row],[Papel]]),Tabela17683[Fechamento])</f>
        <v>0</v>
      </c>
      <c r="V928" s="7">
        <f>IF(MAX(Tabela8[[#This Row],[Cotação 1]]:Tabela8[[#This Row],[Cotação 5]])=0,"",MAX(Tabela8[[#This Row],[Cotação 1]]:Tabela8[[#This Row],[Cotação 5]]))</f>
        <v>12.95</v>
      </c>
      <c r="W9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8" s="19" t="str">
        <f>IF(AND([Ref]=5,[Cotação]&gt;0,[Cotação]&lt;&gt;""),[Total Exercício]/[Cotação],IF([Ref]&lt;4,0,""))</f>
        <v/>
      </c>
      <c r="Y928" s="14">
        <f>IF([Tipo]="div",1,0)</f>
        <v>0</v>
      </c>
      <c r="Z928" s="14">
        <f>IF([Tipo]="jcp",1,0)</f>
        <v>1</v>
      </c>
    </row>
    <row r="929" spans="1:26" hidden="1">
      <c r="A929" s="4" t="s">
        <v>236</v>
      </c>
      <c r="B929" s="3" t="s">
        <v>21</v>
      </c>
      <c r="C929" s="15">
        <v>4</v>
      </c>
      <c r="D929" s="4">
        <v>2012</v>
      </c>
      <c r="E929" s="14" t="s">
        <v>1475</v>
      </c>
      <c r="G929" s="145">
        <v>41026</v>
      </c>
      <c r="H929" s="46">
        <v>41060</v>
      </c>
      <c r="I929" s="133">
        <v>0.2</v>
      </c>
      <c r="J929" s="134">
        <f>IF(Tabela8[[#This Row],[Tipo]]="jcp",Tabela8[[#This Row],[Provento p/Ação]]*85%,Tabela8[[#This Row],[Provento p/Ação]])</f>
        <v>0.17</v>
      </c>
      <c r="K929" s="133" t="str">
        <f>IF([Lucro p/Ação]&lt;&gt;0,SUMPRODUCT(N([Papel]=Tabela8[[#This Row],[Papel]]),N([Exercício]=Tabela8[[#This Row],[Exercício]]),[Líquido p/Ação]),"")</f>
        <v/>
      </c>
      <c r="L929" s="42" t="str">
        <f>IF(Tabela8[[#This Row],[Lucro p/Ação]]="","",IF(Tabela8[[#This Row],[Lucro p/Ação]]&gt;0,Tabela8[[#This Row],[Total Exercício]]/Tabela8[[#This Row],[Lucro p/Ação]],0))</f>
        <v/>
      </c>
      <c r="M92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2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29" s="87" t="str">
        <f>IF(Tabela8[[#This Row],[Média Lucro p/Ação]]&lt;&gt;"",Tabela8[[#This Row],[Média Pago]]/Tabela8[[#This Row],[Média Lucro p/Ação]],"")</f>
        <v/>
      </c>
      <c r="P9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29" s="134">
        <f>SUMPRODUCT(N(Tabela1[Código]=Tabela8[[#This Row],[Papel]]),Tabela1[Fechamento])</f>
        <v>0</v>
      </c>
      <c r="R929" s="7">
        <f>SUMPRODUCT(N(Tabela17[Código]=Tabela8[[#This Row],[Papel]]),Tabela17[Fechamento])</f>
        <v>13.5</v>
      </c>
      <c r="S929" s="7">
        <f>SUMPRODUCT(N(Tabela176[Código]=Tabela8[[#This Row],[Papel]]),Tabela176[Fechamento])</f>
        <v>0</v>
      </c>
      <c r="T929" s="7">
        <f>SUMPRODUCT(N(Tabela1768[Código]=Tabela8[[#This Row],[Papel]]),Tabela1768[Fechamento])</f>
        <v>0</v>
      </c>
      <c r="U929" s="7">
        <f>SUMPRODUCT(N(Tabela17683[Código]=Tabela8[[#This Row],[Papel]]),Tabela17683[Fechamento])</f>
        <v>0</v>
      </c>
      <c r="V929" s="7">
        <f>IF(MAX(Tabela8[[#This Row],[Cotação 1]]:Tabela8[[#This Row],[Cotação 5]])=0,"",MAX(Tabela8[[#This Row],[Cotação 1]]:Tabela8[[#This Row],[Cotação 5]]))</f>
        <v>13.5</v>
      </c>
      <c r="W9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29" s="19" t="str">
        <f>IF(AND([Ref]=5,[Cotação]&gt;0,[Cotação]&lt;&gt;""),[Total Exercício]/[Cotação],IF([Ref]&lt;4,0,""))</f>
        <v/>
      </c>
      <c r="Y929" s="14">
        <f>IF([Tipo]="div",1,0)</f>
        <v>0</v>
      </c>
      <c r="Z929" s="14">
        <f>IF([Tipo]="jcp",1,0)</f>
        <v>1</v>
      </c>
    </row>
    <row r="930" spans="1:26" hidden="1">
      <c r="A930" s="4" t="s">
        <v>236</v>
      </c>
      <c r="B930" s="3" t="s">
        <v>20</v>
      </c>
      <c r="C930" s="15">
        <v>5</v>
      </c>
      <c r="D930" s="4">
        <v>2012</v>
      </c>
      <c r="E930" s="14" t="s">
        <v>1475</v>
      </c>
      <c r="F930" s="133">
        <v>1.6</v>
      </c>
      <c r="G930" s="145">
        <v>41309</v>
      </c>
      <c r="I930" s="133">
        <v>0.27</v>
      </c>
      <c r="J930" s="134">
        <f>IF(Tabela8[[#This Row],[Tipo]]="jcp",Tabela8[[#This Row],[Provento p/Ação]]*85%,Tabela8[[#This Row],[Provento p/Ação]])</f>
        <v>0.22950000000000001</v>
      </c>
      <c r="K930" s="133">
        <f>IF([Lucro p/Ação]&lt;&gt;0,SUMPRODUCT(N([Papel]=Tabela8[[#This Row],[Papel]]),N([Exercício]=Tabela8[[#This Row],[Exercício]]),[Líquido p/Ação]),"")</f>
        <v>0.68950000000000011</v>
      </c>
      <c r="L930" s="42">
        <f>IF(Tabela8[[#This Row],[Lucro p/Ação]]="","",IF(Tabela8[[#This Row],[Lucro p/Ação]]&gt;0,Tabela8[[#This Row],[Total Exercício]]/Tabela8[[#This Row],[Lucro p/Ação]],0))</f>
        <v>0.43093750000000003</v>
      </c>
      <c r="M9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2.563333333333333</v>
      </c>
      <c r="N9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0.88250000000000017</v>
      </c>
      <c r="O930" s="87">
        <f>IF(Tabela8[[#This Row],[Média Lucro p/Ação]]&lt;&gt;"",Tabela8[[#This Row],[Média Pago]]/Tabela8[[#This Row],[Média Lucro p/Ação]],"")</f>
        <v>0.34427828348504563</v>
      </c>
      <c r="P9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0" s="134">
        <f>SUMPRODUCT(N(Tabela1[Código]=Tabela8[[#This Row],[Papel]]),Tabela1[Fechamento])</f>
        <v>0</v>
      </c>
      <c r="R930" s="7">
        <f>SUMPRODUCT(N(Tabela17[Código]=Tabela8[[#This Row],[Papel]]),Tabela17[Fechamento])</f>
        <v>12.95</v>
      </c>
      <c r="S930" s="7">
        <f>SUMPRODUCT(N(Tabela176[Código]=Tabela8[[#This Row],[Papel]]),Tabela176[Fechamento])</f>
        <v>0</v>
      </c>
      <c r="T930" s="7">
        <f>SUMPRODUCT(N(Tabela1768[Código]=Tabela8[[#This Row],[Papel]]),Tabela1768[Fechamento])</f>
        <v>0</v>
      </c>
      <c r="U930" s="7">
        <f>SUMPRODUCT(N(Tabela17683[Código]=Tabela8[[#This Row],[Papel]]),Tabela17683[Fechamento])</f>
        <v>0</v>
      </c>
      <c r="V930" s="7">
        <f>IF(MAX(Tabela8[[#This Row],[Cotação 1]]:Tabela8[[#This Row],[Cotação 5]])=0,"",MAX(Tabela8[[#This Row],[Cotação 1]]:Tabela8[[#This Row],[Cotação 5]]))</f>
        <v>12.95</v>
      </c>
      <c r="W9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0" s="19">
        <f>IF(AND([Ref]=5,[Cotação]&gt;0,[Cotação]&lt;&gt;""),[Total Exercício]/[Cotação],IF([Ref]&lt;4,0,""))</f>
        <v>5.3243243243243255E-2</v>
      </c>
      <c r="Y930" s="14">
        <f>IF([Tipo]="div",1,0)</f>
        <v>0</v>
      </c>
      <c r="Z930" s="14">
        <f>IF([Tipo]="jcp",1,0)</f>
        <v>1</v>
      </c>
    </row>
    <row r="931" spans="1:26" hidden="1">
      <c r="A931" s="4" t="s">
        <v>236</v>
      </c>
      <c r="B931" s="3" t="s">
        <v>21</v>
      </c>
      <c r="C931" s="15">
        <v>5</v>
      </c>
      <c r="D931" s="4">
        <v>2012</v>
      </c>
      <c r="E931" s="14" t="s">
        <v>1475</v>
      </c>
      <c r="F931" s="133">
        <v>1.6</v>
      </c>
      <c r="G931" s="145">
        <v>41309</v>
      </c>
      <c r="I931" s="133">
        <v>0.76</v>
      </c>
      <c r="J931" s="134">
        <f>IF(Tabela8[[#This Row],[Tipo]]="jcp",Tabela8[[#This Row],[Provento p/Ação]]*85%,Tabela8[[#This Row],[Provento p/Ação]])</f>
        <v>0.64600000000000002</v>
      </c>
      <c r="K931" s="133">
        <f>IF([Lucro p/Ação]&lt;&gt;0,SUMPRODUCT(N([Papel]=Tabela8[[#This Row],[Papel]]),N([Exercício]=Tabela8[[#This Row],[Exercício]]),[Líquido p/Ação]),"")</f>
        <v>1.1060000000000001</v>
      </c>
      <c r="L931" s="42">
        <f>IF(Tabela8[[#This Row],[Lucro p/Ação]]="","",IF(Tabela8[[#This Row],[Lucro p/Ação]]&gt;0,Tabela8[[#This Row],[Total Exercício]]/Tabela8[[#This Row],[Lucro p/Ação]],0))</f>
        <v>0.69125000000000003</v>
      </c>
      <c r="M9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2.563333333333333</v>
      </c>
      <c r="N93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1.0213333333333334</v>
      </c>
      <c r="O931" s="87">
        <f>IF(Tabela8[[#This Row],[Média Lucro p/Ação]]&lt;&gt;"",Tabela8[[#This Row],[Média Pago]]/Tabela8[[#This Row],[Média Lucro p/Ação]],"")</f>
        <v>0.39843953185955794</v>
      </c>
      <c r="P9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1" s="134">
        <f>SUMPRODUCT(N(Tabela1[Código]=Tabela8[[#This Row],[Papel]]),Tabela1[Fechamento])</f>
        <v>0</v>
      </c>
      <c r="R931" s="17">
        <f>SUMPRODUCT(N(Tabela17[Código]=Tabela8[[#This Row],[Papel]]),Tabela17[Fechamento])</f>
        <v>13.5</v>
      </c>
      <c r="S931" s="17">
        <f>SUMPRODUCT(N(Tabela176[Código]=Tabela8[[#This Row],[Papel]]),Tabela176[Fechamento])</f>
        <v>0</v>
      </c>
      <c r="T931" s="17">
        <f>SUMPRODUCT(N(Tabela1768[Código]=Tabela8[[#This Row],[Papel]]),Tabela1768[Fechamento])</f>
        <v>0</v>
      </c>
      <c r="U931" s="17">
        <f>SUMPRODUCT(N(Tabela17683[Código]=Tabela8[[#This Row],[Papel]]),Tabela17683[Fechamento])</f>
        <v>0</v>
      </c>
      <c r="V931" s="17">
        <f>IF(MAX(Tabela8[[#This Row],[Cotação 1]]:Tabela8[[#This Row],[Cotação 5]])=0,"",MAX(Tabela8[[#This Row],[Cotação 1]]:Tabela8[[#This Row],[Cotação 5]]))</f>
        <v>13.5</v>
      </c>
      <c r="W9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1" s="19">
        <f>IF(AND([Ref]=5,[Cotação]&gt;0,[Cotação]&lt;&gt;""),[Total Exercício]/[Cotação],IF([Ref]&lt;4,0,""))</f>
        <v>8.192592592592593E-2</v>
      </c>
      <c r="Y931" s="14">
        <f>IF([Tipo]="div",1,0)</f>
        <v>0</v>
      </c>
      <c r="Z931" s="14">
        <f>IF([Tipo]="jcp",1,0)</f>
        <v>1</v>
      </c>
    </row>
    <row r="932" spans="1:26" hidden="1">
      <c r="A932" s="4" t="s">
        <v>236</v>
      </c>
      <c r="B932" s="3" t="s">
        <v>20</v>
      </c>
      <c r="C932" s="15">
        <v>4</v>
      </c>
      <c r="D932" s="4">
        <v>2013</v>
      </c>
      <c r="E932" s="14" t="s">
        <v>1475</v>
      </c>
      <c r="G932" s="145">
        <v>41309</v>
      </c>
      <c r="H932" s="46">
        <v>41423</v>
      </c>
      <c r="I932" s="133">
        <v>0.27</v>
      </c>
      <c r="J932" s="134">
        <f>IF(Tabela8[[#This Row],[Tipo]]="jcp",Tabela8[[#This Row],[Provento p/Ação]]*85%,Tabela8[[#This Row],[Provento p/Ação]])</f>
        <v>0.22950000000000001</v>
      </c>
      <c r="K932" s="133" t="str">
        <f>IF([Lucro p/Ação]&lt;&gt;0,SUMPRODUCT(N([Papel]=Tabela8[[#This Row],[Papel]]),N([Exercício]=Tabela8[[#This Row],[Exercício]]),[Líquido p/Ação]),"")</f>
        <v/>
      </c>
      <c r="L932" s="42" t="str">
        <f>IF(Tabela8[[#This Row],[Lucro p/Ação]]="","",IF(Tabela8[[#This Row],[Lucro p/Ação]]&gt;0,Tabela8[[#This Row],[Total Exercício]]/Tabela8[[#This Row],[Lucro p/Ação]],0))</f>
        <v/>
      </c>
      <c r="M93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2" s="87" t="str">
        <f>IF(Tabela8[[#This Row],[Média Lucro p/Ação]]&lt;&gt;"",Tabela8[[#This Row],[Média Pago]]/Tabela8[[#This Row],[Média Lucro p/Ação]],"")</f>
        <v/>
      </c>
      <c r="P9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2" s="134">
        <f>SUMPRODUCT(N(Tabela1[Código]=Tabela8[[#This Row],[Papel]]),Tabela1[Fechamento])</f>
        <v>0</v>
      </c>
      <c r="R932" s="7">
        <f>SUMPRODUCT(N(Tabela17[Código]=Tabela8[[#This Row],[Papel]]),Tabela17[Fechamento])</f>
        <v>12.95</v>
      </c>
      <c r="S932" s="7">
        <f>SUMPRODUCT(N(Tabela176[Código]=Tabela8[[#This Row],[Papel]]),Tabela176[Fechamento])</f>
        <v>0</v>
      </c>
      <c r="T932" s="7">
        <f>SUMPRODUCT(N(Tabela1768[Código]=Tabela8[[#This Row],[Papel]]),Tabela1768[Fechamento])</f>
        <v>0</v>
      </c>
      <c r="U932" s="7">
        <f>SUMPRODUCT(N(Tabela17683[Código]=Tabela8[[#This Row],[Papel]]),Tabela17683[Fechamento])</f>
        <v>0</v>
      </c>
      <c r="V932" s="7">
        <f>IF(MAX(Tabela8[[#This Row],[Cotação 1]]:Tabela8[[#This Row],[Cotação 5]])=0,"",MAX(Tabela8[[#This Row],[Cotação 1]]:Tabela8[[#This Row],[Cotação 5]]))</f>
        <v>12.95</v>
      </c>
      <c r="W9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2" s="19" t="str">
        <f>IF(AND([Ref]=5,[Cotação]&gt;0,[Cotação]&lt;&gt;""),[Total Exercício]/[Cotação],IF([Ref]&lt;4,0,""))</f>
        <v/>
      </c>
      <c r="Y932" s="14">
        <f>IF([Tipo]="div",1,0)</f>
        <v>0</v>
      </c>
      <c r="Z932" s="14">
        <f>IF([Tipo]="jcp",1,0)</f>
        <v>1</v>
      </c>
    </row>
    <row r="933" spans="1:26" hidden="1">
      <c r="A933" s="4" t="s">
        <v>236</v>
      </c>
      <c r="B933" s="3" t="s">
        <v>21</v>
      </c>
      <c r="C933" s="15">
        <v>4</v>
      </c>
      <c r="D933" s="4">
        <v>2013</v>
      </c>
      <c r="E933" s="14" t="s">
        <v>1475</v>
      </c>
      <c r="G933" s="145">
        <v>41309</v>
      </c>
      <c r="H933" s="46">
        <v>41423</v>
      </c>
      <c r="I933" s="133">
        <v>0.76</v>
      </c>
      <c r="J933" s="134">
        <f>IF(Tabela8[[#This Row],[Tipo]]="jcp",Tabela8[[#This Row],[Provento p/Ação]]*85%,Tabela8[[#This Row],[Provento p/Ação]])</f>
        <v>0.64600000000000002</v>
      </c>
      <c r="K933" s="133" t="str">
        <f>IF([Lucro p/Ação]&lt;&gt;0,SUMPRODUCT(N([Papel]=Tabela8[[#This Row],[Papel]]),N([Exercício]=Tabela8[[#This Row],[Exercício]]),[Líquido p/Ação]),"")</f>
        <v/>
      </c>
      <c r="L933" s="42" t="str">
        <f>IF(Tabela8[[#This Row],[Lucro p/Ação]]="","",IF(Tabela8[[#This Row],[Lucro p/Ação]]&gt;0,Tabela8[[#This Row],[Total Exercício]]/Tabela8[[#This Row],[Lucro p/Ação]],0))</f>
        <v/>
      </c>
      <c r="M93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3" s="87" t="str">
        <f>IF(Tabela8[[#This Row],[Média Lucro p/Ação]]&lt;&gt;"",Tabela8[[#This Row],[Média Pago]]/Tabela8[[#This Row],[Média Lucro p/Ação]],"")</f>
        <v/>
      </c>
      <c r="P9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3" s="134">
        <f>SUMPRODUCT(N(Tabela1[Código]=Tabela8[[#This Row],[Papel]]),Tabela1[Fechamento])</f>
        <v>0</v>
      </c>
      <c r="R933" s="7">
        <f>SUMPRODUCT(N(Tabela17[Código]=Tabela8[[#This Row],[Papel]]),Tabela17[Fechamento])</f>
        <v>13.5</v>
      </c>
      <c r="S933" s="7">
        <f>SUMPRODUCT(N(Tabela176[Código]=Tabela8[[#This Row],[Papel]]),Tabela176[Fechamento])</f>
        <v>0</v>
      </c>
      <c r="T933" s="7">
        <f>SUMPRODUCT(N(Tabela1768[Código]=Tabela8[[#This Row],[Papel]]),Tabela1768[Fechamento])</f>
        <v>0</v>
      </c>
      <c r="U933" s="7">
        <f>SUMPRODUCT(N(Tabela17683[Código]=Tabela8[[#This Row],[Papel]]),Tabela17683[Fechamento])</f>
        <v>0</v>
      </c>
      <c r="V933" s="7">
        <f>IF(MAX(Tabela8[[#This Row],[Cotação 1]]:Tabela8[[#This Row],[Cotação 5]])=0,"",MAX(Tabela8[[#This Row],[Cotação 1]]:Tabela8[[#This Row],[Cotação 5]]))</f>
        <v>13.5</v>
      </c>
      <c r="W9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3" s="19" t="str">
        <f>IF(AND([Ref]=5,[Cotação]&gt;0,[Cotação]&lt;&gt;""),[Total Exercício]/[Cotação],IF([Ref]&lt;4,0,""))</f>
        <v/>
      </c>
      <c r="Y933" s="14">
        <f>IF([Tipo]="div",1,0)</f>
        <v>0</v>
      </c>
      <c r="Z933" s="14">
        <f>IF([Tipo]="jcp",1,0)</f>
        <v>1</v>
      </c>
    </row>
    <row r="934" spans="1:26" hidden="1">
      <c r="A934" s="4" t="s">
        <v>236</v>
      </c>
      <c r="B934" s="3" t="s">
        <v>20</v>
      </c>
      <c r="C934" s="15">
        <v>5</v>
      </c>
      <c r="D934" s="4">
        <v>2013</v>
      </c>
      <c r="E934" s="14" t="s">
        <v>1475</v>
      </c>
      <c r="F934" s="133">
        <v>1.79</v>
      </c>
      <c r="G934" s="145">
        <v>41695</v>
      </c>
      <c r="I934" s="133">
        <v>0.52170000000000005</v>
      </c>
      <c r="J934" s="134">
        <f>IF(Tabela8[[#This Row],[Tipo]]="jcp",Tabela8[[#This Row],[Provento p/Ação]]*85%,Tabela8[[#This Row],[Provento p/Ação]])</f>
        <v>0.44344500000000003</v>
      </c>
      <c r="K934" s="133">
        <f>IF([Lucro p/Ação]&lt;&gt;0,SUMPRODUCT(N([Papel]=Tabela8[[#This Row],[Papel]]),N([Exercício]=Tabela8[[#This Row],[Exercício]]),[Líquido p/Ação]),"")</f>
        <v>0.67294500000000002</v>
      </c>
      <c r="L934" s="42">
        <f>IF(Tabela8[[#This Row],[Lucro p/Ação]]="","",IF(Tabela8[[#This Row],[Lucro p/Ação]]&gt;0,Tabela8[[#This Row],[Total Exercício]]/Tabela8[[#This Row],[Lucro p/Ação]],0))</f>
        <v>0.37594692737430169</v>
      </c>
      <c r="M93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</v>
      </c>
      <c r="N93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0.83011125000000008</v>
      </c>
      <c r="O934" s="87">
        <f>IF(Tabela8[[#This Row],[Média Lucro p/Ação]]&lt;&gt;"",Tabela8[[#This Row],[Média Pago]]/Tabela8[[#This Row],[Média Lucro p/Ação]],"")</f>
        <v>0.35025791139240509</v>
      </c>
      <c r="P9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4" s="134">
        <f>SUMPRODUCT(N(Tabela1[Código]=Tabela8[[#This Row],[Papel]]),Tabela1[Fechamento])</f>
        <v>0</v>
      </c>
      <c r="R934" s="7">
        <f>SUMPRODUCT(N(Tabela17[Código]=Tabela8[[#This Row],[Papel]]),Tabela17[Fechamento])</f>
        <v>12.95</v>
      </c>
      <c r="S934" s="7">
        <f>SUMPRODUCT(N(Tabela176[Código]=Tabela8[[#This Row],[Papel]]),Tabela176[Fechamento])</f>
        <v>0</v>
      </c>
      <c r="T934" s="7">
        <f>SUMPRODUCT(N(Tabela1768[Código]=Tabela8[[#This Row],[Papel]]),Tabela1768[Fechamento])</f>
        <v>0</v>
      </c>
      <c r="U934" s="7">
        <f>SUMPRODUCT(N(Tabela17683[Código]=Tabela8[[#This Row],[Papel]]),Tabela17683[Fechamento])</f>
        <v>0</v>
      </c>
      <c r="V934" s="7">
        <f>IF(MAX(Tabela8[[#This Row],[Cotação 1]]:Tabela8[[#This Row],[Cotação 5]])=0,"",MAX(Tabela8[[#This Row],[Cotação 1]]:Tabela8[[#This Row],[Cotação 5]]))</f>
        <v>12.95</v>
      </c>
      <c r="W9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4" s="19">
        <f>IF(AND([Ref]=5,[Cotação]&gt;0,[Cotação]&lt;&gt;""),[Total Exercício]/[Cotação],IF([Ref]&lt;4,0,""))</f>
        <v>5.1964864864864867E-2</v>
      </c>
      <c r="Y934" s="14">
        <f>IF([Tipo]="div",1,0)</f>
        <v>0</v>
      </c>
      <c r="Z934" s="14">
        <f>IF([Tipo]="jcp",1,0)</f>
        <v>1</v>
      </c>
    </row>
    <row r="935" spans="1:26" hidden="1">
      <c r="A935" s="4" t="s">
        <v>236</v>
      </c>
      <c r="B935" s="3" t="s">
        <v>21</v>
      </c>
      <c r="C935" s="15">
        <v>5</v>
      </c>
      <c r="D935" s="4">
        <v>2013</v>
      </c>
      <c r="E935" s="14" t="s">
        <v>1475</v>
      </c>
      <c r="F935" s="133">
        <v>1.79</v>
      </c>
      <c r="G935" s="145">
        <v>41695</v>
      </c>
      <c r="I935" s="133">
        <v>0.96719999999999995</v>
      </c>
      <c r="J935" s="134">
        <f>IF(Tabela8[[#This Row],[Tipo]]="jcp",Tabela8[[#This Row],[Provento p/Ação]]*85%,Tabela8[[#This Row],[Provento p/Ação]])</f>
        <v>0.82211999999999996</v>
      </c>
      <c r="K935" s="133">
        <f>IF([Lucro p/Ação]&lt;&gt;0,SUMPRODUCT(N([Papel]=Tabela8[[#This Row],[Papel]]),N([Exercício]=Tabela8[[#This Row],[Exercício]]),[Líquido p/Ação]),"")</f>
        <v>1.4681199999999999</v>
      </c>
      <c r="L935" s="42">
        <f>IF(Tabela8[[#This Row],[Lucro p/Ação]]="","",IF(Tabela8[[#This Row],[Lucro p/Ação]]&gt;0,Tabela8[[#This Row],[Total Exercício]]/Tabela8[[#This Row],[Lucro p/Ação]],0))</f>
        <v>0.82017877094972058</v>
      </c>
      <c r="M9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2.37</v>
      </c>
      <c r="N93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1.13303</v>
      </c>
      <c r="O935" s="87">
        <f>IF(Tabela8[[#This Row],[Média Lucro p/Ação]]&lt;&gt;"",Tabela8[[#This Row],[Média Pago]]/Tabela8[[#This Row],[Média Lucro p/Ação]],"")</f>
        <v>0.47807172995780589</v>
      </c>
      <c r="P9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5" s="134">
        <f>SUMPRODUCT(N(Tabela1[Código]=Tabela8[[#This Row],[Papel]]),Tabela1[Fechamento])</f>
        <v>0</v>
      </c>
      <c r="R935" s="17">
        <f>SUMPRODUCT(N(Tabela17[Código]=Tabela8[[#This Row],[Papel]]),Tabela17[Fechamento])</f>
        <v>13.5</v>
      </c>
      <c r="S935" s="17">
        <f>SUMPRODUCT(N(Tabela176[Código]=Tabela8[[#This Row],[Papel]]),Tabela176[Fechamento])</f>
        <v>0</v>
      </c>
      <c r="T935" s="17">
        <f>SUMPRODUCT(N(Tabela1768[Código]=Tabela8[[#This Row],[Papel]]),Tabela1768[Fechamento])</f>
        <v>0</v>
      </c>
      <c r="U935" s="17">
        <f>SUMPRODUCT(N(Tabela17683[Código]=Tabela8[[#This Row],[Papel]]),Tabela17683[Fechamento])</f>
        <v>0</v>
      </c>
      <c r="V935" s="17">
        <f>IF(MAX(Tabela8[[#This Row],[Cotação 1]]:Tabela8[[#This Row],[Cotação 5]])=0,"",MAX(Tabela8[[#This Row],[Cotação 1]]:Tabela8[[#This Row],[Cotação 5]]))</f>
        <v>13.5</v>
      </c>
      <c r="W9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5" s="19">
        <f>IF(AND([Ref]=5,[Cotação]&gt;0,[Cotação]&lt;&gt;""),[Total Exercício]/[Cotação],IF([Ref]&lt;4,0,""))</f>
        <v>0.10874962962962963</v>
      </c>
      <c r="Y935" s="14">
        <f>IF([Tipo]="div",1,0)</f>
        <v>0</v>
      </c>
      <c r="Z935" s="14">
        <f>IF([Tipo]="jcp",1,0)</f>
        <v>1</v>
      </c>
    </row>
    <row r="936" spans="1:26" hidden="1">
      <c r="A936" s="24" t="s">
        <v>40</v>
      </c>
      <c r="B936" s="131" t="s">
        <v>413</v>
      </c>
      <c r="C936" s="15">
        <v>5</v>
      </c>
      <c r="D936" s="4">
        <v>2000</v>
      </c>
      <c r="E936" s="14" t="s">
        <v>1475</v>
      </c>
      <c r="F936" s="133">
        <v>0.36693999999999999</v>
      </c>
      <c r="G936" s="145">
        <v>36888</v>
      </c>
      <c r="H936" s="46">
        <v>36903</v>
      </c>
      <c r="I936" s="133">
        <v>4.2500000000000003E-2</v>
      </c>
      <c r="J936" s="132">
        <f>IF(Tabela8[[#This Row],[Tipo]]="jcp",Tabela8[[#This Row],[Provento p/Ação]]*85%,Tabela8[[#This Row],[Provento p/Ação]])</f>
        <v>3.6125000000000004E-2</v>
      </c>
      <c r="K936" s="133">
        <f>IF([Lucro p/Ação]&lt;&gt;0,SUMPRODUCT(N([Papel]=Tabela8[[#This Row],[Papel]]),N([Exercício]=Tabela8[[#This Row],[Exercício]]),[Líquido p/Ação]),"")</f>
        <v>3.6125000000000004E-2</v>
      </c>
      <c r="L936" s="42">
        <f>IF(Tabela8[[#This Row],[Lucro p/Ação]]="","",IF(Tabela8[[#This Row],[Lucro p/Ação]]&gt;0,Tabela8[[#This Row],[Total Exercício]]/Tabela8[[#This Row],[Lucro p/Ação]],0))</f>
        <v>9.8449337766392336E-2</v>
      </c>
      <c r="M93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0.36693999999999999</v>
      </c>
      <c r="N93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3.6125000000000004E-2</v>
      </c>
      <c r="O936" s="19">
        <f>IF(Tabela8[[#This Row],[Média Lucro p/Ação]]&lt;&gt;"",Tabela8[[#This Row],[Média Pago]]/Tabela8[[#This Row],[Média Lucro p/Ação]],"")</f>
        <v>9.8449337766392336E-2</v>
      </c>
      <c r="P9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6" s="134">
        <f>SUMPRODUCT(N(Tabela1[Código]=Tabela8[[#This Row],[Papel]]),Tabela1[Fechamento])</f>
        <v>0</v>
      </c>
      <c r="R936" s="7">
        <f>SUMPRODUCT(N(Tabela17[Código]=Tabela8[[#This Row],[Papel]]),Tabela17[Fechamento])</f>
        <v>0.57999999999999996</v>
      </c>
      <c r="S936" s="7">
        <f>SUMPRODUCT(N(Tabela176[Código]=Tabela8[[#This Row],[Papel]]),Tabela176[Fechamento])</f>
        <v>0</v>
      </c>
      <c r="T936" s="7">
        <f>SUMPRODUCT(N(Tabela1768[Código]=Tabela8[[#This Row],[Papel]]),Tabela1768[Fechamento])</f>
        <v>0</v>
      </c>
      <c r="U936" s="7">
        <f>SUMPRODUCT(N(Tabela17683[Código]=Tabela8[[#This Row],[Papel]]),Tabela17683[Fechamento])</f>
        <v>0</v>
      </c>
      <c r="V936" s="7">
        <f>IF(MAX(Tabela8[[#This Row],[Cotação 1]]:Tabela8[[#This Row],[Cotação 5]])=0,"",MAX(Tabela8[[#This Row],[Cotação 1]]:Tabela8[[#This Row],[Cotação 5]]))</f>
        <v>0.57999999999999996</v>
      </c>
      <c r="W9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6" s="19">
        <f>IF(AND([Ref]=5,[Cotação]&gt;0,[Cotação]&lt;&gt;""),[Total Exercício]/[Cotação],IF([Ref]&lt;4,0,""))</f>
        <v>6.2284482758620703E-2</v>
      </c>
      <c r="Y936" s="14">
        <f>IF([Tipo]="div",1,0)</f>
        <v>0</v>
      </c>
      <c r="Z936" s="14">
        <f>IF([Tipo]="jcp",1,0)</f>
        <v>1</v>
      </c>
    </row>
    <row r="937" spans="1:26" hidden="1">
      <c r="A937" s="24" t="s">
        <v>40</v>
      </c>
      <c r="B937" s="131" t="s">
        <v>73</v>
      </c>
      <c r="C937" s="15">
        <v>5</v>
      </c>
      <c r="D937" s="4">
        <v>2000</v>
      </c>
      <c r="E937" s="14" t="s">
        <v>1475</v>
      </c>
      <c r="F937" s="133">
        <v>0.36693999999999999</v>
      </c>
      <c r="G937" s="145">
        <v>36888</v>
      </c>
      <c r="H937" s="46">
        <v>36903</v>
      </c>
      <c r="I937" s="133">
        <v>4.2500000000000003E-2</v>
      </c>
      <c r="J937" s="132">
        <f>IF(Tabela8[[#This Row],[Tipo]]="jcp",Tabela8[[#This Row],[Provento p/Ação]]*85%,Tabela8[[#This Row],[Provento p/Ação]])</f>
        <v>3.6125000000000004E-2</v>
      </c>
      <c r="K937" s="133">
        <f>IF([Lucro p/Ação]&lt;&gt;0,SUMPRODUCT(N([Papel]=Tabela8[[#This Row],[Papel]]),N([Exercício]=Tabela8[[#This Row],[Exercício]]),[Líquido p/Ação]),"")</f>
        <v>3.6125000000000004E-2</v>
      </c>
      <c r="L937" s="42">
        <f>IF(Tabela8[[#This Row],[Lucro p/Ação]]="","",IF(Tabela8[[#This Row],[Lucro p/Ação]]&gt;0,Tabela8[[#This Row],[Total Exercício]]/Tabela8[[#This Row],[Lucro p/Ação]],0))</f>
        <v>9.8449337766392336E-2</v>
      </c>
      <c r="M93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0.36693999999999999</v>
      </c>
      <c r="N93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3.6125000000000004E-2</v>
      </c>
      <c r="O937" s="19">
        <f>IF(Tabela8[[#This Row],[Média Lucro p/Ação]]&lt;&gt;"",Tabela8[[#This Row],[Média Pago]]/Tabela8[[#This Row],[Média Lucro p/Ação]],"")</f>
        <v>9.8449337766392336E-2</v>
      </c>
      <c r="P9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7" s="134">
        <f>SUMPRODUCT(N(Tabela1[Código]=Tabela8[[#This Row],[Papel]]),Tabela1[Fechamento])</f>
        <v>0.64</v>
      </c>
      <c r="R937" s="7">
        <f>SUMPRODUCT(N(Tabela17[Código]=Tabela8[[#This Row],[Papel]]),Tabela17[Fechamento])</f>
        <v>0</v>
      </c>
      <c r="S937" s="7">
        <f>SUMPRODUCT(N(Tabela176[Código]=Tabela8[[#This Row],[Papel]]),Tabela176[Fechamento])</f>
        <v>0</v>
      </c>
      <c r="T937" s="7">
        <f>SUMPRODUCT(N(Tabela1768[Código]=Tabela8[[#This Row],[Papel]]),Tabela1768[Fechamento])</f>
        <v>0</v>
      </c>
      <c r="U937" s="7">
        <f>SUMPRODUCT(N(Tabela17683[Código]=Tabela8[[#This Row],[Papel]]),Tabela17683[Fechamento])</f>
        <v>0</v>
      </c>
      <c r="V937" s="7">
        <f>IF(MAX(Tabela8[[#This Row],[Cotação 1]]:Tabela8[[#This Row],[Cotação 5]])=0,"",MAX(Tabela8[[#This Row],[Cotação 1]]:Tabela8[[#This Row],[Cotação 5]]))</f>
        <v>0.64</v>
      </c>
      <c r="W9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7" s="19">
        <f>IF(AND([Ref]=5,[Cotação]&gt;0,[Cotação]&lt;&gt;""),[Total Exercício]/[Cotação],IF([Ref]&lt;4,0,""))</f>
        <v>5.6445312500000004E-2</v>
      </c>
      <c r="Y937" s="14">
        <f>IF([Tipo]="div",1,0)</f>
        <v>0</v>
      </c>
      <c r="Z937" s="14">
        <f>IF([Tipo]="jcp",1,0)</f>
        <v>1</v>
      </c>
    </row>
    <row r="938" spans="1:26">
      <c r="A938" s="24" t="s">
        <v>40</v>
      </c>
      <c r="B938" s="135" t="s">
        <v>39</v>
      </c>
      <c r="C938" s="15">
        <v>5</v>
      </c>
      <c r="D938" s="4">
        <v>2009</v>
      </c>
      <c r="E938" s="14" t="s">
        <v>1468</v>
      </c>
      <c r="F938" s="133">
        <v>-0.81501999999999997</v>
      </c>
      <c r="G938" s="145">
        <v>40045</v>
      </c>
      <c r="H938" s="46">
        <v>40056</v>
      </c>
      <c r="I938" s="133">
        <v>1.0999999999999999E-2</v>
      </c>
      <c r="J938" s="134">
        <f>IF(Tabela8[[#This Row],[Tipo]]="jcp",Tabela8[[#This Row],[Provento p/Ação]]*85%,Tabela8[[#This Row],[Provento p/Ação]])</f>
        <v>1.0999999999999999E-2</v>
      </c>
      <c r="K938" s="133">
        <f>IF([Lucro p/Ação]&lt;&gt;0,SUMPRODUCT(N([Papel]=Tabela8[[#This Row],[Papel]]),N([Exercício]=Tabela8[[#This Row],[Exercício]]),[Líquido p/Ação]),"")</f>
        <v>1.0999999999999999E-2</v>
      </c>
      <c r="L938" s="42">
        <f>IF(Tabela8[[#This Row],[Lucro p/Ação]]="","",IF(Tabela8[[#This Row],[Lucro p/Ação]]&gt;0,Tabela8[[#This Row],[Total Exercício]]/Tabela8[[#This Row],[Lucro p/Ação]],0))</f>
        <v>0</v>
      </c>
      <c r="M93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</v>
      </c>
      <c r="N93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7.3644599999999991E-2</v>
      </c>
      <c r="O938" s="87">
        <f>IF(Tabela8[[#This Row],[Média Lucro p/Ação]]&lt;&gt;"",Tabela8[[#This Row],[Média Pago]]/Tabela8[[#This Row],[Média Lucro p/Ação]],"")</f>
        <v>0.56649692307692301</v>
      </c>
      <c r="P9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8" s="134">
        <f>SUMPRODUCT(N(Tabela1[Código]=Tabela8[[#This Row],[Papel]]),Tabela1[Fechamento])</f>
        <v>0.41</v>
      </c>
      <c r="R938" s="7">
        <f>SUMPRODUCT(N(Tabela17[Código]=Tabela8[[#This Row],[Papel]]),Tabela17[Fechamento])</f>
        <v>0</v>
      </c>
      <c r="S938" s="7">
        <f>SUMPRODUCT(N(Tabela176[Código]=Tabela8[[#This Row],[Papel]]),Tabela176[Fechamento])</f>
        <v>0</v>
      </c>
      <c r="T938" s="7">
        <f>SUMPRODUCT(N(Tabela1768[Código]=Tabela8[[#This Row],[Papel]]),Tabela1768[Fechamento])</f>
        <v>0</v>
      </c>
      <c r="U938" s="7">
        <f>SUMPRODUCT(N(Tabela17683[Código]=Tabela8[[#This Row],[Papel]]),Tabela17683[Fechamento])</f>
        <v>0</v>
      </c>
      <c r="V938" s="7">
        <f>IF(MAX(Tabela8[[#This Row],[Cotação 1]]:Tabela8[[#This Row],[Cotação 5]])=0,"",MAX(Tabela8[[#This Row],[Cotação 1]]:Tabela8[[#This Row],[Cotação 5]]))</f>
        <v>0.41</v>
      </c>
      <c r="W9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8" s="19">
        <f>IF(AND([Ref]=5,[Cotação]&gt;0,[Cotação]&lt;&gt;""),[Total Exercício]/[Cotação],IF([Ref]&lt;4,0,""))</f>
        <v>2.6829268292682926E-2</v>
      </c>
      <c r="Y938" s="14">
        <f>IF([Tipo]="div",1,0)</f>
        <v>1</v>
      </c>
      <c r="Z938" s="14">
        <f>IF([Tipo]="jcp",1,0)</f>
        <v>0</v>
      </c>
    </row>
    <row r="939" spans="1:26" hidden="1">
      <c r="A939" s="24" t="s">
        <v>40</v>
      </c>
      <c r="B939" s="131" t="s">
        <v>413</v>
      </c>
      <c r="C939" s="15">
        <v>4</v>
      </c>
      <c r="D939" s="4">
        <v>2001</v>
      </c>
      <c r="E939" s="14" t="s">
        <v>1475</v>
      </c>
      <c r="G939" s="145">
        <v>36888</v>
      </c>
      <c r="H939" s="46">
        <v>36903</v>
      </c>
      <c r="I939" s="133">
        <v>4.2500000000000003E-2</v>
      </c>
      <c r="J939" s="134">
        <f>IF(Tabela8[[#This Row],[Tipo]]="jcp",Tabela8[[#This Row],[Provento p/Ação]]*85%,Tabela8[[#This Row],[Provento p/Ação]])</f>
        <v>3.6125000000000004E-2</v>
      </c>
      <c r="K939" s="133" t="str">
        <f>IF([Lucro p/Ação]&lt;&gt;0,SUMPRODUCT(N([Papel]=Tabela8[[#This Row],[Papel]]),N([Exercício]=Tabela8[[#This Row],[Exercício]]),[Líquido p/Ação]),"")</f>
        <v/>
      </c>
      <c r="L939" s="42" t="str">
        <f>IF(Tabela8[[#This Row],[Lucro p/Ação]]="","",IF(Tabela8[[#This Row],[Lucro p/Ação]]&gt;0,Tabela8[[#This Row],[Total Exercício]]/Tabela8[[#This Row],[Lucro p/Ação]],0))</f>
        <v/>
      </c>
      <c r="M9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3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39" s="19" t="str">
        <f>IF(Tabela8[[#This Row],[Média Lucro p/Ação]]&lt;&gt;"",Tabela8[[#This Row],[Média Pago]]/Tabela8[[#This Row],[Média Lucro p/Ação]],"")</f>
        <v/>
      </c>
      <c r="P9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39" s="134">
        <f>SUMPRODUCT(N(Tabela1[Código]=Tabela8[[#This Row],[Papel]]),Tabela1[Fechamento])</f>
        <v>0</v>
      </c>
      <c r="R939" s="7">
        <f>SUMPRODUCT(N(Tabela17[Código]=Tabela8[[#This Row],[Papel]]),Tabela17[Fechamento])</f>
        <v>0.57999999999999996</v>
      </c>
      <c r="S939" s="7">
        <f>SUMPRODUCT(N(Tabela176[Código]=Tabela8[[#This Row],[Papel]]),Tabela176[Fechamento])</f>
        <v>0</v>
      </c>
      <c r="T939" s="7">
        <f>SUMPRODUCT(N(Tabela1768[Código]=Tabela8[[#This Row],[Papel]]),Tabela1768[Fechamento])</f>
        <v>0</v>
      </c>
      <c r="U939" s="7">
        <f>SUMPRODUCT(N(Tabela17683[Código]=Tabela8[[#This Row],[Papel]]),Tabela17683[Fechamento])</f>
        <v>0</v>
      </c>
      <c r="V939" s="7">
        <f>IF(MAX(Tabela8[[#This Row],[Cotação 1]]:Tabela8[[#This Row],[Cotação 5]])=0,"",MAX(Tabela8[[#This Row],[Cotação 1]]:Tabela8[[#This Row],[Cotação 5]]))</f>
        <v>0.57999999999999996</v>
      </c>
      <c r="W9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39" s="19" t="str">
        <f>IF(AND([Ref]=5,[Cotação]&gt;0,[Cotação]&lt;&gt;""),[Total Exercício]/[Cotação],IF([Ref]&lt;4,0,""))</f>
        <v/>
      </c>
      <c r="Y939" s="14">
        <f>IF([Tipo]="div",1,0)</f>
        <v>0</v>
      </c>
      <c r="Z939" s="14">
        <f>IF([Tipo]="jcp",1,0)</f>
        <v>1</v>
      </c>
    </row>
    <row r="940" spans="1:26" hidden="1">
      <c r="A940" s="24" t="s">
        <v>40</v>
      </c>
      <c r="B940" s="131" t="s">
        <v>73</v>
      </c>
      <c r="C940" s="15">
        <v>4</v>
      </c>
      <c r="D940" s="4">
        <v>2001</v>
      </c>
      <c r="E940" s="14" t="s">
        <v>1475</v>
      </c>
      <c r="G940" s="145">
        <v>36888</v>
      </c>
      <c r="H940" s="46">
        <v>36903</v>
      </c>
      <c r="I940" s="133">
        <v>4.2500000000000003E-2</v>
      </c>
      <c r="J940" s="134">
        <f>IF(Tabela8[[#This Row],[Tipo]]="jcp",Tabela8[[#This Row],[Provento p/Ação]]*85%,Tabela8[[#This Row],[Provento p/Ação]])</f>
        <v>3.6125000000000004E-2</v>
      </c>
      <c r="K940" s="133" t="str">
        <f>IF([Lucro p/Ação]&lt;&gt;0,SUMPRODUCT(N([Papel]=Tabela8[[#This Row],[Papel]]),N([Exercício]=Tabela8[[#This Row],[Exercício]]),[Líquido p/Ação]),"")</f>
        <v/>
      </c>
      <c r="L940" s="42" t="str">
        <f>IF(Tabela8[[#This Row],[Lucro p/Ação]]="","",IF(Tabela8[[#This Row],[Lucro p/Ação]]&gt;0,Tabela8[[#This Row],[Total Exercício]]/Tabela8[[#This Row],[Lucro p/Ação]],0))</f>
        <v/>
      </c>
      <c r="M9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0" s="19" t="str">
        <f>IF(Tabela8[[#This Row],[Média Lucro p/Ação]]&lt;&gt;"",Tabela8[[#This Row],[Média Pago]]/Tabela8[[#This Row],[Média Lucro p/Ação]],"")</f>
        <v/>
      </c>
      <c r="P9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0" s="134">
        <f>SUMPRODUCT(N(Tabela1[Código]=Tabela8[[#This Row],[Papel]]),Tabela1[Fechamento])</f>
        <v>0.64</v>
      </c>
      <c r="R940" s="7">
        <f>SUMPRODUCT(N(Tabela17[Código]=Tabela8[[#This Row],[Papel]]),Tabela17[Fechamento])</f>
        <v>0</v>
      </c>
      <c r="S940" s="7">
        <f>SUMPRODUCT(N(Tabela176[Código]=Tabela8[[#This Row],[Papel]]),Tabela176[Fechamento])</f>
        <v>0</v>
      </c>
      <c r="T940" s="7">
        <f>SUMPRODUCT(N(Tabela1768[Código]=Tabela8[[#This Row],[Papel]]),Tabela1768[Fechamento])</f>
        <v>0</v>
      </c>
      <c r="U940" s="7">
        <f>SUMPRODUCT(N(Tabela17683[Código]=Tabela8[[#This Row],[Papel]]),Tabela17683[Fechamento])</f>
        <v>0</v>
      </c>
      <c r="V940" s="7">
        <f>IF(MAX(Tabela8[[#This Row],[Cotação 1]]:Tabela8[[#This Row],[Cotação 5]])=0,"",MAX(Tabela8[[#This Row],[Cotação 1]]:Tabela8[[#This Row],[Cotação 5]]))</f>
        <v>0.64</v>
      </c>
      <c r="W9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0" s="19" t="str">
        <f>IF(AND([Ref]=5,[Cotação]&gt;0,[Cotação]&lt;&gt;""),[Total Exercício]/[Cotação],IF([Ref]&lt;4,0,""))</f>
        <v/>
      </c>
      <c r="Y940" s="14">
        <f>IF([Tipo]="div",1,0)</f>
        <v>0</v>
      </c>
      <c r="Z940" s="14">
        <f>IF([Tipo]="jcp",1,0)</f>
        <v>1</v>
      </c>
    </row>
    <row r="941" spans="1:26">
      <c r="A941" s="24" t="s">
        <v>40</v>
      </c>
      <c r="B941" s="135" t="s">
        <v>39</v>
      </c>
      <c r="C941" s="15">
        <v>4</v>
      </c>
      <c r="D941" s="4">
        <v>2008</v>
      </c>
      <c r="E941" s="14" t="s">
        <v>1475</v>
      </c>
      <c r="G941" s="145">
        <v>39672</v>
      </c>
      <c r="H941" s="46">
        <v>39679</v>
      </c>
      <c r="I941" s="133">
        <v>1.32E-2</v>
      </c>
      <c r="J941" s="134">
        <f>IF(Tabela8[[#This Row],[Tipo]]="jcp",Tabela8[[#This Row],[Provento p/Ação]]*85%,Tabela8[[#This Row],[Provento p/Ação]])</f>
        <v>1.1219999999999999E-2</v>
      </c>
      <c r="K941" s="133" t="str">
        <f>IF([Lucro p/Ação]&lt;&gt;0,SUMPRODUCT(N([Papel]=Tabela8[[#This Row],[Papel]]),N([Exercício]=Tabela8[[#This Row],[Exercício]]),[Líquido p/Ação]),"")</f>
        <v/>
      </c>
      <c r="L941" s="42" t="str">
        <f>IF(Tabela8[[#This Row],[Lucro p/Ação]]="","",IF(Tabela8[[#This Row],[Lucro p/Ação]]&gt;0,Tabela8[[#This Row],[Total Exercício]]/Tabela8[[#This Row],[Lucro p/Ação]],0))</f>
        <v/>
      </c>
      <c r="M94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1" s="19" t="str">
        <f>IF(Tabela8[[#This Row],[Média Lucro p/Ação]]&lt;&gt;"",Tabela8[[#This Row],[Média Pago]]/Tabela8[[#This Row],[Média Lucro p/Ação]],"")</f>
        <v/>
      </c>
      <c r="P9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1" s="134">
        <f>SUMPRODUCT(N(Tabela1[Código]=Tabela8[[#This Row],[Papel]]),Tabela1[Fechamento])</f>
        <v>0.41</v>
      </c>
      <c r="R941" s="7">
        <f>SUMPRODUCT(N(Tabela17[Código]=Tabela8[[#This Row],[Papel]]),Tabela17[Fechamento])</f>
        <v>0</v>
      </c>
      <c r="S941" s="7">
        <f>SUMPRODUCT(N(Tabela176[Código]=Tabela8[[#This Row],[Papel]]),Tabela176[Fechamento])</f>
        <v>0</v>
      </c>
      <c r="T941" s="7">
        <f>SUMPRODUCT(N(Tabela1768[Código]=Tabela8[[#This Row],[Papel]]),Tabela1768[Fechamento])</f>
        <v>0</v>
      </c>
      <c r="U941" s="7">
        <f>SUMPRODUCT(N(Tabela17683[Código]=Tabela8[[#This Row],[Papel]]),Tabela17683[Fechamento])</f>
        <v>0</v>
      </c>
      <c r="V941" s="7">
        <f>IF(MAX(Tabela8[[#This Row],[Cotação 1]]:Tabela8[[#This Row],[Cotação 5]])=0,"",MAX(Tabela8[[#This Row],[Cotação 1]]:Tabela8[[#This Row],[Cotação 5]]))</f>
        <v>0.41</v>
      </c>
      <c r="W9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1" s="19" t="str">
        <f>IF(AND([Ref]=5,[Cotação]&gt;0,[Cotação]&lt;&gt;""),[Total Exercício]/[Cotação],IF([Ref]&lt;4,0,""))</f>
        <v/>
      </c>
      <c r="Y941" s="14">
        <f>IF([Tipo]="div",1,0)</f>
        <v>0</v>
      </c>
      <c r="Z941" s="14">
        <f>IF([Tipo]="jcp",1,0)</f>
        <v>1</v>
      </c>
    </row>
    <row r="942" spans="1:26" hidden="1">
      <c r="A942" s="24" t="s">
        <v>40</v>
      </c>
      <c r="B942" s="131" t="s">
        <v>413</v>
      </c>
      <c r="C942" s="15">
        <v>4</v>
      </c>
      <c r="D942" s="4">
        <v>2001</v>
      </c>
      <c r="E942" s="14" t="s">
        <v>1468</v>
      </c>
      <c r="G942" s="145">
        <v>37008</v>
      </c>
      <c r="H942" s="46">
        <v>37025</v>
      </c>
      <c r="I942" s="133">
        <v>4.4699999999999997E-2</v>
      </c>
      <c r="J942" s="134">
        <f>IF(Tabela8[[#This Row],[Tipo]]="jcp",Tabela8[[#This Row],[Provento p/Ação]]*85%,Tabela8[[#This Row],[Provento p/Ação]])</f>
        <v>4.4699999999999997E-2</v>
      </c>
      <c r="K942" s="133" t="str">
        <f>IF([Lucro p/Ação]&lt;&gt;0,SUMPRODUCT(N([Papel]=Tabela8[[#This Row],[Papel]]),N([Exercício]=Tabela8[[#This Row],[Exercício]]),[Líquido p/Ação]),"")</f>
        <v/>
      </c>
      <c r="L942" s="42" t="str">
        <f>IF(Tabela8[[#This Row],[Lucro p/Ação]]="","",IF(Tabela8[[#This Row],[Lucro p/Ação]]&gt;0,Tabela8[[#This Row],[Total Exercício]]/Tabela8[[#This Row],[Lucro p/Ação]],0))</f>
        <v/>
      </c>
      <c r="M94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2" s="19" t="str">
        <f>IF(Tabela8[[#This Row],[Média Lucro p/Ação]]&lt;&gt;"",Tabela8[[#This Row],[Média Pago]]/Tabela8[[#This Row],[Média Lucro p/Ação]],"")</f>
        <v/>
      </c>
      <c r="P9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2" s="134">
        <f>SUMPRODUCT(N(Tabela1[Código]=Tabela8[[#This Row],[Papel]]),Tabela1[Fechamento])</f>
        <v>0</v>
      </c>
      <c r="R942" s="7">
        <f>SUMPRODUCT(N(Tabela17[Código]=Tabela8[[#This Row],[Papel]]),Tabela17[Fechamento])</f>
        <v>0.57999999999999996</v>
      </c>
      <c r="S942" s="7">
        <f>SUMPRODUCT(N(Tabela176[Código]=Tabela8[[#This Row],[Papel]]),Tabela176[Fechamento])</f>
        <v>0</v>
      </c>
      <c r="T942" s="7">
        <f>SUMPRODUCT(N(Tabela1768[Código]=Tabela8[[#This Row],[Papel]]),Tabela1768[Fechamento])</f>
        <v>0</v>
      </c>
      <c r="U942" s="7">
        <f>SUMPRODUCT(N(Tabela17683[Código]=Tabela8[[#This Row],[Papel]]),Tabela17683[Fechamento])</f>
        <v>0</v>
      </c>
      <c r="V942" s="7">
        <f>IF(MAX(Tabela8[[#This Row],[Cotação 1]]:Tabela8[[#This Row],[Cotação 5]])=0,"",MAX(Tabela8[[#This Row],[Cotação 1]]:Tabela8[[#This Row],[Cotação 5]]))</f>
        <v>0.57999999999999996</v>
      </c>
      <c r="W9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2" s="19" t="str">
        <f>IF(AND([Ref]=5,[Cotação]&gt;0,[Cotação]&lt;&gt;""),[Total Exercício]/[Cotação],IF([Ref]&lt;4,0,""))</f>
        <v/>
      </c>
      <c r="Y942" s="14">
        <f>IF([Tipo]="div",1,0)</f>
        <v>1</v>
      </c>
      <c r="Z942" s="14">
        <f>IF([Tipo]="jcp",1,0)</f>
        <v>0</v>
      </c>
    </row>
    <row r="943" spans="1:26" hidden="1">
      <c r="A943" s="24" t="s">
        <v>40</v>
      </c>
      <c r="B943" s="131" t="s">
        <v>73</v>
      </c>
      <c r="C943" s="15">
        <v>4</v>
      </c>
      <c r="D943" s="4">
        <v>2001</v>
      </c>
      <c r="E943" s="14" t="s">
        <v>1468</v>
      </c>
      <c r="G943" s="145">
        <v>37008</v>
      </c>
      <c r="H943" s="46">
        <v>37025</v>
      </c>
      <c r="I943" s="133">
        <v>5.7500000000000002E-2</v>
      </c>
      <c r="J943" s="134">
        <f>IF(Tabela8[[#This Row],[Tipo]]="jcp",Tabela8[[#This Row],[Provento p/Ação]]*85%,Tabela8[[#This Row],[Provento p/Ação]])</f>
        <v>5.7500000000000002E-2</v>
      </c>
      <c r="K943" s="133" t="str">
        <f>IF([Lucro p/Ação]&lt;&gt;0,SUMPRODUCT(N([Papel]=Tabela8[[#This Row],[Papel]]),N([Exercício]=Tabela8[[#This Row],[Exercício]]),[Líquido p/Ação]),"")</f>
        <v/>
      </c>
      <c r="L943" s="42" t="str">
        <f>IF(Tabela8[[#This Row],[Lucro p/Ação]]="","",IF(Tabela8[[#This Row],[Lucro p/Ação]]&gt;0,Tabela8[[#This Row],[Total Exercício]]/Tabela8[[#This Row],[Lucro p/Ação]],0))</f>
        <v/>
      </c>
      <c r="M94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3" s="19" t="str">
        <f>IF(Tabela8[[#This Row],[Média Lucro p/Ação]]&lt;&gt;"",Tabela8[[#This Row],[Média Pago]]/Tabela8[[#This Row],[Média Lucro p/Ação]],"")</f>
        <v/>
      </c>
      <c r="P9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3" s="134">
        <f>SUMPRODUCT(N(Tabela1[Código]=Tabela8[[#This Row],[Papel]]),Tabela1[Fechamento])</f>
        <v>0.64</v>
      </c>
      <c r="R943" s="7">
        <f>SUMPRODUCT(N(Tabela17[Código]=Tabela8[[#This Row],[Papel]]),Tabela17[Fechamento])</f>
        <v>0</v>
      </c>
      <c r="S943" s="7">
        <f>SUMPRODUCT(N(Tabela176[Código]=Tabela8[[#This Row],[Papel]]),Tabela176[Fechamento])</f>
        <v>0</v>
      </c>
      <c r="T943" s="7">
        <f>SUMPRODUCT(N(Tabela1768[Código]=Tabela8[[#This Row],[Papel]]),Tabela1768[Fechamento])</f>
        <v>0</v>
      </c>
      <c r="U943" s="7">
        <f>SUMPRODUCT(N(Tabela17683[Código]=Tabela8[[#This Row],[Papel]]),Tabela17683[Fechamento])</f>
        <v>0</v>
      </c>
      <c r="V943" s="7">
        <f>IF(MAX(Tabela8[[#This Row],[Cotação 1]]:Tabela8[[#This Row],[Cotação 5]])=0,"",MAX(Tabela8[[#This Row],[Cotação 1]]:Tabela8[[#This Row],[Cotação 5]]))</f>
        <v>0.64</v>
      </c>
      <c r="W9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3" s="19" t="str">
        <f>IF(AND([Ref]=5,[Cotação]&gt;0,[Cotação]&lt;&gt;""),[Total Exercício]/[Cotação],IF([Ref]&lt;4,0,""))</f>
        <v/>
      </c>
      <c r="Y943" s="14">
        <f>IF([Tipo]="div",1,0)</f>
        <v>1</v>
      </c>
      <c r="Z943" s="14">
        <f>IF([Tipo]="jcp",1,0)</f>
        <v>0</v>
      </c>
    </row>
    <row r="944" spans="1:26">
      <c r="A944" s="24" t="s">
        <v>40</v>
      </c>
      <c r="B944" s="135" t="s">
        <v>39</v>
      </c>
      <c r="C944" s="15">
        <v>4</v>
      </c>
      <c r="D944" s="4">
        <v>2008</v>
      </c>
      <c r="E944" s="14" t="s">
        <v>1475</v>
      </c>
      <c r="G944" s="145">
        <v>39752</v>
      </c>
      <c r="H944" s="46">
        <v>39766</v>
      </c>
      <c r="I944" s="133">
        <v>1.32E-2</v>
      </c>
      <c r="J944" s="134">
        <f>IF(Tabela8[[#This Row],[Tipo]]="jcp",Tabela8[[#This Row],[Provento p/Ação]]*85%,Tabela8[[#This Row],[Provento p/Ação]])</f>
        <v>1.1219999999999999E-2</v>
      </c>
      <c r="K944" s="133" t="str">
        <f>IF([Lucro p/Ação]&lt;&gt;0,SUMPRODUCT(N([Papel]=Tabela8[[#This Row],[Papel]]),N([Exercício]=Tabela8[[#This Row],[Exercício]]),[Líquido p/Ação]),"")</f>
        <v/>
      </c>
      <c r="L944" s="42" t="str">
        <f>IF(Tabela8[[#This Row],[Lucro p/Ação]]="","",IF(Tabela8[[#This Row],[Lucro p/Ação]]&gt;0,Tabela8[[#This Row],[Total Exercício]]/Tabela8[[#This Row],[Lucro p/Ação]],0))</f>
        <v/>
      </c>
      <c r="M94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4" s="19" t="str">
        <f>IF(Tabela8[[#This Row],[Média Lucro p/Ação]]&lt;&gt;"",Tabela8[[#This Row],[Média Pago]]/Tabela8[[#This Row],[Média Lucro p/Ação]],"")</f>
        <v/>
      </c>
      <c r="P9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4" s="134">
        <f>SUMPRODUCT(N(Tabela1[Código]=Tabela8[[#This Row],[Papel]]),Tabela1[Fechamento])</f>
        <v>0.41</v>
      </c>
      <c r="R944" s="7">
        <f>SUMPRODUCT(N(Tabela17[Código]=Tabela8[[#This Row],[Papel]]),Tabela17[Fechamento])</f>
        <v>0</v>
      </c>
      <c r="S944" s="7">
        <f>SUMPRODUCT(N(Tabela176[Código]=Tabela8[[#This Row],[Papel]]),Tabela176[Fechamento])</f>
        <v>0</v>
      </c>
      <c r="T944" s="7">
        <f>SUMPRODUCT(N(Tabela1768[Código]=Tabela8[[#This Row],[Papel]]),Tabela1768[Fechamento])</f>
        <v>0</v>
      </c>
      <c r="U944" s="7">
        <f>SUMPRODUCT(N(Tabela17683[Código]=Tabela8[[#This Row],[Papel]]),Tabela17683[Fechamento])</f>
        <v>0</v>
      </c>
      <c r="V944" s="7">
        <f>IF(MAX(Tabela8[[#This Row],[Cotação 1]]:Tabela8[[#This Row],[Cotação 5]])=0,"",MAX(Tabela8[[#This Row],[Cotação 1]]:Tabela8[[#This Row],[Cotação 5]]))</f>
        <v>0.41</v>
      </c>
      <c r="W9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4" s="19" t="str">
        <f>IF(AND([Ref]=5,[Cotação]&gt;0,[Cotação]&lt;&gt;""),[Total Exercício]/[Cotação],IF([Ref]&lt;4,0,""))</f>
        <v/>
      </c>
      <c r="Y944" s="14">
        <f>IF([Tipo]="div",1,0)</f>
        <v>0</v>
      </c>
      <c r="Z944" s="14">
        <f>IF([Tipo]="jcp",1,0)</f>
        <v>1</v>
      </c>
    </row>
    <row r="945" spans="1:26" hidden="1">
      <c r="A945" s="24" t="s">
        <v>40</v>
      </c>
      <c r="B945" s="131" t="s">
        <v>413</v>
      </c>
      <c r="C945" s="15">
        <v>4</v>
      </c>
      <c r="D945" s="4">
        <v>2001</v>
      </c>
      <c r="E945" s="14" t="s">
        <v>1475</v>
      </c>
      <c r="G945" s="145">
        <v>37064</v>
      </c>
      <c r="H945" s="46">
        <v>37180</v>
      </c>
      <c r="I945" s="133">
        <v>3.4000000000000002E-2</v>
      </c>
      <c r="J945" s="134">
        <f>IF(Tabela8[[#This Row],[Tipo]]="jcp",Tabela8[[#This Row],[Provento p/Ação]]*85%,Tabela8[[#This Row],[Provento p/Ação]])</f>
        <v>2.8900000000000002E-2</v>
      </c>
      <c r="K945" s="133" t="str">
        <f>IF([Lucro p/Ação]&lt;&gt;0,SUMPRODUCT(N([Papel]=Tabela8[[#This Row],[Papel]]),N([Exercício]=Tabela8[[#This Row],[Exercício]]),[Líquido p/Ação]),"")</f>
        <v/>
      </c>
      <c r="L945" s="42" t="str">
        <f>IF(Tabela8[[#This Row],[Lucro p/Ação]]="","",IF(Tabela8[[#This Row],[Lucro p/Ação]]&gt;0,Tabela8[[#This Row],[Total Exercício]]/Tabela8[[#This Row],[Lucro p/Ação]],0))</f>
        <v/>
      </c>
      <c r="M9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5" s="19" t="str">
        <f>IF(Tabela8[[#This Row],[Média Lucro p/Ação]]&lt;&gt;"",Tabela8[[#This Row],[Média Pago]]/Tabela8[[#This Row],[Média Lucro p/Ação]],"")</f>
        <v/>
      </c>
      <c r="P9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5" s="134">
        <f>SUMPRODUCT(N(Tabela1[Código]=Tabela8[[#This Row],[Papel]]),Tabela1[Fechamento])</f>
        <v>0</v>
      </c>
      <c r="R945" s="7">
        <f>SUMPRODUCT(N(Tabela17[Código]=Tabela8[[#This Row],[Papel]]),Tabela17[Fechamento])</f>
        <v>0.57999999999999996</v>
      </c>
      <c r="S945" s="7">
        <f>SUMPRODUCT(N(Tabela176[Código]=Tabela8[[#This Row],[Papel]]),Tabela176[Fechamento])</f>
        <v>0</v>
      </c>
      <c r="T945" s="7">
        <f>SUMPRODUCT(N(Tabela1768[Código]=Tabela8[[#This Row],[Papel]]),Tabela1768[Fechamento])</f>
        <v>0</v>
      </c>
      <c r="U945" s="7">
        <f>SUMPRODUCT(N(Tabela17683[Código]=Tabela8[[#This Row],[Papel]]),Tabela17683[Fechamento])</f>
        <v>0</v>
      </c>
      <c r="V945" s="7">
        <f>IF(MAX(Tabela8[[#This Row],[Cotação 1]]:Tabela8[[#This Row],[Cotação 5]])=0,"",MAX(Tabela8[[#This Row],[Cotação 1]]:Tabela8[[#This Row],[Cotação 5]]))</f>
        <v>0.57999999999999996</v>
      </c>
      <c r="W9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5" s="19" t="str">
        <f>IF(AND([Ref]=5,[Cotação]&gt;0,[Cotação]&lt;&gt;""),[Total Exercício]/[Cotação],IF([Ref]&lt;4,0,""))</f>
        <v/>
      </c>
      <c r="Y945" s="14">
        <f>IF([Tipo]="div",1,0)</f>
        <v>0</v>
      </c>
      <c r="Z945" s="14">
        <f>IF([Tipo]="jcp",1,0)</f>
        <v>1</v>
      </c>
    </row>
    <row r="946" spans="1:26" hidden="1">
      <c r="A946" s="24" t="s">
        <v>40</v>
      </c>
      <c r="B946" s="131" t="s">
        <v>73</v>
      </c>
      <c r="C946" s="15">
        <v>4</v>
      </c>
      <c r="D946" s="4">
        <v>2001</v>
      </c>
      <c r="E946" s="14" t="s">
        <v>1475</v>
      </c>
      <c r="G946" s="145">
        <v>37064</v>
      </c>
      <c r="H946" s="46">
        <v>37180</v>
      </c>
      <c r="I946" s="133">
        <v>3.4000000000000002E-2</v>
      </c>
      <c r="J946" s="134">
        <f>IF(Tabela8[[#This Row],[Tipo]]="jcp",Tabela8[[#This Row],[Provento p/Ação]]*85%,Tabela8[[#This Row],[Provento p/Ação]])</f>
        <v>2.8900000000000002E-2</v>
      </c>
      <c r="K946" s="133" t="str">
        <f>IF([Lucro p/Ação]&lt;&gt;0,SUMPRODUCT(N([Papel]=Tabela8[[#This Row],[Papel]]),N([Exercício]=Tabela8[[#This Row],[Exercício]]),[Líquido p/Ação]),"")</f>
        <v/>
      </c>
      <c r="L946" s="42" t="str">
        <f>IF(Tabela8[[#This Row],[Lucro p/Ação]]="","",IF(Tabela8[[#This Row],[Lucro p/Ação]]&gt;0,Tabela8[[#This Row],[Total Exercício]]/Tabela8[[#This Row],[Lucro p/Ação]],0))</f>
        <v/>
      </c>
      <c r="M9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6" s="19" t="str">
        <f>IF(Tabela8[[#This Row],[Média Lucro p/Ação]]&lt;&gt;"",Tabela8[[#This Row],[Média Pago]]/Tabela8[[#This Row],[Média Lucro p/Ação]],"")</f>
        <v/>
      </c>
      <c r="P9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6" s="134">
        <f>SUMPRODUCT(N(Tabela1[Código]=Tabela8[[#This Row],[Papel]]),Tabela1[Fechamento])</f>
        <v>0.64</v>
      </c>
      <c r="R946" s="7">
        <f>SUMPRODUCT(N(Tabela17[Código]=Tabela8[[#This Row],[Papel]]),Tabela17[Fechamento])</f>
        <v>0</v>
      </c>
      <c r="S946" s="7">
        <f>SUMPRODUCT(N(Tabela176[Código]=Tabela8[[#This Row],[Papel]]),Tabela176[Fechamento])</f>
        <v>0</v>
      </c>
      <c r="T946" s="7">
        <f>SUMPRODUCT(N(Tabela1768[Código]=Tabela8[[#This Row],[Papel]]),Tabela1768[Fechamento])</f>
        <v>0</v>
      </c>
      <c r="U946" s="7">
        <f>SUMPRODUCT(N(Tabela17683[Código]=Tabela8[[#This Row],[Papel]]),Tabela17683[Fechamento])</f>
        <v>0</v>
      </c>
      <c r="V946" s="7">
        <f>IF(MAX(Tabela8[[#This Row],[Cotação 1]]:Tabela8[[#This Row],[Cotação 5]])=0,"",MAX(Tabela8[[#This Row],[Cotação 1]]:Tabela8[[#This Row],[Cotação 5]]))</f>
        <v>0.64</v>
      </c>
      <c r="W9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6" s="19" t="str">
        <f>IF(AND([Ref]=5,[Cotação]&gt;0,[Cotação]&lt;&gt;""),[Total Exercício]/[Cotação],IF([Ref]&lt;4,0,""))</f>
        <v/>
      </c>
      <c r="Y946" s="14">
        <f>IF([Tipo]="div",1,0)</f>
        <v>0</v>
      </c>
      <c r="Z946" s="14">
        <f>IF([Tipo]="jcp",1,0)</f>
        <v>1</v>
      </c>
    </row>
    <row r="947" spans="1:26">
      <c r="A947" s="24" t="s">
        <v>40</v>
      </c>
      <c r="B947" s="135" t="s">
        <v>39</v>
      </c>
      <c r="C947" s="15">
        <v>4</v>
      </c>
      <c r="D947" s="4">
        <v>2008</v>
      </c>
      <c r="E947" s="14" t="s">
        <v>1468</v>
      </c>
      <c r="G947" s="145">
        <v>39850</v>
      </c>
      <c r="H947" s="46">
        <v>39862</v>
      </c>
      <c r="I947" s="133">
        <v>1.0999999999999999E-2</v>
      </c>
      <c r="J947" s="134">
        <f>IF(Tabela8[[#This Row],[Tipo]]="jcp",Tabela8[[#This Row],[Provento p/Ação]]*85%,Tabela8[[#This Row],[Provento p/Ação]])</f>
        <v>1.0999999999999999E-2</v>
      </c>
      <c r="K947" s="133" t="str">
        <f>IF([Lucro p/Ação]&lt;&gt;0,SUMPRODUCT(N([Papel]=Tabela8[[#This Row],[Papel]]),N([Exercício]=Tabela8[[#This Row],[Exercício]]),[Líquido p/Ação]),"")</f>
        <v/>
      </c>
      <c r="L947" s="42" t="str">
        <f>IF(Tabela8[[#This Row],[Lucro p/Ação]]="","",IF(Tabela8[[#This Row],[Lucro p/Ação]]&gt;0,Tabela8[[#This Row],[Total Exercício]]/Tabela8[[#This Row],[Lucro p/Ação]],0))</f>
        <v/>
      </c>
      <c r="M9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4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47" s="19" t="str">
        <f>IF(Tabela8[[#This Row],[Média Lucro p/Ação]]&lt;&gt;"",Tabela8[[#This Row],[Média Pago]]/Tabela8[[#This Row],[Média Lucro p/Ação]],"")</f>
        <v/>
      </c>
      <c r="P9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7" s="134">
        <f>SUMPRODUCT(N(Tabela1[Código]=Tabela8[[#This Row],[Papel]]),Tabela1[Fechamento])</f>
        <v>0.41</v>
      </c>
      <c r="R947" s="7">
        <f>SUMPRODUCT(N(Tabela17[Código]=Tabela8[[#This Row],[Papel]]),Tabela17[Fechamento])</f>
        <v>0</v>
      </c>
      <c r="S947" s="7">
        <f>SUMPRODUCT(N(Tabela176[Código]=Tabela8[[#This Row],[Papel]]),Tabela176[Fechamento])</f>
        <v>0</v>
      </c>
      <c r="T947" s="7">
        <f>SUMPRODUCT(N(Tabela1768[Código]=Tabela8[[#This Row],[Papel]]),Tabela1768[Fechamento])</f>
        <v>0</v>
      </c>
      <c r="U947" s="7">
        <f>SUMPRODUCT(N(Tabela17683[Código]=Tabela8[[#This Row],[Papel]]),Tabela17683[Fechamento])</f>
        <v>0</v>
      </c>
      <c r="V947" s="7">
        <f>IF(MAX(Tabela8[[#This Row],[Cotação 1]]:Tabela8[[#This Row],[Cotação 5]])=0,"",MAX(Tabela8[[#This Row],[Cotação 1]]:Tabela8[[#This Row],[Cotação 5]]))</f>
        <v>0.41</v>
      </c>
      <c r="W9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7" s="19" t="str">
        <f>IF(AND([Ref]=5,[Cotação]&gt;0,[Cotação]&lt;&gt;""),[Total Exercício]/[Cotação],IF([Ref]&lt;4,0,""))</f>
        <v/>
      </c>
      <c r="Y947" s="14">
        <f>IF([Tipo]="div",1,0)</f>
        <v>1</v>
      </c>
      <c r="Z947" s="14">
        <f>IF([Tipo]="jcp",1,0)</f>
        <v>0</v>
      </c>
    </row>
    <row r="948" spans="1:26" hidden="1">
      <c r="A948" s="24" t="s">
        <v>40</v>
      </c>
      <c r="B948" s="131" t="s">
        <v>413</v>
      </c>
      <c r="C948" s="15">
        <v>5</v>
      </c>
      <c r="D948" s="4">
        <v>2001</v>
      </c>
      <c r="E948" s="14" t="s">
        <v>1475</v>
      </c>
      <c r="F948" s="133">
        <v>0.31084000000000001</v>
      </c>
      <c r="G948" s="145">
        <v>37253</v>
      </c>
      <c r="H948" s="46">
        <v>37273</v>
      </c>
      <c r="I948" s="133">
        <v>3.4000000000000002E-2</v>
      </c>
      <c r="J948" s="134">
        <f>IF(Tabela8[[#This Row],[Tipo]]="jcp",Tabela8[[#This Row],[Provento p/Ação]]*85%,Tabela8[[#This Row],[Provento p/Ação]])</f>
        <v>2.8900000000000002E-2</v>
      </c>
      <c r="K948" s="133">
        <f>IF([Lucro p/Ação]&lt;&gt;0,SUMPRODUCT(N([Papel]=Tabela8[[#This Row],[Papel]]),N([Exercício]=Tabela8[[#This Row],[Exercício]]),[Líquido p/Ação]),"")</f>
        <v>0.13862500000000003</v>
      </c>
      <c r="L948" s="42">
        <f>IF(Tabela8[[#This Row],[Lucro p/Ação]]="","",IF(Tabela8[[#This Row],[Lucro p/Ação]]&gt;0,Tabela8[[#This Row],[Total Exercício]]/Tabela8[[#This Row],[Lucro p/Ação]],0))</f>
        <v>0.44596898726032691</v>
      </c>
      <c r="M94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0.33889000000000002</v>
      </c>
      <c r="N94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8.7375000000000008E-2</v>
      </c>
      <c r="O948" s="19">
        <f>IF(Tabela8[[#This Row],[Média Lucro p/Ação]]&lt;&gt;"",Tabela8[[#This Row],[Média Pago]]/Tabela8[[#This Row],[Média Lucro p/Ação]],"")</f>
        <v>0.25782702351795567</v>
      </c>
      <c r="P9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8" s="134">
        <f>SUMPRODUCT(N(Tabela1[Código]=Tabela8[[#This Row],[Papel]]),Tabela1[Fechamento])</f>
        <v>0</v>
      </c>
      <c r="R948" s="7">
        <f>SUMPRODUCT(N(Tabela17[Código]=Tabela8[[#This Row],[Papel]]),Tabela17[Fechamento])</f>
        <v>0.57999999999999996</v>
      </c>
      <c r="S948" s="7">
        <f>SUMPRODUCT(N(Tabela176[Código]=Tabela8[[#This Row],[Papel]]),Tabela176[Fechamento])</f>
        <v>0</v>
      </c>
      <c r="T948" s="7">
        <f>SUMPRODUCT(N(Tabela1768[Código]=Tabela8[[#This Row],[Papel]]),Tabela1768[Fechamento])</f>
        <v>0</v>
      </c>
      <c r="U948" s="7">
        <f>SUMPRODUCT(N(Tabela17683[Código]=Tabela8[[#This Row],[Papel]]),Tabela17683[Fechamento])</f>
        <v>0</v>
      </c>
      <c r="V948" s="7">
        <f>IF(MAX(Tabela8[[#This Row],[Cotação 1]]:Tabela8[[#This Row],[Cotação 5]])=0,"",MAX(Tabela8[[#This Row],[Cotação 1]]:Tabela8[[#This Row],[Cotação 5]]))</f>
        <v>0.57999999999999996</v>
      </c>
      <c r="W9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8" s="19">
        <f>IF(AND([Ref]=5,[Cotação]&gt;0,[Cotação]&lt;&gt;""),[Total Exercício]/[Cotação],IF([Ref]&lt;4,0,""))</f>
        <v>0.23900862068965523</v>
      </c>
      <c r="Y948" s="14">
        <f>IF([Tipo]="div",1,0)</f>
        <v>0</v>
      </c>
      <c r="Z948" s="14">
        <f>IF([Tipo]="jcp",1,0)</f>
        <v>1</v>
      </c>
    </row>
    <row r="949" spans="1:26" hidden="1">
      <c r="A949" s="24" t="s">
        <v>40</v>
      </c>
      <c r="B949" s="131" t="s">
        <v>73</v>
      </c>
      <c r="C949" s="15">
        <v>5</v>
      </c>
      <c r="D949" s="4">
        <v>2001</v>
      </c>
      <c r="E949" s="14" t="s">
        <v>1475</v>
      </c>
      <c r="F949" s="133">
        <v>0.31084000000000001</v>
      </c>
      <c r="G949" s="145">
        <v>37253</v>
      </c>
      <c r="H949" s="46">
        <v>37273</v>
      </c>
      <c r="I949" s="133">
        <v>3.4000000000000002E-2</v>
      </c>
      <c r="J949" s="134">
        <f>IF(Tabela8[[#This Row],[Tipo]]="jcp",Tabela8[[#This Row],[Provento p/Ação]]*85%,Tabela8[[#This Row],[Provento p/Ação]])</f>
        <v>2.8900000000000002E-2</v>
      </c>
      <c r="K949" s="133">
        <f>IF([Lucro p/Ação]&lt;&gt;0,SUMPRODUCT(N([Papel]=Tabela8[[#This Row],[Papel]]),N([Exercício]=Tabela8[[#This Row],[Exercício]]),[Líquido p/Ação]),"")</f>
        <v>0.15142500000000003</v>
      </c>
      <c r="L949" s="42">
        <f>IF(Tabela8[[#This Row],[Lucro p/Ação]]="","",IF(Tabela8[[#This Row],[Lucro p/Ação]]&gt;0,Tabela8[[#This Row],[Total Exercício]]/Tabela8[[#This Row],[Lucro p/Ação]],0))</f>
        <v>0.48714772873504064</v>
      </c>
      <c r="M94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0.33889000000000002</v>
      </c>
      <c r="N94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9.3775000000000025E-2</v>
      </c>
      <c r="O949" s="19">
        <f>IF(Tabela8[[#This Row],[Média Lucro p/Ação]]&lt;&gt;"",Tabela8[[#This Row],[Média Pago]]/Tabela8[[#This Row],[Média Lucro p/Ação]],"")</f>
        <v>0.27671220750095904</v>
      </c>
      <c r="P9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49" s="134">
        <f>SUMPRODUCT(N(Tabela1[Código]=Tabela8[[#This Row],[Papel]]),Tabela1[Fechamento])</f>
        <v>0.64</v>
      </c>
      <c r="R949" s="7">
        <f>SUMPRODUCT(N(Tabela17[Código]=Tabela8[[#This Row],[Papel]]),Tabela17[Fechamento])</f>
        <v>0</v>
      </c>
      <c r="S949" s="7">
        <f>SUMPRODUCT(N(Tabela176[Código]=Tabela8[[#This Row],[Papel]]),Tabela176[Fechamento])</f>
        <v>0</v>
      </c>
      <c r="T949" s="7">
        <f>SUMPRODUCT(N(Tabela1768[Código]=Tabela8[[#This Row],[Papel]]),Tabela1768[Fechamento])</f>
        <v>0</v>
      </c>
      <c r="U949" s="7">
        <f>SUMPRODUCT(N(Tabela17683[Código]=Tabela8[[#This Row],[Papel]]),Tabela17683[Fechamento])</f>
        <v>0</v>
      </c>
      <c r="V949" s="7">
        <f>IF(MAX(Tabela8[[#This Row],[Cotação 1]]:Tabela8[[#This Row],[Cotação 5]])=0,"",MAX(Tabela8[[#This Row],[Cotação 1]]:Tabela8[[#This Row],[Cotação 5]]))</f>
        <v>0.64</v>
      </c>
      <c r="W9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49" s="19">
        <f>IF(AND([Ref]=5,[Cotação]&gt;0,[Cotação]&lt;&gt;""),[Total Exercício]/[Cotação],IF([Ref]&lt;4,0,""))</f>
        <v>0.23660156250000006</v>
      </c>
      <c r="Y949" s="14">
        <f>IF([Tipo]="div",1,0)</f>
        <v>0</v>
      </c>
      <c r="Z949" s="14">
        <f>IF([Tipo]="jcp",1,0)</f>
        <v>1</v>
      </c>
    </row>
    <row r="950" spans="1:26">
      <c r="A950" s="24" t="s">
        <v>40</v>
      </c>
      <c r="B950" s="135" t="s">
        <v>39</v>
      </c>
      <c r="C950" s="15">
        <v>5</v>
      </c>
      <c r="D950" s="4">
        <v>2008</v>
      </c>
      <c r="E950" s="14" t="s">
        <v>1468</v>
      </c>
      <c r="F950" s="133">
        <v>-0.18240999999999999</v>
      </c>
      <c r="G950" s="145">
        <v>39850</v>
      </c>
      <c r="I950" s="133">
        <v>1.0999999999999999E-2</v>
      </c>
      <c r="J950" s="134">
        <f>IF(Tabela8[[#This Row],[Tipo]]="jcp",Tabela8[[#This Row],[Provento p/Ação]]*85%,Tabela8[[#This Row],[Provento p/Ação]])</f>
        <v>1.0999999999999999E-2</v>
      </c>
      <c r="K950" s="133">
        <f>IF([Lucro p/Ação]&lt;&gt;0,SUMPRODUCT(N([Papel]=Tabela8[[#This Row],[Papel]]),N([Exercício]=Tabela8[[#This Row],[Exercício]]),[Líquido p/Ação]),"")</f>
        <v>4.4439999999999993E-2</v>
      </c>
      <c r="L950" s="42">
        <f>IF(Tabela8[[#This Row],[Lucro p/Ação]]="","",IF(Tabela8[[#This Row],[Lucro p/Ação]]&gt;0,Tabela8[[#This Row],[Total Exercício]]/Tabela8[[#This Row],[Lucro p/Ação]],0))</f>
        <v>0</v>
      </c>
      <c r="M95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0.23500222222222222</v>
      </c>
      <c r="N95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8.0605111111111113E-2</v>
      </c>
      <c r="O950" s="19">
        <f>IF(Tabela8[[#This Row],[Média Lucro p/Ação]]&lt;&gt;"",Tabela8[[#This Row],[Média Pago]]/Tabela8[[#This Row],[Média Lucro p/Ação]],"")</f>
        <v>0.34299722934062088</v>
      </c>
      <c r="P9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0" s="134">
        <f>SUMPRODUCT(N(Tabela1[Código]=Tabela8[[#This Row],[Papel]]),Tabela1[Fechamento])</f>
        <v>0.41</v>
      </c>
      <c r="R950" s="17">
        <f>SUMPRODUCT(N(Tabela17[Código]=Tabela8[[#This Row],[Papel]]),Tabela17[Fechamento])</f>
        <v>0</v>
      </c>
      <c r="S950" s="17">
        <f>SUMPRODUCT(N(Tabela176[Código]=Tabela8[[#This Row],[Papel]]),Tabela176[Fechamento])</f>
        <v>0</v>
      </c>
      <c r="T950" s="17">
        <f>SUMPRODUCT(N(Tabela1768[Código]=Tabela8[[#This Row],[Papel]]),Tabela1768[Fechamento])</f>
        <v>0</v>
      </c>
      <c r="U950" s="17">
        <f>SUMPRODUCT(N(Tabela17683[Código]=Tabela8[[#This Row],[Papel]]),Tabela17683[Fechamento])</f>
        <v>0</v>
      </c>
      <c r="V950" s="17">
        <f>IF(MAX(Tabela8[[#This Row],[Cotação 1]]:Tabela8[[#This Row],[Cotação 5]])=0,"",MAX(Tabela8[[#This Row],[Cotação 1]]:Tabela8[[#This Row],[Cotação 5]]))</f>
        <v>0.41</v>
      </c>
      <c r="W9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0" s="19">
        <f>IF(AND([Ref]=5,[Cotação]&gt;0,[Cotação]&lt;&gt;""),[Total Exercício]/[Cotação],IF([Ref]&lt;4,0,""))</f>
        <v>0.10839024390243901</v>
      </c>
      <c r="Y950" s="14">
        <f>IF([Tipo]="div",1,0)</f>
        <v>1</v>
      </c>
      <c r="Z950" s="14">
        <f>IF([Tipo]="jcp",1,0)</f>
        <v>0</v>
      </c>
    </row>
    <row r="951" spans="1:26" hidden="1">
      <c r="A951" s="24" t="s">
        <v>40</v>
      </c>
      <c r="B951" s="131" t="s">
        <v>413</v>
      </c>
      <c r="C951" s="15">
        <v>4</v>
      </c>
      <c r="D951" s="4">
        <v>2002</v>
      </c>
      <c r="E951" s="14" t="s">
        <v>1475</v>
      </c>
      <c r="G951" s="145">
        <v>37553</v>
      </c>
      <c r="H951" s="46">
        <v>37573</v>
      </c>
      <c r="I951" s="133">
        <v>0.06</v>
      </c>
      <c r="J951" s="134">
        <f>IF(Tabela8[[#This Row],[Tipo]]="jcp",Tabela8[[#This Row],[Provento p/Ação]]*85%,Tabela8[[#This Row],[Provento p/Ação]])</f>
        <v>5.0999999999999997E-2</v>
      </c>
      <c r="K951" s="133" t="str">
        <f>IF([Lucro p/Ação]&lt;&gt;0,SUMPRODUCT(N([Papel]=Tabela8[[#This Row],[Papel]]),N([Exercício]=Tabela8[[#This Row],[Exercício]]),[Líquido p/Ação]),"")</f>
        <v/>
      </c>
      <c r="L951" s="42" t="str">
        <f>IF(Tabela8[[#This Row],[Lucro p/Ação]]="","",IF(Tabela8[[#This Row],[Lucro p/Ação]]&gt;0,Tabela8[[#This Row],[Total Exercício]]/Tabela8[[#This Row],[Lucro p/Ação]],0))</f>
        <v/>
      </c>
      <c r="M9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1" s="19" t="str">
        <f>IF(Tabela8[[#This Row],[Média Lucro p/Ação]]&lt;&gt;"",Tabela8[[#This Row],[Média Pago]]/Tabela8[[#This Row],[Média Lucro p/Ação]],"")</f>
        <v/>
      </c>
      <c r="P9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1" s="134">
        <f>SUMPRODUCT(N(Tabela1[Código]=Tabela8[[#This Row],[Papel]]),Tabela1[Fechamento])</f>
        <v>0</v>
      </c>
      <c r="R951" s="7">
        <f>SUMPRODUCT(N(Tabela17[Código]=Tabela8[[#This Row],[Papel]]),Tabela17[Fechamento])</f>
        <v>0.57999999999999996</v>
      </c>
      <c r="S951" s="7">
        <f>SUMPRODUCT(N(Tabela176[Código]=Tabela8[[#This Row],[Papel]]),Tabela176[Fechamento])</f>
        <v>0</v>
      </c>
      <c r="T951" s="7">
        <f>SUMPRODUCT(N(Tabela1768[Código]=Tabela8[[#This Row],[Papel]]),Tabela1768[Fechamento])</f>
        <v>0</v>
      </c>
      <c r="U951" s="7">
        <f>SUMPRODUCT(N(Tabela17683[Código]=Tabela8[[#This Row],[Papel]]),Tabela17683[Fechamento])</f>
        <v>0</v>
      </c>
      <c r="V951" s="7">
        <f>IF(MAX(Tabela8[[#This Row],[Cotação 1]]:Tabela8[[#This Row],[Cotação 5]])=0,"",MAX(Tabela8[[#This Row],[Cotação 1]]:Tabela8[[#This Row],[Cotação 5]]))</f>
        <v>0.57999999999999996</v>
      </c>
      <c r="W9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1" s="19" t="str">
        <f>IF(AND([Ref]=5,[Cotação]&gt;0,[Cotação]&lt;&gt;""),[Total Exercício]/[Cotação],IF([Ref]&lt;4,0,""))</f>
        <v/>
      </c>
      <c r="Y951" s="14">
        <f>IF([Tipo]="div",1,0)</f>
        <v>0</v>
      </c>
      <c r="Z951" s="14">
        <f>IF([Tipo]="jcp",1,0)</f>
        <v>1</v>
      </c>
    </row>
    <row r="952" spans="1:26" hidden="1">
      <c r="A952" s="24" t="s">
        <v>40</v>
      </c>
      <c r="B952" s="131" t="s">
        <v>73</v>
      </c>
      <c r="C952" s="15">
        <v>4</v>
      </c>
      <c r="D952" s="4">
        <v>2002</v>
      </c>
      <c r="E952" s="14" t="s">
        <v>1475</v>
      </c>
      <c r="G952" s="145">
        <v>37553</v>
      </c>
      <c r="H952" s="46">
        <v>37573</v>
      </c>
      <c r="I952" s="133">
        <v>0.06</v>
      </c>
      <c r="J952" s="134">
        <f>IF(Tabela8[[#This Row],[Tipo]]="jcp",Tabela8[[#This Row],[Provento p/Ação]]*85%,Tabela8[[#This Row],[Provento p/Ação]])</f>
        <v>5.0999999999999997E-2</v>
      </c>
      <c r="K952" s="133" t="str">
        <f>IF([Lucro p/Ação]&lt;&gt;0,SUMPRODUCT(N([Papel]=Tabela8[[#This Row],[Papel]]),N([Exercício]=Tabela8[[#This Row],[Exercício]]),[Líquido p/Ação]),"")</f>
        <v/>
      </c>
      <c r="L952" s="42" t="str">
        <f>IF(Tabela8[[#This Row],[Lucro p/Ação]]="","",IF(Tabela8[[#This Row],[Lucro p/Ação]]&gt;0,Tabela8[[#This Row],[Total Exercício]]/Tabela8[[#This Row],[Lucro p/Ação]],0))</f>
        <v/>
      </c>
      <c r="M95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2" s="19" t="str">
        <f>IF(Tabela8[[#This Row],[Média Lucro p/Ação]]&lt;&gt;"",Tabela8[[#This Row],[Média Pago]]/Tabela8[[#This Row],[Média Lucro p/Ação]],"")</f>
        <v/>
      </c>
      <c r="P9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2" s="134">
        <f>SUMPRODUCT(N(Tabela1[Código]=Tabela8[[#This Row],[Papel]]),Tabela1[Fechamento])</f>
        <v>0.64</v>
      </c>
      <c r="R952" s="7">
        <f>SUMPRODUCT(N(Tabela17[Código]=Tabela8[[#This Row],[Papel]]),Tabela17[Fechamento])</f>
        <v>0</v>
      </c>
      <c r="S952" s="7">
        <f>SUMPRODUCT(N(Tabela176[Código]=Tabela8[[#This Row],[Papel]]),Tabela176[Fechamento])</f>
        <v>0</v>
      </c>
      <c r="T952" s="7">
        <f>SUMPRODUCT(N(Tabela1768[Código]=Tabela8[[#This Row],[Papel]]),Tabela1768[Fechamento])</f>
        <v>0</v>
      </c>
      <c r="U952" s="7">
        <f>SUMPRODUCT(N(Tabela17683[Código]=Tabela8[[#This Row],[Papel]]),Tabela17683[Fechamento])</f>
        <v>0</v>
      </c>
      <c r="V952" s="7">
        <f>IF(MAX(Tabela8[[#This Row],[Cotação 1]]:Tabela8[[#This Row],[Cotação 5]])=0,"",MAX(Tabela8[[#This Row],[Cotação 1]]:Tabela8[[#This Row],[Cotação 5]]))</f>
        <v>0.64</v>
      </c>
      <c r="W9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2" s="19" t="str">
        <f>IF(AND([Ref]=5,[Cotação]&gt;0,[Cotação]&lt;&gt;""),[Total Exercício]/[Cotação],IF([Ref]&lt;4,0,""))</f>
        <v/>
      </c>
      <c r="Y952" s="14">
        <f>IF([Tipo]="div",1,0)</f>
        <v>0</v>
      </c>
      <c r="Z952" s="14">
        <f>IF([Tipo]="jcp",1,0)</f>
        <v>1</v>
      </c>
    </row>
    <row r="953" spans="1:26">
      <c r="A953" s="24" t="s">
        <v>40</v>
      </c>
      <c r="B953" s="135" t="s">
        <v>39</v>
      </c>
      <c r="C953" s="15">
        <v>4</v>
      </c>
      <c r="D953" s="4">
        <v>2007</v>
      </c>
      <c r="E953" s="14" t="s">
        <v>1468</v>
      </c>
      <c r="G953" s="145">
        <v>39317</v>
      </c>
      <c r="H953" s="46">
        <v>39325</v>
      </c>
      <c r="I953" s="133">
        <v>1.0999999999999999E-2</v>
      </c>
      <c r="J953" s="134">
        <f>IF(Tabela8[[#This Row],[Tipo]]="jcp",Tabela8[[#This Row],[Provento p/Ação]]*85%,Tabela8[[#This Row],[Provento p/Ação]])</f>
        <v>1.0999999999999999E-2</v>
      </c>
      <c r="K953" s="133" t="str">
        <f>IF([Lucro p/Ação]&lt;&gt;0,SUMPRODUCT(N([Papel]=Tabela8[[#This Row],[Papel]]),N([Exercício]=Tabela8[[#This Row],[Exercício]]),[Líquido p/Ação]),"")</f>
        <v/>
      </c>
      <c r="L953" s="42" t="str">
        <f>IF(Tabela8[[#This Row],[Lucro p/Ação]]="","",IF(Tabela8[[#This Row],[Lucro p/Ação]]&gt;0,Tabela8[[#This Row],[Total Exercício]]/Tabela8[[#This Row],[Lucro p/Ação]],0))</f>
        <v/>
      </c>
      <c r="M95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3" s="19" t="str">
        <f>IF(Tabela8[[#This Row],[Média Lucro p/Ação]]&lt;&gt;"",Tabela8[[#This Row],[Média Pago]]/Tabela8[[#This Row],[Média Lucro p/Ação]],"")</f>
        <v/>
      </c>
      <c r="P9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3" s="134">
        <f>SUMPRODUCT(N(Tabela1[Código]=Tabela8[[#This Row],[Papel]]),Tabela1[Fechamento])</f>
        <v>0.41</v>
      </c>
      <c r="R953" s="7">
        <f>SUMPRODUCT(N(Tabela17[Código]=Tabela8[[#This Row],[Papel]]),Tabela17[Fechamento])</f>
        <v>0</v>
      </c>
      <c r="S953" s="7">
        <f>SUMPRODUCT(N(Tabela176[Código]=Tabela8[[#This Row],[Papel]]),Tabela176[Fechamento])</f>
        <v>0</v>
      </c>
      <c r="T953" s="7">
        <f>SUMPRODUCT(N(Tabela1768[Código]=Tabela8[[#This Row],[Papel]]),Tabela1768[Fechamento])</f>
        <v>0</v>
      </c>
      <c r="U953" s="7">
        <f>SUMPRODUCT(N(Tabela17683[Código]=Tabela8[[#This Row],[Papel]]),Tabela17683[Fechamento])</f>
        <v>0</v>
      </c>
      <c r="V953" s="7">
        <f>IF(MAX(Tabela8[[#This Row],[Cotação 1]]:Tabela8[[#This Row],[Cotação 5]])=0,"",MAX(Tabela8[[#This Row],[Cotação 1]]:Tabela8[[#This Row],[Cotação 5]]))</f>
        <v>0.41</v>
      </c>
      <c r="W9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3" s="19" t="str">
        <f>IF(AND([Ref]=5,[Cotação]&gt;0,[Cotação]&lt;&gt;""),[Total Exercício]/[Cotação],IF([Ref]&lt;4,0,""))</f>
        <v/>
      </c>
      <c r="Y953" s="14">
        <f>IF([Tipo]="div",1,0)</f>
        <v>1</v>
      </c>
      <c r="Z953" s="14">
        <f>IF([Tipo]="jcp",1,0)</f>
        <v>0</v>
      </c>
    </row>
    <row r="954" spans="1:26" hidden="1">
      <c r="A954" s="24" t="s">
        <v>40</v>
      </c>
      <c r="B954" s="131" t="s">
        <v>413</v>
      </c>
      <c r="C954" s="15">
        <v>4</v>
      </c>
      <c r="D954" s="4">
        <v>2002</v>
      </c>
      <c r="E954" s="14" t="s">
        <v>1475</v>
      </c>
      <c r="G954" s="145">
        <v>37610</v>
      </c>
      <c r="I954" s="133">
        <v>1.7000000000000001E-2</v>
      </c>
      <c r="J954" s="134">
        <f>IF(Tabela8[[#This Row],[Tipo]]="jcp",Tabela8[[#This Row],[Provento p/Ação]]*85%,Tabela8[[#This Row],[Provento p/Ação]])</f>
        <v>1.4450000000000001E-2</v>
      </c>
      <c r="K954" s="133" t="str">
        <f>IF([Lucro p/Ação]&lt;&gt;0,SUMPRODUCT(N([Papel]=Tabela8[[#This Row],[Papel]]),N([Exercício]=Tabela8[[#This Row],[Exercício]]),[Líquido p/Ação]),"")</f>
        <v/>
      </c>
      <c r="L954" s="42" t="str">
        <f>IF(Tabela8[[#This Row],[Lucro p/Ação]]="","",IF(Tabela8[[#This Row],[Lucro p/Ação]]&gt;0,Tabela8[[#This Row],[Total Exercício]]/Tabela8[[#This Row],[Lucro p/Ação]],0))</f>
        <v/>
      </c>
      <c r="M95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4" s="19" t="str">
        <f>IF(Tabela8[[#This Row],[Média Lucro p/Ação]]&lt;&gt;"",Tabela8[[#This Row],[Média Pago]]/Tabela8[[#This Row],[Média Lucro p/Ação]],"")</f>
        <v/>
      </c>
      <c r="P9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4" s="134">
        <f>SUMPRODUCT(N(Tabela1[Código]=Tabela8[[#This Row],[Papel]]),Tabela1[Fechamento])</f>
        <v>0</v>
      </c>
      <c r="R954" s="7">
        <f>SUMPRODUCT(N(Tabela17[Código]=Tabela8[[#This Row],[Papel]]),Tabela17[Fechamento])</f>
        <v>0.57999999999999996</v>
      </c>
      <c r="S954" s="7">
        <f>SUMPRODUCT(N(Tabela176[Código]=Tabela8[[#This Row],[Papel]]),Tabela176[Fechamento])</f>
        <v>0</v>
      </c>
      <c r="T954" s="7">
        <f>SUMPRODUCT(N(Tabela1768[Código]=Tabela8[[#This Row],[Papel]]),Tabela1768[Fechamento])</f>
        <v>0</v>
      </c>
      <c r="U954" s="7">
        <f>SUMPRODUCT(N(Tabela17683[Código]=Tabela8[[#This Row],[Papel]]),Tabela17683[Fechamento])</f>
        <v>0</v>
      </c>
      <c r="V954" s="7">
        <f>IF(MAX(Tabela8[[#This Row],[Cotação 1]]:Tabela8[[#This Row],[Cotação 5]])=0,"",MAX(Tabela8[[#This Row],[Cotação 1]]:Tabela8[[#This Row],[Cotação 5]]))</f>
        <v>0.57999999999999996</v>
      </c>
      <c r="W9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4" s="19" t="str">
        <f>IF(AND([Ref]=5,[Cotação]&gt;0,[Cotação]&lt;&gt;""),[Total Exercício]/[Cotação],IF([Ref]&lt;4,0,""))</f>
        <v/>
      </c>
      <c r="Y954" s="14">
        <f>IF([Tipo]="div",1,0)</f>
        <v>0</v>
      </c>
      <c r="Z954" s="14">
        <f>IF([Tipo]="jcp",1,0)</f>
        <v>1</v>
      </c>
    </row>
    <row r="955" spans="1:26" hidden="1">
      <c r="A955" s="24" t="s">
        <v>40</v>
      </c>
      <c r="B955" s="131" t="s">
        <v>73</v>
      </c>
      <c r="C955" s="15">
        <v>4</v>
      </c>
      <c r="D955" s="4">
        <v>2002</v>
      </c>
      <c r="E955" s="14" t="s">
        <v>1475</v>
      </c>
      <c r="G955" s="145">
        <v>37610</v>
      </c>
      <c r="I955" s="133">
        <v>1.7000000000000001E-2</v>
      </c>
      <c r="J955" s="134">
        <f>IF(Tabela8[[#This Row],[Tipo]]="jcp",Tabela8[[#This Row],[Provento p/Ação]]*85%,Tabela8[[#This Row],[Provento p/Ação]])</f>
        <v>1.4450000000000001E-2</v>
      </c>
      <c r="K955" s="133" t="str">
        <f>IF([Lucro p/Ação]&lt;&gt;0,SUMPRODUCT(N([Papel]=Tabela8[[#This Row],[Papel]]),N([Exercício]=Tabela8[[#This Row],[Exercício]]),[Líquido p/Ação]),"")</f>
        <v/>
      </c>
      <c r="L955" s="42" t="str">
        <f>IF(Tabela8[[#This Row],[Lucro p/Ação]]="","",IF(Tabela8[[#This Row],[Lucro p/Ação]]&gt;0,Tabela8[[#This Row],[Total Exercício]]/Tabela8[[#This Row],[Lucro p/Ação]],0))</f>
        <v/>
      </c>
      <c r="M95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5" s="19" t="str">
        <f>IF(Tabela8[[#This Row],[Média Lucro p/Ação]]&lt;&gt;"",Tabela8[[#This Row],[Média Pago]]/Tabela8[[#This Row],[Média Lucro p/Ação]],"")</f>
        <v/>
      </c>
      <c r="P9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5" s="134">
        <f>SUMPRODUCT(N(Tabela1[Código]=Tabela8[[#This Row],[Papel]]),Tabela1[Fechamento])</f>
        <v>0.64</v>
      </c>
      <c r="R955" s="7">
        <f>SUMPRODUCT(N(Tabela17[Código]=Tabela8[[#This Row],[Papel]]),Tabela17[Fechamento])</f>
        <v>0</v>
      </c>
      <c r="S955" s="7">
        <f>SUMPRODUCT(N(Tabela176[Código]=Tabela8[[#This Row],[Papel]]),Tabela176[Fechamento])</f>
        <v>0</v>
      </c>
      <c r="T955" s="7">
        <f>SUMPRODUCT(N(Tabela1768[Código]=Tabela8[[#This Row],[Papel]]),Tabela1768[Fechamento])</f>
        <v>0</v>
      </c>
      <c r="U955" s="7">
        <f>SUMPRODUCT(N(Tabela17683[Código]=Tabela8[[#This Row],[Papel]]),Tabela17683[Fechamento])</f>
        <v>0</v>
      </c>
      <c r="V955" s="7">
        <f>IF(MAX(Tabela8[[#This Row],[Cotação 1]]:Tabela8[[#This Row],[Cotação 5]])=0,"",MAX(Tabela8[[#This Row],[Cotação 1]]:Tabela8[[#This Row],[Cotação 5]]))</f>
        <v>0.64</v>
      </c>
      <c r="W9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5" s="19" t="str">
        <f>IF(AND([Ref]=5,[Cotação]&gt;0,[Cotação]&lt;&gt;""),[Total Exercício]/[Cotação],IF([Ref]&lt;4,0,""))</f>
        <v/>
      </c>
      <c r="Y955" s="14">
        <f>IF([Tipo]="div",1,0)</f>
        <v>0</v>
      </c>
      <c r="Z955" s="14">
        <f>IF([Tipo]="jcp",1,0)</f>
        <v>1</v>
      </c>
    </row>
    <row r="956" spans="1:26">
      <c r="A956" s="24" t="s">
        <v>40</v>
      </c>
      <c r="B956" s="135" t="s">
        <v>39</v>
      </c>
      <c r="C956" s="15">
        <v>4</v>
      </c>
      <c r="D956" s="4">
        <v>2007</v>
      </c>
      <c r="E956" s="14" t="s">
        <v>1468</v>
      </c>
      <c r="G956" s="145">
        <v>39426</v>
      </c>
      <c r="H956" s="46">
        <v>39435</v>
      </c>
      <c r="I956" s="133">
        <v>1.0999999999999999E-2</v>
      </c>
      <c r="J956" s="134">
        <f>IF(Tabela8[[#This Row],[Tipo]]="jcp",Tabela8[[#This Row],[Provento p/Ação]]*85%,Tabela8[[#This Row],[Provento p/Ação]])</f>
        <v>1.0999999999999999E-2</v>
      </c>
      <c r="K956" s="133" t="str">
        <f>IF([Lucro p/Ação]&lt;&gt;0,SUMPRODUCT(N([Papel]=Tabela8[[#This Row],[Papel]]),N([Exercício]=Tabela8[[#This Row],[Exercício]]),[Líquido p/Ação]),"")</f>
        <v/>
      </c>
      <c r="L956" s="42" t="str">
        <f>IF(Tabela8[[#This Row],[Lucro p/Ação]]="","",IF(Tabela8[[#This Row],[Lucro p/Ação]]&gt;0,Tabela8[[#This Row],[Total Exercício]]/Tabela8[[#This Row],[Lucro p/Ação]],0))</f>
        <v/>
      </c>
      <c r="M95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6" s="19" t="str">
        <f>IF(Tabela8[[#This Row],[Média Lucro p/Ação]]&lt;&gt;"",Tabela8[[#This Row],[Média Pago]]/Tabela8[[#This Row],[Média Lucro p/Ação]],"")</f>
        <v/>
      </c>
      <c r="P95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6" s="134">
        <f>SUMPRODUCT(N(Tabela1[Código]=Tabela8[[#This Row],[Papel]]),Tabela1[Fechamento])</f>
        <v>0.41</v>
      </c>
      <c r="R956" s="7">
        <f>SUMPRODUCT(N(Tabela17[Código]=Tabela8[[#This Row],[Papel]]),Tabela17[Fechamento])</f>
        <v>0</v>
      </c>
      <c r="S956" s="7">
        <f>SUMPRODUCT(N(Tabela176[Código]=Tabela8[[#This Row],[Papel]]),Tabela176[Fechamento])</f>
        <v>0</v>
      </c>
      <c r="T956" s="7">
        <f>SUMPRODUCT(N(Tabela1768[Código]=Tabela8[[#This Row],[Papel]]),Tabela1768[Fechamento])</f>
        <v>0</v>
      </c>
      <c r="U956" s="7">
        <f>SUMPRODUCT(N(Tabela17683[Código]=Tabela8[[#This Row],[Papel]]),Tabela17683[Fechamento])</f>
        <v>0</v>
      </c>
      <c r="V956" s="7">
        <f>IF(MAX(Tabela8[[#This Row],[Cotação 1]]:Tabela8[[#This Row],[Cotação 5]])=0,"",MAX(Tabela8[[#This Row],[Cotação 1]]:Tabela8[[#This Row],[Cotação 5]]))</f>
        <v>0.41</v>
      </c>
      <c r="W9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6" s="19" t="str">
        <f>IF(AND([Ref]=5,[Cotação]&gt;0,[Cotação]&lt;&gt;""),[Total Exercício]/[Cotação],IF([Ref]&lt;4,0,""))</f>
        <v/>
      </c>
      <c r="Y956" s="14">
        <f>IF([Tipo]="div",1,0)</f>
        <v>1</v>
      </c>
      <c r="Z956" s="14">
        <f>IF([Tipo]="jcp",1,0)</f>
        <v>0</v>
      </c>
    </row>
    <row r="957" spans="1:26" hidden="1">
      <c r="A957" s="24" t="s">
        <v>40</v>
      </c>
      <c r="B957" s="131" t="s">
        <v>413</v>
      </c>
      <c r="C957" s="15">
        <v>5</v>
      </c>
      <c r="D957" s="4">
        <v>2002</v>
      </c>
      <c r="E957" s="14" t="s">
        <v>1468</v>
      </c>
      <c r="F957" s="133">
        <v>0.28397</v>
      </c>
      <c r="I957" s="133">
        <v>0.13550000000000001</v>
      </c>
      <c r="J957" s="134">
        <f>IF(Tabela8[[#This Row],[Tipo]]="jcp",Tabela8[[#This Row],[Provento p/Ação]]*85%,Tabela8[[#This Row],[Provento p/Ação]])</f>
        <v>0.13550000000000001</v>
      </c>
      <c r="K957" s="133">
        <f>IF([Lucro p/Ação]&lt;&gt;0,SUMPRODUCT(N([Papel]=Tabela8[[#This Row],[Papel]]),N([Exercício]=Tabela8[[#This Row],[Exercício]]),[Líquido p/Ação]),"")</f>
        <v>0.20095000000000002</v>
      </c>
      <c r="L957" s="42">
        <f>IF(Tabela8[[#This Row],[Lucro p/Ação]]="","",IF(Tabela8[[#This Row],[Lucro p/Ação]]&gt;0,Tabela8[[#This Row],[Total Exercício]]/Tabela8[[#This Row],[Lucro p/Ação]],0))</f>
        <v>0.70764517378596337</v>
      </c>
      <c r="M95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0.32058333333333339</v>
      </c>
      <c r="N95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0.12523333333333334</v>
      </c>
      <c r="O957" s="19">
        <f>IF(Tabela8[[#This Row],[Média Lucro p/Ação]]&lt;&gt;"",Tabela8[[#This Row],[Média Pago]]/Tabela8[[#This Row],[Média Lucro p/Ação]],"")</f>
        <v>0.39064205874707558</v>
      </c>
      <c r="P95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7" s="134">
        <f>SUMPRODUCT(N(Tabela1[Código]=Tabela8[[#This Row],[Papel]]),Tabela1[Fechamento])</f>
        <v>0</v>
      </c>
      <c r="R957" s="7">
        <f>SUMPRODUCT(N(Tabela17[Código]=Tabela8[[#This Row],[Papel]]),Tabela17[Fechamento])</f>
        <v>0.57999999999999996</v>
      </c>
      <c r="S957" s="7">
        <f>SUMPRODUCT(N(Tabela176[Código]=Tabela8[[#This Row],[Papel]]),Tabela176[Fechamento])</f>
        <v>0</v>
      </c>
      <c r="T957" s="7">
        <f>SUMPRODUCT(N(Tabela1768[Código]=Tabela8[[#This Row],[Papel]]),Tabela1768[Fechamento])</f>
        <v>0</v>
      </c>
      <c r="U957" s="7">
        <f>SUMPRODUCT(N(Tabela17683[Código]=Tabela8[[#This Row],[Papel]]),Tabela17683[Fechamento])</f>
        <v>0</v>
      </c>
      <c r="V957" s="7">
        <f>IF(MAX(Tabela8[[#This Row],[Cotação 1]]:Tabela8[[#This Row],[Cotação 5]])=0,"",MAX(Tabela8[[#This Row],[Cotação 1]]:Tabela8[[#This Row],[Cotação 5]]))</f>
        <v>0.57999999999999996</v>
      </c>
      <c r="W9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7" s="19">
        <f>IF(AND([Ref]=5,[Cotação]&gt;0,[Cotação]&lt;&gt;""),[Total Exercício]/[Cotação],IF([Ref]&lt;4,0,""))</f>
        <v>0.34646551724137936</v>
      </c>
      <c r="Y957" s="14">
        <f>IF([Tipo]="div",1,0)</f>
        <v>1</v>
      </c>
      <c r="Z957" s="14">
        <f>IF([Tipo]="jcp",1,0)</f>
        <v>0</v>
      </c>
    </row>
    <row r="958" spans="1:26" hidden="1">
      <c r="A958" s="24" t="s">
        <v>40</v>
      </c>
      <c r="B958" s="131" t="s">
        <v>73</v>
      </c>
      <c r="C958" s="15">
        <v>5</v>
      </c>
      <c r="D958" s="4">
        <v>2002</v>
      </c>
      <c r="E958" s="14" t="s">
        <v>1468</v>
      </c>
      <c r="F958" s="133">
        <v>0.28397</v>
      </c>
      <c r="I958" s="133">
        <v>3.4549999999999997E-2</v>
      </c>
      <c r="J958" s="134">
        <f>IF(Tabela8[[#This Row],[Tipo]]="jcp",Tabela8[[#This Row],[Provento p/Ação]]*85%,Tabela8[[#This Row],[Provento p/Ação]])</f>
        <v>3.4549999999999997E-2</v>
      </c>
      <c r="K958" s="133">
        <f>IF([Lucro p/Ação]&lt;&gt;0,SUMPRODUCT(N([Papel]=Tabela8[[#This Row],[Papel]]),N([Exercício]=Tabela8[[#This Row],[Exercício]]),[Líquido p/Ação]),"")</f>
        <v>9.9999999999999992E-2</v>
      </c>
      <c r="L958" s="42">
        <f>IF(Tabela8[[#This Row],[Lucro p/Ação]]="","",IF(Tabela8[[#This Row],[Lucro p/Ação]]&gt;0,Tabela8[[#This Row],[Total Exercício]]/Tabela8[[#This Row],[Lucro p/Ação]],0))</f>
        <v>0.35214987498679434</v>
      </c>
      <c r="M95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0.32058333333333339</v>
      </c>
      <c r="N95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9.5850000000000005E-2</v>
      </c>
      <c r="O958" s="19">
        <f>IF(Tabela8[[#This Row],[Média Lucro p/Ação]]&lt;&gt;"",Tabela8[[#This Row],[Média Pago]]/Tabela8[[#This Row],[Média Lucro p/Ação]],"")</f>
        <v>0.29898622303093314</v>
      </c>
      <c r="P9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8" s="134">
        <f>SUMPRODUCT(N(Tabela1[Código]=Tabela8[[#This Row],[Papel]]),Tabela1[Fechamento])</f>
        <v>0.64</v>
      </c>
      <c r="R958" s="7">
        <f>SUMPRODUCT(N(Tabela17[Código]=Tabela8[[#This Row],[Papel]]),Tabela17[Fechamento])</f>
        <v>0</v>
      </c>
      <c r="S958" s="7">
        <f>SUMPRODUCT(N(Tabela176[Código]=Tabela8[[#This Row],[Papel]]),Tabela176[Fechamento])</f>
        <v>0</v>
      </c>
      <c r="T958" s="7">
        <f>SUMPRODUCT(N(Tabela1768[Código]=Tabela8[[#This Row],[Papel]]),Tabela1768[Fechamento])</f>
        <v>0</v>
      </c>
      <c r="U958" s="7">
        <f>SUMPRODUCT(N(Tabela17683[Código]=Tabela8[[#This Row],[Papel]]),Tabela17683[Fechamento])</f>
        <v>0</v>
      </c>
      <c r="V958" s="7">
        <f>IF(MAX(Tabela8[[#This Row],[Cotação 1]]:Tabela8[[#This Row],[Cotação 5]])=0,"",MAX(Tabela8[[#This Row],[Cotação 1]]:Tabela8[[#This Row],[Cotação 5]]))</f>
        <v>0.64</v>
      </c>
      <c r="W9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8" s="19">
        <f>IF(AND([Ref]=5,[Cotação]&gt;0,[Cotação]&lt;&gt;""),[Total Exercício]/[Cotação],IF([Ref]&lt;4,0,""))</f>
        <v>0.15624999999999997</v>
      </c>
      <c r="Y958" s="14">
        <f>IF([Tipo]="div",1,0)</f>
        <v>1</v>
      </c>
      <c r="Z958" s="14">
        <f>IF([Tipo]="jcp",1,0)</f>
        <v>0</v>
      </c>
    </row>
    <row r="959" spans="1:26">
      <c r="A959" s="24" t="s">
        <v>40</v>
      </c>
      <c r="B959" s="135" t="s">
        <v>39</v>
      </c>
      <c r="C959" s="15">
        <v>4</v>
      </c>
      <c r="D959" s="4">
        <v>2007</v>
      </c>
      <c r="E959" s="14" t="s">
        <v>1468</v>
      </c>
      <c r="G959" s="145">
        <v>39520</v>
      </c>
      <c r="H959" s="46">
        <v>39532</v>
      </c>
      <c r="I959" s="133">
        <v>1.0999999999999999E-2</v>
      </c>
      <c r="J959" s="134">
        <f>IF(Tabela8[[#This Row],[Tipo]]="jcp",Tabela8[[#This Row],[Provento p/Ação]]*85%,Tabela8[[#This Row],[Provento p/Ação]])</f>
        <v>1.0999999999999999E-2</v>
      </c>
      <c r="K959" s="133" t="str">
        <f>IF([Lucro p/Ação]&lt;&gt;0,SUMPRODUCT(N([Papel]=Tabela8[[#This Row],[Papel]]),N([Exercício]=Tabela8[[#This Row],[Exercício]]),[Líquido p/Ação]),"")</f>
        <v/>
      </c>
      <c r="L959" s="42" t="str">
        <f>IF(Tabela8[[#This Row],[Lucro p/Ação]]="","",IF(Tabela8[[#This Row],[Lucro p/Ação]]&gt;0,Tabela8[[#This Row],[Total Exercício]]/Tabela8[[#This Row],[Lucro p/Ação]],0))</f>
        <v/>
      </c>
      <c r="M95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5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59" s="19" t="str">
        <f>IF(Tabela8[[#This Row],[Média Lucro p/Ação]]&lt;&gt;"",Tabela8[[#This Row],[Média Pago]]/Tabela8[[#This Row],[Média Lucro p/Ação]],"")</f>
        <v/>
      </c>
      <c r="P9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59" s="134">
        <f>SUMPRODUCT(N(Tabela1[Código]=Tabela8[[#This Row],[Papel]]),Tabela1[Fechamento])</f>
        <v>0.41</v>
      </c>
      <c r="R959" s="7">
        <f>SUMPRODUCT(N(Tabela17[Código]=Tabela8[[#This Row],[Papel]]),Tabela17[Fechamento])</f>
        <v>0</v>
      </c>
      <c r="S959" s="7">
        <f>SUMPRODUCT(N(Tabela176[Código]=Tabela8[[#This Row],[Papel]]),Tabela176[Fechamento])</f>
        <v>0</v>
      </c>
      <c r="T959" s="7">
        <f>SUMPRODUCT(N(Tabela1768[Código]=Tabela8[[#This Row],[Papel]]),Tabela1768[Fechamento])</f>
        <v>0</v>
      </c>
      <c r="U959" s="7">
        <f>SUMPRODUCT(N(Tabela17683[Código]=Tabela8[[#This Row],[Papel]]),Tabela17683[Fechamento])</f>
        <v>0</v>
      </c>
      <c r="V959" s="7">
        <f>IF(MAX(Tabela8[[#This Row],[Cotação 1]]:Tabela8[[#This Row],[Cotação 5]])=0,"",MAX(Tabela8[[#This Row],[Cotação 1]]:Tabela8[[#This Row],[Cotação 5]]))</f>
        <v>0.41</v>
      </c>
      <c r="W9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59" s="19" t="str">
        <f>IF(AND([Ref]=5,[Cotação]&gt;0,[Cotação]&lt;&gt;""),[Total Exercício]/[Cotação],IF([Ref]&lt;4,0,""))</f>
        <v/>
      </c>
      <c r="Y959" s="14">
        <f>IF([Tipo]="div",1,0)</f>
        <v>1</v>
      </c>
      <c r="Z959" s="14">
        <f>IF([Tipo]="jcp",1,0)</f>
        <v>0</v>
      </c>
    </row>
    <row r="960" spans="1:26" hidden="1">
      <c r="A960" s="24" t="s">
        <v>40</v>
      </c>
      <c r="B960" s="131" t="s">
        <v>413</v>
      </c>
      <c r="C960" s="15">
        <v>4</v>
      </c>
      <c r="D960" s="4">
        <v>2003</v>
      </c>
      <c r="E960" s="14" t="s">
        <v>1468</v>
      </c>
      <c r="G960" s="145">
        <v>37931</v>
      </c>
      <c r="H960" s="46">
        <v>37953</v>
      </c>
      <c r="I960" s="133">
        <v>0.02</v>
      </c>
      <c r="J960" s="134">
        <f>IF(Tabela8[[#This Row],[Tipo]]="jcp",Tabela8[[#This Row],[Provento p/Ação]]*85%,Tabela8[[#This Row],[Provento p/Ação]])</f>
        <v>0.02</v>
      </c>
      <c r="K960" s="133" t="str">
        <f>IF([Lucro p/Ação]&lt;&gt;0,SUMPRODUCT(N([Papel]=Tabela8[[#This Row],[Papel]]),N([Exercício]=Tabela8[[#This Row],[Exercício]]),[Líquido p/Ação]),"")</f>
        <v/>
      </c>
      <c r="L960" s="42" t="str">
        <f>IF(Tabela8[[#This Row],[Lucro p/Ação]]="","",IF(Tabela8[[#This Row],[Lucro p/Ação]]&gt;0,Tabela8[[#This Row],[Total Exercício]]/Tabela8[[#This Row],[Lucro p/Ação]],0))</f>
        <v/>
      </c>
      <c r="M9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0" s="19" t="str">
        <f>IF(Tabela8[[#This Row],[Média Lucro p/Ação]]&lt;&gt;"",Tabela8[[#This Row],[Média Pago]]/Tabela8[[#This Row],[Média Lucro p/Ação]],"")</f>
        <v/>
      </c>
      <c r="P9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0" s="134">
        <f>SUMPRODUCT(N(Tabela1[Código]=Tabela8[[#This Row],[Papel]]),Tabela1[Fechamento])</f>
        <v>0</v>
      </c>
      <c r="R960" s="7">
        <f>SUMPRODUCT(N(Tabela17[Código]=Tabela8[[#This Row],[Papel]]),Tabela17[Fechamento])</f>
        <v>0.57999999999999996</v>
      </c>
      <c r="S960" s="7">
        <f>SUMPRODUCT(N(Tabela176[Código]=Tabela8[[#This Row],[Papel]]),Tabela176[Fechamento])</f>
        <v>0</v>
      </c>
      <c r="T960" s="7">
        <f>SUMPRODUCT(N(Tabela1768[Código]=Tabela8[[#This Row],[Papel]]),Tabela1768[Fechamento])</f>
        <v>0</v>
      </c>
      <c r="U960" s="7">
        <f>SUMPRODUCT(N(Tabela17683[Código]=Tabela8[[#This Row],[Papel]]),Tabela17683[Fechamento])</f>
        <v>0</v>
      </c>
      <c r="V960" s="7">
        <f>IF(MAX(Tabela8[[#This Row],[Cotação 1]]:Tabela8[[#This Row],[Cotação 5]])=0,"",MAX(Tabela8[[#This Row],[Cotação 1]]:Tabela8[[#This Row],[Cotação 5]]))</f>
        <v>0.57999999999999996</v>
      </c>
      <c r="W9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0" s="19" t="str">
        <f>IF(AND([Ref]=5,[Cotação]&gt;0,[Cotação]&lt;&gt;""),[Total Exercício]/[Cotação],IF([Ref]&lt;4,0,""))</f>
        <v/>
      </c>
      <c r="Y960" s="14">
        <f>IF([Tipo]="div",1,0)</f>
        <v>1</v>
      </c>
      <c r="Z960" s="14">
        <f>IF([Tipo]="jcp",1,0)</f>
        <v>0</v>
      </c>
    </row>
    <row r="961" spans="1:26" hidden="1">
      <c r="A961" s="24" t="s">
        <v>40</v>
      </c>
      <c r="B961" s="131" t="s">
        <v>73</v>
      </c>
      <c r="C961" s="15">
        <v>4</v>
      </c>
      <c r="D961" s="4">
        <v>2003</v>
      </c>
      <c r="E961" s="14" t="s">
        <v>1468</v>
      </c>
      <c r="G961" s="145">
        <v>37931</v>
      </c>
      <c r="H961" s="46">
        <v>37953</v>
      </c>
      <c r="I961" s="133">
        <v>0.02</v>
      </c>
      <c r="J961" s="134">
        <f>IF(Tabela8[[#This Row],[Tipo]]="jcp",Tabela8[[#This Row],[Provento p/Ação]]*85%,Tabela8[[#This Row],[Provento p/Ação]])</f>
        <v>0.02</v>
      </c>
      <c r="K961" s="133" t="str">
        <f>IF([Lucro p/Ação]&lt;&gt;0,SUMPRODUCT(N([Papel]=Tabela8[[#This Row],[Papel]]),N([Exercício]=Tabela8[[#This Row],[Exercício]]),[Líquido p/Ação]),"")</f>
        <v/>
      </c>
      <c r="L961" s="42" t="str">
        <f>IF(Tabela8[[#This Row],[Lucro p/Ação]]="","",IF(Tabela8[[#This Row],[Lucro p/Ação]]&gt;0,Tabela8[[#This Row],[Total Exercício]]/Tabela8[[#This Row],[Lucro p/Ação]],0))</f>
        <v/>
      </c>
      <c r="M9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1" s="19" t="str">
        <f>IF(Tabela8[[#This Row],[Média Lucro p/Ação]]&lt;&gt;"",Tabela8[[#This Row],[Média Pago]]/Tabela8[[#This Row],[Média Lucro p/Ação]],"")</f>
        <v/>
      </c>
      <c r="P9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1" s="134">
        <f>SUMPRODUCT(N(Tabela1[Código]=Tabela8[[#This Row],[Papel]]),Tabela1[Fechamento])</f>
        <v>0.64</v>
      </c>
      <c r="R961" s="7">
        <f>SUMPRODUCT(N(Tabela17[Código]=Tabela8[[#This Row],[Papel]]),Tabela17[Fechamento])</f>
        <v>0</v>
      </c>
      <c r="S961" s="7">
        <f>SUMPRODUCT(N(Tabela176[Código]=Tabela8[[#This Row],[Papel]]),Tabela176[Fechamento])</f>
        <v>0</v>
      </c>
      <c r="T961" s="7">
        <f>SUMPRODUCT(N(Tabela1768[Código]=Tabela8[[#This Row],[Papel]]),Tabela1768[Fechamento])</f>
        <v>0</v>
      </c>
      <c r="U961" s="7">
        <f>SUMPRODUCT(N(Tabela17683[Código]=Tabela8[[#This Row],[Papel]]),Tabela17683[Fechamento])</f>
        <v>0</v>
      </c>
      <c r="V961" s="7">
        <f>IF(MAX(Tabela8[[#This Row],[Cotação 1]]:Tabela8[[#This Row],[Cotação 5]])=0,"",MAX(Tabela8[[#This Row],[Cotação 1]]:Tabela8[[#This Row],[Cotação 5]]))</f>
        <v>0.64</v>
      </c>
      <c r="W9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1" s="19" t="str">
        <f>IF(AND([Ref]=5,[Cotação]&gt;0,[Cotação]&lt;&gt;""),[Total Exercício]/[Cotação],IF([Ref]&lt;4,0,""))</f>
        <v/>
      </c>
      <c r="Y961" s="14">
        <f>IF([Tipo]="div",1,0)</f>
        <v>1</v>
      </c>
      <c r="Z961" s="14">
        <f>IF([Tipo]="jcp",1,0)</f>
        <v>0</v>
      </c>
    </row>
    <row r="962" spans="1:26">
      <c r="A962" s="24" t="s">
        <v>40</v>
      </c>
      <c r="B962" s="135" t="s">
        <v>39</v>
      </c>
      <c r="C962" s="15">
        <v>5</v>
      </c>
      <c r="D962" s="4">
        <v>2007</v>
      </c>
      <c r="E962" s="14" t="s">
        <v>1468</v>
      </c>
      <c r="F962" s="133">
        <v>0.19087999999999999</v>
      </c>
      <c r="I962" s="133">
        <v>2.3099999999999999E-2</v>
      </c>
      <c r="J962" s="134">
        <f>IF(Tabela8[[#This Row],[Tipo]]="jcp",Tabela8[[#This Row],[Provento p/Ação]]*85%,Tabela8[[#This Row],[Provento p/Ação]])</f>
        <v>2.3099999999999999E-2</v>
      </c>
      <c r="K962" s="133">
        <f>IF([Lucro p/Ação]&lt;&gt;0,SUMPRODUCT(N([Papel]=Tabela8[[#This Row],[Papel]]),N([Exercício]=Tabela8[[#This Row],[Exercício]]),[Líquido p/Ação]),"")</f>
        <v>5.6099999999999997E-2</v>
      </c>
      <c r="L962" s="42">
        <f>IF(Tabela8[[#This Row],[Lucro p/Ação]]="","",IF(Tabela8[[#This Row],[Lucro p/Ação]]&gt;0,Tabela8[[#This Row],[Total Exercício]]/Tabela8[[#This Row],[Lucro p/Ação]],0))</f>
        <v>0.29390192791282482</v>
      </c>
      <c r="M96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0.28717874999999998</v>
      </c>
      <c r="N96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8.512575E-2</v>
      </c>
      <c r="O962" s="19">
        <f>IF(Tabela8[[#This Row],[Média Lucro p/Ação]]&lt;&gt;"",Tabela8[[#This Row],[Média Pago]]/Tabela8[[#This Row],[Média Lucro p/Ação]],"")</f>
        <v>0.29642078322299265</v>
      </c>
      <c r="P9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2" s="134">
        <f>SUMPRODUCT(N(Tabela1[Código]=Tabela8[[#This Row],[Papel]]),Tabela1[Fechamento])</f>
        <v>0.41</v>
      </c>
      <c r="R962" s="17">
        <f>SUMPRODUCT(N(Tabela17[Código]=Tabela8[[#This Row],[Papel]]),Tabela17[Fechamento])</f>
        <v>0</v>
      </c>
      <c r="S962" s="17">
        <f>SUMPRODUCT(N(Tabela176[Código]=Tabela8[[#This Row],[Papel]]),Tabela176[Fechamento])</f>
        <v>0</v>
      </c>
      <c r="T962" s="17">
        <f>SUMPRODUCT(N(Tabela1768[Código]=Tabela8[[#This Row],[Papel]]),Tabela1768[Fechamento])</f>
        <v>0</v>
      </c>
      <c r="U962" s="17">
        <f>SUMPRODUCT(N(Tabela17683[Código]=Tabela8[[#This Row],[Papel]]),Tabela17683[Fechamento])</f>
        <v>0</v>
      </c>
      <c r="V962" s="17">
        <f>IF(MAX(Tabela8[[#This Row],[Cotação 1]]:Tabela8[[#This Row],[Cotação 5]])=0,"",MAX(Tabela8[[#This Row],[Cotação 1]]:Tabela8[[#This Row],[Cotação 5]]))</f>
        <v>0.41</v>
      </c>
      <c r="W9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2" s="19">
        <f>IF(AND([Ref]=5,[Cotação]&gt;0,[Cotação]&lt;&gt;""),[Total Exercício]/[Cotação],IF([Ref]&lt;4,0,""))</f>
        <v>0.13682926829268294</v>
      </c>
      <c r="Y962" s="14">
        <f>IF([Tipo]="div",1,0)</f>
        <v>1</v>
      </c>
      <c r="Z962" s="14">
        <f>IF([Tipo]="jcp",1,0)</f>
        <v>0</v>
      </c>
    </row>
    <row r="963" spans="1:26" hidden="1">
      <c r="A963" s="24" t="s">
        <v>40</v>
      </c>
      <c r="B963" s="131" t="s">
        <v>413</v>
      </c>
      <c r="C963" s="15">
        <v>4</v>
      </c>
      <c r="D963" s="4">
        <v>2003</v>
      </c>
      <c r="E963" s="14" t="s">
        <v>1475</v>
      </c>
      <c r="G963" s="145">
        <v>37985</v>
      </c>
      <c r="I963" s="133">
        <v>3.4000000000000002E-2</v>
      </c>
      <c r="J963" s="134">
        <f>IF(Tabela8[[#This Row],[Tipo]]="jcp",Tabela8[[#This Row],[Provento p/Ação]]*85%,Tabela8[[#This Row],[Provento p/Ação]])</f>
        <v>2.8900000000000002E-2</v>
      </c>
      <c r="K963" s="133" t="str">
        <f>IF([Lucro p/Ação]&lt;&gt;0,SUMPRODUCT(N([Papel]=Tabela8[[#This Row],[Papel]]),N([Exercício]=Tabela8[[#This Row],[Exercício]]),[Líquido p/Ação]),"")</f>
        <v/>
      </c>
      <c r="L963" s="42" t="str">
        <f>IF(Tabela8[[#This Row],[Lucro p/Ação]]="","",IF(Tabela8[[#This Row],[Lucro p/Ação]]&gt;0,Tabela8[[#This Row],[Total Exercício]]/Tabela8[[#This Row],[Lucro p/Ação]],0))</f>
        <v/>
      </c>
      <c r="M9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3" s="19" t="str">
        <f>IF(Tabela8[[#This Row],[Média Lucro p/Ação]]&lt;&gt;"",Tabela8[[#This Row],[Média Pago]]/Tabela8[[#This Row],[Média Lucro p/Ação]],"")</f>
        <v/>
      </c>
      <c r="P9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3" s="134">
        <f>SUMPRODUCT(N(Tabela1[Código]=Tabela8[[#This Row],[Papel]]),Tabela1[Fechamento])</f>
        <v>0</v>
      </c>
      <c r="R963" s="7">
        <f>SUMPRODUCT(N(Tabela17[Código]=Tabela8[[#This Row],[Papel]]),Tabela17[Fechamento])</f>
        <v>0.57999999999999996</v>
      </c>
      <c r="S963" s="7">
        <f>SUMPRODUCT(N(Tabela176[Código]=Tabela8[[#This Row],[Papel]]),Tabela176[Fechamento])</f>
        <v>0</v>
      </c>
      <c r="T963" s="7">
        <f>SUMPRODUCT(N(Tabela1768[Código]=Tabela8[[#This Row],[Papel]]),Tabela1768[Fechamento])</f>
        <v>0</v>
      </c>
      <c r="U963" s="7">
        <f>SUMPRODUCT(N(Tabela17683[Código]=Tabela8[[#This Row],[Papel]]),Tabela17683[Fechamento])</f>
        <v>0</v>
      </c>
      <c r="V963" s="7">
        <f>IF(MAX(Tabela8[[#This Row],[Cotação 1]]:Tabela8[[#This Row],[Cotação 5]])=0,"",MAX(Tabela8[[#This Row],[Cotação 1]]:Tabela8[[#This Row],[Cotação 5]]))</f>
        <v>0.57999999999999996</v>
      </c>
      <c r="W9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3" s="19" t="str">
        <f>IF(AND([Ref]=5,[Cotação]&gt;0,[Cotação]&lt;&gt;""),[Total Exercício]/[Cotação],IF([Ref]&lt;4,0,""))</f>
        <v/>
      </c>
      <c r="Y963" s="14">
        <f>IF([Tipo]="div",1,0)</f>
        <v>0</v>
      </c>
      <c r="Z963" s="14">
        <f>IF([Tipo]="jcp",1,0)</f>
        <v>1</v>
      </c>
    </row>
    <row r="964" spans="1:26" hidden="1">
      <c r="A964" s="24" t="s">
        <v>40</v>
      </c>
      <c r="B964" s="131" t="s">
        <v>73</v>
      </c>
      <c r="C964" s="15">
        <v>4</v>
      </c>
      <c r="D964" s="4">
        <v>2003</v>
      </c>
      <c r="E964" s="14" t="s">
        <v>1475</v>
      </c>
      <c r="G964" s="145">
        <v>37985</v>
      </c>
      <c r="I964" s="133">
        <v>3.4000000000000002E-2</v>
      </c>
      <c r="J964" s="150">
        <f>IF(Tabela8[[#This Row],[Tipo]]="jcp",Tabela8[[#This Row],[Provento p/Ação]]*85%,Tabela8[[#This Row],[Provento p/Ação]])</f>
        <v>2.8900000000000002E-2</v>
      </c>
      <c r="K964" s="146" t="str">
        <f>IF([Lucro p/Ação]&lt;&gt;0,SUMPRODUCT(N([Papel]=Tabela8[[#This Row],[Papel]]),N([Exercício]=Tabela8[[#This Row],[Exercício]]),[Líquido p/Ação]),"")</f>
        <v/>
      </c>
      <c r="L964" s="42" t="str">
        <f>IF(Tabela8[[#This Row],[Lucro p/Ação]]="","",IF(Tabela8[[#This Row],[Lucro p/Ação]]&gt;0,Tabela8[[#This Row],[Total Exercício]]/Tabela8[[#This Row],[Lucro p/Ação]],0))</f>
        <v/>
      </c>
      <c r="M9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4" s="19" t="str">
        <f>IF(Tabela8[[#This Row],[Média Lucro p/Ação]]&lt;&gt;"",Tabela8[[#This Row],[Média Pago]]/Tabela8[[#This Row],[Média Lucro p/Ação]],"")</f>
        <v/>
      </c>
      <c r="P9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4" s="134">
        <f>SUMPRODUCT(N(Tabela1[Código]=Tabela8[[#This Row],[Papel]]),Tabela1[Fechamento])</f>
        <v>0.64</v>
      </c>
      <c r="R964" s="7">
        <f>SUMPRODUCT(N(Tabela17[Código]=Tabela8[[#This Row],[Papel]]),Tabela17[Fechamento])</f>
        <v>0</v>
      </c>
      <c r="S964" s="7">
        <f>SUMPRODUCT(N(Tabela176[Código]=Tabela8[[#This Row],[Papel]]),Tabela176[Fechamento])</f>
        <v>0</v>
      </c>
      <c r="T964" s="7">
        <f>SUMPRODUCT(N(Tabela1768[Código]=Tabela8[[#This Row],[Papel]]),Tabela1768[Fechamento])</f>
        <v>0</v>
      </c>
      <c r="U964" s="7">
        <f>SUMPRODUCT(N(Tabela17683[Código]=Tabela8[[#This Row],[Papel]]),Tabela17683[Fechamento])</f>
        <v>0</v>
      </c>
      <c r="V964" s="7">
        <f>IF(MAX(Tabela8[[#This Row],[Cotação 1]]:Tabela8[[#This Row],[Cotação 5]])=0,"",MAX(Tabela8[[#This Row],[Cotação 1]]:Tabela8[[#This Row],[Cotação 5]]))</f>
        <v>0.64</v>
      </c>
      <c r="W9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4" s="19" t="str">
        <f>IF(AND([Ref]=5,[Cotação]&gt;0,[Cotação]&lt;&gt;""),[Total Exercício]/[Cotação],IF([Ref]&lt;4,0,""))</f>
        <v/>
      </c>
      <c r="Y964" s="14">
        <f>IF([Tipo]="div",1,0)</f>
        <v>0</v>
      </c>
      <c r="Z964" s="14">
        <f>IF([Tipo]="jcp",1,0)</f>
        <v>1</v>
      </c>
    </row>
    <row r="965" spans="1:26">
      <c r="A965" s="24" t="s">
        <v>40</v>
      </c>
      <c r="B965" s="135" t="s">
        <v>39</v>
      </c>
      <c r="C965" s="15">
        <v>4</v>
      </c>
      <c r="D965" s="4">
        <v>2006</v>
      </c>
      <c r="E965" s="14" t="s">
        <v>1475</v>
      </c>
      <c r="G965" s="145">
        <v>38954</v>
      </c>
      <c r="H965" s="46">
        <v>38971</v>
      </c>
      <c r="I965" s="133">
        <v>1.0999999999999999E-2</v>
      </c>
      <c r="J965" s="152">
        <f>IF(Tabela8[[#This Row],[Tipo]]="jcp",Tabela8[[#This Row],[Provento p/Ação]]*85%,Tabela8[[#This Row],[Provento p/Ação]])</f>
        <v>9.3499999999999989E-3</v>
      </c>
      <c r="K965" s="146" t="str">
        <f>IF([Lucro p/Ação]&lt;&gt;0,SUMPRODUCT(N([Papel]=Tabela8[[#This Row],[Papel]]),N([Exercício]=Tabela8[[#This Row],[Exercício]]),[Líquido p/Ação]),"")</f>
        <v/>
      </c>
      <c r="L965" s="42" t="str">
        <f>IF(Tabela8[[#This Row],[Lucro p/Ação]]="","",IF(Tabela8[[#This Row],[Lucro p/Ação]]&gt;0,Tabela8[[#This Row],[Total Exercício]]/Tabela8[[#This Row],[Lucro p/Ação]],0))</f>
        <v/>
      </c>
      <c r="M9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5" s="19" t="str">
        <f>IF(Tabela8[[#This Row],[Média Lucro p/Ação]]&lt;&gt;"",Tabela8[[#This Row],[Média Pago]]/Tabela8[[#This Row],[Média Lucro p/Ação]],"")</f>
        <v/>
      </c>
      <c r="P9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5" s="134">
        <f>SUMPRODUCT(N(Tabela1[Código]=Tabela8[[#This Row],[Papel]]),Tabela1[Fechamento])</f>
        <v>0.41</v>
      </c>
      <c r="R965" s="7">
        <f>SUMPRODUCT(N(Tabela17[Código]=Tabela8[[#This Row],[Papel]]),Tabela17[Fechamento])</f>
        <v>0</v>
      </c>
      <c r="S965" s="7">
        <f>SUMPRODUCT(N(Tabela176[Código]=Tabela8[[#This Row],[Papel]]),Tabela176[Fechamento])</f>
        <v>0</v>
      </c>
      <c r="T965" s="7">
        <f>SUMPRODUCT(N(Tabela1768[Código]=Tabela8[[#This Row],[Papel]]),Tabela1768[Fechamento])</f>
        <v>0</v>
      </c>
      <c r="U965" s="7">
        <f>SUMPRODUCT(N(Tabela17683[Código]=Tabela8[[#This Row],[Papel]]),Tabela17683[Fechamento])</f>
        <v>0</v>
      </c>
      <c r="V965" s="7">
        <f>IF(MAX(Tabela8[[#This Row],[Cotação 1]]:Tabela8[[#This Row],[Cotação 5]])=0,"",MAX(Tabela8[[#This Row],[Cotação 1]]:Tabela8[[#This Row],[Cotação 5]]))</f>
        <v>0.41</v>
      </c>
      <c r="W9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5" s="19" t="str">
        <f>IF(AND([Ref]=5,[Cotação]&gt;0,[Cotação]&lt;&gt;""),[Total Exercício]/[Cotação],IF([Ref]&lt;4,0,""))</f>
        <v/>
      </c>
      <c r="Y965" s="14">
        <f>IF([Tipo]="div",1,0)</f>
        <v>0</v>
      </c>
      <c r="Z965" s="14">
        <f>IF([Tipo]="jcp",1,0)</f>
        <v>1</v>
      </c>
    </row>
    <row r="966" spans="1:26" hidden="1">
      <c r="A966" s="24" t="s">
        <v>40</v>
      </c>
      <c r="B966" s="131" t="s">
        <v>413</v>
      </c>
      <c r="C966" s="15">
        <v>5</v>
      </c>
      <c r="D966" s="4">
        <v>2003</v>
      </c>
      <c r="E966" s="14" t="s">
        <v>1468</v>
      </c>
      <c r="F966" s="133">
        <v>0.25336999999999998</v>
      </c>
      <c r="G966" s="145">
        <v>38101</v>
      </c>
      <c r="I966" s="133">
        <v>1.67E-2</v>
      </c>
      <c r="J966" s="134">
        <f>IF(Tabela8[[#This Row],[Tipo]]="jcp",Tabela8[[#This Row],[Provento p/Ação]]*85%,Tabela8[[#This Row],[Provento p/Ação]])</f>
        <v>1.67E-2</v>
      </c>
      <c r="K966" s="133">
        <f>IF([Lucro p/Ação]&lt;&gt;0,SUMPRODUCT(N([Papel]=Tabela8[[#This Row],[Papel]]),N([Exercício]=Tabela8[[#This Row],[Exercício]]),[Líquido p/Ação]),"")</f>
        <v>6.5599999999999992E-2</v>
      </c>
      <c r="L966" s="42">
        <f>IF(Tabela8[[#This Row],[Lucro p/Ação]]="","",IF(Tabela8[[#This Row],[Lucro p/Ação]]&gt;0,Tabela8[[#This Row],[Total Exercício]]/Tabela8[[#This Row],[Lucro p/Ação]],0))</f>
        <v>0.25890989462051545</v>
      </c>
      <c r="M9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0.30378000000000005</v>
      </c>
      <c r="N96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0.11032500000000001</v>
      </c>
      <c r="O966" s="19">
        <f>IF(Tabela8[[#This Row],[Média Lucro p/Ação]]&lt;&gt;"",Tabela8[[#This Row],[Média Pago]]/Tabela8[[#This Row],[Média Lucro p/Ação]],"")</f>
        <v>0.36317400750543155</v>
      </c>
      <c r="P9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6" s="134">
        <f>SUMPRODUCT(N(Tabela1[Código]=Tabela8[[#This Row],[Papel]]),Tabela1[Fechamento])</f>
        <v>0</v>
      </c>
      <c r="R966" s="7">
        <f>SUMPRODUCT(N(Tabela17[Código]=Tabela8[[#This Row],[Papel]]),Tabela17[Fechamento])</f>
        <v>0.57999999999999996</v>
      </c>
      <c r="S966" s="7">
        <f>SUMPRODUCT(N(Tabela176[Código]=Tabela8[[#This Row],[Papel]]),Tabela176[Fechamento])</f>
        <v>0</v>
      </c>
      <c r="T966" s="7">
        <f>SUMPRODUCT(N(Tabela1768[Código]=Tabela8[[#This Row],[Papel]]),Tabela1768[Fechamento])</f>
        <v>0</v>
      </c>
      <c r="U966" s="7">
        <f>SUMPRODUCT(N(Tabela17683[Código]=Tabela8[[#This Row],[Papel]]),Tabela17683[Fechamento])</f>
        <v>0</v>
      </c>
      <c r="V966" s="7">
        <f>IF(MAX(Tabela8[[#This Row],[Cotação 1]]:Tabela8[[#This Row],[Cotação 5]])=0,"",MAX(Tabela8[[#This Row],[Cotação 1]]:Tabela8[[#This Row],[Cotação 5]]))</f>
        <v>0.57999999999999996</v>
      </c>
      <c r="W9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6" s="19">
        <f>IF(AND([Ref]=5,[Cotação]&gt;0,[Cotação]&lt;&gt;""),[Total Exercício]/[Cotação],IF([Ref]&lt;4,0,""))</f>
        <v>0.11310344827586206</v>
      </c>
      <c r="Y966" s="14">
        <f>IF([Tipo]="div",1,0)</f>
        <v>1</v>
      </c>
      <c r="Z966" s="14">
        <f>IF([Tipo]="jcp",1,0)</f>
        <v>0</v>
      </c>
    </row>
    <row r="967" spans="1:26" hidden="1">
      <c r="A967" s="24" t="s">
        <v>40</v>
      </c>
      <c r="B967" s="131" t="s">
        <v>73</v>
      </c>
      <c r="C967" s="15">
        <v>5</v>
      </c>
      <c r="D967" s="4">
        <v>2003</v>
      </c>
      <c r="E967" s="14" t="s">
        <v>1468</v>
      </c>
      <c r="F967" s="133">
        <v>0.25336999999999998</v>
      </c>
      <c r="G967" s="145">
        <v>38101</v>
      </c>
      <c r="I967" s="133">
        <v>4.5999999999999999E-2</v>
      </c>
      <c r="J967" s="134">
        <f>IF(Tabela8[[#This Row],[Tipo]]="jcp",Tabela8[[#This Row],[Provento p/Ação]]*85%,Tabela8[[#This Row],[Provento p/Ação]])</f>
        <v>4.5999999999999999E-2</v>
      </c>
      <c r="K967" s="133">
        <f>IF([Lucro p/Ação]&lt;&gt;0,SUMPRODUCT(N([Papel]=Tabela8[[#This Row],[Papel]]),N([Exercício]=Tabela8[[#This Row],[Exercício]]),[Líquido p/Ação]),"")</f>
        <v>9.4899999999999998E-2</v>
      </c>
      <c r="L967" s="42">
        <f>IF(Tabela8[[#This Row],[Lucro p/Ação]]="","",IF(Tabela8[[#This Row],[Lucro p/Ação]]&gt;0,Tabela8[[#This Row],[Total Exercício]]/Tabela8[[#This Row],[Lucro p/Ação]],0))</f>
        <v>0.37455105182144693</v>
      </c>
      <c r="M9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0.30378000000000005</v>
      </c>
      <c r="N96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9.5612500000000003E-2</v>
      </c>
      <c r="O967" s="19">
        <f>IF(Tabela8[[#This Row],[Média Lucro p/Ação]]&lt;&gt;"",Tabela8[[#This Row],[Média Pago]]/Tabela8[[#This Row],[Média Lucro p/Ação]],"")</f>
        <v>0.31474257686483637</v>
      </c>
      <c r="P9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7" s="134">
        <f>SUMPRODUCT(N(Tabela1[Código]=Tabela8[[#This Row],[Papel]]),Tabela1[Fechamento])</f>
        <v>0.64</v>
      </c>
      <c r="R967" s="7">
        <f>SUMPRODUCT(N(Tabela17[Código]=Tabela8[[#This Row],[Papel]]),Tabela17[Fechamento])</f>
        <v>0</v>
      </c>
      <c r="S967" s="7">
        <f>SUMPRODUCT(N(Tabela176[Código]=Tabela8[[#This Row],[Papel]]),Tabela176[Fechamento])</f>
        <v>0</v>
      </c>
      <c r="T967" s="7">
        <f>SUMPRODUCT(N(Tabela1768[Código]=Tabela8[[#This Row],[Papel]]),Tabela1768[Fechamento])</f>
        <v>0</v>
      </c>
      <c r="U967" s="7">
        <f>SUMPRODUCT(N(Tabela17683[Código]=Tabela8[[#This Row],[Papel]]),Tabela17683[Fechamento])</f>
        <v>0</v>
      </c>
      <c r="V967" s="7">
        <f>IF(MAX(Tabela8[[#This Row],[Cotação 1]]:Tabela8[[#This Row],[Cotação 5]])=0,"",MAX(Tabela8[[#This Row],[Cotação 1]]:Tabela8[[#This Row],[Cotação 5]]))</f>
        <v>0.64</v>
      </c>
      <c r="W9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7" s="19">
        <f>IF(AND([Ref]=5,[Cotação]&gt;0,[Cotação]&lt;&gt;""),[Total Exercício]/[Cotação],IF([Ref]&lt;4,0,""))</f>
        <v>0.14828125</v>
      </c>
      <c r="Y967" s="14">
        <f>IF([Tipo]="div",1,0)</f>
        <v>1</v>
      </c>
      <c r="Z967" s="14">
        <f>IF([Tipo]="jcp",1,0)</f>
        <v>0</v>
      </c>
    </row>
    <row r="968" spans="1:26">
      <c r="A968" s="24" t="s">
        <v>40</v>
      </c>
      <c r="B968" s="135" t="s">
        <v>39</v>
      </c>
      <c r="C968" s="15">
        <v>4</v>
      </c>
      <c r="D968" s="4">
        <v>2006</v>
      </c>
      <c r="E968" s="14" t="s">
        <v>1475</v>
      </c>
      <c r="G968" s="145">
        <v>39034</v>
      </c>
      <c r="H968" s="46">
        <v>39044</v>
      </c>
      <c r="I968" s="133">
        <v>1.0999999999999999E-2</v>
      </c>
      <c r="J968" s="134">
        <f>IF(Tabela8[[#This Row],[Tipo]]="jcp",Tabela8[[#This Row],[Provento p/Ação]]*85%,Tabela8[[#This Row],[Provento p/Ação]])</f>
        <v>9.3499999999999989E-3</v>
      </c>
      <c r="K968" s="133" t="str">
        <f>IF([Lucro p/Ação]&lt;&gt;0,SUMPRODUCT(N([Papel]=Tabela8[[#This Row],[Papel]]),N([Exercício]=Tabela8[[#This Row],[Exercício]]),[Líquido p/Ação]),"")</f>
        <v/>
      </c>
      <c r="L968" s="42" t="str">
        <f>IF(Tabela8[[#This Row],[Lucro p/Ação]]="","",IF(Tabela8[[#This Row],[Lucro p/Ação]]&gt;0,Tabela8[[#This Row],[Total Exercício]]/Tabela8[[#This Row],[Lucro p/Ação]],0))</f>
        <v/>
      </c>
      <c r="M96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8" s="19" t="str">
        <f>IF(Tabela8[[#This Row],[Média Lucro p/Ação]]&lt;&gt;"",Tabela8[[#This Row],[Média Pago]]/Tabela8[[#This Row],[Média Lucro p/Ação]],"")</f>
        <v/>
      </c>
      <c r="P9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8" s="134">
        <f>SUMPRODUCT(N(Tabela1[Código]=Tabela8[[#This Row],[Papel]]),Tabela1[Fechamento])</f>
        <v>0.41</v>
      </c>
      <c r="R968" s="7">
        <f>SUMPRODUCT(N(Tabela17[Código]=Tabela8[[#This Row],[Papel]]),Tabela17[Fechamento])</f>
        <v>0</v>
      </c>
      <c r="S968" s="7">
        <f>SUMPRODUCT(N(Tabela176[Código]=Tabela8[[#This Row],[Papel]]),Tabela176[Fechamento])</f>
        <v>0</v>
      </c>
      <c r="T968" s="7">
        <f>SUMPRODUCT(N(Tabela1768[Código]=Tabela8[[#This Row],[Papel]]),Tabela1768[Fechamento])</f>
        <v>0</v>
      </c>
      <c r="U968" s="7">
        <f>SUMPRODUCT(N(Tabela17683[Código]=Tabela8[[#This Row],[Papel]]),Tabela17683[Fechamento])</f>
        <v>0</v>
      </c>
      <c r="V968" s="7">
        <f>IF(MAX(Tabela8[[#This Row],[Cotação 1]]:Tabela8[[#This Row],[Cotação 5]])=0,"",MAX(Tabela8[[#This Row],[Cotação 1]]:Tabela8[[#This Row],[Cotação 5]]))</f>
        <v>0.41</v>
      </c>
      <c r="W9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8" s="19" t="str">
        <f>IF(AND([Ref]=5,[Cotação]&gt;0,[Cotação]&lt;&gt;""),[Total Exercício]/[Cotação],IF([Ref]&lt;4,0,""))</f>
        <v/>
      </c>
      <c r="Y968" s="14">
        <f>IF([Tipo]="div",1,0)</f>
        <v>0</v>
      </c>
      <c r="Z968" s="14">
        <f>IF([Tipo]="jcp",1,0)</f>
        <v>1</v>
      </c>
    </row>
    <row r="969" spans="1:26" hidden="1">
      <c r="A969" s="24" t="s">
        <v>40</v>
      </c>
      <c r="B969" s="131" t="s">
        <v>413</v>
      </c>
      <c r="C969" s="15">
        <v>4</v>
      </c>
      <c r="D969" s="4">
        <v>2004</v>
      </c>
      <c r="E969" s="14" t="s">
        <v>1468</v>
      </c>
      <c r="G969" s="145">
        <v>38104</v>
      </c>
      <c r="H969" s="46">
        <v>38125</v>
      </c>
      <c r="I969" s="133">
        <v>1.67E-2</v>
      </c>
      <c r="J969" s="134">
        <f>IF(Tabela8[[#This Row],[Tipo]]="jcp",Tabela8[[#This Row],[Provento p/Ação]]*85%,Tabela8[[#This Row],[Provento p/Ação]])</f>
        <v>1.67E-2</v>
      </c>
      <c r="K969" s="133" t="str">
        <f>IF([Lucro p/Ação]&lt;&gt;0,SUMPRODUCT(N([Papel]=Tabela8[[#This Row],[Papel]]),N([Exercício]=Tabela8[[#This Row],[Exercício]]),[Líquido p/Ação]),"")</f>
        <v/>
      </c>
      <c r="L969" s="42" t="str">
        <f>IF(Tabela8[[#This Row],[Lucro p/Ação]]="","",IF(Tabela8[[#This Row],[Lucro p/Ação]]&gt;0,Tabela8[[#This Row],[Total Exercício]]/Tabela8[[#This Row],[Lucro p/Ação]],0))</f>
        <v/>
      </c>
      <c r="M96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6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69" s="19" t="str">
        <f>IF(Tabela8[[#This Row],[Média Lucro p/Ação]]&lt;&gt;"",Tabela8[[#This Row],[Média Pago]]/Tabela8[[#This Row],[Média Lucro p/Ação]],"")</f>
        <v/>
      </c>
      <c r="P9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69" s="134">
        <f>SUMPRODUCT(N(Tabela1[Código]=Tabela8[[#This Row],[Papel]]),Tabela1[Fechamento])</f>
        <v>0</v>
      </c>
      <c r="R969" s="7">
        <f>SUMPRODUCT(N(Tabela17[Código]=Tabela8[[#This Row],[Papel]]),Tabela17[Fechamento])</f>
        <v>0.57999999999999996</v>
      </c>
      <c r="S969" s="7">
        <f>SUMPRODUCT(N(Tabela176[Código]=Tabela8[[#This Row],[Papel]]),Tabela176[Fechamento])</f>
        <v>0</v>
      </c>
      <c r="T969" s="7">
        <f>SUMPRODUCT(N(Tabela1768[Código]=Tabela8[[#This Row],[Papel]]),Tabela1768[Fechamento])</f>
        <v>0</v>
      </c>
      <c r="U969" s="7">
        <f>SUMPRODUCT(N(Tabela17683[Código]=Tabela8[[#This Row],[Papel]]),Tabela17683[Fechamento])</f>
        <v>0</v>
      </c>
      <c r="V969" s="7">
        <f>IF(MAX(Tabela8[[#This Row],[Cotação 1]]:Tabela8[[#This Row],[Cotação 5]])=0,"",MAX(Tabela8[[#This Row],[Cotação 1]]:Tabela8[[#This Row],[Cotação 5]]))</f>
        <v>0.57999999999999996</v>
      </c>
      <c r="W9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69" s="19" t="str">
        <f>IF(AND([Ref]=5,[Cotação]&gt;0,[Cotação]&lt;&gt;""),[Total Exercício]/[Cotação],IF([Ref]&lt;4,0,""))</f>
        <v/>
      </c>
      <c r="Y969" s="14">
        <f>IF([Tipo]="div",1,0)</f>
        <v>1</v>
      </c>
      <c r="Z969" s="14">
        <f>IF([Tipo]="jcp",1,0)</f>
        <v>0</v>
      </c>
    </row>
    <row r="970" spans="1:26" hidden="1">
      <c r="A970" s="24" t="s">
        <v>40</v>
      </c>
      <c r="B970" s="131" t="s">
        <v>73</v>
      </c>
      <c r="C970" s="15">
        <v>4</v>
      </c>
      <c r="D970" s="4">
        <v>2004</v>
      </c>
      <c r="E970" s="14" t="s">
        <v>1468</v>
      </c>
      <c r="G970" s="145">
        <v>38104</v>
      </c>
      <c r="H970" s="46">
        <v>38125</v>
      </c>
      <c r="I970" s="133">
        <v>4.5999999999999999E-2</v>
      </c>
      <c r="J970" s="134">
        <f>IF(Tabela8[[#This Row],[Tipo]]="jcp",Tabela8[[#This Row],[Provento p/Ação]]*85%,Tabela8[[#This Row],[Provento p/Ação]])</f>
        <v>4.5999999999999999E-2</v>
      </c>
      <c r="K970" s="133" t="str">
        <f>IF([Lucro p/Ação]&lt;&gt;0,SUMPRODUCT(N([Papel]=Tabela8[[#This Row],[Papel]]),N([Exercício]=Tabela8[[#This Row],[Exercício]]),[Líquido p/Ação]),"")</f>
        <v/>
      </c>
      <c r="L970" s="42" t="str">
        <f>IF(Tabela8[[#This Row],[Lucro p/Ação]]="","",IF(Tabela8[[#This Row],[Lucro p/Ação]]&gt;0,Tabela8[[#This Row],[Total Exercício]]/Tabela8[[#This Row],[Lucro p/Ação]],0))</f>
        <v/>
      </c>
      <c r="M97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0" s="19" t="str">
        <f>IF(Tabela8[[#This Row],[Média Lucro p/Ação]]&lt;&gt;"",Tabela8[[#This Row],[Média Pago]]/Tabela8[[#This Row],[Média Lucro p/Ação]],"")</f>
        <v/>
      </c>
      <c r="P9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0" s="134">
        <f>SUMPRODUCT(N(Tabela1[Código]=Tabela8[[#This Row],[Papel]]),Tabela1[Fechamento])</f>
        <v>0.64</v>
      </c>
      <c r="R970" s="7">
        <f>SUMPRODUCT(N(Tabela17[Código]=Tabela8[[#This Row],[Papel]]),Tabela17[Fechamento])</f>
        <v>0</v>
      </c>
      <c r="S970" s="7">
        <f>SUMPRODUCT(N(Tabela176[Código]=Tabela8[[#This Row],[Papel]]),Tabela176[Fechamento])</f>
        <v>0</v>
      </c>
      <c r="T970" s="7">
        <f>SUMPRODUCT(N(Tabela1768[Código]=Tabela8[[#This Row],[Papel]]),Tabela1768[Fechamento])</f>
        <v>0</v>
      </c>
      <c r="U970" s="7">
        <f>SUMPRODUCT(N(Tabela17683[Código]=Tabela8[[#This Row],[Papel]]),Tabela17683[Fechamento])</f>
        <v>0</v>
      </c>
      <c r="V970" s="7">
        <f>IF(MAX(Tabela8[[#This Row],[Cotação 1]]:Tabela8[[#This Row],[Cotação 5]])=0,"",MAX(Tabela8[[#This Row],[Cotação 1]]:Tabela8[[#This Row],[Cotação 5]]))</f>
        <v>0.64</v>
      </c>
      <c r="W9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0" s="19" t="str">
        <f>IF(AND([Ref]=5,[Cotação]&gt;0,[Cotação]&lt;&gt;""),[Total Exercício]/[Cotação],IF([Ref]&lt;4,0,""))</f>
        <v/>
      </c>
      <c r="Y970" s="14">
        <f>IF([Tipo]="div",1,0)</f>
        <v>1</v>
      </c>
      <c r="Z970" s="14">
        <f>IF([Tipo]="jcp",1,0)</f>
        <v>0</v>
      </c>
    </row>
    <row r="971" spans="1:26">
      <c r="A971" s="24" t="s">
        <v>40</v>
      </c>
      <c r="B971" s="135" t="s">
        <v>39</v>
      </c>
      <c r="C971" s="15">
        <v>4</v>
      </c>
      <c r="D971" s="4">
        <v>2006</v>
      </c>
      <c r="E971" s="14" t="s">
        <v>1475</v>
      </c>
      <c r="G971" s="145">
        <v>39072</v>
      </c>
      <c r="H971" s="46">
        <v>39141</v>
      </c>
      <c r="I971" s="133">
        <v>2.9700000000000001E-2</v>
      </c>
      <c r="J971" s="134">
        <f>IF(Tabela8[[#This Row],[Tipo]]="jcp",Tabela8[[#This Row],[Provento p/Ação]]*85%,Tabela8[[#This Row],[Provento p/Ação]])</f>
        <v>2.5245E-2</v>
      </c>
      <c r="K971" s="133" t="str">
        <f>IF([Lucro p/Ação]&lt;&gt;0,SUMPRODUCT(N([Papel]=Tabela8[[#This Row],[Papel]]),N([Exercício]=Tabela8[[#This Row],[Exercício]]),[Líquido p/Ação]),"")</f>
        <v/>
      </c>
      <c r="L971" s="42" t="str">
        <f>IF(Tabela8[[#This Row],[Lucro p/Ação]]="","",IF(Tabela8[[#This Row],[Lucro p/Ação]]&gt;0,Tabela8[[#This Row],[Total Exercício]]/Tabela8[[#This Row],[Lucro p/Ação]],0))</f>
        <v/>
      </c>
      <c r="M97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1" s="19" t="str">
        <f>IF(Tabela8[[#This Row],[Média Lucro p/Ação]]&lt;&gt;"",Tabela8[[#This Row],[Média Pago]]/Tabela8[[#This Row],[Média Lucro p/Ação]],"")</f>
        <v/>
      </c>
      <c r="P9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1" s="134">
        <f>SUMPRODUCT(N(Tabela1[Código]=Tabela8[[#This Row],[Papel]]),Tabela1[Fechamento])</f>
        <v>0.41</v>
      </c>
      <c r="R971" s="7">
        <f>SUMPRODUCT(N(Tabela17[Código]=Tabela8[[#This Row],[Papel]]),Tabela17[Fechamento])</f>
        <v>0</v>
      </c>
      <c r="S971" s="7">
        <f>SUMPRODUCT(N(Tabela176[Código]=Tabela8[[#This Row],[Papel]]),Tabela176[Fechamento])</f>
        <v>0</v>
      </c>
      <c r="T971" s="7">
        <f>SUMPRODUCT(N(Tabela1768[Código]=Tabela8[[#This Row],[Papel]]),Tabela1768[Fechamento])</f>
        <v>0</v>
      </c>
      <c r="U971" s="7">
        <f>SUMPRODUCT(N(Tabela17683[Código]=Tabela8[[#This Row],[Papel]]),Tabela17683[Fechamento])</f>
        <v>0</v>
      </c>
      <c r="V971" s="7">
        <f>IF(MAX(Tabela8[[#This Row],[Cotação 1]]:Tabela8[[#This Row],[Cotação 5]])=0,"",MAX(Tabela8[[#This Row],[Cotação 1]]:Tabela8[[#This Row],[Cotação 5]]))</f>
        <v>0.41</v>
      </c>
      <c r="W9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1" s="19" t="str">
        <f>IF(AND([Ref]=5,[Cotação]&gt;0,[Cotação]&lt;&gt;""),[Total Exercício]/[Cotação],IF([Ref]&lt;4,0,""))</f>
        <v/>
      </c>
      <c r="Y971" s="14">
        <f>IF([Tipo]="div",1,0)</f>
        <v>0</v>
      </c>
      <c r="Z971" s="14">
        <f>IF([Tipo]="jcp",1,0)</f>
        <v>1</v>
      </c>
    </row>
    <row r="972" spans="1:26" hidden="1">
      <c r="A972" s="24" t="s">
        <v>40</v>
      </c>
      <c r="B972" s="131" t="s">
        <v>413</v>
      </c>
      <c r="C972" s="15">
        <v>4</v>
      </c>
      <c r="D972" s="4">
        <v>2004</v>
      </c>
      <c r="E972" s="14" t="s">
        <v>1475</v>
      </c>
      <c r="G972" s="145">
        <v>38210</v>
      </c>
      <c r="H972" s="46">
        <v>38296</v>
      </c>
      <c r="I972" s="133">
        <v>2.5000000000000001E-2</v>
      </c>
      <c r="J972" s="134">
        <f>IF(Tabela8[[#This Row],[Tipo]]="jcp",Tabela8[[#This Row],[Provento p/Ação]]*85%,Tabela8[[#This Row],[Provento p/Ação]])</f>
        <v>2.1250000000000002E-2</v>
      </c>
      <c r="K972" s="133" t="str">
        <f>IF([Lucro p/Ação]&lt;&gt;0,SUMPRODUCT(N([Papel]=Tabela8[[#This Row],[Papel]]),N([Exercício]=Tabela8[[#This Row],[Exercício]]),[Líquido p/Ação]),"")</f>
        <v/>
      </c>
      <c r="L972" s="42" t="str">
        <f>IF(Tabela8[[#This Row],[Lucro p/Ação]]="","",IF(Tabela8[[#This Row],[Lucro p/Ação]]&gt;0,Tabela8[[#This Row],[Total Exercício]]/Tabela8[[#This Row],[Lucro p/Ação]],0))</f>
        <v/>
      </c>
      <c r="M97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2" s="19" t="str">
        <f>IF(Tabela8[[#This Row],[Média Lucro p/Ação]]&lt;&gt;"",Tabela8[[#This Row],[Média Pago]]/Tabela8[[#This Row],[Média Lucro p/Ação]],"")</f>
        <v/>
      </c>
      <c r="P9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2" s="134">
        <f>SUMPRODUCT(N(Tabela1[Código]=Tabela8[[#This Row],[Papel]]),Tabela1[Fechamento])</f>
        <v>0</v>
      </c>
      <c r="R972" s="7">
        <f>SUMPRODUCT(N(Tabela17[Código]=Tabela8[[#This Row],[Papel]]),Tabela17[Fechamento])</f>
        <v>0.57999999999999996</v>
      </c>
      <c r="S972" s="7">
        <f>SUMPRODUCT(N(Tabela176[Código]=Tabela8[[#This Row],[Papel]]),Tabela176[Fechamento])</f>
        <v>0</v>
      </c>
      <c r="T972" s="7">
        <f>SUMPRODUCT(N(Tabela1768[Código]=Tabela8[[#This Row],[Papel]]),Tabela1768[Fechamento])</f>
        <v>0</v>
      </c>
      <c r="U972" s="7">
        <f>SUMPRODUCT(N(Tabela17683[Código]=Tabela8[[#This Row],[Papel]]),Tabela17683[Fechamento])</f>
        <v>0</v>
      </c>
      <c r="V972" s="7">
        <f>IF(MAX(Tabela8[[#This Row],[Cotação 1]]:Tabela8[[#This Row],[Cotação 5]])=0,"",MAX(Tabela8[[#This Row],[Cotação 1]]:Tabela8[[#This Row],[Cotação 5]]))</f>
        <v>0.57999999999999996</v>
      </c>
      <c r="W9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2" s="19" t="str">
        <f>IF(AND([Ref]=5,[Cotação]&gt;0,[Cotação]&lt;&gt;""),[Total Exercício]/[Cotação],IF([Ref]&lt;4,0,""))</f>
        <v/>
      </c>
      <c r="Y972" s="14">
        <f>IF([Tipo]="div",1,0)</f>
        <v>0</v>
      </c>
      <c r="Z972" s="14">
        <f>IF([Tipo]="jcp",1,0)</f>
        <v>1</v>
      </c>
    </row>
    <row r="973" spans="1:26" hidden="1">
      <c r="A973" s="24" t="s">
        <v>40</v>
      </c>
      <c r="B973" s="131" t="s">
        <v>73</v>
      </c>
      <c r="C973" s="15">
        <v>4</v>
      </c>
      <c r="D973" s="4">
        <v>2004</v>
      </c>
      <c r="E973" s="14" t="s">
        <v>1475</v>
      </c>
      <c r="G973" s="145">
        <v>38210</v>
      </c>
      <c r="H973" s="46">
        <v>38296</v>
      </c>
      <c r="I973" s="133">
        <v>2.5000000000000001E-2</v>
      </c>
      <c r="J973" s="134">
        <f>IF(Tabela8[[#This Row],[Tipo]]="jcp",Tabela8[[#This Row],[Provento p/Ação]]*85%,Tabela8[[#This Row],[Provento p/Ação]])</f>
        <v>2.1250000000000002E-2</v>
      </c>
      <c r="K973" s="133" t="str">
        <f>IF([Lucro p/Ação]&lt;&gt;0,SUMPRODUCT(N([Papel]=Tabela8[[#This Row],[Papel]]),N([Exercício]=Tabela8[[#This Row],[Exercício]]),[Líquido p/Ação]),"")</f>
        <v/>
      </c>
      <c r="L973" s="42" t="str">
        <f>IF(Tabela8[[#This Row],[Lucro p/Ação]]="","",IF(Tabela8[[#This Row],[Lucro p/Ação]]&gt;0,Tabela8[[#This Row],[Total Exercício]]/Tabela8[[#This Row],[Lucro p/Ação]],0))</f>
        <v/>
      </c>
      <c r="M97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3" s="19" t="str">
        <f>IF(Tabela8[[#This Row],[Média Lucro p/Ação]]&lt;&gt;"",Tabela8[[#This Row],[Média Pago]]/Tabela8[[#This Row],[Média Lucro p/Ação]],"")</f>
        <v/>
      </c>
      <c r="P9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3" s="134">
        <f>SUMPRODUCT(N(Tabela1[Código]=Tabela8[[#This Row],[Papel]]),Tabela1[Fechamento])</f>
        <v>0.64</v>
      </c>
      <c r="R973" s="7">
        <f>SUMPRODUCT(N(Tabela17[Código]=Tabela8[[#This Row],[Papel]]),Tabela17[Fechamento])</f>
        <v>0</v>
      </c>
      <c r="S973" s="7">
        <f>SUMPRODUCT(N(Tabela176[Código]=Tabela8[[#This Row],[Papel]]),Tabela176[Fechamento])</f>
        <v>0</v>
      </c>
      <c r="T973" s="7">
        <f>SUMPRODUCT(N(Tabela1768[Código]=Tabela8[[#This Row],[Papel]]),Tabela1768[Fechamento])</f>
        <v>0</v>
      </c>
      <c r="U973" s="7">
        <f>SUMPRODUCT(N(Tabela17683[Código]=Tabela8[[#This Row],[Papel]]),Tabela17683[Fechamento])</f>
        <v>0</v>
      </c>
      <c r="V973" s="7">
        <f>IF(MAX(Tabela8[[#This Row],[Cotação 1]]:Tabela8[[#This Row],[Cotação 5]])=0,"",MAX(Tabela8[[#This Row],[Cotação 1]]:Tabela8[[#This Row],[Cotação 5]]))</f>
        <v>0.64</v>
      </c>
      <c r="W9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3" s="19" t="str">
        <f>IF(AND([Ref]=5,[Cotação]&gt;0,[Cotação]&lt;&gt;""),[Total Exercício]/[Cotação],IF([Ref]&lt;4,0,""))</f>
        <v/>
      </c>
      <c r="Y973" s="14">
        <f>IF([Tipo]="div",1,0)</f>
        <v>0</v>
      </c>
      <c r="Z973" s="14">
        <f>IF([Tipo]="jcp",1,0)</f>
        <v>1</v>
      </c>
    </row>
    <row r="974" spans="1:26">
      <c r="A974" s="24" t="s">
        <v>40</v>
      </c>
      <c r="B974" s="135" t="s">
        <v>39</v>
      </c>
      <c r="C974" s="15">
        <v>5</v>
      </c>
      <c r="D974" s="4">
        <v>2006</v>
      </c>
      <c r="E974" s="14" t="s">
        <v>1468</v>
      </c>
      <c r="F974" s="133">
        <v>0.14308999999999999</v>
      </c>
      <c r="I974" s="133">
        <v>8.25E-4</v>
      </c>
      <c r="J974" s="134">
        <f>IF(Tabela8[[#This Row],[Tipo]]="jcp",Tabela8[[#This Row],[Provento p/Ação]]*85%,Tabela8[[#This Row],[Provento p/Ação]])</f>
        <v>8.25E-4</v>
      </c>
      <c r="K974" s="133">
        <f>IF([Lucro p/Ação]&lt;&gt;0,SUMPRODUCT(N([Papel]=Tabela8[[#This Row],[Papel]]),N([Exercício]=Tabela8[[#This Row],[Exercício]]),[Líquido p/Ação]),"")</f>
        <v>4.4769999999999997E-2</v>
      </c>
      <c r="L974" s="42">
        <f>IF(Tabela8[[#This Row],[Lucro p/Ação]]="","",IF(Tabela8[[#This Row],[Lucro p/Ação]]&gt;0,Tabela8[[#This Row],[Total Exercício]]/Tabela8[[#This Row],[Lucro p/Ação]],0))</f>
        <v>0.31288000559088686</v>
      </c>
      <c r="M97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0.30093571428571425</v>
      </c>
      <c r="N97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8.9272285714285707E-2</v>
      </c>
      <c r="O974" s="19">
        <f>IF(Tabela8[[#This Row],[Média Lucro p/Ação]]&lt;&gt;"",Tabela8[[#This Row],[Média Pago]]/Tabela8[[#This Row],[Média Lucro p/Ação]],"")</f>
        <v>0.29664902328451737</v>
      </c>
      <c r="P9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4" s="134">
        <f>SUMPRODUCT(N(Tabela1[Código]=Tabela8[[#This Row],[Papel]]),Tabela1[Fechamento])</f>
        <v>0.41</v>
      </c>
      <c r="R974" s="17">
        <f>SUMPRODUCT(N(Tabela17[Código]=Tabela8[[#This Row],[Papel]]),Tabela17[Fechamento])</f>
        <v>0</v>
      </c>
      <c r="S974" s="17">
        <f>SUMPRODUCT(N(Tabela176[Código]=Tabela8[[#This Row],[Papel]]),Tabela176[Fechamento])</f>
        <v>0</v>
      </c>
      <c r="T974" s="17">
        <f>SUMPRODUCT(N(Tabela1768[Código]=Tabela8[[#This Row],[Papel]]),Tabela1768[Fechamento])</f>
        <v>0</v>
      </c>
      <c r="U974" s="17">
        <f>SUMPRODUCT(N(Tabela17683[Código]=Tabela8[[#This Row],[Papel]]),Tabela17683[Fechamento])</f>
        <v>0</v>
      </c>
      <c r="V974" s="17">
        <f>IF(MAX(Tabela8[[#This Row],[Cotação 1]]:Tabela8[[#This Row],[Cotação 5]])=0,"",MAX(Tabela8[[#This Row],[Cotação 1]]:Tabela8[[#This Row],[Cotação 5]]))</f>
        <v>0.41</v>
      </c>
      <c r="W9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4" s="19">
        <f>IF(AND([Ref]=5,[Cotação]&gt;0,[Cotação]&lt;&gt;""),[Total Exercício]/[Cotação],IF([Ref]&lt;4,0,""))</f>
        <v>0.10919512195121951</v>
      </c>
      <c r="Y974" s="14">
        <f>IF([Tipo]="div",1,0)</f>
        <v>1</v>
      </c>
      <c r="Z974" s="14">
        <f>IF([Tipo]="jcp",1,0)</f>
        <v>0</v>
      </c>
    </row>
    <row r="975" spans="1:26" hidden="1">
      <c r="A975" s="24" t="s">
        <v>40</v>
      </c>
      <c r="B975" s="131" t="s">
        <v>413</v>
      </c>
      <c r="C975" s="15">
        <v>4</v>
      </c>
      <c r="D975" s="4">
        <v>2004</v>
      </c>
      <c r="E975" s="14" t="s">
        <v>1475</v>
      </c>
      <c r="G975" s="145">
        <v>38348</v>
      </c>
      <c r="I975" s="133">
        <v>0.09</v>
      </c>
      <c r="J975" s="134">
        <f>IF(Tabela8[[#This Row],[Tipo]]="jcp",Tabela8[[#This Row],[Provento p/Ação]]*85%,Tabela8[[#This Row],[Provento p/Ação]])</f>
        <v>7.6499999999999999E-2</v>
      </c>
      <c r="K975" s="133" t="str">
        <f>IF([Lucro p/Ação]&lt;&gt;0,SUMPRODUCT(N([Papel]=Tabela8[[#This Row],[Papel]]),N([Exercício]=Tabela8[[#This Row],[Exercício]]),[Líquido p/Ação]),"")</f>
        <v/>
      </c>
      <c r="L975" s="42" t="str">
        <f>IF(Tabela8[[#This Row],[Lucro p/Ação]]="","",IF(Tabela8[[#This Row],[Lucro p/Ação]]&gt;0,Tabela8[[#This Row],[Total Exercício]]/Tabela8[[#This Row],[Lucro p/Ação]],0))</f>
        <v/>
      </c>
      <c r="M97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5" s="19" t="str">
        <f>IF(Tabela8[[#This Row],[Média Lucro p/Ação]]&lt;&gt;"",Tabela8[[#This Row],[Média Pago]]/Tabela8[[#This Row],[Média Lucro p/Ação]],"")</f>
        <v/>
      </c>
      <c r="P9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5" s="134">
        <f>SUMPRODUCT(N(Tabela1[Código]=Tabela8[[#This Row],[Papel]]),Tabela1[Fechamento])</f>
        <v>0</v>
      </c>
      <c r="R975" s="7">
        <f>SUMPRODUCT(N(Tabela17[Código]=Tabela8[[#This Row],[Papel]]),Tabela17[Fechamento])</f>
        <v>0.57999999999999996</v>
      </c>
      <c r="S975" s="7">
        <f>SUMPRODUCT(N(Tabela176[Código]=Tabela8[[#This Row],[Papel]]),Tabela176[Fechamento])</f>
        <v>0</v>
      </c>
      <c r="T975" s="7">
        <f>SUMPRODUCT(N(Tabela1768[Código]=Tabela8[[#This Row],[Papel]]),Tabela1768[Fechamento])</f>
        <v>0</v>
      </c>
      <c r="U975" s="7">
        <f>SUMPRODUCT(N(Tabela17683[Código]=Tabela8[[#This Row],[Papel]]),Tabela17683[Fechamento])</f>
        <v>0</v>
      </c>
      <c r="V975" s="7">
        <f>IF(MAX(Tabela8[[#This Row],[Cotação 1]]:Tabela8[[#This Row],[Cotação 5]])=0,"",MAX(Tabela8[[#This Row],[Cotação 1]]:Tabela8[[#This Row],[Cotação 5]]))</f>
        <v>0.57999999999999996</v>
      </c>
      <c r="W9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5" s="19" t="str">
        <f>IF(AND([Ref]=5,[Cotação]&gt;0,[Cotação]&lt;&gt;""),[Total Exercício]/[Cotação],IF([Ref]&lt;4,0,""))</f>
        <v/>
      </c>
      <c r="Y975" s="14">
        <f>IF([Tipo]="div",1,0)</f>
        <v>0</v>
      </c>
      <c r="Z975" s="14">
        <f>IF([Tipo]="jcp",1,0)</f>
        <v>1</v>
      </c>
    </row>
    <row r="976" spans="1:26" hidden="1">
      <c r="A976" s="24" t="s">
        <v>40</v>
      </c>
      <c r="B976" s="131" t="s">
        <v>73</v>
      </c>
      <c r="C976" s="15">
        <v>4</v>
      </c>
      <c r="D976" s="4">
        <v>2004</v>
      </c>
      <c r="E976" s="14" t="s">
        <v>1475</v>
      </c>
      <c r="G976" s="145">
        <v>38348</v>
      </c>
      <c r="I976" s="133">
        <v>0.09</v>
      </c>
      <c r="J976" s="134">
        <f>IF(Tabela8[[#This Row],[Tipo]]="jcp",Tabela8[[#This Row],[Provento p/Ação]]*85%,Tabela8[[#This Row],[Provento p/Ação]])</f>
        <v>7.6499999999999999E-2</v>
      </c>
      <c r="K976" s="133" t="str">
        <f>IF([Lucro p/Ação]&lt;&gt;0,SUMPRODUCT(N([Papel]=Tabela8[[#This Row],[Papel]]),N([Exercício]=Tabela8[[#This Row],[Exercício]]),[Líquido p/Ação]),"")</f>
        <v/>
      </c>
      <c r="L976" s="42" t="str">
        <f>IF(Tabela8[[#This Row],[Lucro p/Ação]]="","",IF(Tabela8[[#This Row],[Lucro p/Ação]]&gt;0,Tabela8[[#This Row],[Total Exercício]]/Tabela8[[#This Row],[Lucro p/Ação]],0))</f>
        <v/>
      </c>
      <c r="M97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6" s="19" t="str">
        <f>IF(Tabela8[[#This Row],[Média Lucro p/Ação]]&lt;&gt;"",Tabela8[[#This Row],[Média Pago]]/Tabela8[[#This Row],[Média Lucro p/Ação]],"")</f>
        <v/>
      </c>
      <c r="P9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6" s="134">
        <f>SUMPRODUCT(N(Tabela1[Código]=Tabela8[[#This Row],[Papel]]),Tabela1[Fechamento])</f>
        <v>0.64</v>
      </c>
      <c r="R976" s="7">
        <f>SUMPRODUCT(N(Tabela17[Código]=Tabela8[[#This Row],[Papel]]),Tabela17[Fechamento])</f>
        <v>0</v>
      </c>
      <c r="S976" s="7">
        <f>SUMPRODUCT(N(Tabela176[Código]=Tabela8[[#This Row],[Papel]]),Tabela176[Fechamento])</f>
        <v>0</v>
      </c>
      <c r="T976" s="7">
        <f>SUMPRODUCT(N(Tabela1768[Código]=Tabela8[[#This Row],[Papel]]),Tabela1768[Fechamento])</f>
        <v>0</v>
      </c>
      <c r="U976" s="7">
        <f>SUMPRODUCT(N(Tabela17683[Código]=Tabela8[[#This Row],[Papel]]),Tabela17683[Fechamento])</f>
        <v>0</v>
      </c>
      <c r="V976" s="7">
        <f>IF(MAX(Tabela8[[#This Row],[Cotação 1]]:Tabela8[[#This Row],[Cotação 5]])=0,"",MAX(Tabela8[[#This Row],[Cotação 1]]:Tabela8[[#This Row],[Cotação 5]]))</f>
        <v>0.64</v>
      </c>
      <c r="W9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6" s="19" t="str">
        <f>IF(AND([Ref]=5,[Cotação]&gt;0,[Cotação]&lt;&gt;""),[Total Exercício]/[Cotação],IF([Ref]&lt;4,0,""))</f>
        <v/>
      </c>
      <c r="Y976" s="14">
        <f>IF([Tipo]="div",1,0)</f>
        <v>0</v>
      </c>
      <c r="Z976" s="14">
        <f>IF([Tipo]="jcp",1,0)</f>
        <v>1</v>
      </c>
    </row>
    <row r="977" spans="1:26">
      <c r="A977" s="24" t="s">
        <v>40</v>
      </c>
      <c r="B977" s="135" t="s">
        <v>39</v>
      </c>
      <c r="C977" s="15">
        <v>4</v>
      </c>
      <c r="D977" s="4">
        <v>2005</v>
      </c>
      <c r="E977" s="14" t="s">
        <v>1475</v>
      </c>
      <c r="G977" s="145">
        <v>38533</v>
      </c>
      <c r="H977" s="46">
        <v>38582</v>
      </c>
      <c r="I977" s="133">
        <v>2.1999999999999999E-2</v>
      </c>
      <c r="J977" s="134">
        <f>IF(Tabela8[[#This Row],[Tipo]]="jcp",Tabela8[[#This Row],[Provento p/Ação]]*85%,Tabela8[[#This Row],[Provento p/Ação]])</f>
        <v>1.8699999999999998E-2</v>
      </c>
      <c r="K977" s="133" t="str">
        <f>IF([Lucro p/Ação]&lt;&gt;0,SUMPRODUCT(N([Papel]=Tabela8[[#This Row],[Papel]]),N([Exercício]=Tabela8[[#This Row],[Exercício]]),[Líquido p/Ação]),"")</f>
        <v/>
      </c>
      <c r="L977" s="42" t="str">
        <f>IF(Tabela8[[#This Row],[Lucro p/Ação]]="","",IF(Tabela8[[#This Row],[Lucro p/Ação]]&gt;0,Tabela8[[#This Row],[Total Exercício]]/Tabela8[[#This Row],[Lucro p/Ação]],0))</f>
        <v/>
      </c>
      <c r="M97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7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77" s="19" t="str">
        <f>IF(Tabela8[[#This Row],[Média Lucro p/Ação]]&lt;&gt;"",Tabela8[[#This Row],[Média Pago]]/Tabela8[[#This Row],[Média Lucro p/Ação]],"")</f>
        <v/>
      </c>
      <c r="P9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7" s="134">
        <f>SUMPRODUCT(N(Tabela1[Código]=Tabela8[[#This Row],[Papel]]),Tabela1[Fechamento])</f>
        <v>0.41</v>
      </c>
      <c r="R977" s="7">
        <f>SUMPRODUCT(N(Tabela17[Código]=Tabela8[[#This Row],[Papel]]),Tabela17[Fechamento])</f>
        <v>0</v>
      </c>
      <c r="S977" s="7">
        <f>SUMPRODUCT(N(Tabela176[Código]=Tabela8[[#This Row],[Papel]]),Tabela176[Fechamento])</f>
        <v>0</v>
      </c>
      <c r="T977" s="7">
        <f>SUMPRODUCT(N(Tabela1768[Código]=Tabela8[[#This Row],[Papel]]),Tabela1768[Fechamento])</f>
        <v>0</v>
      </c>
      <c r="U977" s="7">
        <f>SUMPRODUCT(N(Tabela17683[Código]=Tabela8[[#This Row],[Papel]]),Tabela17683[Fechamento])</f>
        <v>0</v>
      </c>
      <c r="V977" s="7">
        <f>IF(MAX(Tabela8[[#This Row],[Cotação 1]]:Tabela8[[#This Row],[Cotação 5]])=0,"",MAX(Tabela8[[#This Row],[Cotação 1]]:Tabela8[[#This Row],[Cotação 5]]))</f>
        <v>0.41</v>
      </c>
      <c r="W9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7" s="19" t="str">
        <f>IF(AND([Ref]=5,[Cotação]&gt;0,[Cotação]&lt;&gt;""),[Total Exercício]/[Cotação],IF([Ref]&lt;4,0,""))</f>
        <v/>
      </c>
      <c r="Y977" s="14">
        <f>IF([Tipo]="div",1,0)</f>
        <v>0</v>
      </c>
      <c r="Z977" s="14">
        <f>IF([Tipo]="jcp",1,0)</f>
        <v>1</v>
      </c>
    </row>
    <row r="978" spans="1:26" hidden="1">
      <c r="A978" s="24" t="s">
        <v>40</v>
      </c>
      <c r="B978" s="131" t="s">
        <v>413</v>
      </c>
      <c r="C978" s="15">
        <v>5</v>
      </c>
      <c r="D978" s="4">
        <v>2004</v>
      </c>
      <c r="E978" s="14" t="s">
        <v>1468</v>
      </c>
      <c r="F978" s="133">
        <v>0.42553000000000002</v>
      </c>
      <c r="I978" s="133">
        <v>1.2149999999999999E-2</v>
      </c>
      <c r="J978" s="134">
        <f>IF(Tabela8[[#This Row],[Tipo]]="jcp",Tabela8[[#This Row],[Provento p/Ação]]*85%,Tabela8[[#This Row],[Provento p/Ação]])</f>
        <v>1.2149999999999999E-2</v>
      </c>
      <c r="K978" s="133">
        <f>IF([Lucro p/Ação]&lt;&gt;0,SUMPRODUCT(N([Papel]=Tabela8[[#This Row],[Papel]]),N([Exercício]=Tabela8[[#This Row],[Exercício]]),[Líquido p/Ação]),"")</f>
        <v>0.12659999999999999</v>
      </c>
      <c r="L978" s="42">
        <f>IF(Tabela8[[#This Row],[Lucro p/Ação]]="","",IF(Tabela8[[#This Row],[Lucro p/Ação]]&gt;0,Tabela8[[#This Row],[Total Exercício]]/Tabela8[[#This Row],[Lucro p/Ação]],0))</f>
        <v>0.29751133880102459</v>
      </c>
      <c r="M97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0.32813000000000003</v>
      </c>
      <c r="N97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0.11358000000000001</v>
      </c>
      <c r="O978" s="19">
        <f>IF(Tabela8[[#This Row],[Média Lucro p/Ação]]&lt;&gt;"",Tabela8[[#This Row],[Média Pago]]/Tabela8[[#This Row],[Média Lucro p/Ação]],"")</f>
        <v>0.34614329686404782</v>
      </c>
      <c r="P9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8" s="134">
        <f>SUMPRODUCT(N(Tabela1[Código]=Tabela8[[#This Row],[Papel]]),Tabela1[Fechamento])</f>
        <v>0</v>
      </c>
      <c r="R978" s="7">
        <f>SUMPRODUCT(N(Tabela17[Código]=Tabela8[[#This Row],[Papel]]),Tabela17[Fechamento])</f>
        <v>0.57999999999999996</v>
      </c>
      <c r="S978" s="7">
        <f>SUMPRODUCT(N(Tabela176[Código]=Tabela8[[#This Row],[Papel]]),Tabela176[Fechamento])</f>
        <v>0</v>
      </c>
      <c r="T978" s="7">
        <f>SUMPRODUCT(N(Tabela1768[Código]=Tabela8[[#This Row],[Papel]]),Tabela1768[Fechamento])</f>
        <v>0</v>
      </c>
      <c r="U978" s="7">
        <f>SUMPRODUCT(N(Tabela17683[Código]=Tabela8[[#This Row],[Papel]]),Tabela17683[Fechamento])</f>
        <v>0</v>
      </c>
      <c r="V978" s="7">
        <f>IF(MAX(Tabela8[[#This Row],[Cotação 1]]:Tabela8[[#This Row],[Cotação 5]])=0,"",MAX(Tabela8[[#This Row],[Cotação 1]]:Tabela8[[#This Row],[Cotação 5]]))</f>
        <v>0.57999999999999996</v>
      </c>
      <c r="W9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8" s="19">
        <f>IF(AND([Ref]=5,[Cotação]&gt;0,[Cotação]&lt;&gt;""),[Total Exercício]/[Cotação],IF([Ref]&lt;4,0,""))</f>
        <v>0.21827586206896551</v>
      </c>
      <c r="Y978" s="14">
        <f>IF([Tipo]="div",1,0)</f>
        <v>1</v>
      </c>
      <c r="Z978" s="14">
        <f>IF([Tipo]="jcp",1,0)</f>
        <v>0</v>
      </c>
    </row>
    <row r="979" spans="1:26" hidden="1">
      <c r="A979" s="24" t="s">
        <v>40</v>
      </c>
      <c r="B979" s="131" t="s">
        <v>73</v>
      </c>
      <c r="C979" s="15">
        <v>5</v>
      </c>
      <c r="D979" s="4">
        <v>2004</v>
      </c>
      <c r="E979" s="14" t="s">
        <v>1468</v>
      </c>
      <c r="F979" s="133">
        <v>0.42553000000000002</v>
      </c>
      <c r="I979" s="133">
        <v>2.3140000000000001E-2</v>
      </c>
      <c r="J979" s="134">
        <f>IF(Tabela8[[#This Row],[Tipo]]="jcp",Tabela8[[#This Row],[Provento p/Ação]]*85%,Tabela8[[#This Row],[Provento p/Ação]])</f>
        <v>2.3140000000000001E-2</v>
      </c>
      <c r="K979" s="133">
        <f>IF([Lucro p/Ação]&lt;&gt;0,SUMPRODUCT(N([Papel]=Tabela8[[#This Row],[Papel]]),N([Exercício]=Tabela8[[#This Row],[Exercício]]),[Líquido p/Ação]),"")</f>
        <v>0.16688999999999998</v>
      </c>
      <c r="L979" s="42">
        <f>IF(Tabela8[[#This Row],[Lucro p/Ação]]="","",IF(Tabela8[[#This Row],[Lucro p/Ação]]&gt;0,Tabela8[[#This Row],[Total Exercício]]/Tabela8[[#This Row],[Lucro p/Ação]],0))</f>
        <v>0.39219326486969186</v>
      </c>
      <c r="M9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0.32813000000000003</v>
      </c>
      <c r="N97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0.10986799999999999</v>
      </c>
      <c r="O979" s="19">
        <f>IF(Tabela8[[#This Row],[Média Lucro p/Ação]]&lt;&gt;"",Tabela8[[#This Row],[Média Pago]]/Tabela8[[#This Row],[Média Lucro p/Ação]],"")</f>
        <v>0.33483070734160236</v>
      </c>
      <c r="P9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79" s="134">
        <f>SUMPRODUCT(N(Tabela1[Código]=Tabela8[[#This Row],[Papel]]),Tabela1[Fechamento])</f>
        <v>0.64</v>
      </c>
      <c r="R979" s="7">
        <f>SUMPRODUCT(N(Tabela17[Código]=Tabela8[[#This Row],[Papel]]),Tabela17[Fechamento])</f>
        <v>0</v>
      </c>
      <c r="S979" s="7">
        <f>SUMPRODUCT(N(Tabela176[Código]=Tabela8[[#This Row],[Papel]]),Tabela176[Fechamento])</f>
        <v>0</v>
      </c>
      <c r="T979" s="7">
        <f>SUMPRODUCT(N(Tabela1768[Código]=Tabela8[[#This Row],[Papel]]),Tabela1768[Fechamento])</f>
        <v>0</v>
      </c>
      <c r="U979" s="7">
        <f>SUMPRODUCT(N(Tabela17683[Código]=Tabela8[[#This Row],[Papel]]),Tabela17683[Fechamento])</f>
        <v>0</v>
      </c>
      <c r="V979" s="7">
        <f>IF(MAX(Tabela8[[#This Row],[Cotação 1]]:Tabela8[[#This Row],[Cotação 5]])=0,"",MAX(Tabela8[[#This Row],[Cotação 1]]:Tabela8[[#This Row],[Cotação 5]]))</f>
        <v>0.64</v>
      </c>
      <c r="W9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79" s="19">
        <f>IF(AND([Ref]=5,[Cotação]&gt;0,[Cotação]&lt;&gt;""),[Total Exercício]/[Cotação],IF([Ref]&lt;4,0,""))</f>
        <v>0.26076562499999995</v>
      </c>
      <c r="Y979" s="14">
        <f>IF([Tipo]="div",1,0)</f>
        <v>1</v>
      </c>
      <c r="Z979" s="14">
        <f>IF([Tipo]="jcp",1,0)</f>
        <v>0</v>
      </c>
    </row>
    <row r="980" spans="1:26">
      <c r="A980" s="24" t="s">
        <v>40</v>
      </c>
      <c r="B980" s="135" t="s">
        <v>39</v>
      </c>
      <c r="C980" s="15">
        <v>4</v>
      </c>
      <c r="D980" s="4">
        <v>2005</v>
      </c>
      <c r="E980" s="14" t="s">
        <v>1475</v>
      </c>
      <c r="G980" s="145">
        <v>38533</v>
      </c>
      <c r="H980" s="46">
        <v>38673</v>
      </c>
      <c r="I980" s="133">
        <v>2.1999999999999999E-2</v>
      </c>
      <c r="J980" s="134">
        <f>IF(Tabela8[[#This Row],[Tipo]]="jcp",Tabela8[[#This Row],[Provento p/Ação]]*85%,Tabela8[[#This Row],[Provento p/Ação]])</f>
        <v>1.8699999999999998E-2</v>
      </c>
      <c r="K980" s="133" t="str">
        <f>IF([Lucro p/Ação]&lt;&gt;0,SUMPRODUCT(N([Papel]=Tabela8[[#This Row],[Papel]]),N([Exercício]=Tabela8[[#This Row],[Exercício]]),[Líquido p/Ação]),"")</f>
        <v/>
      </c>
      <c r="L980" s="42" t="str">
        <f>IF(Tabela8[[#This Row],[Lucro p/Ação]]="","",IF(Tabela8[[#This Row],[Lucro p/Ação]]&gt;0,Tabela8[[#This Row],[Total Exercício]]/Tabela8[[#This Row],[Lucro p/Ação]],0))</f>
        <v/>
      </c>
      <c r="M98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0" s="19" t="str">
        <f>IF(Tabela8[[#This Row],[Média Lucro p/Ação]]&lt;&gt;"",Tabela8[[#This Row],[Média Pago]]/Tabela8[[#This Row],[Média Lucro p/Ação]],"")</f>
        <v/>
      </c>
      <c r="P9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0" s="134">
        <f>SUMPRODUCT(N(Tabela1[Código]=Tabela8[[#This Row],[Papel]]),Tabela1[Fechamento])</f>
        <v>0.41</v>
      </c>
      <c r="R980" s="7">
        <f>SUMPRODUCT(N(Tabela17[Código]=Tabela8[[#This Row],[Papel]]),Tabela17[Fechamento])</f>
        <v>0</v>
      </c>
      <c r="S980" s="7">
        <f>SUMPRODUCT(N(Tabela176[Código]=Tabela8[[#This Row],[Papel]]),Tabela176[Fechamento])</f>
        <v>0</v>
      </c>
      <c r="T980" s="7">
        <f>SUMPRODUCT(N(Tabela1768[Código]=Tabela8[[#This Row],[Papel]]),Tabela1768[Fechamento])</f>
        <v>0</v>
      </c>
      <c r="U980" s="7">
        <f>SUMPRODUCT(N(Tabela17683[Código]=Tabela8[[#This Row],[Papel]]),Tabela17683[Fechamento])</f>
        <v>0</v>
      </c>
      <c r="V980" s="7">
        <f>IF(MAX(Tabela8[[#This Row],[Cotação 1]]:Tabela8[[#This Row],[Cotação 5]])=0,"",MAX(Tabela8[[#This Row],[Cotação 1]]:Tabela8[[#This Row],[Cotação 5]]))</f>
        <v>0.41</v>
      </c>
      <c r="W9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0" s="19" t="str">
        <f>IF(AND([Ref]=5,[Cotação]&gt;0,[Cotação]&lt;&gt;""),[Total Exercício]/[Cotação],IF([Ref]&lt;4,0,""))</f>
        <v/>
      </c>
      <c r="Y980" s="14">
        <f>IF([Tipo]="div",1,0)</f>
        <v>0</v>
      </c>
      <c r="Z980" s="14">
        <f>IF([Tipo]="jcp",1,0)</f>
        <v>1</v>
      </c>
    </row>
    <row r="981" spans="1:26" hidden="1">
      <c r="A981" s="24" t="s">
        <v>40</v>
      </c>
      <c r="B981" s="131" t="s">
        <v>413</v>
      </c>
      <c r="C981" s="15">
        <v>4</v>
      </c>
      <c r="D981" s="4">
        <v>2005</v>
      </c>
      <c r="E981" s="14" t="s">
        <v>1475</v>
      </c>
      <c r="G981" s="145">
        <v>38533</v>
      </c>
      <c r="H981" s="46">
        <v>38582</v>
      </c>
      <c r="I981" s="133">
        <v>0.02</v>
      </c>
      <c r="J981" s="134">
        <f>IF(Tabela8[[#This Row],[Tipo]]="jcp",Tabela8[[#This Row],[Provento p/Ação]]*85%,Tabela8[[#This Row],[Provento p/Ação]])</f>
        <v>1.7000000000000001E-2</v>
      </c>
      <c r="K981" s="133" t="str">
        <f>IF([Lucro p/Ação]&lt;&gt;0,SUMPRODUCT(N([Papel]=Tabela8[[#This Row],[Papel]]),N([Exercício]=Tabela8[[#This Row],[Exercício]]),[Líquido p/Ação]),"")</f>
        <v/>
      </c>
      <c r="L981" s="42" t="str">
        <f>IF(Tabela8[[#This Row],[Lucro p/Ação]]="","",IF(Tabela8[[#This Row],[Lucro p/Ação]]&gt;0,Tabela8[[#This Row],[Total Exercício]]/Tabela8[[#This Row],[Lucro p/Ação]],0))</f>
        <v/>
      </c>
      <c r="M98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1" s="19" t="str">
        <f>IF(Tabela8[[#This Row],[Média Lucro p/Ação]]&lt;&gt;"",Tabela8[[#This Row],[Média Pago]]/Tabela8[[#This Row],[Média Lucro p/Ação]],"")</f>
        <v/>
      </c>
      <c r="P9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1" s="134">
        <f>SUMPRODUCT(N(Tabela1[Código]=Tabela8[[#This Row],[Papel]]),Tabela1[Fechamento])</f>
        <v>0</v>
      </c>
      <c r="R981" s="7">
        <f>SUMPRODUCT(N(Tabela17[Código]=Tabela8[[#This Row],[Papel]]),Tabela17[Fechamento])</f>
        <v>0.57999999999999996</v>
      </c>
      <c r="S981" s="7">
        <f>SUMPRODUCT(N(Tabela176[Código]=Tabela8[[#This Row],[Papel]]),Tabela176[Fechamento])</f>
        <v>0</v>
      </c>
      <c r="T981" s="7">
        <f>SUMPRODUCT(N(Tabela1768[Código]=Tabela8[[#This Row],[Papel]]),Tabela1768[Fechamento])</f>
        <v>0</v>
      </c>
      <c r="U981" s="7">
        <f>SUMPRODUCT(N(Tabela17683[Código]=Tabela8[[#This Row],[Papel]]),Tabela17683[Fechamento])</f>
        <v>0</v>
      </c>
      <c r="V981" s="7">
        <f>IF(MAX(Tabela8[[#This Row],[Cotação 1]]:Tabela8[[#This Row],[Cotação 5]])=0,"",MAX(Tabela8[[#This Row],[Cotação 1]]:Tabela8[[#This Row],[Cotação 5]]))</f>
        <v>0.57999999999999996</v>
      </c>
      <c r="W9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1" s="19" t="str">
        <f>IF(AND([Ref]=5,[Cotação]&gt;0,[Cotação]&lt;&gt;""),[Total Exercício]/[Cotação],IF([Ref]&lt;4,0,""))</f>
        <v/>
      </c>
      <c r="Y981" s="14">
        <f>IF([Tipo]="div",1,0)</f>
        <v>0</v>
      </c>
      <c r="Z981" s="14">
        <f>IF([Tipo]="jcp",1,0)</f>
        <v>1</v>
      </c>
    </row>
    <row r="982" spans="1:26" hidden="1">
      <c r="A982" s="24" t="s">
        <v>40</v>
      </c>
      <c r="B982" s="131" t="s">
        <v>73</v>
      </c>
      <c r="C982" s="15">
        <v>4</v>
      </c>
      <c r="D982" s="4">
        <v>2005</v>
      </c>
      <c r="E982" s="14" t="s">
        <v>1475</v>
      </c>
      <c r="G982" s="145">
        <v>38533</v>
      </c>
      <c r="H982" s="46">
        <v>38582</v>
      </c>
      <c r="I982" s="133">
        <v>2.1999999999999999E-2</v>
      </c>
      <c r="J982" s="134">
        <f>IF(Tabela8[[#This Row],[Tipo]]="jcp",Tabela8[[#This Row],[Provento p/Ação]]*85%,Tabela8[[#This Row],[Provento p/Ação]])</f>
        <v>1.8699999999999998E-2</v>
      </c>
      <c r="K982" s="133" t="str">
        <f>IF([Lucro p/Ação]&lt;&gt;0,SUMPRODUCT(N([Papel]=Tabela8[[#This Row],[Papel]]),N([Exercício]=Tabela8[[#This Row],[Exercício]]),[Líquido p/Ação]),"")</f>
        <v/>
      </c>
      <c r="L982" s="42" t="str">
        <f>IF(Tabela8[[#This Row],[Lucro p/Ação]]="","",IF(Tabela8[[#This Row],[Lucro p/Ação]]&gt;0,Tabela8[[#This Row],[Total Exercício]]/Tabela8[[#This Row],[Lucro p/Ação]],0))</f>
        <v/>
      </c>
      <c r="M98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2" s="19" t="str">
        <f>IF(Tabela8[[#This Row],[Média Lucro p/Ação]]&lt;&gt;"",Tabela8[[#This Row],[Média Pago]]/Tabela8[[#This Row],[Média Lucro p/Ação]],"")</f>
        <v/>
      </c>
      <c r="P9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2" s="134">
        <f>SUMPRODUCT(N(Tabela1[Código]=Tabela8[[#This Row],[Papel]]),Tabela1[Fechamento])</f>
        <v>0.64</v>
      </c>
      <c r="R982" s="7">
        <f>SUMPRODUCT(N(Tabela17[Código]=Tabela8[[#This Row],[Papel]]),Tabela17[Fechamento])</f>
        <v>0</v>
      </c>
      <c r="S982" s="7">
        <f>SUMPRODUCT(N(Tabela176[Código]=Tabela8[[#This Row],[Papel]]),Tabela176[Fechamento])</f>
        <v>0</v>
      </c>
      <c r="T982" s="7">
        <f>SUMPRODUCT(N(Tabela1768[Código]=Tabela8[[#This Row],[Papel]]),Tabela1768[Fechamento])</f>
        <v>0</v>
      </c>
      <c r="U982" s="7">
        <f>SUMPRODUCT(N(Tabela17683[Código]=Tabela8[[#This Row],[Papel]]),Tabela17683[Fechamento])</f>
        <v>0</v>
      </c>
      <c r="V982" s="7">
        <f>IF(MAX(Tabela8[[#This Row],[Cotação 1]]:Tabela8[[#This Row],[Cotação 5]])=0,"",MAX(Tabela8[[#This Row],[Cotação 1]]:Tabela8[[#This Row],[Cotação 5]]))</f>
        <v>0.64</v>
      </c>
      <c r="W9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2" s="19" t="str">
        <f>IF(AND([Ref]=5,[Cotação]&gt;0,[Cotação]&lt;&gt;""),[Total Exercício]/[Cotação],IF([Ref]&lt;4,0,""))</f>
        <v/>
      </c>
      <c r="Y982" s="14">
        <f>IF([Tipo]="div",1,0)</f>
        <v>0</v>
      </c>
      <c r="Z982" s="14">
        <f>IF([Tipo]="jcp",1,0)</f>
        <v>1</v>
      </c>
    </row>
    <row r="983" spans="1:26">
      <c r="A983" s="24" t="s">
        <v>40</v>
      </c>
      <c r="B983" s="135" t="s">
        <v>39</v>
      </c>
      <c r="C983" s="15">
        <v>4</v>
      </c>
      <c r="D983" s="4">
        <v>2005</v>
      </c>
      <c r="E983" s="14" t="s">
        <v>1475</v>
      </c>
      <c r="G983" s="145">
        <v>38624</v>
      </c>
      <c r="H983" s="46">
        <v>38769</v>
      </c>
      <c r="I983" s="133">
        <v>2.75E-2</v>
      </c>
      <c r="J983" s="134">
        <f>IF(Tabela8[[#This Row],[Tipo]]="jcp",Tabela8[[#This Row],[Provento p/Ação]]*85%,Tabela8[[#This Row],[Provento p/Ação]])</f>
        <v>2.3375E-2</v>
      </c>
      <c r="K983" s="133" t="str">
        <f>IF([Lucro p/Ação]&lt;&gt;0,SUMPRODUCT(N([Papel]=Tabela8[[#This Row],[Papel]]),N([Exercício]=Tabela8[[#This Row],[Exercício]]),[Líquido p/Ação]),"")</f>
        <v/>
      </c>
      <c r="L983" s="42" t="str">
        <f>IF(Tabela8[[#This Row],[Lucro p/Ação]]="","",IF(Tabela8[[#This Row],[Lucro p/Ação]]&gt;0,Tabela8[[#This Row],[Total Exercício]]/Tabela8[[#This Row],[Lucro p/Ação]],0))</f>
        <v/>
      </c>
      <c r="M98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3" s="19" t="str">
        <f>IF(Tabela8[[#This Row],[Média Lucro p/Ação]]&lt;&gt;"",Tabela8[[#This Row],[Média Pago]]/Tabela8[[#This Row],[Média Lucro p/Ação]],"")</f>
        <v/>
      </c>
      <c r="P9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3" s="134">
        <f>SUMPRODUCT(N(Tabela1[Código]=Tabela8[[#This Row],[Papel]]),Tabela1[Fechamento])</f>
        <v>0.41</v>
      </c>
      <c r="R983" s="7">
        <f>SUMPRODUCT(N(Tabela17[Código]=Tabela8[[#This Row],[Papel]]),Tabela17[Fechamento])</f>
        <v>0</v>
      </c>
      <c r="S983" s="7">
        <f>SUMPRODUCT(N(Tabela176[Código]=Tabela8[[#This Row],[Papel]]),Tabela176[Fechamento])</f>
        <v>0</v>
      </c>
      <c r="T983" s="7">
        <f>SUMPRODUCT(N(Tabela1768[Código]=Tabela8[[#This Row],[Papel]]),Tabela1768[Fechamento])</f>
        <v>0</v>
      </c>
      <c r="U983" s="7">
        <f>SUMPRODUCT(N(Tabela17683[Código]=Tabela8[[#This Row],[Papel]]),Tabela17683[Fechamento])</f>
        <v>0</v>
      </c>
      <c r="V983" s="7">
        <f>IF(MAX(Tabela8[[#This Row],[Cotação 1]]:Tabela8[[#This Row],[Cotação 5]])=0,"",MAX(Tabela8[[#This Row],[Cotação 1]]:Tabela8[[#This Row],[Cotação 5]]))</f>
        <v>0.41</v>
      </c>
      <c r="W9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3" s="19" t="str">
        <f>IF(AND([Ref]=5,[Cotação]&gt;0,[Cotação]&lt;&gt;""),[Total Exercício]/[Cotação],IF([Ref]&lt;4,0,""))</f>
        <v/>
      </c>
      <c r="Y983" s="14">
        <f>IF([Tipo]="div",1,0)</f>
        <v>0</v>
      </c>
      <c r="Z983" s="14">
        <f>IF([Tipo]="jcp",1,0)</f>
        <v>1</v>
      </c>
    </row>
    <row r="984" spans="1:26" hidden="1">
      <c r="A984" s="24" t="s">
        <v>40</v>
      </c>
      <c r="B984" s="131" t="s">
        <v>413</v>
      </c>
      <c r="C984" s="15">
        <v>4</v>
      </c>
      <c r="D984" s="4">
        <v>2005</v>
      </c>
      <c r="E984" s="14" t="s">
        <v>1475</v>
      </c>
      <c r="G984" s="145">
        <v>38533</v>
      </c>
      <c r="H984" s="46">
        <v>38673</v>
      </c>
      <c r="I984" s="133">
        <v>0.02</v>
      </c>
      <c r="J984" s="134">
        <f>IF(Tabela8[[#This Row],[Tipo]]="jcp",Tabela8[[#This Row],[Provento p/Ação]]*85%,Tabela8[[#This Row],[Provento p/Ação]])</f>
        <v>1.7000000000000001E-2</v>
      </c>
      <c r="K984" s="133" t="str">
        <f>IF([Lucro p/Ação]&lt;&gt;0,SUMPRODUCT(N([Papel]=Tabela8[[#This Row],[Papel]]),N([Exercício]=Tabela8[[#This Row],[Exercício]]),[Líquido p/Ação]),"")</f>
        <v/>
      </c>
      <c r="L984" s="42" t="str">
        <f>IF(Tabela8[[#This Row],[Lucro p/Ação]]="","",IF(Tabela8[[#This Row],[Lucro p/Ação]]&gt;0,Tabela8[[#This Row],[Total Exercício]]/Tabela8[[#This Row],[Lucro p/Ação]],0))</f>
        <v/>
      </c>
      <c r="M98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4" s="19" t="str">
        <f>IF(Tabela8[[#This Row],[Média Lucro p/Ação]]&lt;&gt;"",Tabela8[[#This Row],[Média Pago]]/Tabela8[[#This Row],[Média Lucro p/Ação]],"")</f>
        <v/>
      </c>
      <c r="P9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4" s="134">
        <f>SUMPRODUCT(N(Tabela1[Código]=Tabela8[[#This Row],[Papel]]),Tabela1[Fechamento])</f>
        <v>0</v>
      </c>
      <c r="R984" s="7">
        <f>SUMPRODUCT(N(Tabela17[Código]=Tabela8[[#This Row],[Papel]]),Tabela17[Fechamento])</f>
        <v>0.57999999999999996</v>
      </c>
      <c r="S984" s="7">
        <f>SUMPRODUCT(N(Tabela176[Código]=Tabela8[[#This Row],[Papel]]),Tabela176[Fechamento])</f>
        <v>0</v>
      </c>
      <c r="T984" s="7">
        <f>SUMPRODUCT(N(Tabela1768[Código]=Tabela8[[#This Row],[Papel]]),Tabela1768[Fechamento])</f>
        <v>0</v>
      </c>
      <c r="U984" s="7">
        <f>SUMPRODUCT(N(Tabela17683[Código]=Tabela8[[#This Row],[Papel]]),Tabela17683[Fechamento])</f>
        <v>0</v>
      </c>
      <c r="V984" s="7">
        <f>IF(MAX(Tabela8[[#This Row],[Cotação 1]]:Tabela8[[#This Row],[Cotação 5]])=0,"",MAX(Tabela8[[#This Row],[Cotação 1]]:Tabela8[[#This Row],[Cotação 5]]))</f>
        <v>0.57999999999999996</v>
      </c>
      <c r="W9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4" s="19" t="str">
        <f>IF(AND([Ref]=5,[Cotação]&gt;0,[Cotação]&lt;&gt;""),[Total Exercício]/[Cotação],IF([Ref]&lt;4,0,""))</f>
        <v/>
      </c>
      <c r="Y984" s="14">
        <f>IF([Tipo]="div",1,0)</f>
        <v>0</v>
      </c>
      <c r="Z984" s="14">
        <f>IF([Tipo]="jcp",1,0)</f>
        <v>1</v>
      </c>
    </row>
    <row r="985" spans="1:26" hidden="1">
      <c r="A985" s="24" t="s">
        <v>40</v>
      </c>
      <c r="B985" s="131" t="s">
        <v>73</v>
      </c>
      <c r="C985" s="15">
        <v>4</v>
      </c>
      <c r="D985" s="4">
        <v>2005</v>
      </c>
      <c r="E985" s="14" t="s">
        <v>1475</v>
      </c>
      <c r="G985" s="145">
        <v>38533</v>
      </c>
      <c r="H985" s="46">
        <v>38673</v>
      </c>
      <c r="I985" s="133">
        <v>2.1999999999999999E-2</v>
      </c>
      <c r="J985" s="134">
        <f>IF(Tabela8[[#This Row],[Tipo]]="jcp",Tabela8[[#This Row],[Provento p/Ação]]*85%,Tabela8[[#This Row],[Provento p/Ação]])</f>
        <v>1.8699999999999998E-2</v>
      </c>
      <c r="K985" s="133" t="str">
        <f>IF([Lucro p/Ação]&lt;&gt;0,SUMPRODUCT(N([Papel]=Tabela8[[#This Row],[Papel]]),N([Exercício]=Tabela8[[#This Row],[Exercício]]),[Líquido p/Ação]),"")</f>
        <v/>
      </c>
      <c r="L985" s="42" t="str">
        <f>IF(Tabela8[[#This Row],[Lucro p/Ação]]="","",IF(Tabela8[[#This Row],[Lucro p/Ação]]&gt;0,Tabela8[[#This Row],[Total Exercício]]/Tabela8[[#This Row],[Lucro p/Ação]],0))</f>
        <v/>
      </c>
      <c r="M98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5" s="19" t="str">
        <f>IF(Tabela8[[#This Row],[Média Lucro p/Ação]]&lt;&gt;"",Tabela8[[#This Row],[Média Pago]]/Tabela8[[#This Row],[Média Lucro p/Ação]],"")</f>
        <v/>
      </c>
      <c r="P9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5" s="134">
        <f>SUMPRODUCT(N(Tabela1[Código]=Tabela8[[#This Row],[Papel]]),Tabela1[Fechamento])</f>
        <v>0.64</v>
      </c>
      <c r="R985" s="7">
        <f>SUMPRODUCT(N(Tabela17[Código]=Tabela8[[#This Row],[Papel]]),Tabela17[Fechamento])</f>
        <v>0</v>
      </c>
      <c r="S985" s="7">
        <f>SUMPRODUCT(N(Tabela176[Código]=Tabela8[[#This Row],[Papel]]),Tabela176[Fechamento])</f>
        <v>0</v>
      </c>
      <c r="T985" s="7">
        <f>SUMPRODUCT(N(Tabela1768[Código]=Tabela8[[#This Row],[Papel]]),Tabela1768[Fechamento])</f>
        <v>0</v>
      </c>
      <c r="U985" s="7">
        <f>SUMPRODUCT(N(Tabela17683[Código]=Tabela8[[#This Row],[Papel]]),Tabela17683[Fechamento])</f>
        <v>0</v>
      </c>
      <c r="V985" s="7">
        <f>IF(MAX(Tabela8[[#This Row],[Cotação 1]]:Tabela8[[#This Row],[Cotação 5]])=0,"",MAX(Tabela8[[#This Row],[Cotação 1]]:Tabela8[[#This Row],[Cotação 5]]))</f>
        <v>0.64</v>
      </c>
      <c r="W9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5" s="19" t="str">
        <f>IF(AND([Ref]=5,[Cotação]&gt;0,[Cotação]&lt;&gt;""),[Total Exercício]/[Cotação],IF([Ref]&lt;4,0,""))</f>
        <v/>
      </c>
      <c r="Y985" s="14">
        <f>IF([Tipo]="div",1,0)</f>
        <v>0</v>
      </c>
      <c r="Z985" s="14">
        <f>IF([Tipo]="jcp",1,0)</f>
        <v>1</v>
      </c>
    </row>
    <row r="986" spans="1:26">
      <c r="A986" s="24" t="s">
        <v>40</v>
      </c>
      <c r="B986" s="135" t="s">
        <v>39</v>
      </c>
      <c r="C986" s="15">
        <v>4</v>
      </c>
      <c r="D986" s="4">
        <v>2005</v>
      </c>
      <c r="E986" s="14" t="s">
        <v>1475</v>
      </c>
      <c r="G986" s="145">
        <v>38713</v>
      </c>
      <c r="I986" s="133">
        <v>2.1999999999999999E-2</v>
      </c>
      <c r="J986" s="134">
        <f>IF(Tabela8[[#This Row],[Tipo]]="jcp",Tabela8[[#This Row],[Provento p/Ação]]*85%,Tabela8[[#This Row],[Provento p/Ação]])</f>
        <v>1.8699999999999998E-2</v>
      </c>
      <c r="K986" s="133" t="str">
        <f>IF([Lucro p/Ação]&lt;&gt;0,SUMPRODUCT(N([Papel]=Tabela8[[#This Row],[Papel]]),N([Exercício]=Tabela8[[#This Row],[Exercício]]),[Líquido p/Ação]),"")</f>
        <v/>
      </c>
      <c r="L986" s="42" t="str">
        <f>IF(Tabela8[[#This Row],[Lucro p/Ação]]="","",IF(Tabela8[[#This Row],[Lucro p/Ação]]&gt;0,Tabela8[[#This Row],[Total Exercício]]/Tabela8[[#This Row],[Lucro p/Ação]],0))</f>
        <v/>
      </c>
      <c r="M98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6" s="19" t="str">
        <f>IF(Tabela8[[#This Row],[Média Lucro p/Ação]]&lt;&gt;"",Tabela8[[#This Row],[Média Pago]]/Tabela8[[#This Row],[Média Lucro p/Ação]],"")</f>
        <v/>
      </c>
      <c r="P9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6" s="134">
        <f>SUMPRODUCT(N(Tabela1[Código]=Tabela8[[#This Row],[Papel]]),Tabela1[Fechamento])</f>
        <v>0.41</v>
      </c>
      <c r="R986" s="7">
        <f>SUMPRODUCT(N(Tabela17[Código]=Tabela8[[#This Row],[Papel]]),Tabela17[Fechamento])</f>
        <v>0</v>
      </c>
      <c r="S986" s="7">
        <f>SUMPRODUCT(N(Tabela176[Código]=Tabela8[[#This Row],[Papel]]),Tabela176[Fechamento])</f>
        <v>0</v>
      </c>
      <c r="T986" s="7">
        <f>SUMPRODUCT(N(Tabela1768[Código]=Tabela8[[#This Row],[Papel]]),Tabela1768[Fechamento])</f>
        <v>0</v>
      </c>
      <c r="U986" s="7">
        <f>SUMPRODUCT(N(Tabela17683[Código]=Tabela8[[#This Row],[Papel]]),Tabela17683[Fechamento])</f>
        <v>0</v>
      </c>
      <c r="V986" s="7">
        <f>IF(MAX(Tabela8[[#This Row],[Cotação 1]]:Tabela8[[#This Row],[Cotação 5]])=0,"",MAX(Tabela8[[#This Row],[Cotação 1]]:Tabela8[[#This Row],[Cotação 5]]))</f>
        <v>0.41</v>
      </c>
      <c r="W9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6" s="19" t="str">
        <f>IF(AND([Ref]=5,[Cotação]&gt;0,[Cotação]&lt;&gt;""),[Total Exercício]/[Cotação],IF([Ref]&lt;4,0,""))</f>
        <v/>
      </c>
      <c r="Y986" s="14">
        <f>IF([Tipo]="div",1,0)</f>
        <v>0</v>
      </c>
      <c r="Z986" s="14">
        <f>IF([Tipo]="jcp",1,0)</f>
        <v>1</v>
      </c>
    </row>
    <row r="987" spans="1:26" hidden="1">
      <c r="A987" s="24" t="s">
        <v>40</v>
      </c>
      <c r="B987" s="131" t="s">
        <v>413</v>
      </c>
      <c r="C987" s="15">
        <v>4</v>
      </c>
      <c r="D987" s="4">
        <v>2005</v>
      </c>
      <c r="E987" s="14" t="s">
        <v>1475</v>
      </c>
      <c r="G987" s="145">
        <v>38624</v>
      </c>
      <c r="H987" s="46">
        <v>38769</v>
      </c>
      <c r="I987" s="133">
        <v>2.5000000000000001E-2</v>
      </c>
      <c r="J987" s="134">
        <f>IF(Tabela8[[#This Row],[Tipo]]="jcp",Tabela8[[#This Row],[Provento p/Ação]]*85%,Tabela8[[#This Row],[Provento p/Ação]])</f>
        <v>2.1250000000000002E-2</v>
      </c>
      <c r="K987" s="133" t="str">
        <f>IF([Lucro p/Ação]&lt;&gt;0,SUMPRODUCT(N([Papel]=Tabela8[[#This Row],[Papel]]),N([Exercício]=Tabela8[[#This Row],[Exercício]]),[Líquido p/Ação]),"")</f>
        <v/>
      </c>
      <c r="L987" s="42" t="str">
        <f>IF(Tabela8[[#This Row],[Lucro p/Ação]]="","",IF(Tabela8[[#This Row],[Lucro p/Ação]]&gt;0,Tabela8[[#This Row],[Total Exercício]]/Tabela8[[#This Row],[Lucro p/Ação]],0))</f>
        <v/>
      </c>
      <c r="M98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7" s="19" t="str">
        <f>IF(Tabela8[[#This Row],[Média Lucro p/Ação]]&lt;&gt;"",Tabela8[[#This Row],[Média Pago]]/Tabela8[[#This Row],[Média Lucro p/Ação]],"")</f>
        <v/>
      </c>
      <c r="P9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7" s="134">
        <f>SUMPRODUCT(N(Tabela1[Código]=Tabela8[[#This Row],[Papel]]),Tabela1[Fechamento])</f>
        <v>0</v>
      </c>
      <c r="R987" s="7">
        <f>SUMPRODUCT(N(Tabela17[Código]=Tabela8[[#This Row],[Papel]]),Tabela17[Fechamento])</f>
        <v>0.57999999999999996</v>
      </c>
      <c r="S987" s="7">
        <f>SUMPRODUCT(N(Tabela176[Código]=Tabela8[[#This Row],[Papel]]),Tabela176[Fechamento])</f>
        <v>0</v>
      </c>
      <c r="T987" s="7">
        <f>SUMPRODUCT(N(Tabela1768[Código]=Tabela8[[#This Row],[Papel]]),Tabela1768[Fechamento])</f>
        <v>0</v>
      </c>
      <c r="U987" s="7">
        <f>SUMPRODUCT(N(Tabela17683[Código]=Tabela8[[#This Row],[Papel]]),Tabela17683[Fechamento])</f>
        <v>0</v>
      </c>
      <c r="V987" s="7">
        <f>IF(MAX(Tabela8[[#This Row],[Cotação 1]]:Tabela8[[#This Row],[Cotação 5]])=0,"",MAX(Tabela8[[#This Row],[Cotação 1]]:Tabela8[[#This Row],[Cotação 5]]))</f>
        <v>0.57999999999999996</v>
      </c>
      <c r="W9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7" s="19" t="str">
        <f>IF(AND([Ref]=5,[Cotação]&gt;0,[Cotação]&lt;&gt;""),[Total Exercício]/[Cotação],IF([Ref]&lt;4,0,""))</f>
        <v/>
      </c>
      <c r="Y987" s="14">
        <f>IF([Tipo]="div",1,0)</f>
        <v>0</v>
      </c>
      <c r="Z987" s="14">
        <f>IF([Tipo]="jcp",1,0)</f>
        <v>1</v>
      </c>
    </row>
    <row r="988" spans="1:26" hidden="1">
      <c r="A988" s="24" t="s">
        <v>40</v>
      </c>
      <c r="B988" s="131" t="s">
        <v>73</v>
      </c>
      <c r="C988" s="15">
        <v>4</v>
      </c>
      <c r="D988" s="4">
        <v>2005</v>
      </c>
      <c r="E988" s="14" t="s">
        <v>1475</v>
      </c>
      <c r="G988" s="145">
        <v>38624</v>
      </c>
      <c r="H988" s="46">
        <v>38769</v>
      </c>
      <c r="I988" s="133">
        <v>2.75E-2</v>
      </c>
      <c r="J988" s="134">
        <f>IF(Tabela8[[#This Row],[Tipo]]="jcp",Tabela8[[#This Row],[Provento p/Ação]]*85%,Tabela8[[#This Row],[Provento p/Ação]])</f>
        <v>2.3375E-2</v>
      </c>
      <c r="K988" s="133" t="str">
        <f>IF([Lucro p/Ação]&lt;&gt;0,SUMPRODUCT(N([Papel]=Tabela8[[#This Row],[Papel]]),N([Exercício]=Tabela8[[#This Row],[Exercício]]),[Líquido p/Ação]),"")</f>
        <v/>
      </c>
      <c r="L988" s="42" t="str">
        <f>IF(Tabela8[[#This Row],[Lucro p/Ação]]="","",IF(Tabela8[[#This Row],[Lucro p/Ação]]&gt;0,Tabela8[[#This Row],[Total Exercício]]/Tabela8[[#This Row],[Lucro p/Ação]],0))</f>
        <v/>
      </c>
      <c r="M98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8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88" s="19" t="str">
        <f>IF(Tabela8[[#This Row],[Média Lucro p/Ação]]&lt;&gt;"",Tabela8[[#This Row],[Média Pago]]/Tabela8[[#This Row],[Média Lucro p/Ação]],"")</f>
        <v/>
      </c>
      <c r="P9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8" s="134">
        <f>SUMPRODUCT(N(Tabela1[Código]=Tabela8[[#This Row],[Papel]]),Tabela1[Fechamento])</f>
        <v>0.64</v>
      </c>
      <c r="R988" s="7">
        <f>SUMPRODUCT(N(Tabela17[Código]=Tabela8[[#This Row],[Papel]]),Tabela17[Fechamento])</f>
        <v>0</v>
      </c>
      <c r="S988" s="7">
        <f>SUMPRODUCT(N(Tabela176[Código]=Tabela8[[#This Row],[Papel]]),Tabela176[Fechamento])</f>
        <v>0</v>
      </c>
      <c r="T988" s="7">
        <f>SUMPRODUCT(N(Tabela1768[Código]=Tabela8[[#This Row],[Papel]]),Tabela1768[Fechamento])</f>
        <v>0</v>
      </c>
      <c r="U988" s="7">
        <f>SUMPRODUCT(N(Tabela17683[Código]=Tabela8[[#This Row],[Papel]]),Tabela17683[Fechamento])</f>
        <v>0</v>
      </c>
      <c r="V988" s="7">
        <f>IF(MAX(Tabela8[[#This Row],[Cotação 1]]:Tabela8[[#This Row],[Cotação 5]])=0,"",MAX(Tabela8[[#This Row],[Cotação 1]]:Tabela8[[#This Row],[Cotação 5]]))</f>
        <v>0.64</v>
      </c>
      <c r="W9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8" s="19" t="str">
        <f>IF(AND([Ref]=5,[Cotação]&gt;0,[Cotação]&lt;&gt;""),[Total Exercício]/[Cotação],IF([Ref]&lt;4,0,""))</f>
        <v/>
      </c>
      <c r="Y988" s="14">
        <f>IF([Tipo]="div",1,0)</f>
        <v>0</v>
      </c>
      <c r="Z988" s="14">
        <f>IF([Tipo]="jcp",1,0)</f>
        <v>1</v>
      </c>
    </row>
    <row r="989" spans="1:26">
      <c r="A989" s="24" t="s">
        <v>40</v>
      </c>
      <c r="B989" s="135" t="s">
        <v>39</v>
      </c>
      <c r="C989" s="15">
        <v>5</v>
      </c>
      <c r="D989" s="4">
        <v>2005</v>
      </c>
      <c r="E989" s="14" t="s">
        <v>1468</v>
      </c>
      <c r="F989" s="133">
        <v>0.32280999999999999</v>
      </c>
      <c r="G989" s="145">
        <v>38717</v>
      </c>
      <c r="I989" s="133">
        <v>1.2881E-2</v>
      </c>
      <c r="J989" s="134">
        <f>IF(Tabela8[[#This Row],[Tipo]]="jcp",Tabela8[[#This Row],[Provento p/Ação]]*85%,Tabela8[[#This Row],[Provento p/Ação]])</f>
        <v>1.2881E-2</v>
      </c>
      <c r="K989" s="133">
        <f>IF([Lucro p/Ação]&lt;&gt;0,SUMPRODUCT(N([Papel]=Tabela8[[#This Row],[Papel]]),N([Exercício]=Tabela8[[#This Row],[Exercício]]),[Líquido p/Ação]),"")</f>
        <v>9.2355999999999994E-2</v>
      </c>
      <c r="L989" s="42">
        <f>IF(Tabela8[[#This Row],[Lucro p/Ação]]="","",IF(Tabela8[[#This Row],[Lucro p/Ação]]&gt;0,Tabela8[[#This Row],[Total Exercício]]/Tabela8[[#This Row],[Lucro p/Ação]],0))</f>
        <v>0.2861001827700505</v>
      </c>
      <c r="M9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0.32724333333333339</v>
      </c>
      <c r="N98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9.6689333333333335E-2</v>
      </c>
      <c r="O989" s="19">
        <f>IF(Tabela8[[#This Row],[Média Lucro p/Ação]]&lt;&gt;"",Tabela8[[#This Row],[Média Pago]]/Tabela8[[#This Row],[Média Lucro p/Ação]],"")</f>
        <v>0.29546616686869093</v>
      </c>
      <c r="P9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89" s="134">
        <f>SUMPRODUCT(N(Tabela1[Código]=Tabela8[[#This Row],[Papel]]),Tabela1[Fechamento])</f>
        <v>0.41</v>
      </c>
      <c r="R989" s="17">
        <f>SUMPRODUCT(N(Tabela17[Código]=Tabela8[[#This Row],[Papel]]),Tabela17[Fechamento])</f>
        <v>0</v>
      </c>
      <c r="S989" s="17">
        <f>SUMPRODUCT(N(Tabela176[Código]=Tabela8[[#This Row],[Papel]]),Tabela176[Fechamento])</f>
        <v>0</v>
      </c>
      <c r="T989" s="17">
        <f>SUMPRODUCT(N(Tabela1768[Código]=Tabela8[[#This Row],[Papel]]),Tabela1768[Fechamento])</f>
        <v>0</v>
      </c>
      <c r="U989" s="17">
        <f>SUMPRODUCT(N(Tabela17683[Código]=Tabela8[[#This Row],[Papel]]),Tabela17683[Fechamento])</f>
        <v>0</v>
      </c>
      <c r="V989" s="17">
        <f>IF(MAX(Tabela8[[#This Row],[Cotação 1]]:Tabela8[[#This Row],[Cotação 5]])=0,"",MAX(Tabela8[[#This Row],[Cotação 1]]:Tabela8[[#This Row],[Cotação 5]]))</f>
        <v>0.41</v>
      </c>
      <c r="W9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89" s="19">
        <f>IF(AND([Ref]=5,[Cotação]&gt;0,[Cotação]&lt;&gt;""),[Total Exercício]/[Cotação],IF([Ref]&lt;4,0,""))</f>
        <v>0.22525853658536585</v>
      </c>
      <c r="Y989" s="14">
        <f>IF([Tipo]="div",1,0)</f>
        <v>1</v>
      </c>
      <c r="Z989" s="14">
        <f>IF([Tipo]="jcp",1,0)</f>
        <v>0</v>
      </c>
    </row>
    <row r="990" spans="1:26" hidden="1">
      <c r="A990" s="24" t="s">
        <v>40</v>
      </c>
      <c r="B990" s="131" t="s">
        <v>413</v>
      </c>
      <c r="C990" s="15">
        <v>4</v>
      </c>
      <c r="D990" s="4">
        <v>2005</v>
      </c>
      <c r="E990" s="14" t="s">
        <v>1475</v>
      </c>
      <c r="G990" s="145">
        <v>38713</v>
      </c>
      <c r="I990" s="133">
        <v>0.02</v>
      </c>
      <c r="J990" s="134">
        <f>IF(Tabela8[[#This Row],[Tipo]]="jcp",Tabela8[[#This Row],[Provento p/Ação]]*85%,Tabela8[[#This Row],[Provento p/Ação]])</f>
        <v>1.7000000000000001E-2</v>
      </c>
      <c r="K990" s="133" t="str">
        <f>IF([Lucro p/Ação]&lt;&gt;0,SUMPRODUCT(N([Papel]=Tabela8[[#This Row],[Papel]]),N([Exercício]=Tabela8[[#This Row],[Exercício]]),[Líquido p/Ação]),"")</f>
        <v/>
      </c>
      <c r="L990" s="42" t="str">
        <f>IF(Tabela8[[#This Row],[Lucro p/Ação]]="","",IF(Tabela8[[#This Row],[Lucro p/Ação]]&gt;0,Tabela8[[#This Row],[Total Exercício]]/Tabela8[[#This Row],[Lucro p/Ação]],0))</f>
        <v/>
      </c>
      <c r="M99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0" s="19" t="str">
        <f>IF(Tabela8[[#This Row],[Média Lucro p/Ação]]&lt;&gt;"",Tabela8[[#This Row],[Média Pago]]/Tabela8[[#This Row],[Média Lucro p/Ação]],"")</f>
        <v/>
      </c>
      <c r="P9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0" s="134">
        <f>SUMPRODUCT(N(Tabela1[Código]=Tabela8[[#This Row],[Papel]]),Tabela1[Fechamento])</f>
        <v>0</v>
      </c>
      <c r="R990" s="7">
        <f>SUMPRODUCT(N(Tabela17[Código]=Tabela8[[#This Row],[Papel]]),Tabela17[Fechamento])</f>
        <v>0.57999999999999996</v>
      </c>
      <c r="S990" s="7">
        <f>SUMPRODUCT(N(Tabela176[Código]=Tabela8[[#This Row],[Papel]]),Tabela176[Fechamento])</f>
        <v>0</v>
      </c>
      <c r="T990" s="7">
        <f>SUMPRODUCT(N(Tabela1768[Código]=Tabela8[[#This Row],[Papel]]),Tabela1768[Fechamento])</f>
        <v>0</v>
      </c>
      <c r="U990" s="7">
        <f>SUMPRODUCT(N(Tabela17683[Código]=Tabela8[[#This Row],[Papel]]),Tabela17683[Fechamento])</f>
        <v>0</v>
      </c>
      <c r="V990" s="7">
        <f>IF(MAX(Tabela8[[#This Row],[Cotação 1]]:Tabela8[[#This Row],[Cotação 5]])=0,"",MAX(Tabela8[[#This Row],[Cotação 1]]:Tabela8[[#This Row],[Cotação 5]]))</f>
        <v>0.57999999999999996</v>
      </c>
      <c r="W9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0" s="19" t="str">
        <f>IF(AND([Ref]=5,[Cotação]&gt;0,[Cotação]&lt;&gt;""),[Total Exercício]/[Cotação],IF([Ref]&lt;4,0,""))</f>
        <v/>
      </c>
      <c r="Y990" s="14">
        <f>IF([Tipo]="div",1,0)</f>
        <v>0</v>
      </c>
      <c r="Z990" s="14">
        <f>IF([Tipo]="jcp",1,0)</f>
        <v>1</v>
      </c>
    </row>
    <row r="991" spans="1:26" hidden="1">
      <c r="A991" s="24" t="s">
        <v>40</v>
      </c>
      <c r="B991" s="131" t="s">
        <v>73</v>
      </c>
      <c r="C991" s="15">
        <v>4</v>
      </c>
      <c r="D991" s="4">
        <v>2005</v>
      </c>
      <c r="E991" s="14" t="s">
        <v>1475</v>
      </c>
      <c r="G991" s="145">
        <v>38713</v>
      </c>
      <c r="I991" s="133">
        <v>2.1999999999999999E-2</v>
      </c>
      <c r="J991" s="134">
        <f>IF(Tabela8[[#This Row],[Tipo]]="jcp",Tabela8[[#This Row],[Provento p/Ação]]*85%,Tabela8[[#This Row],[Provento p/Ação]])</f>
        <v>1.8699999999999998E-2</v>
      </c>
      <c r="K991" s="133" t="str">
        <f>IF([Lucro p/Ação]&lt;&gt;0,SUMPRODUCT(N([Papel]=Tabela8[[#This Row],[Papel]]),N([Exercício]=Tabela8[[#This Row],[Exercício]]),[Líquido p/Ação]),"")</f>
        <v/>
      </c>
      <c r="L991" s="42" t="str">
        <f>IF(Tabela8[[#This Row],[Lucro p/Ação]]="","",IF(Tabela8[[#This Row],[Lucro p/Ação]]&gt;0,Tabela8[[#This Row],[Total Exercício]]/Tabela8[[#This Row],[Lucro p/Ação]],0))</f>
        <v/>
      </c>
      <c r="M99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1" s="19" t="str">
        <f>IF(Tabela8[[#This Row],[Média Lucro p/Ação]]&lt;&gt;"",Tabela8[[#This Row],[Média Pago]]/Tabela8[[#This Row],[Média Lucro p/Ação]],"")</f>
        <v/>
      </c>
      <c r="P9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1" s="134">
        <f>SUMPRODUCT(N(Tabela1[Código]=Tabela8[[#This Row],[Papel]]),Tabela1[Fechamento])</f>
        <v>0.64</v>
      </c>
      <c r="R991" s="7">
        <f>SUMPRODUCT(N(Tabela17[Código]=Tabela8[[#This Row],[Papel]]),Tabela17[Fechamento])</f>
        <v>0</v>
      </c>
      <c r="S991" s="7">
        <f>SUMPRODUCT(N(Tabela176[Código]=Tabela8[[#This Row],[Papel]]),Tabela176[Fechamento])</f>
        <v>0</v>
      </c>
      <c r="T991" s="7">
        <f>SUMPRODUCT(N(Tabela1768[Código]=Tabela8[[#This Row],[Papel]]),Tabela1768[Fechamento])</f>
        <v>0</v>
      </c>
      <c r="U991" s="7">
        <f>SUMPRODUCT(N(Tabela17683[Código]=Tabela8[[#This Row],[Papel]]),Tabela17683[Fechamento])</f>
        <v>0</v>
      </c>
      <c r="V991" s="7">
        <f>IF(MAX(Tabela8[[#This Row],[Cotação 1]]:Tabela8[[#This Row],[Cotação 5]])=0,"",MAX(Tabela8[[#This Row],[Cotação 1]]:Tabela8[[#This Row],[Cotação 5]]))</f>
        <v>0.64</v>
      </c>
      <c r="W9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1" s="19" t="str">
        <f>IF(AND([Ref]=5,[Cotação]&gt;0,[Cotação]&lt;&gt;""),[Total Exercício]/[Cotação],IF([Ref]&lt;4,0,""))</f>
        <v/>
      </c>
      <c r="Y991" s="14">
        <f>IF([Tipo]="div",1,0)</f>
        <v>0</v>
      </c>
      <c r="Z991" s="14">
        <f>IF([Tipo]="jcp",1,0)</f>
        <v>1</v>
      </c>
    </row>
    <row r="992" spans="1:26">
      <c r="A992" s="24" t="s">
        <v>40</v>
      </c>
      <c r="B992" s="135" t="s">
        <v>39</v>
      </c>
      <c r="C992" s="15">
        <v>4</v>
      </c>
      <c r="D992" s="4">
        <v>2004</v>
      </c>
      <c r="E992" s="14" t="s">
        <v>1468</v>
      </c>
      <c r="G992" s="145">
        <v>38104</v>
      </c>
      <c r="H992" s="46">
        <v>38125</v>
      </c>
      <c r="I992" s="133">
        <v>2.3769999999999999E-2</v>
      </c>
      <c r="J992" s="134">
        <f>IF(Tabela8[[#This Row],[Tipo]]="jcp",Tabela8[[#This Row],[Provento p/Ação]]*85%,Tabela8[[#This Row],[Provento p/Ação]])</f>
        <v>2.3769999999999999E-2</v>
      </c>
      <c r="K992" s="133" t="str">
        <f>IF([Lucro p/Ação]&lt;&gt;0,SUMPRODUCT(N([Papel]=Tabela8[[#This Row],[Papel]]),N([Exercício]=Tabela8[[#This Row],[Exercício]]),[Líquido p/Ação]),"")</f>
        <v/>
      </c>
      <c r="L992" s="42" t="str">
        <f>IF(Tabela8[[#This Row],[Lucro p/Ação]]="","",IF(Tabela8[[#This Row],[Lucro p/Ação]]&gt;0,Tabela8[[#This Row],[Total Exercício]]/Tabela8[[#This Row],[Lucro p/Ação]],0))</f>
        <v/>
      </c>
      <c r="M99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2" s="19" t="str">
        <f>IF(Tabela8[[#This Row],[Média Lucro p/Ação]]&lt;&gt;"",Tabela8[[#This Row],[Média Pago]]/Tabela8[[#This Row],[Média Lucro p/Ação]],"")</f>
        <v/>
      </c>
      <c r="P9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2" s="134">
        <f>SUMPRODUCT(N(Tabela1[Código]=Tabela8[[#This Row],[Papel]]),Tabela1[Fechamento])</f>
        <v>0.41</v>
      </c>
      <c r="R992" s="7">
        <f>SUMPRODUCT(N(Tabela17[Código]=Tabela8[[#This Row],[Papel]]),Tabela17[Fechamento])</f>
        <v>0</v>
      </c>
      <c r="S992" s="7">
        <f>SUMPRODUCT(N(Tabela176[Código]=Tabela8[[#This Row],[Papel]]),Tabela176[Fechamento])</f>
        <v>0</v>
      </c>
      <c r="T992" s="7">
        <f>SUMPRODUCT(N(Tabela1768[Código]=Tabela8[[#This Row],[Papel]]),Tabela1768[Fechamento])</f>
        <v>0</v>
      </c>
      <c r="U992" s="7">
        <f>SUMPRODUCT(N(Tabela17683[Código]=Tabela8[[#This Row],[Papel]]),Tabela17683[Fechamento])</f>
        <v>0</v>
      </c>
      <c r="V992" s="7">
        <f>IF(MAX(Tabela8[[#This Row],[Cotação 1]]:Tabela8[[#This Row],[Cotação 5]])=0,"",MAX(Tabela8[[#This Row],[Cotação 1]]:Tabela8[[#This Row],[Cotação 5]]))</f>
        <v>0.41</v>
      </c>
      <c r="W9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2" s="19" t="str">
        <f>IF(AND([Ref]=5,[Cotação]&gt;0,[Cotação]&lt;&gt;""),[Total Exercício]/[Cotação],IF([Ref]&lt;4,0,""))</f>
        <v/>
      </c>
      <c r="Y992" s="14">
        <f>IF([Tipo]="div",1,0)</f>
        <v>1</v>
      </c>
      <c r="Z992" s="14">
        <f>IF([Tipo]="jcp",1,0)</f>
        <v>0</v>
      </c>
    </row>
    <row r="993" spans="1:26" hidden="1">
      <c r="A993" s="24" t="s">
        <v>40</v>
      </c>
      <c r="B993" s="131" t="s">
        <v>413</v>
      </c>
      <c r="C993" s="15">
        <v>5</v>
      </c>
      <c r="D993" s="4">
        <v>2005</v>
      </c>
      <c r="E993" s="14" t="s">
        <v>1468</v>
      </c>
      <c r="F993" s="133">
        <v>0.32280999999999999</v>
      </c>
      <c r="G993" s="145">
        <v>38717</v>
      </c>
      <c r="I993" s="133">
        <v>1.171E-2</v>
      </c>
      <c r="J993" s="134">
        <f>IF(Tabela8[[#This Row],[Tipo]]="jcp",Tabela8[[#This Row],[Provento p/Ação]]*85%,Tabela8[[#This Row],[Provento p/Ação]])</f>
        <v>1.171E-2</v>
      </c>
      <c r="K993" s="133">
        <f>IF([Lucro p/Ação]&lt;&gt;0,SUMPRODUCT(N([Papel]=Tabela8[[#This Row],[Papel]]),N([Exercício]=Tabela8[[#This Row],[Exercício]]),[Líquido p/Ação]),"")</f>
        <v>8.3960000000000007E-2</v>
      </c>
      <c r="L993" s="42">
        <f>IF(Tabela8[[#This Row],[Lucro p/Ação]]="","",IF(Tabela8[[#This Row],[Lucro p/Ação]]&gt;0,Tabela8[[#This Row],[Total Exercício]]/Tabela8[[#This Row],[Lucro p/Ação]],0))</f>
        <v>0.26009107524550046</v>
      </c>
      <c r="M99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0.32724333333333339</v>
      </c>
      <c r="N99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0.10864333333333336</v>
      </c>
      <c r="O993" s="19">
        <f>IF(Tabela8[[#This Row],[Média Lucro p/Ação]]&lt;&gt;"",Tabela8[[#This Row],[Média Pago]]/Tabela8[[#This Row],[Média Lucro p/Ação]],"")</f>
        <v>0.33199555886037913</v>
      </c>
      <c r="P9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3" s="134">
        <f>SUMPRODUCT(N(Tabela1[Código]=Tabela8[[#This Row],[Papel]]),Tabela1[Fechamento])</f>
        <v>0</v>
      </c>
      <c r="R993" s="7">
        <f>SUMPRODUCT(N(Tabela17[Código]=Tabela8[[#This Row],[Papel]]),Tabela17[Fechamento])</f>
        <v>0.57999999999999996</v>
      </c>
      <c r="S993" s="7">
        <f>SUMPRODUCT(N(Tabela176[Código]=Tabela8[[#This Row],[Papel]]),Tabela176[Fechamento])</f>
        <v>0</v>
      </c>
      <c r="T993" s="7">
        <f>SUMPRODUCT(N(Tabela1768[Código]=Tabela8[[#This Row],[Papel]]),Tabela1768[Fechamento])</f>
        <v>0</v>
      </c>
      <c r="U993" s="7">
        <f>SUMPRODUCT(N(Tabela17683[Código]=Tabela8[[#This Row],[Papel]]),Tabela17683[Fechamento])</f>
        <v>0</v>
      </c>
      <c r="V993" s="7">
        <f>IF(MAX(Tabela8[[#This Row],[Cotação 1]]:Tabela8[[#This Row],[Cotação 5]])=0,"",MAX(Tabela8[[#This Row],[Cotação 1]]:Tabela8[[#This Row],[Cotação 5]]))</f>
        <v>0.57999999999999996</v>
      </c>
      <c r="W9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3" s="19">
        <f>IF(AND([Ref]=5,[Cotação]&gt;0,[Cotação]&lt;&gt;""),[Total Exercício]/[Cotação],IF([Ref]&lt;4,0,""))</f>
        <v>0.1447586206896552</v>
      </c>
      <c r="Y993" s="14">
        <f>IF([Tipo]="div",1,0)</f>
        <v>1</v>
      </c>
      <c r="Z993" s="14">
        <f>IF([Tipo]="jcp",1,0)</f>
        <v>0</v>
      </c>
    </row>
    <row r="994" spans="1:26" hidden="1">
      <c r="A994" s="24" t="s">
        <v>40</v>
      </c>
      <c r="B994" s="131" t="s">
        <v>73</v>
      </c>
      <c r="C994" s="15">
        <v>5</v>
      </c>
      <c r="D994" s="4">
        <v>2005</v>
      </c>
      <c r="E994" s="14" t="s">
        <v>1468</v>
      </c>
      <c r="F994" s="133">
        <v>0.32280999999999999</v>
      </c>
      <c r="G994" s="145">
        <v>38717</v>
      </c>
      <c r="I994" s="133">
        <v>2.0525000000000002E-2</v>
      </c>
      <c r="J994" s="134">
        <f>IF(Tabela8[[#This Row],[Tipo]]="jcp",Tabela8[[#This Row],[Provento p/Ação]]*85%,Tabela8[[#This Row],[Provento p/Ação]])</f>
        <v>2.0525000000000002E-2</v>
      </c>
      <c r="K994" s="133">
        <f>IF([Lucro p/Ação]&lt;&gt;0,SUMPRODUCT(N([Papel]=Tabela8[[#This Row],[Papel]]),N([Exercício]=Tabela8[[#This Row],[Exercício]]),[Líquido p/Ação]),"")</f>
        <v>9.9999999999999992E-2</v>
      </c>
      <c r="L994" s="42">
        <f>IF(Tabela8[[#This Row],[Lucro p/Ação]]="","",IF(Tabela8[[#This Row],[Lucro p/Ação]]&gt;0,Tabela8[[#This Row],[Total Exercício]]/Tabela8[[#This Row],[Lucro p/Ação]],0))</f>
        <v>0.30977974660016727</v>
      </c>
      <c r="M99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0.32724333333333339</v>
      </c>
      <c r="N99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0.10822333333333332</v>
      </c>
      <c r="O994" s="19">
        <f>IF(Tabela8[[#This Row],[Média Lucro p/Ação]]&lt;&gt;"",Tabela8[[#This Row],[Média Pago]]/Tabela8[[#This Row],[Média Lucro p/Ação]],"")</f>
        <v>0.33071211025434682</v>
      </c>
      <c r="P9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4" s="134">
        <f>SUMPRODUCT(N(Tabela1[Código]=Tabela8[[#This Row],[Papel]]),Tabela1[Fechamento])</f>
        <v>0.64</v>
      </c>
      <c r="R994" s="7">
        <f>SUMPRODUCT(N(Tabela17[Código]=Tabela8[[#This Row],[Papel]]),Tabela17[Fechamento])</f>
        <v>0</v>
      </c>
      <c r="S994" s="7">
        <f>SUMPRODUCT(N(Tabela176[Código]=Tabela8[[#This Row],[Papel]]),Tabela176[Fechamento])</f>
        <v>0</v>
      </c>
      <c r="T994" s="7">
        <f>SUMPRODUCT(N(Tabela1768[Código]=Tabela8[[#This Row],[Papel]]),Tabela1768[Fechamento])</f>
        <v>0</v>
      </c>
      <c r="U994" s="7">
        <f>SUMPRODUCT(N(Tabela17683[Código]=Tabela8[[#This Row],[Papel]]),Tabela17683[Fechamento])</f>
        <v>0</v>
      </c>
      <c r="V994" s="7">
        <f>IF(MAX(Tabela8[[#This Row],[Cotação 1]]:Tabela8[[#This Row],[Cotação 5]])=0,"",MAX(Tabela8[[#This Row],[Cotação 1]]:Tabela8[[#This Row],[Cotação 5]]))</f>
        <v>0.64</v>
      </c>
      <c r="W9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4" s="19">
        <f>IF(AND([Ref]=5,[Cotação]&gt;0,[Cotação]&lt;&gt;""),[Total Exercício]/[Cotação],IF([Ref]&lt;4,0,""))</f>
        <v>0.15624999999999997</v>
      </c>
      <c r="Y994" s="14">
        <f>IF([Tipo]="div",1,0)</f>
        <v>1</v>
      </c>
      <c r="Z994" s="14">
        <f>IF([Tipo]="jcp",1,0)</f>
        <v>0</v>
      </c>
    </row>
    <row r="995" spans="1:26">
      <c r="A995" s="24" t="s">
        <v>40</v>
      </c>
      <c r="B995" s="135" t="s">
        <v>39</v>
      </c>
      <c r="C995" s="15">
        <v>4</v>
      </c>
      <c r="D995" s="4">
        <v>2004</v>
      </c>
      <c r="E995" s="14" t="s">
        <v>1475</v>
      </c>
      <c r="G995" s="145">
        <v>38210</v>
      </c>
      <c r="H995" s="46">
        <v>38296</v>
      </c>
      <c r="I995" s="133">
        <v>2.5000000000000001E-2</v>
      </c>
      <c r="J995" s="134">
        <f>IF(Tabela8[[#This Row],[Tipo]]="jcp",Tabela8[[#This Row],[Provento p/Ação]]*85%,Tabela8[[#This Row],[Provento p/Ação]])</f>
        <v>2.1250000000000002E-2</v>
      </c>
      <c r="K995" s="133" t="str">
        <f>IF([Lucro p/Ação]&lt;&gt;0,SUMPRODUCT(N([Papel]=Tabela8[[#This Row],[Papel]]),N([Exercício]=Tabela8[[#This Row],[Exercício]]),[Líquido p/Ação]),"")</f>
        <v/>
      </c>
      <c r="L995" s="42" t="str">
        <f>IF(Tabela8[[#This Row],[Lucro p/Ação]]="","",IF(Tabela8[[#This Row],[Lucro p/Ação]]&gt;0,Tabela8[[#This Row],[Total Exercício]]/Tabela8[[#This Row],[Lucro p/Ação]],0))</f>
        <v/>
      </c>
      <c r="M99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5" s="19" t="str">
        <f>IF(Tabela8[[#This Row],[Média Lucro p/Ação]]&lt;&gt;"",Tabela8[[#This Row],[Média Pago]]/Tabela8[[#This Row],[Média Lucro p/Ação]],"")</f>
        <v/>
      </c>
      <c r="P9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5" s="134">
        <f>SUMPRODUCT(N(Tabela1[Código]=Tabela8[[#This Row],[Papel]]),Tabela1[Fechamento])</f>
        <v>0.41</v>
      </c>
      <c r="R995" s="7">
        <f>SUMPRODUCT(N(Tabela17[Código]=Tabela8[[#This Row],[Papel]]),Tabela17[Fechamento])</f>
        <v>0</v>
      </c>
      <c r="S995" s="7">
        <f>SUMPRODUCT(N(Tabela176[Código]=Tabela8[[#This Row],[Papel]]),Tabela176[Fechamento])</f>
        <v>0</v>
      </c>
      <c r="T995" s="7">
        <f>SUMPRODUCT(N(Tabela1768[Código]=Tabela8[[#This Row],[Papel]]),Tabela1768[Fechamento])</f>
        <v>0</v>
      </c>
      <c r="U995" s="7">
        <f>SUMPRODUCT(N(Tabela17683[Código]=Tabela8[[#This Row],[Papel]]),Tabela17683[Fechamento])</f>
        <v>0</v>
      </c>
      <c r="V995" s="7">
        <f>IF(MAX(Tabela8[[#This Row],[Cotação 1]]:Tabela8[[#This Row],[Cotação 5]])=0,"",MAX(Tabela8[[#This Row],[Cotação 1]]:Tabela8[[#This Row],[Cotação 5]]))</f>
        <v>0.41</v>
      </c>
      <c r="W9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5" s="19" t="str">
        <f>IF(AND([Ref]=5,[Cotação]&gt;0,[Cotação]&lt;&gt;""),[Total Exercício]/[Cotação],IF([Ref]&lt;4,0,""))</f>
        <v/>
      </c>
      <c r="Y995" s="14">
        <f>IF([Tipo]="div",1,0)</f>
        <v>0</v>
      </c>
      <c r="Z995" s="14">
        <f>IF([Tipo]="jcp",1,0)</f>
        <v>1</v>
      </c>
    </row>
    <row r="996" spans="1:26" hidden="1">
      <c r="A996" s="24" t="s">
        <v>40</v>
      </c>
      <c r="B996" s="131" t="s">
        <v>413</v>
      </c>
      <c r="C996" s="15">
        <v>4</v>
      </c>
      <c r="D996" s="4">
        <v>2006</v>
      </c>
      <c r="E996" s="14" t="s">
        <v>1475</v>
      </c>
      <c r="G996" s="145">
        <v>38954</v>
      </c>
      <c r="H996" s="46">
        <v>38971</v>
      </c>
      <c r="I996" s="133">
        <v>0.01</v>
      </c>
      <c r="J996" s="134">
        <f>IF(Tabela8[[#This Row],[Tipo]]="jcp",Tabela8[[#This Row],[Provento p/Ação]]*85%,Tabela8[[#This Row],[Provento p/Ação]])</f>
        <v>8.5000000000000006E-3</v>
      </c>
      <c r="K996" s="133" t="str">
        <f>IF([Lucro p/Ação]&lt;&gt;0,SUMPRODUCT(N([Papel]=Tabela8[[#This Row],[Papel]]),N([Exercício]=Tabela8[[#This Row],[Exercício]]),[Líquido p/Ação]),"")</f>
        <v/>
      </c>
      <c r="L996" s="42" t="str">
        <f>IF(Tabela8[[#This Row],[Lucro p/Ação]]="","",IF(Tabela8[[#This Row],[Lucro p/Ação]]&gt;0,Tabela8[[#This Row],[Total Exercício]]/Tabela8[[#This Row],[Lucro p/Ação]],0))</f>
        <v/>
      </c>
      <c r="M99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6" s="19" t="str">
        <f>IF(Tabela8[[#This Row],[Média Lucro p/Ação]]&lt;&gt;"",Tabela8[[#This Row],[Média Pago]]/Tabela8[[#This Row],[Média Lucro p/Ação]],"")</f>
        <v/>
      </c>
      <c r="P9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6" s="134">
        <f>SUMPRODUCT(N(Tabela1[Código]=Tabela8[[#This Row],[Papel]]),Tabela1[Fechamento])</f>
        <v>0</v>
      </c>
      <c r="R996" s="7">
        <f>SUMPRODUCT(N(Tabela17[Código]=Tabela8[[#This Row],[Papel]]),Tabela17[Fechamento])</f>
        <v>0.57999999999999996</v>
      </c>
      <c r="S996" s="7">
        <f>SUMPRODUCT(N(Tabela176[Código]=Tabela8[[#This Row],[Papel]]),Tabela176[Fechamento])</f>
        <v>0</v>
      </c>
      <c r="T996" s="7">
        <f>SUMPRODUCT(N(Tabela1768[Código]=Tabela8[[#This Row],[Papel]]),Tabela1768[Fechamento])</f>
        <v>0</v>
      </c>
      <c r="U996" s="7">
        <f>SUMPRODUCT(N(Tabela17683[Código]=Tabela8[[#This Row],[Papel]]),Tabela17683[Fechamento])</f>
        <v>0</v>
      </c>
      <c r="V996" s="7">
        <f>IF(MAX(Tabela8[[#This Row],[Cotação 1]]:Tabela8[[#This Row],[Cotação 5]])=0,"",MAX(Tabela8[[#This Row],[Cotação 1]]:Tabela8[[#This Row],[Cotação 5]]))</f>
        <v>0.57999999999999996</v>
      </c>
      <c r="W9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6" s="19" t="str">
        <f>IF(AND([Ref]=5,[Cotação]&gt;0,[Cotação]&lt;&gt;""),[Total Exercício]/[Cotação],IF([Ref]&lt;4,0,""))</f>
        <v/>
      </c>
      <c r="Y996" s="14">
        <f>IF([Tipo]="div",1,0)</f>
        <v>0</v>
      </c>
      <c r="Z996" s="14">
        <f>IF([Tipo]="jcp",1,0)</f>
        <v>1</v>
      </c>
    </row>
    <row r="997" spans="1:26" hidden="1">
      <c r="A997" s="24" t="s">
        <v>40</v>
      </c>
      <c r="B997" s="131" t="s">
        <v>73</v>
      </c>
      <c r="C997" s="15">
        <v>4</v>
      </c>
      <c r="D997" s="4">
        <v>2006</v>
      </c>
      <c r="E997" s="14" t="s">
        <v>1475</v>
      </c>
      <c r="G997" s="145">
        <v>38954</v>
      </c>
      <c r="H997" s="46">
        <v>38971</v>
      </c>
      <c r="I997" s="133">
        <v>1.0999999999999999E-2</v>
      </c>
      <c r="J997" s="134">
        <f>IF(Tabela8[[#This Row],[Tipo]]="jcp",Tabela8[[#This Row],[Provento p/Ação]]*85%,Tabela8[[#This Row],[Provento p/Ação]])</f>
        <v>9.3499999999999989E-3</v>
      </c>
      <c r="K997" s="133" t="str">
        <f>IF([Lucro p/Ação]&lt;&gt;0,SUMPRODUCT(N([Papel]=Tabela8[[#This Row],[Papel]]),N([Exercício]=Tabela8[[#This Row],[Exercício]]),[Líquido p/Ação]),"")</f>
        <v/>
      </c>
      <c r="L997" s="42" t="str">
        <f>IF(Tabela8[[#This Row],[Lucro p/Ação]]="","",IF(Tabela8[[#This Row],[Lucro p/Ação]]&gt;0,Tabela8[[#This Row],[Total Exercício]]/Tabela8[[#This Row],[Lucro p/Ação]],0))</f>
        <v/>
      </c>
      <c r="M99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7" s="19" t="str">
        <f>IF(Tabela8[[#This Row],[Média Lucro p/Ação]]&lt;&gt;"",Tabela8[[#This Row],[Média Pago]]/Tabela8[[#This Row],[Média Lucro p/Ação]],"")</f>
        <v/>
      </c>
      <c r="P9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7" s="134">
        <f>SUMPRODUCT(N(Tabela1[Código]=Tabela8[[#This Row],[Papel]]),Tabela1[Fechamento])</f>
        <v>0.64</v>
      </c>
      <c r="R997" s="7">
        <f>SUMPRODUCT(N(Tabela17[Código]=Tabela8[[#This Row],[Papel]]),Tabela17[Fechamento])</f>
        <v>0</v>
      </c>
      <c r="S997" s="7">
        <f>SUMPRODUCT(N(Tabela176[Código]=Tabela8[[#This Row],[Papel]]),Tabela176[Fechamento])</f>
        <v>0</v>
      </c>
      <c r="T997" s="7">
        <f>SUMPRODUCT(N(Tabela1768[Código]=Tabela8[[#This Row],[Papel]]),Tabela1768[Fechamento])</f>
        <v>0</v>
      </c>
      <c r="U997" s="7">
        <f>SUMPRODUCT(N(Tabela17683[Código]=Tabela8[[#This Row],[Papel]]),Tabela17683[Fechamento])</f>
        <v>0</v>
      </c>
      <c r="V997" s="7">
        <f>IF(MAX(Tabela8[[#This Row],[Cotação 1]]:Tabela8[[#This Row],[Cotação 5]])=0,"",MAX(Tabela8[[#This Row],[Cotação 1]]:Tabela8[[#This Row],[Cotação 5]]))</f>
        <v>0.64</v>
      </c>
      <c r="W9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7" s="19" t="str">
        <f>IF(AND([Ref]=5,[Cotação]&gt;0,[Cotação]&lt;&gt;""),[Total Exercício]/[Cotação],IF([Ref]&lt;4,0,""))</f>
        <v/>
      </c>
      <c r="Y997" s="14">
        <f>IF([Tipo]="div",1,0)</f>
        <v>0</v>
      </c>
      <c r="Z997" s="14">
        <f>IF([Tipo]="jcp",1,0)</f>
        <v>1</v>
      </c>
    </row>
    <row r="998" spans="1:26">
      <c r="A998" s="24" t="s">
        <v>40</v>
      </c>
      <c r="B998" s="135" t="s">
        <v>39</v>
      </c>
      <c r="C998" s="15">
        <v>4</v>
      </c>
      <c r="D998" s="4">
        <v>2004</v>
      </c>
      <c r="E998" s="14" t="s">
        <v>1475</v>
      </c>
      <c r="G998" s="145">
        <v>38348</v>
      </c>
      <c r="I998" s="133">
        <v>0.09</v>
      </c>
      <c r="J998" s="134">
        <f>IF(Tabela8[[#This Row],[Tipo]]="jcp",Tabela8[[#This Row],[Provento p/Ação]]*85%,Tabela8[[#This Row],[Provento p/Ação]])</f>
        <v>7.6499999999999999E-2</v>
      </c>
      <c r="K998" s="133" t="str">
        <f>IF([Lucro p/Ação]&lt;&gt;0,SUMPRODUCT(N([Papel]=Tabela8[[#This Row],[Papel]]),N([Exercício]=Tabela8[[#This Row],[Exercício]]),[Líquido p/Ação]),"")</f>
        <v/>
      </c>
      <c r="L998" s="42" t="str">
        <f>IF(Tabela8[[#This Row],[Lucro p/Ação]]="","",IF(Tabela8[[#This Row],[Lucro p/Ação]]&gt;0,Tabela8[[#This Row],[Total Exercício]]/Tabela8[[#This Row],[Lucro p/Ação]],0))</f>
        <v/>
      </c>
      <c r="M99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8" s="19" t="str">
        <f>IF(Tabela8[[#This Row],[Média Lucro p/Ação]]&lt;&gt;"",Tabela8[[#This Row],[Média Pago]]/Tabela8[[#This Row],[Média Lucro p/Ação]],"")</f>
        <v/>
      </c>
      <c r="P9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8" s="134">
        <f>SUMPRODUCT(N(Tabela1[Código]=Tabela8[[#This Row],[Papel]]),Tabela1[Fechamento])</f>
        <v>0.41</v>
      </c>
      <c r="R998" s="7">
        <f>SUMPRODUCT(N(Tabela17[Código]=Tabela8[[#This Row],[Papel]]),Tabela17[Fechamento])</f>
        <v>0</v>
      </c>
      <c r="S998" s="7">
        <f>SUMPRODUCT(N(Tabela176[Código]=Tabela8[[#This Row],[Papel]]),Tabela176[Fechamento])</f>
        <v>0</v>
      </c>
      <c r="T998" s="7">
        <f>SUMPRODUCT(N(Tabela1768[Código]=Tabela8[[#This Row],[Papel]]),Tabela1768[Fechamento])</f>
        <v>0</v>
      </c>
      <c r="U998" s="7">
        <f>SUMPRODUCT(N(Tabela17683[Código]=Tabela8[[#This Row],[Papel]]),Tabela17683[Fechamento])</f>
        <v>0</v>
      </c>
      <c r="V998" s="7">
        <f>IF(MAX(Tabela8[[#This Row],[Cotação 1]]:Tabela8[[#This Row],[Cotação 5]])=0,"",MAX(Tabela8[[#This Row],[Cotação 1]]:Tabela8[[#This Row],[Cotação 5]]))</f>
        <v>0.41</v>
      </c>
      <c r="W9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8" s="19" t="str">
        <f>IF(AND([Ref]=5,[Cotação]&gt;0,[Cotação]&lt;&gt;""),[Total Exercício]/[Cotação],IF([Ref]&lt;4,0,""))</f>
        <v/>
      </c>
      <c r="Y998" s="14">
        <f>IF([Tipo]="div",1,0)</f>
        <v>0</v>
      </c>
      <c r="Z998" s="14">
        <f>IF([Tipo]="jcp",1,0)</f>
        <v>1</v>
      </c>
    </row>
    <row r="999" spans="1:26" hidden="1">
      <c r="A999" s="24" t="s">
        <v>40</v>
      </c>
      <c r="B999" s="131" t="s">
        <v>413</v>
      </c>
      <c r="C999" s="15">
        <v>4</v>
      </c>
      <c r="D999" s="4">
        <v>2006</v>
      </c>
      <c r="E999" s="14" t="s">
        <v>1475</v>
      </c>
      <c r="G999" s="145">
        <v>39034</v>
      </c>
      <c r="H999" s="46">
        <v>39044</v>
      </c>
      <c r="I999" s="133">
        <v>0.01</v>
      </c>
      <c r="J999" s="134">
        <f>IF(Tabela8[[#This Row],[Tipo]]="jcp",Tabela8[[#This Row],[Provento p/Ação]]*85%,Tabela8[[#This Row],[Provento p/Ação]])</f>
        <v>8.5000000000000006E-3</v>
      </c>
      <c r="K999" s="133" t="str">
        <f>IF([Lucro p/Ação]&lt;&gt;0,SUMPRODUCT(N([Papel]=Tabela8[[#This Row],[Papel]]),N([Exercício]=Tabela8[[#This Row],[Exercício]]),[Líquido p/Ação]),"")</f>
        <v/>
      </c>
      <c r="L999" s="42" t="str">
        <f>IF(Tabela8[[#This Row],[Lucro p/Ação]]="","",IF(Tabela8[[#This Row],[Lucro p/Ação]]&gt;0,Tabela8[[#This Row],[Total Exercício]]/Tabela8[[#This Row],[Lucro p/Ação]],0))</f>
        <v/>
      </c>
      <c r="M99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99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999" s="19" t="str">
        <f>IF(Tabela8[[#This Row],[Média Lucro p/Ação]]&lt;&gt;"",Tabela8[[#This Row],[Média Pago]]/Tabela8[[#This Row],[Média Lucro p/Ação]],"")</f>
        <v/>
      </c>
      <c r="P9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999" s="134">
        <f>SUMPRODUCT(N(Tabela1[Código]=Tabela8[[#This Row],[Papel]]),Tabela1[Fechamento])</f>
        <v>0</v>
      </c>
      <c r="R999" s="7">
        <f>SUMPRODUCT(N(Tabela17[Código]=Tabela8[[#This Row],[Papel]]),Tabela17[Fechamento])</f>
        <v>0.57999999999999996</v>
      </c>
      <c r="S999" s="7">
        <f>SUMPRODUCT(N(Tabela176[Código]=Tabela8[[#This Row],[Papel]]),Tabela176[Fechamento])</f>
        <v>0</v>
      </c>
      <c r="T999" s="7">
        <f>SUMPRODUCT(N(Tabela1768[Código]=Tabela8[[#This Row],[Papel]]),Tabela1768[Fechamento])</f>
        <v>0</v>
      </c>
      <c r="U999" s="7">
        <f>SUMPRODUCT(N(Tabela17683[Código]=Tabela8[[#This Row],[Papel]]),Tabela17683[Fechamento])</f>
        <v>0</v>
      </c>
      <c r="V999" s="7">
        <f>IF(MAX(Tabela8[[#This Row],[Cotação 1]]:Tabela8[[#This Row],[Cotação 5]])=0,"",MAX(Tabela8[[#This Row],[Cotação 1]]:Tabela8[[#This Row],[Cotação 5]]))</f>
        <v>0.57999999999999996</v>
      </c>
      <c r="W9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999" s="19" t="str">
        <f>IF(AND([Ref]=5,[Cotação]&gt;0,[Cotação]&lt;&gt;""),[Total Exercício]/[Cotação],IF([Ref]&lt;4,0,""))</f>
        <v/>
      </c>
      <c r="Y999" s="14">
        <f>IF([Tipo]="div",1,0)</f>
        <v>0</v>
      </c>
      <c r="Z999" s="14">
        <f>IF([Tipo]="jcp",1,0)</f>
        <v>1</v>
      </c>
    </row>
    <row r="1000" spans="1:26" hidden="1">
      <c r="A1000" s="24" t="s">
        <v>40</v>
      </c>
      <c r="B1000" s="131" t="s">
        <v>73</v>
      </c>
      <c r="C1000" s="15">
        <v>4</v>
      </c>
      <c r="D1000" s="4">
        <v>2006</v>
      </c>
      <c r="E1000" s="14" t="s">
        <v>1475</v>
      </c>
      <c r="G1000" s="145">
        <v>39034</v>
      </c>
      <c r="H1000" s="46">
        <v>39044</v>
      </c>
      <c r="I1000" s="133">
        <v>1.0999999999999999E-2</v>
      </c>
      <c r="J1000" s="134">
        <f>IF(Tabela8[[#This Row],[Tipo]]="jcp",Tabela8[[#This Row],[Provento p/Ação]]*85%,Tabela8[[#This Row],[Provento p/Ação]])</f>
        <v>9.3499999999999989E-3</v>
      </c>
      <c r="K1000" s="133" t="str">
        <f>IF([Lucro p/Ação]&lt;&gt;0,SUMPRODUCT(N([Papel]=Tabela8[[#This Row],[Papel]]),N([Exercício]=Tabela8[[#This Row],[Exercício]]),[Líquido p/Ação]),"")</f>
        <v/>
      </c>
      <c r="L1000" s="42" t="str">
        <f>IF(Tabela8[[#This Row],[Lucro p/Ação]]="","",IF(Tabela8[[#This Row],[Lucro p/Ação]]&gt;0,Tabela8[[#This Row],[Total Exercício]]/Tabela8[[#This Row],[Lucro p/Ação]],0))</f>
        <v/>
      </c>
      <c r="M100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0" s="19" t="str">
        <f>IF(Tabela8[[#This Row],[Média Lucro p/Ação]]&lt;&gt;"",Tabela8[[#This Row],[Média Pago]]/Tabela8[[#This Row],[Média Lucro p/Ação]],"")</f>
        <v/>
      </c>
      <c r="P10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0" s="134">
        <f>SUMPRODUCT(N(Tabela1[Código]=Tabela8[[#This Row],[Papel]]),Tabela1[Fechamento])</f>
        <v>0.64</v>
      </c>
      <c r="R1000" s="7">
        <f>SUMPRODUCT(N(Tabela17[Código]=Tabela8[[#This Row],[Papel]]),Tabela17[Fechamento])</f>
        <v>0</v>
      </c>
      <c r="S1000" s="7">
        <f>SUMPRODUCT(N(Tabela176[Código]=Tabela8[[#This Row],[Papel]]),Tabela176[Fechamento])</f>
        <v>0</v>
      </c>
      <c r="T1000" s="7">
        <f>SUMPRODUCT(N(Tabela1768[Código]=Tabela8[[#This Row],[Papel]]),Tabela1768[Fechamento])</f>
        <v>0</v>
      </c>
      <c r="U1000" s="7">
        <f>SUMPRODUCT(N(Tabela17683[Código]=Tabela8[[#This Row],[Papel]]),Tabela17683[Fechamento])</f>
        <v>0</v>
      </c>
      <c r="V1000" s="7">
        <f>IF(MAX(Tabela8[[#This Row],[Cotação 1]]:Tabela8[[#This Row],[Cotação 5]])=0,"",MAX(Tabela8[[#This Row],[Cotação 1]]:Tabela8[[#This Row],[Cotação 5]]))</f>
        <v>0.64</v>
      </c>
      <c r="W10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0" s="19" t="str">
        <f>IF(AND([Ref]=5,[Cotação]&gt;0,[Cotação]&lt;&gt;""),[Total Exercício]/[Cotação],IF([Ref]&lt;4,0,""))</f>
        <v/>
      </c>
      <c r="Y1000" s="14">
        <f>IF([Tipo]="div",1,0)</f>
        <v>0</v>
      </c>
      <c r="Z1000" s="14">
        <f>IF([Tipo]="jcp",1,0)</f>
        <v>1</v>
      </c>
    </row>
    <row r="1001" spans="1:26">
      <c r="A1001" s="24" t="s">
        <v>40</v>
      </c>
      <c r="B1001" s="135" t="s">
        <v>39</v>
      </c>
      <c r="C1001" s="15">
        <v>5</v>
      </c>
      <c r="D1001" s="4">
        <v>2004</v>
      </c>
      <c r="E1001" s="14" t="s">
        <v>1468</v>
      </c>
      <c r="F1001" s="133">
        <v>0.42553000000000002</v>
      </c>
      <c r="I1001" s="133">
        <v>2.3140000000000001E-2</v>
      </c>
      <c r="J1001" s="134">
        <f>IF(Tabela8[[#This Row],[Tipo]]="jcp",Tabela8[[#This Row],[Provento p/Ação]]*85%,Tabela8[[#This Row],[Provento p/Ação]])</f>
        <v>2.3140000000000001E-2</v>
      </c>
      <c r="K1001" s="133">
        <f>IF([Lucro p/Ação]&lt;&gt;0,SUMPRODUCT(N([Papel]=Tabela8[[#This Row],[Papel]]),N([Exercício]=Tabela8[[#This Row],[Exercício]]),[Líquido p/Ação]),"")</f>
        <v>0.14466000000000001</v>
      </c>
      <c r="L1001" s="42">
        <f>IF(Tabela8[[#This Row],[Lucro p/Ação]]="","",IF(Tabela8[[#This Row],[Lucro p/Ação]]&gt;0,Tabela8[[#This Row],[Total Exercício]]/Tabela8[[#This Row],[Lucro p/Ação]],0))</f>
        <v>0.33995252978638407</v>
      </c>
      <c r="M100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0.32813000000000003</v>
      </c>
      <c r="N100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9.7556000000000004E-2</v>
      </c>
      <c r="O1001" s="19">
        <f>IF(Tabela8[[#This Row],[Média Lucro p/Ação]]&lt;&gt;"",Tabela8[[#This Row],[Média Pago]]/Tabela8[[#This Row],[Média Lucro p/Ação]],"")</f>
        <v>0.29730899338676742</v>
      </c>
      <c r="P10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1" s="134">
        <f>SUMPRODUCT(N(Tabela1[Código]=Tabela8[[#This Row],[Papel]]),Tabela1[Fechamento])</f>
        <v>0.41</v>
      </c>
      <c r="R1001" s="17">
        <f>SUMPRODUCT(N(Tabela17[Código]=Tabela8[[#This Row],[Papel]]),Tabela17[Fechamento])</f>
        <v>0</v>
      </c>
      <c r="S1001" s="17">
        <f>SUMPRODUCT(N(Tabela176[Código]=Tabela8[[#This Row],[Papel]]),Tabela176[Fechamento])</f>
        <v>0</v>
      </c>
      <c r="T1001" s="17">
        <f>SUMPRODUCT(N(Tabela1768[Código]=Tabela8[[#This Row],[Papel]]),Tabela1768[Fechamento])</f>
        <v>0</v>
      </c>
      <c r="U1001" s="17">
        <f>SUMPRODUCT(N(Tabela17683[Código]=Tabela8[[#This Row],[Papel]]),Tabela17683[Fechamento])</f>
        <v>0</v>
      </c>
      <c r="V1001" s="17">
        <f>IF(MAX(Tabela8[[#This Row],[Cotação 1]]:Tabela8[[#This Row],[Cotação 5]])=0,"",MAX(Tabela8[[#This Row],[Cotação 1]]:Tabela8[[#This Row],[Cotação 5]]))</f>
        <v>0.41</v>
      </c>
      <c r="W10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1" s="19">
        <f>IF(AND([Ref]=5,[Cotação]&gt;0,[Cotação]&lt;&gt;""),[Total Exercício]/[Cotação],IF([Ref]&lt;4,0,""))</f>
        <v>0.35282926829268296</v>
      </c>
      <c r="Y1001" s="14">
        <f>IF([Tipo]="div",1,0)</f>
        <v>1</v>
      </c>
      <c r="Z1001" s="14">
        <f>IF([Tipo]="jcp",1,0)</f>
        <v>0</v>
      </c>
    </row>
    <row r="1002" spans="1:26" hidden="1">
      <c r="A1002" s="24" t="s">
        <v>40</v>
      </c>
      <c r="B1002" s="131" t="s">
        <v>413</v>
      </c>
      <c r="C1002" s="15">
        <v>4</v>
      </c>
      <c r="D1002" s="4">
        <v>2006</v>
      </c>
      <c r="E1002" s="14" t="s">
        <v>1475</v>
      </c>
      <c r="G1002" s="145">
        <v>39072</v>
      </c>
      <c r="H1002" s="46">
        <v>39141</v>
      </c>
      <c r="I1002" s="133">
        <v>2.7E-2</v>
      </c>
      <c r="J1002" s="134">
        <f>IF(Tabela8[[#This Row],[Tipo]]="jcp",Tabela8[[#This Row],[Provento p/Ação]]*85%,Tabela8[[#This Row],[Provento p/Ação]])</f>
        <v>2.2949999999999998E-2</v>
      </c>
      <c r="K1002" s="133" t="str">
        <f>IF([Lucro p/Ação]&lt;&gt;0,SUMPRODUCT(N([Papel]=Tabela8[[#This Row],[Papel]]),N([Exercício]=Tabela8[[#This Row],[Exercício]]),[Líquido p/Ação]),"")</f>
        <v/>
      </c>
      <c r="L1002" s="42" t="str">
        <f>IF(Tabela8[[#This Row],[Lucro p/Ação]]="","",IF(Tabela8[[#This Row],[Lucro p/Ação]]&gt;0,Tabela8[[#This Row],[Total Exercício]]/Tabela8[[#This Row],[Lucro p/Ação]],0))</f>
        <v/>
      </c>
      <c r="M100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2" s="19" t="str">
        <f>IF(Tabela8[[#This Row],[Média Lucro p/Ação]]&lt;&gt;"",Tabela8[[#This Row],[Média Pago]]/Tabela8[[#This Row],[Média Lucro p/Ação]],"")</f>
        <v/>
      </c>
      <c r="P10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2" s="134">
        <f>SUMPRODUCT(N(Tabela1[Código]=Tabela8[[#This Row],[Papel]]),Tabela1[Fechamento])</f>
        <v>0</v>
      </c>
      <c r="R1002" s="7">
        <f>SUMPRODUCT(N(Tabela17[Código]=Tabela8[[#This Row],[Papel]]),Tabela17[Fechamento])</f>
        <v>0.57999999999999996</v>
      </c>
      <c r="S1002" s="7">
        <f>SUMPRODUCT(N(Tabela176[Código]=Tabela8[[#This Row],[Papel]]),Tabela176[Fechamento])</f>
        <v>0</v>
      </c>
      <c r="T1002" s="7">
        <f>SUMPRODUCT(N(Tabela1768[Código]=Tabela8[[#This Row],[Papel]]),Tabela1768[Fechamento])</f>
        <v>0</v>
      </c>
      <c r="U1002" s="7">
        <f>SUMPRODUCT(N(Tabela17683[Código]=Tabela8[[#This Row],[Papel]]),Tabela17683[Fechamento])</f>
        <v>0</v>
      </c>
      <c r="V1002" s="7">
        <f>IF(MAX(Tabela8[[#This Row],[Cotação 1]]:Tabela8[[#This Row],[Cotação 5]])=0,"",MAX(Tabela8[[#This Row],[Cotação 1]]:Tabela8[[#This Row],[Cotação 5]]))</f>
        <v>0.57999999999999996</v>
      </c>
      <c r="W10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2" s="19" t="str">
        <f>IF(AND([Ref]=5,[Cotação]&gt;0,[Cotação]&lt;&gt;""),[Total Exercício]/[Cotação],IF([Ref]&lt;4,0,""))</f>
        <v/>
      </c>
      <c r="Y1002" s="14">
        <f>IF([Tipo]="div",1,0)</f>
        <v>0</v>
      </c>
      <c r="Z1002" s="14">
        <f>IF([Tipo]="jcp",1,0)</f>
        <v>1</v>
      </c>
    </row>
    <row r="1003" spans="1:26" hidden="1">
      <c r="A1003" s="24" t="s">
        <v>40</v>
      </c>
      <c r="B1003" s="131" t="s">
        <v>73</v>
      </c>
      <c r="C1003" s="15">
        <v>4</v>
      </c>
      <c r="D1003" s="4">
        <v>2006</v>
      </c>
      <c r="E1003" s="14" t="s">
        <v>1475</v>
      </c>
      <c r="G1003" s="145">
        <v>39072</v>
      </c>
      <c r="H1003" s="46">
        <v>39141</v>
      </c>
      <c r="I1003" s="133">
        <v>2.9700000000000001E-2</v>
      </c>
      <c r="J1003" s="134">
        <f>IF(Tabela8[[#This Row],[Tipo]]="jcp",Tabela8[[#This Row],[Provento p/Ação]]*85%,Tabela8[[#This Row],[Provento p/Ação]])</f>
        <v>2.5245E-2</v>
      </c>
      <c r="K1003" s="133" t="str">
        <f>IF([Lucro p/Ação]&lt;&gt;0,SUMPRODUCT(N([Papel]=Tabela8[[#This Row],[Papel]]),N([Exercício]=Tabela8[[#This Row],[Exercício]]),[Líquido p/Ação]),"")</f>
        <v/>
      </c>
      <c r="L1003" s="42" t="str">
        <f>IF(Tabela8[[#This Row],[Lucro p/Ação]]="","",IF(Tabela8[[#This Row],[Lucro p/Ação]]&gt;0,Tabela8[[#This Row],[Total Exercício]]/Tabela8[[#This Row],[Lucro p/Ação]],0))</f>
        <v/>
      </c>
      <c r="M100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3" s="19" t="str">
        <f>IF(Tabela8[[#This Row],[Média Lucro p/Ação]]&lt;&gt;"",Tabela8[[#This Row],[Média Pago]]/Tabela8[[#This Row],[Média Lucro p/Ação]],"")</f>
        <v/>
      </c>
      <c r="P10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3" s="134">
        <f>SUMPRODUCT(N(Tabela1[Código]=Tabela8[[#This Row],[Papel]]),Tabela1[Fechamento])</f>
        <v>0.64</v>
      </c>
      <c r="R1003" s="7">
        <f>SUMPRODUCT(N(Tabela17[Código]=Tabela8[[#This Row],[Papel]]),Tabela17[Fechamento])</f>
        <v>0</v>
      </c>
      <c r="S1003" s="7">
        <f>SUMPRODUCT(N(Tabela176[Código]=Tabela8[[#This Row],[Papel]]),Tabela176[Fechamento])</f>
        <v>0</v>
      </c>
      <c r="T1003" s="7">
        <f>SUMPRODUCT(N(Tabela1768[Código]=Tabela8[[#This Row],[Papel]]),Tabela1768[Fechamento])</f>
        <v>0</v>
      </c>
      <c r="U1003" s="7">
        <f>SUMPRODUCT(N(Tabela17683[Código]=Tabela8[[#This Row],[Papel]]),Tabela17683[Fechamento])</f>
        <v>0</v>
      </c>
      <c r="V1003" s="7">
        <f>IF(MAX(Tabela8[[#This Row],[Cotação 1]]:Tabela8[[#This Row],[Cotação 5]])=0,"",MAX(Tabela8[[#This Row],[Cotação 1]]:Tabela8[[#This Row],[Cotação 5]]))</f>
        <v>0.64</v>
      </c>
      <c r="W10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3" s="19" t="str">
        <f>IF(AND([Ref]=5,[Cotação]&gt;0,[Cotação]&lt;&gt;""),[Total Exercício]/[Cotação],IF([Ref]&lt;4,0,""))</f>
        <v/>
      </c>
      <c r="Y1003" s="14">
        <f>IF([Tipo]="div",1,0)</f>
        <v>0</v>
      </c>
      <c r="Z1003" s="14">
        <f>IF([Tipo]="jcp",1,0)</f>
        <v>1</v>
      </c>
    </row>
    <row r="1004" spans="1:26">
      <c r="A1004" s="24" t="s">
        <v>40</v>
      </c>
      <c r="B1004" s="135" t="s">
        <v>39</v>
      </c>
      <c r="C1004" s="15">
        <v>4</v>
      </c>
      <c r="D1004" s="4">
        <v>2003</v>
      </c>
      <c r="E1004" s="14" t="s">
        <v>1468</v>
      </c>
      <c r="G1004" s="145">
        <v>37931</v>
      </c>
      <c r="H1004" s="46">
        <v>37953</v>
      </c>
      <c r="I1004" s="133">
        <v>0.02</v>
      </c>
      <c r="J1004" s="134">
        <f>IF(Tabela8[[#This Row],[Tipo]]="jcp",Tabela8[[#This Row],[Provento p/Ação]]*85%,Tabela8[[#This Row],[Provento p/Ação]])</f>
        <v>0.02</v>
      </c>
      <c r="K1004" s="133" t="str">
        <f>IF([Lucro p/Ação]&lt;&gt;0,SUMPRODUCT(N([Papel]=Tabela8[[#This Row],[Papel]]),N([Exercício]=Tabela8[[#This Row],[Exercício]]),[Líquido p/Ação]),"")</f>
        <v/>
      </c>
      <c r="L1004" s="42" t="str">
        <f>IF(Tabela8[[#This Row],[Lucro p/Ação]]="","",IF(Tabela8[[#This Row],[Lucro p/Ação]]&gt;0,Tabela8[[#This Row],[Total Exercício]]/Tabela8[[#This Row],[Lucro p/Ação]],0))</f>
        <v/>
      </c>
      <c r="M100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4" s="19" t="str">
        <f>IF(Tabela8[[#This Row],[Média Lucro p/Ação]]&lt;&gt;"",Tabela8[[#This Row],[Média Pago]]/Tabela8[[#This Row],[Média Lucro p/Ação]],"")</f>
        <v/>
      </c>
      <c r="P10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4" s="134">
        <f>SUMPRODUCT(N(Tabela1[Código]=Tabela8[[#This Row],[Papel]]),Tabela1[Fechamento])</f>
        <v>0.41</v>
      </c>
      <c r="R1004" s="7">
        <f>SUMPRODUCT(N(Tabela17[Código]=Tabela8[[#This Row],[Papel]]),Tabela17[Fechamento])</f>
        <v>0</v>
      </c>
      <c r="S1004" s="7">
        <f>SUMPRODUCT(N(Tabela176[Código]=Tabela8[[#This Row],[Papel]]),Tabela176[Fechamento])</f>
        <v>0</v>
      </c>
      <c r="T1004" s="7">
        <f>SUMPRODUCT(N(Tabela1768[Código]=Tabela8[[#This Row],[Papel]]),Tabela1768[Fechamento])</f>
        <v>0</v>
      </c>
      <c r="U1004" s="7">
        <f>SUMPRODUCT(N(Tabela17683[Código]=Tabela8[[#This Row],[Papel]]),Tabela17683[Fechamento])</f>
        <v>0</v>
      </c>
      <c r="V1004" s="7">
        <f>IF(MAX(Tabela8[[#This Row],[Cotação 1]]:Tabela8[[#This Row],[Cotação 5]])=0,"",MAX(Tabela8[[#This Row],[Cotação 1]]:Tabela8[[#This Row],[Cotação 5]]))</f>
        <v>0.41</v>
      </c>
      <c r="W10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4" s="19" t="str">
        <f>IF(AND([Ref]=5,[Cotação]&gt;0,[Cotação]&lt;&gt;""),[Total Exercício]/[Cotação],IF([Ref]&lt;4,0,""))</f>
        <v/>
      </c>
      <c r="Y1004" s="14">
        <f>IF([Tipo]="div",1,0)</f>
        <v>1</v>
      </c>
      <c r="Z1004" s="14">
        <f>IF([Tipo]="jcp",1,0)</f>
        <v>0</v>
      </c>
    </row>
    <row r="1005" spans="1:26" hidden="1">
      <c r="A1005" s="24" t="s">
        <v>40</v>
      </c>
      <c r="B1005" s="131" t="s">
        <v>413</v>
      </c>
      <c r="C1005" s="15">
        <v>5</v>
      </c>
      <c r="D1005" s="4">
        <v>2006</v>
      </c>
      <c r="E1005" s="14" t="s">
        <v>1468</v>
      </c>
      <c r="F1005" s="133">
        <v>0.14308999999999999</v>
      </c>
      <c r="I1005" s="133">
        <v>7.5000000000000002E-4</v>
      </c>
      <c r="J1005" s="134">
        <f>IF(Tabela8[[#This Row],[Tipo]]="jcp",Tabela8[[#This Row],[Provento p/Ação]]*85%,Tabela8[[#This Row],[Provento p/Ação]])</f>
        <v>7.5000000000000002E-4</v>
      </c>
      <c r="K1005" s="133">
        <f>IF([Lucro p/Ação]&lt;&gt;0,SUMPRODUCT(N([Papel]=Tabela8[[#This Row],[Papel]]),N([Exercício]=Tabela8[[#This Row],[Exercício]]),[Líquido p/Ação]),"")</f>
        <v>4.07E-2</v>
      </c>
      <c r="L1005" s="42">
        <f>IF(Tabela8[[#This Row],[Lucro p/Ação]]="","",IF(Tabela8[[#This Row],[Lucro p/Ação]]&gt;0,Tabela8[[#This Row],[Total Exercício]]/Tabela8[[#This Row],[Lucro p/Ação]],0))</f>
        <v>0.28443636871898809</v>
      </c>
      <c r="M100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0.30093571428571436</v>
      </c>
      <c r="N100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9.8937142857142862E-2</v>
      </c>
      <c r="O1005" s="19">
        <f>IF(Tabela8[[#This Row],[Média Lucro p/Ação]]&lt;&gt;"",Tabela8[[#This Row],[Média Pago]]/Tabela8[[#This Row],[Média Lucro p/Ação]],"")</f>
        <v>0.32876504236785259</v>
      </c>
      <c r="P10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5" s="134">
        <f>SUMPRODUCT(N(Tabela1[Código]=Tabela8[[#This Row],[Papel]]),Tabela1[Fechamento])</f>
        <v>0</v>
      </c>
      <c r="R1005" s="7">
        <f>SUMPRODUCT(N(Tabela17[Código]=Tabela8[[#This Row],[Papel]]),Tabela17[Fechamento])</f>
        <v>0.57999999999999996</v>
      </c>
      <c r="S1005" s="7">
        <f>SUMPRODUCT(N(Tabela176[Código]=Tabela8[[#This Row],[Papel]]),Tabela176[Fechamento])</f>
        <v>0</v>
      </c>
      <c r="T1005" s="7">
        <f>SUMPRODUCT(N(Tabela1768[Código]=Tabela8[[#This Row],[Papel]]),Tabela1768[Fechamento])</f>
        <v>0</v>
      </c>
      <c r="U1005" s="7">
        <f>SUMPRODUCT(N(Tabela17683[Código]=Tabela8[[#This Row],[Papel]]),Tabela17683[Fechamento])</f>
        <v>0</v>
      </c>
      <c r="V1005" s="7">
        <f>IF(MAX(Tabela8[[#This Row],[Cotação 1]]:Tabela8[[#This Row],[Cotação 5]])=0,"",MAX(Tabela8[[#This Row],[Cotação 1]]:Tabela8[[#This Row],[Cotação 5]]))</f>
        <v>0.57999999999999996</v>
      </c>
      <c r="W10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5" s="19">
        <f>IF(AND([Ref]=5,[Cotação]&gt;0,[Cotação]&lt;&gt;""),[Total Exercício]/[Cotação],IF([Ref]&lt;4,0,""))</f>
        <v>7.0172413793103447E-2</v>
      </c>
      <c r="Y1005" s="14">
        <f>IF([Tipo]="div",1,0)</f>
        <v>1</v>
      </c>
      <c r="Z1005" s="14">
        <f>IF([Tipo]="jcp",1,0)</f>
        <v>0</v>
      </c>
    </row>
    <row r="1006" spans="1:26" hidden="1">
      <c r="A1006" s="24" t="s">
        <v>40</v>
      </c>
      <c r="B1006" s="131" t="s">
        <v>73</v>
      </c>
      <c r="C1006" s="15">
        <v>5</v>
      </c>
      <c r="D1006" s="4">
        <v>2006</v>
      </c>
      <c r="E1006" s="14" t="s">
        <v>1468</v>
      </c>
      <c r="F1006" s="133">
        <v>0.14308999999999999</v>
      </c>
      <c r="I1006" s="133">
        <v>5.6055000000000001E-2</v>
      </c>
      <c r="J1006" s="134">
        <f>IF(Tabela8[[#This Row],[Tipo]]="jcp",Tabela8[[#This Row],[Provento p/Ação]]*85%,Tabela8[[#This Row],[Provento p/Ação]])</f>
        <v>5.6055000000000001E-2</v>
      </c>
      <c r="K1006" s="133">
        <f>IF([Lucro p/Ação]&lt;&gt;0,SUMPRODUCT(N([Papel]=Tabela8[[#This Row],[Papel]]),N([Exercício]=Tabela8[[#This Row],[Exercício]]),[Líquido p/Ação]),"")</f>
        <v>0.1</v>
      </c>
      <c r="L1006" s="42">
        <f>IF(Tabela8[[#This Row],[Lucro p/Ação]]="","",IF(Tabela8[[#This Row],[Lucro p/Ação]]&gt;0,Tabela8[[#This Row],[Total Exercício]]/Tabela8[[#This Row],[Lucro p/Ação]],0))</f>
        <v>0.69886085680341048</v>
      </c>
      <c r="M100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0.30093571428571436</v>
      </c>
      <c r="N100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0.10704857142857141</v>
      </c>
      <c r="O1006" s="19">
        <f>IF(Tabela8[[#This Row],[Média Lucro p/Ação]]&lt;&gt;"",Tabela8[[#This Row],[Média Pago]]/Tabela8[[#This Row],[Média Lucro p/Ação]],"")</f>
        <v>0.35571906672046694</v>
      </c>
      <c r="P10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6" s="134">
        <f>SUMPRODUCT(N(Tabela1[Código]=Tabela8[[#This Row],[Papel]]),Tabela1[Fechamento])</f>
        <v>0.64</v>
      </c>
      <c r="R1006" s="7">
        <f>SUMPRODUCT(N(Tabela17[Código]=Tabela8[[#This Row],[Papel]]),Tabela17[Fechamento])</f>
        <v>0</v>
      </c>
      <c r="S1006" s="7">
        <f>SUMPRODUCT(N(Tabela176[Código]=Tabela8[[#This Row],[Papel]]),Tabela176[Fechamento])</f>
        <v>0</v>
      </c>
      <c r="T1006" s="7">
        <f>SUMPRODUCT(N(Tabela1768[Código]=Tabela8[[#This Row],[Papel]]),Tabela1768[Fechamento])</f>
        <v>0</v>
      </c>
      <c r="U1006" s="7">
        <f>SUMPRODUCT(N(Tabela17683[Código]=Tabela8[[#This Row],[Papel]]),Tabela17683[Fechamento])</f>
        <v>0</v>
      </c>
      <c r="V1006" s="7">
        <f>IF(MAX(Tabela8[[#This Row],[Cotação 1]]:Tabela8[[#This Row],[Cotação 5]])=0,"",MAX(Tabela8[[#This Row],[Cotação 1]]:Tabela8[[#This Row],[Cotação 5]]))</f>
        <v>0.64</v>
      </c>
      <c r="W10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6" s="19">
        <f>IF(AND([Ref]=5,[Cotação]&gt;0,[Cotação]&lt;&gt;""),[Total Exercício]/[Cotação],IF([Ref]&lt;4,0,""))</f>
        <v>0.15625</v>
      </c>
      <c r="Y1006" s="14">
        <f>IF([Tipo]="div",1,0)</f>
        <v>1</v>
      </c>
      <c r="Z1006" s="14">
        <f>IF([Tipo]="jcp",1,0)</f>
        <v>0</v>
      </c>
    </row>
    <row r="1007" spans="1:26">
      <c r="A1007" s="24" t="s">
        <v>40</v>
      </c>
      <c r="B1007" s="135" t="s">
        <v>39</v>
      </c>
      <c r="C1007" s="15">
        <v>4</v>
      </c>
      <c r="D1007" s="4">
        <v>2003</v>
      </c>
      <c r="E1007" s="14" t="s">
        <v>1475</v>
      </c>
      <c r="G1007" s="145">
        <v>37985</v>
      </c>
      <c r="I1007" s="133">
        <v>3.4000000000000002E-2</v>
      </c>
      <c r="J1007" s="151">
        <f>IF(Tabela8[[#This Row],[Tipo]]="jcp",Tabela8[[#This Row],[Provento p/Ação]]*85%,Tabela8[[#This Row],[Provento p/Ação]])</f>
        <v>2.8900000000000002E-2</v>
      </c>
      <c r="K1007" s="133" t="str">
        <f>IF([Lucro p/Ação]&lt;&gt;0,SUMPRODUCT(N([Papel]=Tabela8[[#This Row],[Papel]]),N([Exercício]=Tabela8[[#This Row],[Exercício]]),[Líquido p/Ação]),"")</f>
        <v/>
      </c>
      <c r="L1007" s="42" t="str">
        <f>IF(Tabela8[[#This Row],[Lucro p/Ação]]="","",IF(Tabela8[[#This Row],[Lucro p/Ação]]&gt;0,Tabela8[[#This Row],[Total Exercício]]/Tabela8[[#This Row],[Lucro p/Ação]],0))</f>
        <v/>
      </c>
      <c r="M100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7" s="19" t="str">
        <f>IF(Tabela8[[#This Row],[Média Lucro p/Ação]]&lt;&gt;"",Tabela8[[#This Row],[Média Pago]]/Tabela8[[#This Row],[Média Lucro p/Ação]],"")</f>
        <v/>
      </c>
      <c r="P10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7" s="134">
        <f>SUMPRODUCT(N(Tabela1[Código]=Tabela8[[#This Row],[Papel]]),Tabela1[Fechamento])</f>
        <v>0.41</v>
      </c>
      <c r="R1007" s="7">
        <f>SUMPRODUCT(N(Tabela17[Código]=Tabela8[[#This Row],[Papel]]),Tabela17[Fechamento])</f>
        <v>0</v>
      </c>
      <c r="S1007" s="7">
        <f>SUMPRODUCT(N(Tabela176[Código]=Tabela8[[#This Row],[Papel]]),Tabela176[Fechamento])</f>
        <v>0</v>
      </c>
      <c r="T1007" s="7">
        <f>SUMPRODUCT(N(Tabela1768[Código]=Tabela8[[#This Row],[Papel]]),Tabela1768[Fechamento])</f>
        <v>0</v>
      </c>
      <c r="U1007" s="7">
        <f>SUMPRODUCT(N(Tabela17683[Código]=Tabela8[[#This Row],[Papel]]),Tabela17683[Fechamento])</f>
        <v>0</v>
      </c>
      <c r="V1007" s="7">
        <f>IF(MAX(Tabela8[[#This Row],[Cotação 1]]:Tabela8[[#This Row],[Cotação 5]])=0,"",MAX(Tabela8[[#This Row],[Cotação 1]]:Tabela8[[#This Row],[Cotação 5]]))</f>
        <v>0.41</v>
      </c>
      <c r="W10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7" s="19" t="str">
        <f>IF(AND([Ref]=5,[Cotação]&gt;0,[Cotação]&lt;&gt;""),[Total Exercício]/[Cotação],IF([Ref]&lt;4,0,""))</f>
        <v/>
      </c>
      <c r="Y1007" s="14">
        <f>IF([Tipo]="div",1,0)</f>
        <v>0</v>
      </c>
      <c r="Z1007" s="14">
        <f>IF([Tipo]="jcp",1,0)</f>
        <v>1</v>
      </c>
    </row>
    <row r="1008" spans="1:26" hidden="1">
      <c r="A1008" s="24" t="s">
        <v>40</v>
      </c>
      <c r="B1008" s="131" t="s">
        <v>413</v>
      </c>
      <c r="C1008" s="15">
        <v>4</v>
      </c>
      <c r="D1008" s="4">
        <v>2007</v>
      </c>
      <c r="E1008" s="14" t="s">
        <v>1468</v>
      </c>
      <c r="G1008" s="145">
        <v>39317</v>
      </c>
      <c r="H1008" s="46">
        <v>39325</v>
      </c>
      <c r="I1008" s="133">
        <v>0.01</v>
      </c>
      <c r="J1008" s="134">
        <f>IF(Tabela8[[#This Row],[Tipo]]="jcp",Tabela8[[#This Row],[Provento p/Ação]]*85%,Tabela8[[#This Row],[Provento p/Ação]])</f>
        <v>0.01</v>
      </c>
      <c r="K1008" s="133" t="str">
        <f>IF([Lucro p/Ação]&lt;&gt;0,SUMPRODUCT(N([Papel]=Tabela8[[#This Row],[Papel]]),N([Exercício]=Tabela8[[#This Row],[Exercício]]),[Líquido p/Ação]),"")</f>
        <v/>
      </c>
      <c r="L1008" s="42" t="str">
        <f>IF(Tabela8[[#This Row],[Lucro p/Ação]]="","",IF(Tabela8[[#This Row],[Lucro p/Ação]]&gt;0,Tabela8[[#This Row],[Total Exercício]]/Tabela8[[#This Row],[Lucro p/Ação]],0))</f>
        <v/>
      </c>
      <c r="M100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8" s="19" t="str">
        <f>IF(Tabela8[[#This Row],[Média Lucro p/Ação]]&lt;&gt;"",Tabela8[[#This Row],[Média Pago]]/Tabela8[[#This Row],[Média Lucro p/Ação]],"")</f>
        <v/>
      </c>
      <c r="P10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8" s="134">
        <f>SUMPRODUCT(N(Tabela1[Código]=Tabela8[[#This Row],[Papel]]),Tabela1[Fechamento])</f>
        <v>0</v>
      </c>
      <c r="R1008" s="7">
        <f>SUMPRODUCT(N(Tabela17[Código]=Tabela8[[#This Row],[Papel]]),Tabela17[Fechamento])</f>
        <v>0.57999999999999996</v>
      </c>
      <c r="S1008" s="7">
        <f>SUMPRODUCT(N(Tabela176[Código]=Tabela8[[#This Row],[Papel]]),Tabela176[Fechamento])</f>
        <v>0</v>
      </c>
      <c r="T1008" s="7">
        <f>SUMPRODUCT(N(Tabela1768[Código]=Tabela8[[#This Row],[Papel]]),Tabela1768[Fechamento])</f>
        <v>0</v>
      </c>
      <c r="U1008" s="7">
        <f>SUMPRODUCT(N(Tabela17683[Código]=Tabela8[[#This Row],[Papel]]),Tabela17683[Fechamento])</f>
        <v>0</v>
      </c>
      <c r="V1008" s="7">
        <f>IF(MAX(Tabela8[[#This Row],[Cotação 1]]:Tabela8[[#This Row],[Cotação 5]])=0,"",MAX(Tabela8[[#This Row],[Cotação 1]]:Tabela8[[#This Row],[Cotação 5]]))</f>
        <v>0.57999999999999996</v>
      </c>
      <c r="W10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8" s="19" t="str">
        <f>IF(AND([Ref]=5,[Cotação]&gt;0,[Cotação]&lt;&gt;""),[Total Exercício]/[Cotação],IF([Ref]&lt;4,0,""))</f>
        <v/>
      </c>
      <c r="Y1008" s="14">
        <f>IF([Tipo]="div",1,0)</f>
        <v>1</v>
      </c>
      <c r="Z1008" s="14">
        <f>IF([Tipo]="jcp",1,0)</f>
        <v>0</v>
      </c>
    </row>
    <row r="1009" spans="1:26" hidden="1">
      <c r="A1009" s="24" t="s">
        <v>40</v>
      </c>
      <c r="B1009" s="131" t="s">
        <v>73</v>
      </c>
      <c r="C1009" s="15">
        <v>4</v>
      </c>
      <c r="D1009" s="4">
        <v>2007</v>
      </c>
      <c r="E1009" s="14" t="s">
        <v>1468</v>
      </c>
      <c r="G1009" s="145">
        <v>39317</v>
      </c>
      <c r="H1009" s="46">
        <v>39325</v>
      </c>
      <c r="I1009" s="133">
        <v>1.0999999999999999E-2</v>
      </c>
      <c r="J1009" s="134">
        <f>IF(Tabela8[[#This Row],[Tipo]]="jcp",Tabela8[[#This Row],[Provento p/Ação]]*85%,Tabela8[[#This Row],[Provento p/Ação]])</f>
        <v>1.0999999999999999E-2</v>
      </c>
      <c r="K1009" s="133" t="str">
        <f>IF([Lucro p/Ação]&lt;&gt;0,SUMPRODUCT(N([Papel]=Tabela8[[#This Row],[Papel]]),N([Exercício]=Tabela8[[#This Row],[Exercício]]),[Líquido p/Ação]),"")</f>
        <v/>
      </c>
      <c r="L1009" s="42" t="str">
        <f>IF(Tabela8[[#This Row],[Lucro p/Ação]]="","",IF(Tabela8[[#This Row],[Lucro p/Ação]]&gt;0,Tabela8[[#This Row],[Total Exercício]]/Tabela8[[#This Row],[Lucro p/Ação]],0))</f>
        <v/>
      </c>
      <c r="M100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0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09" s="19" t="str">
        <f>IF(Tabela8[[#This Row],[Média Lucro p/Ação]]&lt;&gt;"",Tabela8[[#This Row],[Média Pago]]/Tabela8[[#This Row],[Média Lucro p/Ação]],"")</f>
        <v/>
      </c>
      <c r="P10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09" s="134">
        <f>SUMPRODUCT(N(Tabela1[Código]=Tabela8[[#This Row],[Papel]]),Tabela1[Fechamento])</f>
        <v>0.64</v>
      </c>
      <c r="R1009" s="7">
        <f>SUMPRODUCT(N(Tabela17[Código]=Tabela8[[#This Row],[Papel]]),Tabela17[Fechamento])</f>
        <v>0</v>
      </c>
      <c r="S1009" s="7">
        <f>SUMPRODUCT(N(Tabela176[Código]=Tabela8[[#This Row],[Papel]]),Tabela176[Fechamento])</f>
        <v>0</v>
      </c>
      <c r="T1009" s="7">
        <f>SUMPRODUCT(N(Tabela1768[Código]=Tabela8[[#This Row],[Papel]]),Tabela1768[Fechamento])</f>
        <v>0</v>
      </c>
      <c r="U1009" s="7">
        <f>SUMPRODUCT(N(Tabela17683[Código]=Tabela8[[#This Row],[Papel]]),Tabela17683[Fechamento])</f>
        <v>0</v>
      </c>
      <c r="V1009" s="7">
        <f>IF(MAX(Tabela8[[#This Row],[Cotação 1]]:Tabela8[[#This Row],[Cotação 5]])=0,"",MAX(Tabela8[[#This Row],[Cotação 1]]:Tabela8[[#This Row],[Cotação 5]]))</f>
        <v>0.64</v>
      </c>
      <c r="W10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09" s="19" t="str">
        <f>IF(AND([Ref]=5,[Cotação]&gt;0,[Cotação]&lt;&gt;""),[Total Exercício]/[Cotação],IF([Ref]&lt;4,0,""))</f>
        <v/>
      </c>
      <c r="Y1009" s="14">
        <f>IF([Tipo]="div",1,0)</f>
        <v>1</v>
      </c>
      <c r="Z1009" s="14">
        <f>IF([Tipo]="jcp",1,0)</f>
        <v>0</v>
      </c>
    </row>
    <row r="1010" spans="1:26">
      <c r="A1010" s="24" t="s">
        <v>40</v>
      </c>
      <c r="B1010" s="135" t="s">
        <v>39</v>
      </c>
      <c r="C1010" s="15">
        <v>5</v>
      </c>
      <c r="D1010" s="4">
        <v>2003</v>
      </c>
      <c r="E1010" s="14" t="s">
        <v>1468</v>
      </c>
      <c r="F1010" s="133">
        <v>0.25336999999999998</v>
      </c>
      <c r="G1010" s="145">
        <v>38101</v>
      </c>
      <c r="I1010" s="133">
        <v>2.3769999999999999E-2</v>
      </c>
      <c r="J1010" s="134">
        <f>IF(Tabela8[[#This Row],[Tipo]]="jcp",Tabela8[[#This Row],[Provento p/Ação]]*85%,Tabela8[[#This Row],[Provento p/Ação]])</f>
        <v>2.3769999999999999E-2</v>
      </c>
      <c r="K1010" s="133">
        <f>IF([Lucro p/Ação]&lt;&gt;0,SUMPRODUCT(N([Papel]=Tabela8[[#This Row],[Papel]]),N([Exercício]=Tabela8[[#This Row],[Exercício]]),[Líquido p/Ação]),"")</f>
        <v>7.2669999999999998E-2</v>
      </c>
      <c r="L1010" s="42">
        <f>IF(Tabela8[[#This Row],[Lucro p/Ação]]="","",IF(Tabela8[[#This Row],[Lucro p/Ação]]&gt;0,Tabela8[[#This Row],[Total Exercício]]/Tabela8[[#This Row],[Lucro p/Ação]],0))</f>
        <v>0.28681375064135456</v>
      </c>
      <c r="M101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0.30377999999999999</v>
      </c>
      <c r="N101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8.5780000000000009E-2</v>
      </c>
      <c r="O1010" s="19">
        <f>IF(Tabela8[[#This Row],[Média Lucro p/Ação]]&lt;&gt;"",Tabela8[[#This Row],[Média Pago]]/Tabela8[[#This Row],[Média Lucro p/Ação]],"")</f>
        <v>0.28237540325235372</v>
      </c>
      <c r="P10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0" s="134">
        <f>SUMPRODUCT(N(Tabela1[Código]=Tabela8[[#This Row],[Papel]]),Tabela1[Fechamento])</f>
        <v>0.41</v>
      </c>
      <c r="R1010" s="17">
        <f>SUMPRODUCT(N(Tabela17[Código]=Tabela8[[#This Row],[Papel]]),Tabela17[Fechamento])</f>
        <v>0</v>
      </c>
      <c r="S1010" s="17">
        <f>SUMPRODUCT(N(Tabela176[Código]=Tabela8[[#This Row],[Papel]]),Tabela176[Fechamento])</f>
        <v>0</v>
      </c>
      <c r="T1010" s="17">
        <f>SUMPRODUCT(N(Tabela1768[Código]=Tabela8[[#This Row],[Papel]]),Tabela1768[Fechamento])</f>
        <v>0</v>
      </c>
      <c r="U1010" s="17">
        <f>SUMPRODUCT(N(Tabela17683[Código]=Tabela8[[#This Row],[Papel]]),Tabela17683[Fechamento])</f>
        <v>0</v>
      </c>
      <c r="V1010" s="17">
        <f>IF(MAX(Tabela8[[#This Row],[Cotação 1]]:Tabela8[[#This Row],[Cotação 5]])=0,"",MAX(Tabela8[[#This Row],[Cotação 1]]:Tabela8[[#This Row],[Cotação 5]]))</f>
        <v>0.41</v>
      </c>
      <c r="W10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0" s="19">
        <f>IF(AND([Ref]=5,[Cotação]&gt;0,[Cotação]&lt;&gt;""),[Total Exercício]/[Cotação],IF([Ref]&lt;4,0,""))</f>
        <v>0.17724390243902441</v>
      </c>
      <c r="Y1010" s="14">
        <f>IF([Tipo]="div",1,0)</f>
        <v>1</v>
      </c>
      <c r="Z1010" s="14">
        <f>IF([Tipo]="jcp",1,0)</f>
        <v>0</v>
      </c>
    </row>
    <row r="1011" spans="1:26" hidden="1">
      <c r="A1011" s="24" t="s">
        <v>40</v>
      </c>
      <c r="B1011" s="131" t="s">
        <v>413</v>
      </c>
      <c r="C1011" s="15">
        <v>4</v>
      </c>
      <c r="D1011" s="4">
        <v>2007</v>
      </c>
      <c r="E1011" s="14" t="s">
        <v>1468</v>
      </c>
      <c r="G1011" s="145">
        <v>39426</v>
      </c>
      <c r="H1011" s="46">
        <v>39435</v>
      </c>
      <c r="I1011" s="133">
        <v>0.01</v>
      </c>
      <c r="J1011" s="134">
        <f>IF(Tabela8[[#This Row],[Tipo]]="jcp",Tabela8[[#This Row],[Provento p/Ação]]*85%,Tabela8[[#This Row],[Provento p/Ação]])</f>
        <v>0.01</v>
      </c>
      <c r="K1011" s="133" t="str">
        <f>IF([Lucro p/Ação]&lt;&gt;0,SUMPRODUCT(N([Papel]=Tabela8[[#This Row],[Papel]]),N([Exercício]=Tabela8[[#This Row],[Exercício]]),[Líquido p/Ação]),"")</f>
        <v/>
      </c>
      <c r="L1011" s="42" t="str">
        <f>IF(Tabela8[[#This Row],[Lucro p/Ação]]="","",IF(Tabela8[[#This Row],[Lucro p/Ação]]&gt;0,Tabela8[[#This Row],[Total Exercício]]/Tabela8[[#This Row],[Lucro p/Ação]],0))</f>
        <v/>
      </c>
      <c r="M101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1" s="19" t="str">
        <f>IF(Tabela8[[#This Row],[Média Lucro p/Ação]]&lt;&gt;"",Tabela8[[#This Row],[Média Pago]]/Tabela8[[#This Row],[Média Lucro p/Ação]],"")</f>
        <v/>
      </c>
      <c r="P10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1" s="134">
        <f>SUMPRODUCT(N(Tabela1[Código]=Tabela8[[#This Row],[Papel]]),Tabela1[Fechamento])</f>
        <v>0</v>
      </c>
      <c r="R1011" s="7">
        <f>SUMPRODUCT(N(Tabela17[Código]=Tabela8[[#This Row],[Papel]]),Tabela17[Fechamento])</f>
        <v>0.57999999999999996</v>
      </c>
      <c r="S1011" s="7">
        <f>SUMPRODUCT(N(Tabela176[Código]=Tabela8[[#This Row],[Papel]]),Tabela176[Fechamento])</f>
        <v>0</v>
      </c>
      <c r="T1011" s="7">
        <f>SUMPRODUCT(N(Tabela1768[Código]=Tabela8[[#This Row],[Papel]]),Tabela1768[Fechamento])</f>
        <v>0</v>
      </c>
      <c r="U1011" s="7">
        <f>SUMPRODUCT(N(Tabela17683[Código]=Tabela8[[#This Row],[Papel]]),Tabela17683[Fechamento])</f>
        <v>0</v>
      </c>
      <c r="V1011" s="7">
        <f>IF(MAX(Tabela8[[#This Row],[Cotação 1]]:Tabela8[[#This Row],[Cotação 5]])=0,"",MAX(Tabela8[[#This Row],[Cotação 1]]:Tabela8[[#This Row],[Cotação 5]]))</f>
        <v>0.57999999999999996</v>
      </c>
      <c r="W10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1" s="19" t="str">
        <f>IF(AND([Ref]=5,[Cotação]&gt;0,[Cotação]&lt;&gt;""),[Total Exercício]/[Cotação],IF([Ref]&lt;4,0,""))</f>
        <v/>
      </c>
      <c r="Y1011" s="14">
        <f>IF([Tipo]="div",1,0)</f>
        <v>1</v>
      </c>
      <c r="Z1011" s="14">
        <f>IF([Tipo]="jcp",1,0)</f>
        <v>0</v>
      </c>
    </row>
    <row r="1012" spans="1:26" hidden="1">
      <c r="A1012" s="24" t="s">
        <v>40</v>
      </c>
      <c r="B1012" s="131" t="s">
        <v>73</v>
      </c>
      <c r="C1012" s="15">
        <v>4</v>
      </c>
      <c r="D1012" s="4">
        <v>2007</v>
      </c>
      <c r="E1012" s="14" t="s">
        <v>1468</v>
      </c>
      <c r="G1012" s="145">
        <v>39426</v>
      </c>
      <c r="H1012" s="46">
        <v>39435</v>
      </c>
      <c r="I1012" s="133">
        <v>1.0999999999999999E-2</v>
      </c>
      <c r="J1012" s="134">
        <f>IF(Tabela8[[#This Row],[Tipo]]="jcp",Tabela8[[#This Row],[Provento p/Ação]]*85%,Tabela8[[#This Row],[Provento p/Ação]])</f>
        <v>1.0999999999999999E-2</v>
      </c>
      <c r="K1012" s="133" t="str">
        <f>IF([Lucro p/Ação]&lt;&gt;0,SUMPRODUCT(N([Papel]=Tabela8[[#This Row],[Papel]]),N([Exercício]=Tabela8[[#This Row],[Exercício]]),[Líquido p/Ação]),"")</f>
        <v/>
      </c>
      <c r="L1012" s="42" t="str">
        <f>IF(Tabela8[[#This Row],[Lucro p/Ação]]="","",IF(Tabela8[[#This Row],[Lucro p/Ação]]&gt;0,Tabela8[[#This Row],[Total Exercício]]/Tabela8[[#This Row],[Lucro p/Ação]],0))</f>
        <v/>
      </c>
      <c r="M101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2" s="19" t="str">
        <f>IF(Tabela8[[#This Row],[Média Lucro p/Ação]]&lt;&gt;"",Tabela8[[#This Row],[Média Pago]]/Tabela8[[#This Row],[Média Lucro p/Ação]],"")</f>
        <v/>
      </c>
      <c r="P10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2" s="134">
        <f>SUMPRODUCT(N(Tabela1[Código]=Tabela8[[#This Row],[Papel]]),Tabela1[Fechamento])</f>
        <v>0.64</v>
      </c>
      <c r="R1012" s="7">
        <f>SUMPRODUCT(N(Tabela17[Código]=Tabela8[[#This Row],[Papel]]),Tabela17[Fechamento])</f>
        <v>0</v>
      </c>
      <c r="S1012" s="7">
        <f>SUMPRODUCT(N(Tabela176[Código]=Tabela8[[#This Row],[Papel]]),Tabela176[Fechamento])</f>
        <v>0</v>
      </c>
      <c r="T1012" s="7">
        <f>SUMPRODUCT(N(Tabela1768[Código]=Tabela8[[#This Row],[Papel]]),Tabela1768[Fechamento])</f>
        <v>0</v>
      </c>
      <c r="U1012" s="7">
        <f>SUMPRODUCT(N(Tabela17683[Código]=Tabela8[[#This Row],[Papel]]),Tabela17683[Fechamento])</f>
        <v>0</v>
      </c>
      <c r="V1012" s="7">
        <f>IF(MAX(Tabela8[[#This Row],[Cotação 1]]:Tabela8[[#This Row],[Cotação 5]])=0,"",MAX(Tabela8[[#This Row],[Cotação 1]]:Tabela8[[#This Row],[Cotação 5]]))</f>
        <v>0.64</v>
      </c>
      <c r="W10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2" s="19" t="str">
        <f>IF(AND([Ref]=5,[Cotação]&gt;0,[Cotação]&lt;&gt;""),[Total Exercício]/[Cotação],IF([Ref]&lt;4,0,""))</f>
        <v/>
      </c>
      <c r="Y1012" s="14">
        <f>IF([Tipo]="div",1,0)</f>
        <v>1</v>
      </c>
      <c r="Z1012" s="14">
        <f>IF([Tipo]="jcp",1,0)</f>
        <v>0</v>
      </c>
    </row>
    <row r="1013" spans="1:26">
      <c r="A1013" s="24" t="s">
        <v>40</v>
      </c>
      <c r="B1013" s="135" t="s">
        <v>39</v>
      </c>
      <c r="C1013" s="15">
        <v>4</v>
      </c>
      <c r="D1013" s="4">
        <v>2002</v>
      </c>
      <c r="E1013" s="14" t="s">
        <v>1475</v>
      </c>
      <c r="G1013" s="145">
        <v>37553</v>
      </c>
      <c r="H1013" s="46">
        <v>37573</v>
      </c>
      <c r="I1013" s="133">
        <v>0.06</v>
      </c>
      <c r="J1013" s="134">
        <f>IF(Tabela8[[#This Row],[Tipo]]="jcp",Tabela8[[#This Row],[Provento p/Ação]]*85%,Tabela8[[#This Row],[Provento p/Ação]])</f>
        <v>5.0999999999999997E-2</v>
      </c>
      <c r="K1013" s="133" t="str">
        <f>IF([Lucro p/Ação]&lt;&gt;0,SUMPRODUCT(N([Papel]=Tabela8[[#This Row],[Papel]]),N([Exercício]=Tabela8[[#This Row],[Exercício]]),[Líquido p/Ação]),"")</f>
        <v/>
      </c>
      <c r="L1013" s="42" t="str">
        <f>IF(Tabela8[[#This Row],[Lucro p/Ação]]="","",IF(Tabela8[[#This Row],[Lucro p/Ação]]&gt;0,Tabela8[[#This Row],[Total Exercício]]/Tabela8[[#This Row],[Lucro p/Ação]],0))</f>
        <v/>
      </c>
      <c r="M101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3" s="19" t="str">
        <f>IF(Tabela8[[#This Row],[Média Lucro p/Ação]]&lt;&gt;"",Tabela8[[#This Row],[Média Pago]]/Tabela8[[#This Row],[Média Lucro p/Ação]],"")</f>
        <v/>
      </c>
      <c r="P10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3" s="134">
        <f>SUMPRODUCT(N(Tabela1[Código]=Tabela8[[#This Row],[Papel]]),Tabela1[Fechamento])</f>
        <v>0.41</v>
      </c>
      <c r="R1013" s="7">
        <f>SUMPRODUCT(N(Tabela17[Código]=Tabela8[[#This Row],[Papel]]),Tabela17[Fechamento])</f>
        <v>0</v>
      </c>
      <c r="S1013" s="7">
        <f>SUMPRODUCT(N(Tabela176[Código]=Tabela8[[#This Row],[Papel]]),Tabela176[Fechamento])</f>
        <v>0</v>
      </c>
      <c r="T1013" s="7">
        <f>SUMPRODUCT(N(Tabela1768[Código]=Tabela8[[#This Row],[Papel]]),Tabela1768[Fechamento])</f>
        <v>0</v>
      </c>
      <c r="U1013" s="7">
        <f>SUMPRODUCT(N(Tabela17683[Código]=Tabela8[[#This Row],[Papel]]),Tabela17683[Fechamento])</f>
        <v>0</v>
      </c>
      <c r="V1013" s="7">
        <f>IF(MAX(Tabela8[[#This Row],[Cotação 1]]:Tabela8[[#This Row],[Cotação 5]])=0,"",MAX(Tabela8[[#This Row],[Cotação 1]]:Tabela8[[#This Row],[Cotação 5]]))</f>
        <v>0.41</v>
      </c>
      <c r="W10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3" s="19" t="str">
        <f>IF(AND([Ref]=5,[Cotação]&gt;0,[Cotação]&lt;&gt;""),[Total Exercício]/[Cotação],IF([Ref]&lt;4,0,""))</f>
        <v/>
      </c>
      <c r="Y1013" s="14">
        <f>IF([Tipo]="div",1,0)</f>
        <v>0</v>
      </c>
      <c r="Z1013" s="14">
        <f>IF([Tipo]="jcp",1,0)</f>
        <v>1</v>
      </c>
    </row>
    <row r="1014" spans="1:26" hidden="1">
      <c r="A1014" s="24" t="s">
        <v>40</v>
      </c>
      <c r="B1014" s="131" t="s">
        <v>413</v>
      </c>
      <c r="C1014" s="15">
        <v>4</v>
      </c>
      <c r="D1014" s="4">
        <v>2007</v>
      </c>
      <c r="E1014" s="14" t="s">
        <v>1468</v>
      </c>
      <c r="G1014" s="145">
        <v>39520</v>
      </c>
      <c r="H1014" s="46">
        <v>39532</v>
      </c>
      <c r="I1014" s="133">
        <v>0.01</v>
      </c>
      <c r="J1014" s="134">
        <f>IF(Tabela8[[#This Row],[Tipo]]="jcp",Tabela8[[#This Row],[Provento p/Ação]]*85%,Tabela8[[#This Row],[Provento p/Ação]])</f>
        <v>0.01</v>
      </c>
      <c r="K1014" s="133" t="str">
        <f>IF([Lucro p/Ação]&lt;&gt;0,SUMPRODUCT(N([Papel]=Tabela8[[#This Row],[Papel]]),N([Exercício]=Tabela8[[#This Row],[Exercício]]),[Líquido p/Ação]),"")</f>
        <v/>
      </c>
      <c r="L1014" s="42" t="str">
        <f>IF(Tabela8[[#This Row],[Lucro p/Ação]]="","",IF(Tabela8[[#This Row],[Lucro p/Ação]]&gt;0,Tabela8[[#This Row],[Total Exercício]]/Tabela8[[#This Row],[Lucro p/Ação]],0))</f>
        <v/>
      </c>
      <c r="M101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4" s="19" t="str">
        <f>IF(Tabela8[[#This Row],[Média Lucro p/Ação]]&lt;&gt;"",Tabela8[[#This Row],[Média Pago]]/Tabela8[[#This Row],[Média Lucro p/Ação]],"")</f>
        <v/>
      </c>
      <c r="P10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4" s="134">
        <f>SUMPRODUCT(N(Tabela1[Código]=Tabela8[[#This Row],[Papel]]),Tabela1[Fechamento])</f>
        <v>0</v>
      </c>
      <c r="R1014" s="7">
        <f>SUMPRODUCT(N(Tabela17[Código]=Tabela8[[#This Row],[Papel]]),Tabela17[Fechamento])</f>
        <v>0.57999999999999996</v>
      </c>
      <c r="S1014" s="7">
        <f>SUMPRODUCT(N(Tabela176[Código]=Tabela8[[#This Row],[Papel]]),Tabela176[Fechamento])</f>
        <v>0</v>
      </c>
      <c r="T1014" s="7">
        <f>SUMPRODUCT(N(Tabela1768[Código]=Tabela8[[#This Row],[Papel]]),Tabela1768[Fechamento])</f>
        <v>0</v>
      </c>
      <c r="U1014" s="7">
        <f>SUMPRODUCT(N(Tabela17683[Código]=Tabela8[[#This Row],[Papel]]),Tabela17683[Fechamento])</f>
        <v>0</v>
      </c>
      <c r="V1014" s="7">
        <f>IF(MAX(Tabela8[[#This Row],[Cotação 1]]:Tabela8[[#This Row],[Cotação 5]])=0,"",MAX(Tabela8[[#This Row],[Cotação 1]]:Tabela8[[#This Row],[Cotação 5]]))</f>
        <v>0.57999999999999996</v>
      </c>
      <c r="W10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4" s="19" t="str">
        <f>IF(AND([Ref]=5,[Cotação]&gt;0,[Cotação]&lt;&gt;""),[Total Exercício]/[Cotação],IF([Ref]&lt;4,0,""))</f>
        <v/>
      </c>
      <c r="Y1014" s="14">
        <f>IF([Tipo]="div",1,0)</f>
        <v>1</v>
      </c>
      <c r="Z1014" s="14">
        <f>IF([Tipo]="jcp",1,0)</f>
        <v>0</v>
      </c>
    </row>
    <row r="1015" spans="1:26" hidden="1">
      <c r="A1015" s="24" t="s">
        <v>40</v>
      </c>
      <c r="B1015" s="131" t="s">
        <v>73</v>
      </c>
      <c r="C1015" s="15">
        <v>4</v>
      </c>
      <c r="D1015" s="4">
        <v>2007</v>
      </c>
      <c r="E1015" s="14" t="s">
        <v>1468</v>
      </c>
      <c r="G1015" s="145">
        <v>39520</v>
      </c>
      <c r="H1015" s="46">
        <v>39532</v>
      </c>
      <c r="I1015" s="133">
        <v>1.0999999999999999E-2</v>
      </c>
      <c r="J1015" s="134">
        <f>IF(Tabela8[[#This Row],[Tipo]]="jcp",Tabela8[[#This Row],[Provento p/Ação]]*85%,Tabela8[[#This Row],[Provento p/Ação]])</f>
        <v>1.0999999999999999E-2</v>
      </c>
      <c r="K1015" s="133" t="str">
        <f>IF([Lucro p/Ação]&lt;&gt;0,SUMPRODUCT(N([Papel]=Tabela8[[#This Row],[Papel]]),N([Exercício]=Tabela8[[#This Row],[Exercício]]),[Líquido p/Ação]),"")</f>
        <v/>
      </c>
      <c r="L1015" s="42" t="str">
        <f>IF(Tabela8[[#This Row],[Lucro p/Ação]]="","",IF(Tabela8[[#This Row],[Lucro p/Ação]]&gt;0,Tabela8[[#This Row],[Total Exercício]]/Tabela8[[#This Row],[Lucro p/Ação]],0))</f>
        <v/>
      </c>
      <c r="M101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5" s="19" t="str">
        <f>IF(Tabela8[[#This Row],[Média Lucro p/Ação]]&lt;&gt;"",Tabela8[[#This Row],[Média Pago]]/Tabela8[[#This Row],[Média Lucro p/Ação]],"")</f>
        <v/>
      </c>
      <c r="P10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5" s="134">
        <f>SUMPRODUCT(N(Tabela1[Código]=Tabela8[[#This Row],[Papel]]),Tabela1[Fechamento])</f>
        <v>0.64</v>
      </c>
      <c r="R1015" s="7">
        <f>SUMPRODUCT(N(Tabela17[Código]=Tabela8[[#This Row],[Papel]]),Tabela17[Fechamento])</f>
        <v>0</v>
      </c>
      <c r="S1015" s="7">
        <f>SUMPRODUCT(N(Tabela176[Código]=Tabela8[[#This Row],[Papel]]),Tabela176[Fechamento])</f>
        <v>0</v>
      </c>
      <c r="T1015" s="7">
        <f>SUMPRODUCT(N(Tabela1768[Código]=Tabela8[[#This Row],[Papel]]),Tabela1768[Fechamento])</f>
        <v>0</v>
      </c>
      <c r="U1015" s="7">
        <f>SUMPRODUCT(N(Tabela17683[Código]=Tabela8[[#This Row],[Papel]]),Tabela17683[Fechamento])</f>
        <v>0</v>
      </c>
      <c r="V1015" s="7">
        <f>IF(MAX(Tabela8[[#This Row],[Cotação 1]]:Tabela8[[#This Row],[Cotação 5]])=0,"",MAX(Tabela8[[#This Row],[Cotação 1]]:Tabela8[[#This Row],[Cotação 5]]))</f>
        <v>0.64</v>
      </c>
      <c r="W10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5" s="19" t="str">
        <f>IF(AND([Ref]=5,[Cotação]&gt;0,[Cotação]&lt;&gt;""),[Total Exercício]/[Cotação],IF([Ref]&lt;4,0,""))</f>
        <v/>
      </c>
      <c r="Y1015" s="14">
        <f>IF([Tipo]="div",1,0)</f>
        <v>1</v>
      </c>
      <c r="Z1015" s="14">
        <f>IF([Tipo]="jcp",1,0)</f>
        <v>0</v>
      </c>
    </row>
    <row r="1016" spans="1:26">
      <c r="A1016" s="24" t="s">
        <v>40</v>
      </c>
      <c r="B1016" s="135" t="s">
        <v>39</v>
      </c>
      <c r="C1016" s="15">
        <v>4</v>
      </c>
      <c r="D1016" s="4">
        <v>2002</v>
      </c>
      <c r="E1016" s="14" t="s">
        <v>1475</v>
      </c>
      <c r="G1016" s="145">
        <v>37610</v>
      </c>
      <c r="I1016" s="133">
        <v>1.7000000000000001E-2</v>
      </c>
      <c r="J1016" s="134">
        <f>IF(Tabela8[[#This Row],[Tipo]]="jcp",Tabela8[[#This Row],[Provento p/Ação]]*85%,Tabela8[[#This Row],[Provento p/Ação]])</f>
        <v>1.4450000000000001E-2</v>
      </c>
      <c r="K1016" s="133" t="str">
        <f>IF([Lucro p/Ação]&lt;&gt;0,SUMPRODUCT(N([Papel]=Tabela8[[#This Row],[Papel]]),N([Exercício]=Tabela8[[#This Row],[Exercício]]),[Líquido p/Ação]),"")</f>
        <v/>
      </c>
      <c r="L1016" s="42" t="str">
        <f>IF(Tabela8[[#This Row],[Lucro p/Ação]]="","",IF(Tabela8[[#This Row],[Lucro p/Ação]]&gt;0,Tabela8[[#This Row],[Total Exercício]]/Tabela8[[#This Row],[Lucro p/Ação]],0))</f>
        <v/>
      </c>
      <c r="M101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1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16" s="19" t="str">
        <f>IF(Tabela8[[#This Row],[Média Lucro p/Ação]]&lt;&gt;"",Tabela8[[#This Row],[Média Pago]]/Tabela8[[#This Row],[Média Lucro p/Ação]],"")</f>
        <v/>
      </c>
      <c r="P10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6" s="134">
        <f>SUMPRODUCT(N(Tabela1[Código]=Tabela8[[#This Row],[Papel]]),Tabela1[Fechamento])</f>
        <v>0.41</v>
      </c>
      <c r="R1016" s="7">
        <f>SUMPRODUCT(N(Tabela17[Código]=Tabela8[[#This Row],[Papel]]),Tabela17[Fechamento])</f>
        <v>0</v>
      </c>
      <c r="S1016" s="7">
        <f>SUMPRODUCT(N(Tabela176[Código]=Tabela8[[#This Row],[Papel]]),Tabela176[Fechamento])</f>
        <v>0</v>
      </c>
      <c r="T1016" s="7">
        <f>SUMPRODUCT(N(Tabela1768[Código]=Tabela8[[#This Row],[Papel]]),Tabela1768[Fechamento])</f>
        <v>0</v>
      </c>
      <c r="U1016" s="7">
        <f>SUMPRODUCT(N(Tabela17683[Código]=Tabela8[[#This Row],[Papel]]),Tabela17683[Fechamento])</f>
        <v>0</v>
      </c>
      <c r="V1016" s="7">
        <f>IF(MAX(Tabela8[[#This Row],[Cotação 1]]:Tabela8[[#This Row],[Cotação 5]])=0,"",MAX(Tabela8[[#This Row],[Cotação 1]]:Tabela8[[#This Row],[Cotação 5]]))</f>
        <v>0.41</v>
      </c>
      <c r="W10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6" s="19" t="str">
        <f>IF(AND([Ref]=5,[Cotação]&gt;0,[Cotação]&lt;&gt;""),[Total Exercício]/[Cotação],IF([Ref]&lt;4,0,""))</f>
        <v/>
      </c>
      <c r="Y1016" s="14">
        <f>IF([Tipo]="div",1,0)</f>
        <v>0</v>
      </c>
      <c r="Z1016" s="14">
        <f>IF([Tipo]="jcp",1,0)</f>
        <v>1</v>
      </c>
    </row>
    <row r="1017" spans="1:26" hidden="1">
      <c r="A1017" s="24" t="s">
        <v>40</v>
      </c>
      <c r="B1017" s="131" t="s">
        <v>413</v>
      </c>
      <c r="C1017" s="15">
        <v>5</v>
      </c>
      <c r="D1017" s="4">
        <v>2007</v>
      </c>
      <c r="E1017" s="14" t="s">
        <v>1468</v>
      </c>
      <c r="F1017" s="133">
        <v>0.19087999999999999</v>
      </c>
      <c r="I1017" s="133">
        <v>2.1000000000000001E-2</v>
      </c>
      <c r="J1017" s="134">
        <f>IF(Tabela8[[#This Row],[Tipo]]="jcp",Tabela8[[#This Row],[Provento p/Ação]]*85%,Tabela8[[#This Row],[Provento p/Ação]])</f>
        <v>2.1000000000000001E-2</v>
      </c>
      <c r="K1017" s="133">
        <f>IF([Lucro p/Ação]&lt;&gt;0,SUMPRODUCT(N([Papel]=Tabela8[[#This Row],[Papel]]),N([Exercício]=Tabela8[[#This Row],[Exercício]]),[Líquido p/Ação]),"")</f>
        <v>5.1000000000000004E-2</v>
      </c>
      <c r="L1017" s="42">
        <f>IF(Tabela8[[#This Row],[Lucro p/Ação]]="","",IF(Tabela8[[#This Row],[Lucro p/Ação]]&gt;0,Tabela8[[#This Row],[Total Exercício]]/Tabela8[[#This Row],[Lucro p/Ação]],0))</f>
        <v>0.26718357082984079</v>
      </c>
      <c r="M101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0.28717875000000004</v>
      </c>
      <c r="N101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9.2945000000000014E-2</v>
      </c>
      <c r="O1017" s="19">
        <f>IF(Tabela8[[#This Row],[Média Lucro p/Ação]]&lt;&gt;"",Tabela8[[#This Row],[Média Pago]]/Tabela8[[#This Row],[Média Lucro p/Ação]],"")</f>
        <v>0.32364859865153672</v>
      </c>
      <c r="P10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7" s="134">
        <f>SUMPRODUCT(N(Tabela1[Código]=Tabela8[[#This Row],[Papel]]),Tabela1[Fechamento])</f>
        <v>0</v>
      </c>
      <c r="R1017" s="7">
        <f>SUMPRODUCT(N(Tabela17[Código]=Tabela8[[#This Row],[Papel]]),Tabela17[Fechamento])</f>
        <v>0.57999999999999996</v>
      </c>
      <c r="S1017" s="7">
        <f>SUMPRODUCT(N(Tabela176[Código]=Tabela8[[#This Row],[Papel]]),Tabela176[Fechamento])</f>
        <v>0</v>
      </c>
      <c r="T1017" s="7">
        <f>SUMPRODUCT(N(Tabela1768[Código]=Tabela8[[#This Row],[Papel]]),Tabela1768[Fechamento])</f>
        <v>0</v>
      </c>
      <c r="U1017" s="7">
        <f>SUMPRODUCT(N(Tabela17683[Código]=Tabela8[[#This Row],[Papel]]),Tabela17683[Fechamento])</f>
        <v>0</v>
      </c>
      <c r="V1017" s="7">
        <f>IF(MAX(Tabela8[[#This Row],[Cotação 1]]:Tabela8[[#This Row],[Cotação 5]])=0,"",MAX(Tabela8[[#This Row],[Cotação 1]]:Tabela8[[#This Row],[Cotação 5]]))</f>
        <v>0.57999999999999996</v>
      </c>
      <c r="W10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7" s="19">
        <f>IF(AND([Ref]=5,[Cotação]&gt;0,[Cotação]&lt;&gt;""),[Total Exercício]/[Cotação],IF([Ref]&lt;4,0,""))</f>
        <v>8.793103448275863E-2</v>
      </c>
      <c r="Y1017" s="14">
        <f>IF([Tipo]="div",1,0)</f>
        <v>1</v>
      </c>
      <c r="Z1017" s="14">
        <f>IF([Tipo]="jcp",1,0)</f>
        <v>0</v>
      </c>
    </row>
    <row r="1018" spans="1:26" hidden="1">
      <c r="A1018" s="24" t="s">
        <v>40</v>
      </c>
      <c r="B1018" s="131" t="s">
        <v>73</v>
      </c>
      <c r="C1018" s="15">
        <v>5</v>
      </c>
      <c r="D1018" s="4">
        <v>2007</v>
      </c>
      <c r="E1018" s="14" t="s">
        <v>1468</v>
      </c>
      <c r="F1018" s="133">
        <v>0.19087999999999999</v>
      </c>
      <c r="I1018" s="133">
        <v>6.7000000000000004E-2</v>
      </c>
      <c r="J1018" s="134">
        <f>IF(Tabela8[[#This Row],[Tipo]]="jcp",Tabela8[[#This Row],[Provento p/Ação]]*85%,Tabela8[[#This Row],[Provento p/Ação]])</f>
        <v>6.7000000000000004E-2</v>
      </c>
      <c r="K1018" s="133">
        <f>IF([Lucro p/Ação]&lt;&gt;0,SUMPRODUCT(N([Papel]=Tabela8[[#This Row],[Papel]]),N([Exercício]=Tabela8[[#This Row],[Exercício]]),[Líquido p/Ação]),"")</f>
        <v>0.1</v>
      </c>
      <c r="L1018" s="42">
        <f>IF(Tabela8[[#This Row],[Lucro p/Ação]]="","",IF(Tabela8[[#This Row],[Lucro p/Ação]]&gt;0,Tabela8[[#This Row],[Total Exercício]]/Tabela8[[#This Row],[Lucro p/Ação]],0))</f>
        <v>0.5238893545683152</v>
      </c>
      <c r="M101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0.28717875000000004</v>
      </c>
      <c r="N101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0.10616749999999998</v>
      </c>
      <c r="O1018" s="19">
        <f>IF(Tabela8[[#This Row],[Média Lucro p/Ação]]&lt;&gt;"",Tabela8[[#This Row],[Média Pago]]/Tabela8[[#This Row],[Média Lucro p/Ação]],"")</f>
        <v>0.36969135077020837</v>
      </c>
      <c r="P10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8" s="134">
        <f>SUMPRODUCT(N(Tabela1[Código]=Tabela8[[#This Row],[Papel]]),Tabela1[Fechamento])</f>
        <v>0.64</v>
      </c>
      <c r="R1018" s="7">
        <f>SUMPRODUCT(N(Tabela17[Código]=Tabela8[[#This Row],[Papel]]),Tabela17[Fechamento])</f>
        <v>0</v>
      </c>
      <c r="S1018" s="7">
        <f>SUMPRODUCT(N(Tabela176[Código]=Tabela8[[#This Row],[Papel]]),Tabela176[Fechamento])</f>
        <v>0</v>
      </c>
      <c r="T1018" s="7">
        <f>SUMPRODUCT(N(Tabela1768[Código]=Tabela8[[#This Row],[Papel]]),Tabela1768[Fechamento])</f>
        <v>0</v>
      </c>
      <c r="U1018" s="7">
        <f>SUMPRODUCT(N(Tabela17683[Código]=Tabela8[[#This Row],[Papel]]),Tabela17683[Fechamento])</f>
        <v>0</v>
      </c>
      <c r="V1018" s="7">
        <f>IF(MAX(Tabela8[[#This Row],[Cotação 1]]:Tabela8[[#This Row],[Cotação 5]])=0,"",MAX(Tabela8[[#This Row],[Cotação 1]]:Tabela8[[#This Row],[Cotação 5]]))</f>
        <v>0.64</v>
      </c>
      <c r="W10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8" s="19">
        <f>IF(AND([Ref]=5,[Cotação]&gt;0,[Cotação]&lt;&gt;""),[Total Exercício]/[Cotação],IF([Ref]&lt;4,0,""))</f>
        <v>0.15625</v>
      </c>
      <c r="Y1018" s="14">
        <f>IF([Tipo]="div",1,0)</f>
        <v>1</v>
      </c>
      <c r="Z1018" s="14">
        <f>IF([Tipo]="jcp",1,0)</f>
        <v>0</v>
      </c>
    </row>
    <row r="1019" spans="1:26">
      <c r="A1019" s="24" t="s">
        <v>40</v>
      </c>
      <c r="B1019" s="135" t="s">
        <v>39</v>
      </c>
      <c r="C1019" s="15">
        <v>5</v>
      </c>
      <c r="D1019" s="4">
        <v>2002</v>
      </c>
      <c r="E1019" s="14" t="s">
        <v>1468</v>
      </c>
      <c r="F1019" s="133">
        <v>0.28397</v>
      </c>
      <c r="I1019" s="133">
        <v>2.145E-2</v>
      </c>
      <c r="J1019" s="134">
        <f>IF(Tabela8[[#This Row],[Tipo]]="jcp",Tabela8[[#This Row],[Provento p/Ação]]*85%,Tabela8[[#This Row],[Provento p/Ação]])</f>
        <v>2.145E-2</v>
      </c>
      <c r="K1019" s="133">
        <f>IF([Lucro p/Ação]&lt;&gt;0,SUMPRODUCT(N([Papel]=Tabela8[[#This Row],[Papel]]),N([Exercício]=Tabela8[[#This Row],[Exercício]]),[Líquido p/Ação]),"")</f>
        <v>8.6899999999999991E-2</v>
      </c>
      <c r="L1019" s="42">
        <f>IF(Tabela8[[#This Row],[Lucro p/Ação]]="","",IF(Tabela8[[#This Row],[Lucro p/Ação]]&gt;0,Tabela8[[#This Row],[Total Exercício]]/Tabela8[[#This Row],[Lucro p/Ação]],0))</f>
        <v>0.30601824136352429</v>
      </c>
      <c r="M101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0.32058333333333339</v>
      </c>
      <c r="N101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9.0150000000000008E-2</v>
      </c>
      <c r="O1019" s="19">
        <f>IF(Tabela8[[#This Row],[Média Lucro p/Ação]]&lt;&gt;"",Tabela8[[#This Row],[Média Pago]]/Tabela8[[#This Row],[Média Lucro p/Ação]],"")</f>
        <v>0.28120613465037692</v>
      </c>
      <c r="P10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19" s="134">
        <f>SUMPRODUCT(N(Tabela1[Código]=Tabela8[[#This Row],[Papel]]),Tabela1[Fechamento])</f>
        <v>0.41</v>
      </c>
      <c r="R1019" s="17">
        <f>SUMPRODUCT(N(Tabela17[Código]=Tabela8[[#This Row],[Papel]]),Tabela17[Fechamento])</f>
        <v>0</v>
      </c>
      <c r="S1019" s="17">
        <f>SUMPRODUCT(N(Tabela176[Código]=Tabela8[[#This Row],[Papel]]),Tabela176[Fechamento])</f>
        <v>0</v>
      </c>
      <c r="T1019" s="17">
        <f>SUMPRODUCT(N(Tabela1768[Código]=Tabela8[[#This Row],[Papel]]),Tabela1768[Fechamento])</f>
        <v>0</v>
      </c>
      <c r="U1019" s="17">
        <f>SUMPRODUCT(N(Tabela17683[Código]=Tabela8[[#This Row],[Papel]]),Tabela17683[Fechamento])</f>
        <v>0</v>
      </c>
      <c r="V1019" s="17">
        <f>IF(MAX(Tabela8[[#This Row],[Cotação 1]]:Tabela8[[#This Row],[Cotação 5]])=0,"",MAX(Tabela8[[#This Row],[Cotação 1]]:Tabela8[[#This Row],[Cotação 5]]))</f>
        <v>0.41</v>
      </c>
      <c r="W10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19" s="19">
        <f>IF(AND([Ref]=5,[Cotação]&gt;0,[Cotação]&lt;&gt;""),[Total Exercício]/[Cotação],IF([Ref]&lt;4,0,""))</f>
        <v>0.21195121951219512</v>
      </c>
      <c r="Y1019" s="14">
        <f>IF([Tipo]="div",1,0)</f>
        <v>1</v>
      </c>
      <c r="Z1019" s="14">
        <f>IF([Tipo]="jcp",1,0)</f>
        <v>0</v>
      </c>
    </row>
    <row r="1020" spans="1:26" hidden="1">
      <c r="A1020" s="24" t="s">
        <v>40</v>
      </c>
      <c r="B1020" s="131" t="s">
        <v>413</v>
      </c>
      <c r="C1020" s="15">
        <v>4</v>
      </c>
      <c r="D1020" s="4">
        <v>2008</v>
      </c>
      <c r="E1020" s="14" t="s">
        <v>1475</v>
      </c>
      <c r="G1020" s="145">
        <v>39672</v>
      </c>
      <c r="H1020" s="46">
        <v>39679</v>
      </c>
      <c r="I1020" s="133">
        <v>1.2E-2</v>
      </c>
      <c r="J1020" s="134">
        <f>IF(Tabela8[[#This Row],[Tipo]]="jcp",Tabela8[[#This Row],[Provento p/Ação]]*85%,Tabela8[[#This Row],[Provento p/Ação]])</f>
        <v>1.0200000000000001E-2</v>
      </c>
      <c r="K1020" s="133" t="str">
        <f>IF([Lucro p/Ação]&lt;&gt;0,SUMPRODUCT(N([Papel]=Tabela8[[#This Row],[Papel]]),N([Exercício]=Tabela8[[#This Row],[Exercício]]),[Líquido p/Ação]),"")</f>
        <v/>
      </c>
      <c r="L1020" s="42" t="str">
        <f>IF(Tabela8[[#This Row],[Lucro p/Ação]]="","",IF(Tabela8[[#This Row],[Lucro p/Ação]]&gt;0,Tabela8[[#This Row],[Total Exercício]]/Tabela8[[#This Row],[Lucro p/Ação]],0))</f>
        <v/>
      </c>
      <c r="M102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0" s="19" t="str">
        <f>IF(Tabela8[[#This Row],[Média Lucro p/Ação]]&lt;&gt;"",Tabela8[[#This Row],[Média Pago]]/Tabela8[[#This Row],[Média Lucro p/Ação]],"")</f>
        <v/>
      </c>
      <c r="P10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0" s="134">
        <f>SUMPRODUCT(N(Tabela1[Código]=Tabela8[[#This Row],[Papel]]),Tabela1[Fechamento])</f>
        <v>0</v>
      </c>
      <c r="R1020" s="7">
        <f>SUMPRODUCT(N(Tabela17[Código]=Tabela8[[#This Row],[Papel]]),Tabela17[Fechamento])</f>
        <v>0.57999999999999996</v>
      </c>
      <c r="S1020" s="7">
        <f>SUMPRODUCT(N(Tabela176[Código]=Tabela8[[#This Row],[Papel]]),Tabela176[Fechamento])</f>
        <v>0</v>
      </c>
      <c r="T1020" s="7">
        <f>SUMPRODUCT(N(Tabela1768[Código]=Tabela8[[#This Row],[Papel]]),Tabela1768[Fechamento])</f>
        <v>0</v>
      </c>
      <c r="U1020" s="7">
        <f>SUMPRODUCT(N(Tabela17683[Código]=Tabela8[[#This Row],[Papel]]),Tabela17683[Fechamento])</f>
        <v>0</v>
      </c>
      <c r="V1020" s="7">
        <f>IF(MAX(Tabela8[[#This Row],[Cotação 1]]:Tabela8[[#This Row],[Cotação 5]])=0,"",MAX(Tabela8[[#This Row],[Cotação 1]]:Tabela8[[#This Row],[Cotação 5]]))</f>
        <v>0.57999999999999996</v>
      </c>
      <c r="W10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0" s="19" t="str">
        <f>IF(AND([Ref]=5,[Cotação]&gt;0,[Cotação]&lt;&gt;""),[Total Exercício]/[Cotação],IF([Ref]&lt;4,0,""))</f>
        <v/>
      </c>
      <c r="Y1020" s="14">
        <f>IF([Tipo]="div",1,0)</f>
        <v>0</v>
      </c>
      <c r="Z1020" s="14">
        <f>IF([Tipo]="jcp",1,0)</f>
        <v>1</v>
      </c>
    </row>
    <row r="1021" spans="1:26" hidden="1">
      <c r="A1021" s="24" t="s">
        <v>40</v>
      </c>
      <c r="B1021" s="131" t="s">
        <v>73</v>
      </c>
      <c r="C1021" s="15">
        <v>4</v>
      </c>
      <c r="D1021" s="4">
        <v>2008</v>
      </c>
      <c r="E1021" s="14" t="s">
        <v>1475</v>
      </c>
      <c r="G1021" s="145">
        <v>39672</v>
      </c>
      <c r="H1021" s="46">
        <v>39679</v>
      </c>
      <c r="I1021" s="133">
        <v>1.32E-2</v>
      </c>
      <c r="J1021" s="134">
        <f>IF(Tabela8[[#This Row],[Tipo]]="jcp",Tabela8[[#This Row],[Provento p/Ação]]*85%,Tabela8[[#This Row],[Provento p/Ação]])</f>
        <v>1.1219999999999999E-2</v>
      </c>
      <c r="K1021" s="133" t="str">
        <f>IF([Lucro p/Ação]&lt;&gt;0,SUMPRODUCT(N([Papel]=Tabela8[[#This Row],[Papel]]),N([Exercício]=Tabela8[[#This Row],[Exercício]]),[Líquido p/Ação]),"")</f>
        <v/>
      </c>
      <c r="L1021" s="42" t="str">
        <f>IF(Tabela8[[#This Row],[Lucro p/Ação]]="","",IF(Tabela8[[#This Row],[Lucro p/Ação]]&gt;0,Tabela8[[#This Row],[Total Exercício]]/Tabela8[[#This Row],[Lucro p/Ação]],0))</f>
        <v/>
      </c>
      <c r="M102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1" s="19" t="str">
        <f>IF(Tabela8[[#This Row],[Média Lucro p/Ação]]&lt;&gt;"",Tabela8[[#This Row],[Média Pago]]/Tabela8[[#This Row],[Média Lucro p/Ação]],"")</f>
        <v/>
      </c>
      <c r="P10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1" s="134">
        <f>SUMPRODUCT(N(Tabela1[Código]=Tabela8[[#This Row],[Papel]]),Tabela1[Fechamento])</f>
        <v>0.64</v>
      </c>
      <c r="R1021" s="7">
        <f>SUMPRODUCT(N(Tabela17[Código]=Tabela8[[#This Row],[Papel]]),Tabela17[Fechamento])</f>
        <v>0</v>
      </c>
      <c r="S1021" s="7">
        <f>SUMPRODUCT(N(Tabela176[Código]=Tabela8[[#This Row],[Papel]]),Tabela176[Fechamento])</f>
        <v>0</v>
      </c>
      <c r="T1021" s="7">
        <f>SUMPRODUCT(N(Tabela1768[Código]=Tabela8[[#This Row],[Papel]]),Tabela1768[Fechamento])</f>
        <v>0</v>
      </c>
      <c r="U1021" s="7">
        <f>SUMPRODUCT(N(Tabela17683[Código]=Tabela8[[#This Row],[Papel]]),Tabela17683[Fechamento])</f>
        <v>0</v>
      </c>
      <c r="V1021" s="7">
        <f>IF(MAX(Tabela8[[#This Row],[Cotação 1]]:Tabela8[[#This Row],[Cotação 5]])=0,"",MAX(Tabela8[[#This Row],[Cotação 1]]:Tabela8[[#This Row],[Cotação 5]]))</f>
        <v>0.64</v>
      </c>
      <c r="W10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1" s="19" t="str">
        <f>IF(AND([Ref]=5,[Cotação]&gt;0,[Cotação]&lt;&gt;""),[Total Exercício]/[Cotação],IF([Ref]&lt;4,0,""))</f>
        <v/>
      </c>
      <c r="Y1021" s="14">
        <f>IF([Tipo]="div",1,0)</f>
        <v>0</v>
      </c>
      <c r="Z1021" s="14">
        <f>IF([Tipo]="jcp",1,0)</f>
        <v>1</v>
      </c>
    </row>
    <row r="1022" spans="1:26">
      <c r="A1022" s="24" t="s">
        <v>40</v>
      </c>
      <c r="B1022" s="135" t="s">
        <v>39</v>
      </c>
      <c r="C1022" s="15">
        <v>4</v>
      </c>
      <c r="D1022" s="4">
        <v>2001</v>
      </c>
      <c r="E1022" s="14" t="s">
        <v>1475</v>
      </c>
      <c r="G1022" s="145">
        <v>36888</v>
      </c>
      <c r="H1022" s="46">
        <v>36903</v>
      </c>
      <c r="I1022" s="133">
        <v>4.2500000000000003E-2</v>
      </c>
      <c r="J1022" s="134">
        <f>IF(Tabela8[[#This Row],[Tipo]]="jcp",Tabela8[[#This Row],[Provento p/Ação]]*85%,Tabela8[[#This Row],[Provento p/Ação]])</f>
        <v>3.6125000000000004E-2</v>
      </c>
      <c r="K1022" s="133" t="str">
        <f>IF([Lucro p/Ação]&lt;&gt;0,SUMPRODUCT(N([Papel]=Tabela8[[#This Row],[Papel]]),N([Exercício]=Tabela8[[#This Row],[Exercício]]),[Líquido p/Ação]),"")</f>
        <v/>
      </c>
      <c r="L1022" s="42" t="str">
        <f>IF(Tabela8[[#This Row],[Lucro p/Ação]]="","",IF(Tabela8[[#This Row],[Lucro p/Ação]]&gt;0,Tabela8[[#This Row],[Total Exercício]]/Tabela8[[#This Row],[Lucro p/Ação]],0))</f>
        <v/>
      </c>
      <c r="M102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2" s="19" t="str">
        <f>IF(Tabela8[[#This Row],[Média Lucro p/Ação]]&lt;&gt;"",Tabela8[[#This Row],[Média Pago]]/Tabela8[[#This Row],[Média Lucro p/Ação]],"")</f>
        <v/>
      </c>
      <c r="P10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2" s="134">
        <f>SUMPRODUCT(N(Tabela1[Código]=Tabela8[[#This Row],[Papel]]),Tabela1[Fechamento])</f>
        <v>0.41</v>
      </c>
      <c r="R1022" s="17">
        <f>SUMPRODUCT(N(Tabela17[Código]=Tabela8[[#This Row],[Papel]]),Tabela17[Fechamento])</f>
        <v>0</v>
      </c>
      <c r="S1022" s="17">
        <f>SUMPRODUCT(N(Tabela176[Código]=Tabela8[[#This Row],[Papel]]),Tabela176[Fechamento])</f>
        <v>0</v>
      </c>
      <c r="T1022" s="17">
        <f>SUMPRODUCT(N(Tabela1768[Código]=Tabela8[[#This Row],[Papel]]),Tabela1768[Fechamento])</f>
        <v>0</v>
      </c>
      <c r="U1022" s="17">
        <f>SUMPRODUCT(N(Tabela17683[Código]=Tabela8[[#This Row],[Papel]]),Tabela17683[Fechamento])</f>
        <v>0</v>
      </c>
      <c r="V1022" s="17">
        <f>IF(MAX(Tabela8[[#This Row],[Cotação 1]]:Tabela8[[#This Row],[Cotação 5]])=0,"",MAX(Tabela8[[#This Row],[Cotação 1]]:Tabela8[[#This Row],[Cotação 5]]))</f>
        <v>0.41</v>
      </c>
      <c r="W10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2" s="19" t="str">
        <f>IF(AND([Ref]=5,[Cotação]&gt;0,[Cotação]&lt;&gt;""),[Total Exercício]/[Cotação],IF([Ref]&lt;4,0,""))</f>
        <v/>
      </c>
      <c r="Y1022" s="14">
        <f>IF([Tipo]="div",1,0)</f>
        <v>0</v>
      </c>
      <c r="Z1022" s="14">
        <f>IF([Tipo]="jcp",1,0)</f>
        <v>1</v>
      </c>
    </row>
    <row r="1023" spans="1:26" hidden="1">
      <c r="A1023" s="24" t="s">
        <v>40</v>
      </c>
      <c r="B1023" s="131" t="s">
        <v>413</v>
      </c>
      <c r="C1023" s="15">
        <v>4</v>
      </c>
      <c r="D1023" s="4">
        <v>2008</v>
      </c>
      <c r="E1023" s="14" t="s">
        <v>1475</v>
      </c>
      <c r="G1023" s="145">
        <v>39752</v>
      </c>
      <c r="H1023" s="46">
        <v>39766</v>
      </c>
      <c r="I1023" s="133">
        <v>1.2E-2</v>
      </c>
      <c r="J1023" s="134">
        <f>IF(Tabela8[[#This Row],[Tipo]]="jcp",Tabela8[[#This Row],[Provento p/Ação]]*85%,Tabela8[[#This Row],[Provento p/Ação]])</f>
        <v>1.0200000000000001E-2</v>
      </c>
      <c r="K1023" s="133" t="str">
        <f>IF([Lucro p/Ação]&lt;&gt;0,SUMPRODUCT(N([Papel]=Tabela8[[#This Row],[Papel]]),N([Exercício]=Tabela8[[#This Row],[Exercício]]),[Líquido p/Ação]),"")</f>
        <v/>
      </c>
      <c r="L1023" s="42" t="str">
        <f>IF(Tabela8[[#This Row],[Lucro p/Ação]]="","",IF(Tabela8[[#This Row],[Lucro p/Ação]]&gt;0,Tabela8[[#This Row],[Total Exercício]]/Tabela8[[#This Row],[Lucro p/Ação]],0))</f>
        <v/>
      </c>
      <c r="M102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3" s="19" t="str">
        <f>IF(Tabela8[[#This Row],[Média Lucro p/Ação]]&lt;&gt;"",Tabela8[[#This Row],[Média Pago]]/Tabela8[[#This Row],[Média Lucro p/Ação]],"")</f>
        <v/>
      </c>
      <c r="P10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3" s="134">
        <f>SUMPRODUCT(N(Tabela1[Código]=Tabela8[[#This Row],[Papel]]),Tabela1[Fechamento])</f>
        <v>0</v>
      </c>
      <c r="R1023" s="7">
        <f>SUMPRODUCT(N(Tabela17[Código]=Tabela8[[#This Row],[Papel]]),Tabela17[Fechamento])</f>
        <v>0.57999999999999996</v>
      </c>
      <c r="S1023" s="7">
        <f>SUMPRODUCT(N(Tabela176[Código]=Tabela8[[#This Row],[Papel]]),Tabela176[Fechamento])</f>
        <v>0</v>
      </c>
      <c r="T1023" s="7">
        <f>SUMPRODUCT(N(Tabela1768[Código]=Tabela8[[#This Row],[Papel]]),Tabela1768[Fechamento])</f>
        <v>0</v>
      </c>
      <c r="U1023" s="7">
        <f>SUMPRODUCT(N(Tabela17683[Código]=Tabela8[[#This Row],[Papel]]),Tabela17683[Fechamento])</f>
        <v>0</v>
      </c>
      <c r="V1023" s="7">
        <f>IF(MAX(Tabela8[[#This Row],[Cotação 1]]:Tabela8[[#This Row],[Cotação 5]])=0,"",MAX(Tabela8[[#This Row],[Cotação 1]]:Tabela8[[#This Row],[Cotação 5]]))</f>
        <v>0.57999999999999996</v>
      </c>
      <c r="W10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3" s="19" t="str">
        <f>IF(AND([Ref]=5,[Cotação]&gt;0,[Cotação]&lt;&gt;""),[Total Exercício]/[Cotação],IF([Ref]&lt;4,0,""))</f>
        <v/>
      </c>
      <c r="Y1023" s="14">
        <f>IF([Tipo]="div",1,0)</f>
        <v>0</v>
      </c>
      <c r="Z1023" s="14">
        <f>IF([Tipo]="jcp",1,0)</f>
        <v>1</v>
      </c>
    </row>
    <row r="1024" spans="1:26" hidden="1">
      <c r="A1024" s="24" t="s">
        <v>40</v>
      </c>
      <c r="B1024" s="131" t="s">
        <v>73</v>
      </c>
      <c r="C1024" s="15">
        <v>4</v>
      </c>
      <c r="D1024" s="4">
        <v>2008</v>
      </c>
      <c r="E1024" s="14" t="s">
        <v>1475</v>
      </c>
      <c r="G1024" s="145">
        <v>39752</v>
      </c>
      <c r="H1024" s="46">
        <v>39766</v>
      </c>
      <c r="I1024" s="133">
        <v>1.32E-2</v>
      </c>
      <c r="J1024" s="134">
        <f>IF(Tabela8[[#This Row],[Tipo]]="jcp",Tabela8[[#This Row],[Provento p/Ação]]*85%,Tabela8[[#This Row],[Provento p/Ação]])</f>
        <v>1.1219999999999999E-2</v>
      </c>
      <c r="K1024" s="133" t="str">
        <f>IF([Lucro p/Ação]&lt;&gt;0,SUMPRODUCT(N([Papel]=Tabela8[[#This Row],[Papel]]),N([Exercício]=Tabela8[[#This Row],[Exercício]]),[Líquido p/Ação]),"")</f>
        <v/>
      </c>
      <c r="L1024" s="42" t="str">
        <f>IF(Tabela8[[#This Row],[Lucro p/Ação]]="","",IF(Tabela8[[#This Row],[Lucro p/Ação]]&gt;0,Tabela8[[#This Row],[Total Exercício]]/Tabela8[[#This Row],[Lucro p/Ação]],0))</f>
        <v/>
      </c>
      <c r="M102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4" s="19" t="str">
        <f>IF(Tabela8[[#This Row],[Média Lucro p/Ação]]&lt;&gt;"",Tabela8[[#This Row],[Média Pago]]/Tabela8[[#This Row],[Média Lucro p/Ação]],"")</f>
        <v/>
      </c>
      <c r="P10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4" s="134">
        <f>SUMPRODUCT(N(Tabela1[Código]=Tabela8[[#This Row],[Papel]]),Tabela1[Fechamento])</f>
        <v>0.64</v>
      </c>
      <c r="R1024" s="7">
        <f>SUMPRODUCT(N(Tabela17[Código]=Tabela8[[#This Row],[Papel]]),Tabela17[Fechamento])</f>
        <v>0</v>
      </c>
      <c r="S1024" s="7">
        <f>SUMPRODUCT(N(Tabela176[Código]=Tabela8[[#This Row],[Papel]]),Tabela176[Fechamento])</f>
        <v>0</v>
      </c>
      <c r="T1024" s="7">
        <f>SUMPRODUCT(N(Tabela1768[Código]=Tabela8[[#This Row],[Papel]]),Tabela1768[Fechamento])</f>
        <v>0</v>
      </c>
      <c r="U1024" s="7">
        <f>SUMPRODUCT(N(Tabela17683[Código]=Tabela8[[#This Row],[Papel]]),Tabela17683[Fechamento])</f>
        <v>0</v>
      </c>
      <c r="V1024" s="7">
        <f>IF(MAX(Tabela8[[#This Row],[Cotação 1]]:Tabela8[[#This Row],[Cotação 5]])=0,"",MAX(Tabela8[[#This Row],[Cotação 1]]:Tabela8[[#This Row],[Cotação 5]]))</f>
        <v>0.64</v>
      </c>
      <c r="W10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4" s="19" t="str">
        <f>IF(AND([Ref]=5,[Cotação]&gt;0,[Cotação]&lt;&gt;""),[Total Exercício]/[Cotação],IF([Ref]&lt;4,0,""))</f>
        <v/>
      </c>
      <c r="Y1024" s="14">
        <f>IF([Tipo]="div",1,0)</f>
        <v>0</v>
      </c>
      <c r="Z1024" s="14">
        <f>IF([Tipo]="jcp",1,0)</f>
        <v>1</v>
      </c>
    </row>
    <row r="1025" spans="1:26">
      <c r="A1025" s="24" t="s">
        <v>40</v>
      </c>
      <c r="B1025" s="135" t="s">
        <v>39</v>
      </c>
      <c r="C1025" s="15">
        <v>4</v>
      </c>
      <c r="D1025" s="4">
        <v>2001</v>
      </c>
      <c r="E1025" s="14" t="s">
        <v>1468</v>
      </c>
      <c r="G1025" s="145">
        <v>37008</v>
      </c>
      <c r="H1025" s="46">
        <v>37025</v>
      </c>
      <c r="I1025" s="133">
        <v>5.3499999999999999E-2</v>
      </c>
      <c r="J1025" s="134">
        <f>IF(Tabela8[[#This Row],[Tipo]]="jcp",Tabela8[[#This Row],[Provento p/Ação]]*85%,Tabela8[[#This Row],[Provento p/Ação]])</f>
        <v>5.3499999999999999E-2</v>
      </c>
      <c r="K1025" s="133" t="str">
        <f>IF([Lucro p/Ação]&lt;&gt;0,SUMPRODUCT(N([Papel]=Tabela8[[#This Row],[Papel]]),N([Exercício]=Tabela8[[#This Row],[Exercício]]),[Líquido p/Ação]),"")</f>
        <v/>
      </c>
      <c r="L1025" s="42" t="str">
        <f>IF(Tabela8[[#This Row],[Lucro p/Ação]]="","",IF(Tabela8[[#This Row],[Lucro p/Ação]]&gt;0,Tabela8[[#This Row],[Total Exercício]]/Tabela8[[#This Row],[Lucro p/Ação]],0))</f>
        <v/>
      </c>
      <c r="M102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5" s="19" t="str">
        <f>IF(Tabela8[[#This Row],[Média Lucro p/Ação]]&lt;&gt;"",Tabela8[[#This Row],[Média Pago]]/Tabela8[[#This Row],[Média Lucro p/Ação]],"")</f>
        <v/>
      </c>
      <c r="P10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5" s="134">
        <f>SUMPRODUCT(N(Tabela1[Código]=Tabela8[[#This Row],[Papel]]),Tabela1[Fechamento])</f>
        <v>0.41</v>
      </c>
      <c r="R1025" s="17">
        <f>SUMPRODUCT(N(Tabela17[Código]=Tabela8[[#This Row],[Papel]]),Tabela17[Fechamento])</f>
        <v>0</v>
      </c>
      <c r="S1025" s="17">
        <f>SUMPRODUCT(N(Tabela176[Código]=Tabela8[[#This Row],[Papel]]),Tabela176[Fechamento])</f>
        <v>0</v>
      </c>
      <c r="T1025" s="17">
        <f>SUMPRODUCT(N(Tabela1768[Código]=Tabela8[[#This Row],[Papel]]),Tabela1768[Fechamento])</f>
        <v>0</v>
      </c>
      <c r="U1025" s="17">
        <f>SUMPRODUCT(N(Tabela17683[Código]=Tabela8[[#This Row],[Papel]]),Tabela17683[Fechamento])</f>
        <v>0</v>
      </c>
      <c r="V1025" s="17">
        <f>IF(MAX(Tabela8[[#This Row],[Cotação 1]]:Tabela8[[#This Row],[Cotação 5]])=0,"",MAX(Tabela8[[#This Row],[Cotação 1]]:Tabela8[[#This Row],[Cotação 5]]))</f>
        <v>0.41</v>
      </c>
      <c r="W10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5" s="19" t="str">
        <f>IF(AND([Ref]=5,[Cotação]&gt;0,[Cotação]&lt;&gt;""),[Total Exercício]/[Cotação],IF([Ref]&lt;4,0,""))</f>
        <v/>
      </c>
      <c r="Y1025" s="14">
        <f>IF([Tipo]="div",1,0)</f>
        <v>1</v>
      </c>
      <c r="Z1025" s="14">
        <f>IF([Tipo]="jcp",1,0)</f>
        <v>0</v>
      </c>
    </row>
    <row r="1026" spans="1:26" hidden="1">
      <c r="A1026" s="24" t="s">
        <v>40</v>
      </c>
      <c r="B1026" s="131" t="s">
        <v>413</v>
      </c>
      <c r="C1026" s="15">
        <v>4</v>
      </c>
      <c r="D1026" s="4">
        <v>2008</v>
      </c>
      <c r="E1026" s="14" t="s">
        <v>1468</v>
      </c>
      <c r="G1026" s="145">
        <v>39850</v>
      </c>
      <c r="H1026" s="46">
        <v>39862</v>
      </c>
      <c r="I1026" s="133">
        <v>0.01</v>
      </c>
      <c r="J1026" s="134">
        <f>IF(Tabela8[[#This Row],[Tipo]]="jcp",Tabela8[[#This Row],[Provento p/Ação]]*85%,Tabela8[[#This Row],[Provento p/Ação]])</f>
        <v>0.01</v>
      </c>
      <c r="K1026" s="133" t="str">
        <f>IF([Lucro p/Ação]&lt;&gt;0,SUMPRODUCT(N([Papel]=Tabela8[[#This Row],[Papel]]),N([Exercício]=Tabela8[[#This Row],[Exercício]]),[Líquido p/Ação]),"")</f>
        <v/>
      </c>
      <c r="L1026" s="42" t="str">
        <f>IF(Tabela8[[#This Row],[Lucro p/Ação]]="","",IF(Tabela8[[#This Row],[Lucro p/Ação]]&gt;0,Tabela8[[#This Row],[Total Exercício]]/Tabela8[[#This Row],[Lucro p/Ação]],0))</f>
        <v/>
      </c>
      <c r="M102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6" s="19" t="str">
        <f>IF(Tabela8[[#This Row],[Média Lucro p/Ação]]&lt;&gt;"",Tabela8[[#This Row],[Média Pago]]/Tabela8[[#This Row],[Média Lucro p/Ação]],"")</f>
        <v/>
      </c>
      <c r="P10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6" s="134">
        <f>SUMPRODUCT(N(Tabela1[Código]=Tabela8[[#This Row],[Papel]]),Tabela1[Fechamento])</f>
        <v>0</v>
      </c>
      <c r="R1026" s="7">
        <f>SUMPRODUCT(N(Tabela17[Código]=Tabela8[[#This Row],[Papel]]),Tabela17[Fechamento])</f>
        <v>0.57999999999999996</v>
      </c>
      <c r="S1026" s="7">
        <f>SUMPRODUCT(N(Tabela176[Código]=Tabela8[[#This Row],[Papel]]),Tabela176[Fechamento])</f>
        <v>0</v>
      </c>
      <c r="T1026" s="7">
        <f>SUMPRODUCT(N(Tabela1768[Código]=Tabela8[[#This Row],[Papel]]),Tabela1768[Fechamento])</f>
        <v>0</v>
      </c>
      <c r="U1026" s="7">
        <f>SUMPRODUCT(N(Tabela17683[Código]=Tabela8[[#This Row],[Papel]]),Tabela17683[Fechamento])</f>
        <v>0</v>
      </c>
      <c r="V1026" s="7">
        <f>IF(MAX(Tabela8[[#This Row],[Cotação 1]]:Tabela8[[#This Row],[Cotação 5]])=0,"",MAX(Tabela8[[#This Row],[Cotação 1]]:Tabela8[[#This Row],[Cotação 5]]))</f>
        <v>0.57999999999999996</v>
      </c>
      <c r="W10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6" s="19" t="str">
        <f>IF(AND([Ref]=5,[Cotação]&gt;0,[Cotação]&lt;&gt;""),[Total Exercício]/[Cotação],IF([Ref]&lt;4,0,""))</f>
        <v/>
      </c>
      <c r="Y1026" s="14">
        <f>IF([Tipo]="div",1,0)</f>
        <v>1</v>
      </c>
      <c r="Z1026" s="14">
        <f>IF([Tipo]="jcp",1,0)</f>
        <v>0</v>
      </c>
    </row>
    <row r="1027" spans="1:26" hidden="1">
      <c r="A1027" s="24" t="s">
        <v>40</v>
      </c>
      <c r="B1027" s="131" t="s">
        <v>73</v>
      </c>
      <c r="C1027" s="15">
        <v>4</v>
      </c>
      <c r="D1027" s="4">
        <v>2008</v>
      </c>
      <c r="E1027" s="14" t="s">
        <v>1468</v>
      </c>
      <c r="G1027" s="145">
        <v>39850</v>
      </c>
      <c r="H1027" s="46">
        <v>39862</v>
      </c>
      <c r="I1027" s="133">
        <v>1.0999999999999999E-2</v>
      </c>
      <c r="J1027" s="134">
        <f>IF(Tabela8[[#This Row],[Tipo]]="jcp",Tabela8[[#This Row],[Provento p/Ação]]*85%,Tabela8[[#This Row],[Provento p/Ação]])</f>
        <v>1.0999999999999999E-2</v>
      </c>
      <c r="K1027" s="133" t="str">
        <f>IF([Lucro p/Ação]&lt;&gt;0,SUMPRODUCT(N([Papel]=Tabela8[[#This Row],[Papel]]),N([Exercício]=Tabela8[[#This Row],[Exercício]]),[Líquido p/Ação]),"")</f>
        <v/>
      </c>
      <c r="L1027" s="42" t="str">
        <f>IF(Tabela8[[#This Row],[Lucro p/Ação]]="","",IF(Tabela8[[#This Row],[Lucro p/Ação]]&gt;0,Tabela8[[#This Row],[Total Exercício]]/Tabela8[[#This Row],[Lucro p/Ação]],0))</f>
        <v/>
      </c>
      <c r="M102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7" s="19" t="str">
        <f>IF(Tabela8[[#This Row],[Média Lucro p/Ação]]&lt;&gt;"",Tabela8[[#This Row],[Média Pago]]/Tabela8[[#This Row],[Média Lucro p/Ação]],"")</f>
        <v/>
      </c>
      <c r="P10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7" s="134">
        <f>SUMPRODUCT(N(Tabela1[Código]=Tabela8[[#This Row],[Papel]]),Tabela1[Fechamento])</f>
        <v>0.64</v>
      </c>
      <c r="R1027" s="7">
        <f>SUMPRODUCT(N(Tabela17[Código]=Tabela8[[#This Row],[Papel]]),Tabela17[Fechamento])</f>
        <v>0</v>
      </c>
      <c r="S1027" s="7">
        <f>SUMPRODUCT(N(Tabela176[Código]=Tabela8[[#This Row],[Papel]]),Tabela176[Fechamento])</f>
        <v>0</v>
      </c>
      <c r="T1027" s="7">
        <f>SUMPRODUCT(N(Tabela1768[Código]=Tabela8[[#This Row],[Papel]]),Tabela1768[Fechamento])</f>
        <v>0</v>
      </c>
      <c r="U1027" s="7">
        <f>SUMPRODUCT(N(Tabela17683[Código]=Tabela8[[#This Row],[Papel]]),Tabela17683[Fechamento])</f>
        <v>0</v>
      </c>
      <c r="V1027" s="7">
        <f>IF(MAX(Tabela8[[#This Row],[Cotação 1]]:Tabela8[[#This Row],[Cotação 5]])=0,"",MAX(Tabela8[[#This Row],[Cotação 1]]:Tabela8[[#This Row],[Cotação 5]]))</f>
        <v>0.64</v>
      </c>
      <c r="W10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7" s="19" t="str">
        <f>IF(AND([Ref]=5,[Cotação]&gt;0,[Cotação]&lt;&gt;""),[Total Exercício]/[Cotação],IF([Ref]&lt;4,0,""))</f>
        <v/>
      </c>
      <c r="Y1027" s="14">
        <f>IF([Tipo]="div",1,0)</f>
        <v>1</v>
      </c>
      <c r="Z1027" s="14">
        <f>IF([Tipo]="jcp",1,0)</f>
        <v>0</v>
      </c>
    </row>
    <row r="1028" spans="1:26">
      <c r="A1028" s="24" t="s">
        <v>40</v>
      </c>
      <c r="B1028" s="135" t="s">
        <v>39</v>
      </c>
      <c r="C1028" s="15">
        <v>4</v>
      </c>
      <c r="D1028" s="4">
        <v>2001</v>
      </c>
      <c r="E1028" s="14" t="s">
        <v>1475</v>
      </c>
      <c r="G1028" s="145">
        <v>37064</v>
      </c>
      <c r="H1028" s="46">
        <v>37180</v>
      </c>
      <c r="I1028" s="133">
        <v>3.4000000000000002E-2</v>
      </c>
      <c r="J1028" s="134">
        <f>IF(Tabela8[[#This Row],[Tipo]]="jcp",Tabela8[[#This Row],[Provento p/Ação]]*85%,Tabela8[[#This Row],[Provento p/Ação]])</f>
        <v>2.8900000000000002E-2</v>
      </c>
      <c r="K1028" s="133" t="str">
        <f>IF([Lucro p/Ação]&lt;&gt;0,SUMPRODUCT(N([Papel]=Tabela8[[#This Row],[Papel]]),N([Exercício]=Tabela8[[#This Row],[Exercício]]),[Líquido p/Ação]),"")</f>
        <v/>
      </c>
      <c r="L1028" s="42" t="str">
        <f>IF(Tabela8[[#This Row],[Lucro p/Ação]]="","",IF(Tabela8[[#This Row],[Lucro p/Ação]]&gt;0,Tabela8[[#This Row],[Total Exercício]]/Tabela8[[#This Row],[Lucro p/Ação]],0))</f>
        <v/>
      </c>
      <c r="M102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28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28" s="19" t="str">
        <f>IF(Tabela8[[#This Row],[Média Lucro p/Ação]]&lt;&gt;"",Tabela8[[#This Row],[Média Pago]]/Tabela8[[#This Row],[Média Lucro p/Ação]],"")</f>
        <v/>
      </c>
      <c r="P10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8" s="134">
        <f>SUMPRODUCT(N(Tabela1[Código]=Tabela8[[#This Row],[Papel]]),Tabela1[Fechamento])</f>
        <v>0.41</v>
      </c>
      <c r="R1028" s="17">
        <f>SUMPRODUCT(N(Tabela17[Código]=Tabela8[[#This Row],[Papel]]),Tabela17[Fechamento])</f>
        <v>0</v>
      </c>
      <c r="S1028" s="17">
        <f>SUMPRODUCT(N(Tabela176[Código]=Tabela8[[#This Row],[Papel]]),Tabela176[Fechamento])</f>
        <v>0</v>
      </c>
      <c r="T1028" s="17">
        <f>SUMPRODUCT(N(Tabela1768[Código]=Tabela8[[#This Row],[Papel]]),Tabela1768[Fechamento])</f>
        <v>0</v>
      </c>
      <c r="U1028" s="17">
        <f>SUMPRODUCT(N(Tabela17683[Código]=Tabela8[[#This Row],[Papel]]),Tabela17683[Fechamento])</f>
        <v>0</v>
      </c>
      <c r="V1028" s="17">
        <f>IF(MAX(Tabela8[[#This Row],[Cotação 1]]:Tabela8[[#This Row],[Cotação 5]])=0,"",MAX(Tabela8[[#This Row],[Cotação 1]]:Tabela8[[#This Row],[Cotação 5]]))</f>
        <v>0.41</v>
      </c>
      <c r="W10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8" s="19" t="str">
        <f>IF(AND([Ref]=5,[Cotação]&gt;0,[Cotação]&lt;&gt;""),[Total Exercício]/[Cotação],IF([Ref]&lt;4,0,""))</f>
        <v/>
      </c>
      <c r="Y1028" s="14">
        <f>IF([Tipo]="div",1,0)</f>
        <v>0</v>
      </c>
      <c r="Z1028" s="14">
        <f>IF([Tipo]="jcp",1,0)</f>
        <v>1</v>
      </c>
    </row>
    <row r="1029" spans="1:26" hidden="1">
      <c r="A1029" s="24" t="s">
        <v>40</v>
      </c>
      <c r="B1029" s="131" t="s">
        <v>413</v>
      </c>
      <c r="C1029" s="15">
        <v>5</v>
      </c>
      <c r="D1029" s="4">
        <v>2008</v>
      </c>
      <c r="E1029" s="14" t="s">
        <v>1468</v>
      </c>
      <c r="F1029" s="133">
        <v>-0.18240999999999999</v>
      </c>
      <c r="G1029" s="145">
        <v>39850</v>
      </c>
      <c r="I1029" s="133">
        <v>0.01</v>
      </c>
      <c r="J1029" s="134">
        <f>IF(Tabela8[[#This Row],[Tipo]]="jcp",Tabela8[[#This Row],[Provento p/Ação]]*85%,Tabela8[[#This Row],[Provento p/Ação]])</f>
        <v>0.01</v>
      </c>
      <c r="K1029" s="133">
        <f>IF([Lucro p/Ação]&lt;&gt;0,SUMPRODUCT(N([Papel]=Tabela8[[#This Row],[Papel]]),N([Exercício]=Tabela8[[#This Row],[Exercício]]),[Líquido p/Ação]),"")</f>
        <v>4.0400000000000005E-2</v>
      </c>
      <c r="L1029" s="42">
        <f>IF(Tabela8[[#This Row],[Lucro p/Ação]]="","",IF(Tabela8[[#This Row],[Lucro p/Ação]]&gt;0,Tabela8[[#This Row],[Total Exercício]]/Tabela8[[#This Row],[Lucro p/Ação]],0))</f>
        <v>0</v>
      </c>
      <c r="M10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0.23500222222222225</v>
      </c>
      <c r="N10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8.7106666666666679E-2</v>
      </c>
      <c r="O1029" s="19">
        <f>IF(Tabela8[[#This Row],[Média Lucro p/Ação]]&lt;&gt;"",Tabela8[[#This Row],[Média Pago]]/Tabela8[[#This Row],[Média Lucro p/Ação]],"")</f>
        <v>0.37066316157766832</v>
      </c>
      <c r="P10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29" s="134">
        <f>SUMPRODUCT(N(Tabela1[Código]=Tabela8[[#This Row],[Papel]]),Tabela1[Fechamento])</f>
        <v>0</v>
      </c>
      <c r="R1029" s="7">
        <f>SUMPRODUCT(N(Tabela17[Código]=Tabela8[[#This Row],[Papel]]),Tabela17[Fechamento])</f>
        <v>0.57999999999999996</v>
      </c>
      <c r="S1029" s="7">
        <f>SUMPRODUCT(N(Tabela176[Código]=Tabela8[[#This Row],[Papel]]),Tabela176[Fechamento])</f>
        <v>0</v>
      </c>
      <c r="T1029" s="7">
        <f>SUMPRODUCT(N(Tabela1768[Código]=Tabela8[[#This Row],[Papel]]),Tabela1768[Fechamento])</f>
        <v>0</v>
      </c>
      <c r="U1029" s="7">
        <f>SUMPRODUCT(N(Tabela17683[Código]=Tabela8[[#This Row],[Papel]]),Tabela17683[Fechamento])</f>
        <v>0</v>
      </c>
      <c r="V1029" s="7">
        <f>IF(MAX(Tabela8[[#This Row],[Cotação 1]]:Tabela8[[#This Row],[Cotação 5]])=0,"",MAX(Tabela8[[#This Row],[Cotação 1]]:Tabela8[[#This Row],[Cotação 5]]))</f>
        <v>0.57999999999999996</v>
      </c>
      <c r="W10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29" s="19">
        <f>IF(AND([Ref]=5,[Cotação]&gt;0,[Cotação]&lt;&gt;""),[Total Exercício]/[Cotação],IF([Ref]&lt;4,0,""))</f>
        <v>6.9655172413793112E-2</v>
      </c>
      <c r="Y1029" s="14">
        <f>IF([Tipo]="div",1,0)</f>
        <v>1</v>
      </c>
      <c r="Z1029" s="14">
        <f>IF([Tipo]="jcp",1,0)</f>
        <v>0</v>
      </c>
    </row>
    <row r="1030" spans="1:26" hidden="1">
      <c r="A1030" s="24" t="s">
        <v>40</v>
      </c>
      <c r="B1030" s="131" t="s">
        <v>73</v>
      </c>
      <c r="C1030" s="15">
        <v>5</v>
      </c>
      <c r="D1030" s="4">
        <v>2008</v>
      </c>
      <c r="E1030" s="14" t="s">
        <v>1468</v>
      </c>
      <c r="F1030" s="133">
        <v>-0.18240999999999999</v>
      </c>
      <c r="G1030" s="145">
        <v>39850</v>
      </c>
      <c r="I1030" s="133">
        <v>1.0999999999999999E-2</v>
      </c>
      <c r="J1030" s="134">
        <f>IF(Tabela8[[#This Row],[Tipo]]="jcp",Tabela8[[#This Row],[Provento p/Ação]]*85%,Tabela8[[#This Row],[Provento p/Ação]])</f>
        <v>1.0999999999999999E-2</v>
      </c>
      <c r="K1030" s="133">
        <f>IF([Lucro p/Ação]&lt;&gt;0,SUMPRODUCT(N([Papel]=Tabela8[[#This Row],[Papel]]),N([Exercício]=Tabela8[[#This Row],[Exercício]]),[Líquido p/Ação]),"")</f>
        <v>4.4439999999999993E-2</v>
      </c>
      <c r="L1030" s="42">
        <f>IF(Tabela8[[#This Row],[Lucro p/Ação]]="","",IF(Tabela8[[#This Row],[Lucro p/Ação]]&gt;0,Tabela8[[#This Row],[Total Exercício]]/Tabela8[[#This Row],[Lucro p/Ação]],0))</f>
        <v>0</v>
      </c>
      <c r="M10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0.23500222222222225</v>
      </c>
      <c r="N10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9.9308888888888877E-2</v>
      </c>
      <c r="O1030" s="19">
        <f>IF(Tabela8[[#This Row],[Média Lucro p/Ação]]&lt;&gt;"",Tabela8[[#This Row],[Média Pago]]/Tabela8[[#This Row],[Média Lucro p/Ação]],"")</f>
        <v>0.42258702045370722</v>
      </c>
      <c r="P10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0" s="134">
        <f>SUMPRODUCT(N(Tabela1[Código]=Tabela8[[#This Row],[Papel]]),Tabela1[Fechamento])</f>
        <v>0.64</v>
      </c>
      <c r="R1030" s="7">
        <f>SUMPRODUCT(N(Tabela17[Código]=Tabela8[[#This Row],[Papel]]),Tabela17[Fechamento])</f>
        <v>0</v>
      </c>
      <c r="S1030" s="7">
        <f>SUMPRODUCT(N(Tabela176[Código]=Tabela8[[#This Row],[Papel]]),Tabela176[Fechamento])</f>
        <v>0</v>
      </c>
      <c r="T1030" s="7">
        <f>SUMPRODUCT(N(Tabela1768[Código]=Tabela8[[#This Row],[Papel]]),Tabela1768[Fechamento])</f>
        <v>0</v>
      </c>
      <c r="U1030" s="7">
        <f>SUMPRODUCT(N(Tabela17683[Código]=Tabela8[[#This Row],[Papel]]),Tabela17683[Fechamento])</f>
        <v>0</v>
      </c>
      <c r="V1030" s="7">
        <f>IF(MAX(Tabela8[[#This Row],[Cotação 1]]:Tabela8[[#This Row],[Cotação 5]])=0,"",MAX(Tabela8[[#This Row],[Cotação 1]]:Tabela8[[#This Row],[Cotação 5]]))</f>
        <v>0.64</v>
      </c>
      <c r="W10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0" s="19">
        <f>IF(AND([Ref]=5,[Cotação]&gt;0,[Cotação]&lt;&gt;""),[Total Exercício]/[Cotação],IF([Ref]&lt;4,0,""))</f>
        <v>6.9437499999999985E-2</v>
      </c>
      <c r="Y1030" s="14">
        <f>IF([Tipo]="div",1,0)</f>
        <v>1</v>
      </c>
      <c r="Z1030" s="14">
        <f>IF([Tipo]="jcp",1,0)</f>
        <v>0</v>
      </c>
    </row>
    <row r="1031" spans="1:26">
      <c r="A1031" s="24" t="s">
        <v>40</v>
      </c>
      <c r="B1031" s="135" t="s">
        <v>39</v>
      </c>
      <c r="C1031" s="15">
        <v>5</v>
      </c>
      <c r="D1031" s="4">
        <v>2001</v>
      </c>
      <c r="E1031" s="14" t="s">
        <v>1475</v>
      </c>
      <c r="F1031" s="133">
        <v>0.31084000000000001</v>
      </c>
      <c r="G1031" s="145">
        <v>37253</v>
      </c>
      <c r="H1031" s="46">
        <v>37273</v>
      </c>
      <c r="I1031" s="133">
        <v>3.4000000000000002E-2</v>
      </c>
      <c r="J1031" s="134">
        <f>IF(Tabela8[[#This Row],[Tipo]]="jcp",Tabela8[[#This Row],[Provento p/Ação]]*85%,Tabela8[[#This Row],[Provento p/Ação]])</f>
        <v>2.8900000000000002E-2</v>
      </c>
      <c r="K1031" s="133">
        <f>IF([Lucro p/Ação]&lt;&gt;0,SUMPRODUCT(N([Papel]=Tabela8[[#This Row],[Papel]]),N([Exercício]=Tabela8[[#This Row],[Exercício]]),[Líquido p/Ação]),"")</f>
        <v>0.14742500000000003</v>
      </c>
      <c r="L1031" s="42">
        <f>IF(Tabela8[[#This Row],[Lucro p/Ação]]="","",IF(Tabela8[[#This Row],[Lucro p/Ação]]&gt;0,Tabela8[[#This Row],[Total Exercício]]/Tabela8[[#This Row],[Lucro p/Ação]],0))</f>
        <v>0.47427937202419257</v>
      </c>
      <c r="M10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0.33889000000000002</v>
      </c>
      <c r="N103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9.1775000000000023E-2</v>
      </c>
      <c r="O1031" s="19">
        <f>IF(Tabela8[[#This Row],[Média Lucro p/Ação]]&lt;&gt;"",Tabela8[[#This Row],[Média Pago]]/Tabela8[[#This Row],[Média Lucro p/Ação]],"")</f>
        <v>0.27081058750627052</v>
      </c>
      <c r="P10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1" s="134">
        <f>SUMPRODUCT(N(Tabela1[Código]=Tabela8[[#This Row],[Papel]]),Tabela1[Fechamento])</f>
        <v>0.41</v>
      </c>
      <c r="R1031" s="17">
        <f>SUMPRODUCT(N(Tabela17[Código]=Tabela8[[#This Row],[Papel]]),Tabela17[Fechamento])</f>
        <v>0</v>
      </c>
      <c r="S1031" s="17">
        <f>SUMPRODUCT(N(Tabela176[Código]=Tabela8[[#This Row],[Papel]]),Tabela176[Fechamento])</f>
        <v>0</v>
      </c>
      <c r="T1031" s="17">
        <f>SUMPRODUCT(N(Tabela1768[Código]=Tabela8[[#This Row],[Papel]]),Tabela1768[Fechamento])</f>
        <v>0</v>
      </c>
      <c r="U1031" s="17">
        <f>SUMPRODUCT(N(Tabela17683[Código]=Tabela8[[#This Row],[Papel]]),Tabela17683[Fechamento])</f>
        <v>0</v>
      </c>
      <c r="V1031" s="17">
        <f>IF(MAX(Tabela8[[#This Row],[Cotação 1]]:Tabela8[[#This Row],[Cotação 5]])=0,"",MAX(Tabela8[[#This Row],[Cotação 1]]:Tabela8[[#This Row],[Cotação 5]]))</f>
        <v>0.41</v>
      </c>
      <c r="W10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1" s="19">
        <f>IF(AND([Ref]=5,[Cotação]&gt;0,[Cotação]&lt;&gt;""),[Total Exercício]/[Cotação],IF([Ref]&lt;4,0,""))</f>
        <v>0.35957317073170741</v>
      </c>
      <c r="Y1031" s="14">
        <f>IF([Tipo]="div",1,0)</f>
        <v>0</v>
      </c>
      <c r="Z1031" s="14">
        <f>IF([Tipo]="jcp",1,0)</f>
        <v>1</v>
      </c>
    </row>
    <row r="1032" spans="1:26" hidden="1">
      <c r="A1032" s="24" t="s">
        <v>40</v>
      </c>
      <c r="B1032" s="131" t="s">
        <v>73</v>
      </c>
      <c r="C1032" s="15">
        <v>4</v>
      </c>
      <c r="D1032" s="4">
        <v>2009</v>
      </c>
      <c r="E1032" s="14" t="s">
        <v>1468</v>
      </c>
      <c r="G1032" s="145">
        <v>39884</v>
      </c>
      <c r="H1032" s="46">
        <v>39941</v>
      </c>
      <c r="I1032" s="133">
        <v>5.16E-2</v>
      </c>
      <c r="J1032" s="134">
        <f>IF(Tabela8[[#This Row],[Tipo]]="jcp",Tabela8[[#This Row],[Provento p/Ação]]*85%,Tabela8[[#This Row],[Provento p/Ação]])</f>
        <v>5.16E-2</v>
      </c>
      <c r="K1032" s="133" t="str">
        <f>IF([Lucro p/Ação]&lt;&gt;0,SUMPRODUCT(N([Papel]=Tabela8[[#This Row],[Papel]]),N([Exercício]=Tabela8[[#This Row],[Exercício]]),[Líquido p/Ação]),"")</f>
        <v/>
      </c>
      <c r="L1032" s="42" t="str">
        <f>IF(Tabela8[[#This Row],[Lucro p/Ação]]="","",IF(Tabela8[[#This Row],[Lucro p/Ação]]&gt;0,Tabela8[[#This Row],[Total Exercício]]/Tabela8[[#This Row],[Lucro p/Ação]],0))</f>
        <v/>
      </c>
      <c r="M103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2" s="87" t="str">
        <f>IF(Tabela8[[#This Row],[Média Lucro p/Ação]]&lt;&gt;"",Tabela8[[#This Row],[Média Pago]]/Tabela8[[#This Row],[Média Lucro p/Ação]],"")</f>
        <v/>
      </c>
      <c r="P103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2" s="134">
        <f>SUMPRODUCT(N(Tabela1[Código]=Tabela8[[#This Row],[Papel]]),Tabela1[Fechamento])</f>
        <v>0.64</v>
      </c>
      <c r="R1032" s="7">
        <f>SUMPRODUCT(N(Tabela17[Código]=Tabela8[[#This Row],[Papel]]),Tabela17[Fechamento])</f>
        <v>0</v>
      </c>
      <c r="S1032" s="7">
        <f>SUMPRODUCT(N(Tabela176[Código]=Tabela8[[#This Row],[Papel]]),Tabela176[Fechamento])</f>
        <v>0</v>
      </c>
      <c r="T1032" s="7">
        <f>SUMPRODUCT(N(Tabela1768[Código]=Tabela8[[#This Row],[Papel]]),Tabela1768[Fechamento])</f>
        <v>0</v>
      </c>
      <c r="U1032" s="7">
        <f>SUMPRODUCT(N(Tabela17683[Código]=Tabela8[[#This Row],[Papel]]),Tabela17683[Fechamento])</f>
        <v>0</v>
      </c>
      <c r="V1032" s="7">
        <f>IF(MAX(Tabela8[[#This Row],[Cotação 1]]:Tabela8[[#This Row],[Cotação 5]])=0,"",MAX(Tabela8[[#This Row],[Cotação 1]]:Tabela8[[#This Row],[Cotação 5]]))</f>
        <v>0.64</v>
      </c>
      <c r="W103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2" s="19" t="str">
        <f>IF(AND([Ref]=5,[Cotação]&gt;0,[Cotação]&lt;&gt;""),[Total Exercício]/[Cotação],IF([Ref]&lt;4,0,""))</f>
        <v/>
      </c>
      <c r="Y1032" s="14">
        <f>IF([Tipo]="div",1,0)</f>
        <v>1</v>
      </c>
      <c r="Z1032" s="14">
        <f>IF([Tipo]="jcp",1,0)</f>
        <v>0</v>
      </c>
    </row>
    <row r="1033" spans="1:26" hidden="1">
      <c r="A1033" s="24" t="s">
        <v>40</v>
      </c>
      <c r="B1033" s="135" t="s">
        <v>413</v>
      </c>
      <c r="C1033" s="15">
        <v>5</v>
      </c>
      <c r="D1033" s="4">
        <v>2009</v>
      </c>
      <c r="E1033" s="14" t="s">
        <v>1468</v>
      </c>
      <c r="F1033" s="133">
        <v>-0.81501999999999997</v>
      </c>
      <c r="G1033" s="145">
        <v>40045</v>
      </c>
      <c r="H1033" s="46">
        <v>40056</v>
      </c>
      <c r="I1033" s="133">
        <v>0.01</v>
      </c>
      <c r="J1033" s="134">
        <f>IF(Tabela8[[#This Row],[Tipo]]="jcp",Tabela8[[#This Row],[Provento p/Ação]]*85%,Tabela8[[#This Row],[Provento p/Ação]])</f>
        <v>0.01</v>
      </c>
      <c r="K1033" s="133">
        <f>IF([Lucro p/Ação]&lt;&gt;0,SUMPRODUCT(N([Papel]=Tabela8[[#This Row],[Papel]]),N([Exercício]=Tabela8[[#This Row],[Exercício]]),[Líquido p/Ação]),"")</f>
        <v>0.01</v>
      </c>
      <c r="L1033" s="42">
        <f>IF(Tabela8[[#This Row],[Lucro p/Ação]]="","",IF(Tabela8[[#This Row],[Lucro p/Ação]]&gt;0,Tabela8[[#This Row],[Total Exercício]]/Tabela8[[#This Row],[Lucro p/Ação]],0))</f>
        <v>0</v>
      </c>
      <c r="M103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0.13000000000000003</v>
      </c>
      <c r="N103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7.9396000000000008E-2</v>
      </c>
      <c r="O1033" s="87">
        <f>IF(Tabela8[[#This Row],[Média Lucro p/Ação]]&lt;&gt;"",Tabela8[[#This Row],[Média Pago]]/Tabela8[[#This Row],[Média Lucro p/Ação]],"")</f>
        <v>0.61073846153846145</v>
      </c>
      <c r="P103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3" s="134">
        <f>SUMPRODUCT(N(Tabela1[Código]=Tabela8[[#This Row],[Papel]]),Tabela1[Fechamento])</f>
        <v>0</v>
      </c>
      <c r="R1033" s="7">
        <f>SUMPRODUCT(N(Tabela17[Código]=Tabela8[[#This Row],[Papel]]),Tabela17[Fechamento])</f>
        <v>0.57999999999999996</v>
      </c>
      <c r="S1033" s="7">
        <f>SUMPRODUCT(N(Tabela176[Código]=Tabela8[[#This Row],[Papel]]),Tabela176[Fechamento])</f>
        <v>0</v>
      </c>
      <c r="T1033" s="7">
        <f>SUMPRODUCT(N(Tabela1768[Código]=Tabela8[[#This Row],[Papel]]),Tabela1768[Fechamento])</f>
        <v>0</v>
      </c>
      <c r="U1033" s="7">
        <f>SUMPRODUCT(N(Tabela17683[Código]=Tabela8[[#This Row],[Papel]]),Tabela17683[Fechamento])</f>
        <v>0</v>
      </c>
      <c r="V1033" s="7">
        <f>IF(MAX(Tabela8[[#This Row],[Cotação 1]]:Tabela8[[#This Row],[Cotação 5]])=0,"",MAX(Tabela8[[#This Row],[Cotação 1]]:Tabela8[[#This Row],[Cotação 5]]))</f>
        <v>0.57999999999999996</v>
      </c>
      <c r="W103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3" s="19">
        <f>IF(AND([Ref]=5,[Cotação]&gt;0,[Cotação]&lt;&gt;""),[Total Exercício]/[Cotação],IF([Ref]&lt;4,0,""))</f>
        <v>1.7241379310344831E-2</v>
      </c>
      <c r="Y1033" s="14">
        <f>IF([Tipo]="div",1,0)</f>
        <v>1</v>
      </c>
      <c r="Z1033" s="14">
        <f>IF([Tipo]="jcp",1,0)</f>
        <v>0</v>
      </c>
    </row>
    <row r="1034" spans="1:26" hidden="1">
      <c r="A1034" s="24" t="s">
        <v>40</v>
      </c>
      <c r="B1034" s="131" t="s">
        <v>73</v>
      </c>
      <c r="C1034" s="15">
        <v>4</v>
      </c>
      <c r="D1034" s="4">
        <v>2009</v>
      </c>
      <c r="E1034" s="14" t="s">
        <v>1468</v>
      </c>
      <c r="G1034" s="145">
        <v>40045</v>
      </c>
      <c r="H1034" s="46">
        <v>40056</v>
      </c>
      <c r="I1034" s="133">
        <v>1.0999999999999999E-2</v>
      </c>
      <c r="J1034" s="134">
        <f>IF(Tabela8[[#This Row],[Tipo]]="jcp",Tabela8[[#This Row],[Provento p/Ação]]*85%,Tabela8[[#This Row],[Provento p/Ação]])</f>
        <v>1.0999999999999999E-2</v>
      </c>
      <c r="K1034" s="133" t="str">
        <f>IF([Lucro p/Ação]&lt;&gt;0,SUMPRODUCT(N([Papel]=Tabela8[[#This Row],[Papel]]),N([Exercício]=Tabela8[[#This Row],[Exercício]]),[Líquido p/Ação]),"")</f>
        <v/>
      </c>
      <c r="L1034" s="42" t="str">
        <f>IF(Tabela8[[#This Row],[Lucro p/Ação]]="","",IF(Tabela8[[#This Row],[Lucro p/Ação]]&gt;0,Tabela8[[#This Row],[Total Exercício]]/Tabela8[[#This Row],[Lucro p/Ação]],0))</f>
        <v/>
      </c>
      <c r="M103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4" s="87" t="str">
        <f>IF(Tabela8[[#This Row],[Média Lucro p/Ação]]&lt;&gt;"",Tabela8[[#This Row],[Média Pago]]/Tabela8[[#This Row],[Média Lucro p/Ação]],"")</f>
        <v/>
      </c>
      <c r="P103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4" s="134">
        <f>SUMPRODUCT(N(Tabela1[Código]=Tabela8[[#This Row],[Papel]]),Tabela1[Fechamento])</f>
        <v>0.64</v>
      </c>
      <c r="R1034" s="7">
        <f>SUMPRODUCT(N(Tabela17[Código]=Tabela8[[#This Row],[Papel]]),Tabela17[Fechamento])</f>
        <v>0</v>
      </c>
      <c r="S1034" s="7">
        <f>SUMPRODUCT(N(Tabela176[Código]=Tabela8[[#This Row],[Papel]]),Tabela176[Fechamento])</f>
        <v>0</v>
      </c>
      <c r="T1034" s="7">
        <f>SUMPRODUCT(N(Tabela1768[Código]=Tabela8[[#This Row],[Papel]]),Tabela1768[Fechamento])</f>
        <v>0</v>
      </c>
      <c r="U1034" s="7">
        <f>SUMPRODUCT(N(Tabela17683[Código]=Tabela8[[#This Row],[Papel]]),Tabela17683[Fechamento])</f>
        <v>0</v>
      </c>
      <c r="V1034" s="7">
        <f>IF(MAX(Tabela8[[#This Row],[Cotação 1]]:Tabela8[[#This Row],[Cotação 5]])=0,"",MAX(Tabela8[[#This Row],[Cotação 1]]:Tabela8[[#This Row],[Cotação 5]]))</f>
        <v>0.64</v>
      </c>
      <c r="W103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4" s="19" t="str">
        <f>IF(AND([Ref]=5,[Cotação]&gt;0,[Cotação]&lt;&gt;""),[Total Exercício]/[Cotação],IF([Ref]&lt;4,0,""))</f>
        <v/>
      </c>
      <c r="Y1034" s="14">
        <f>IF([Tipo]="div",1,0)</f>
        <v>1</v>
      </c>
      <c r="Z1034" s="14">
        <f>IF([Tipo]="jcp",1,0)</f>
        <v>0</v>
      </c>
    </row>
    <row r="1035" spans="1:26">
      <c r="A1035" s="24" t="s">
        <v>40</v>
      </c>
      <c r="B1035" s="135" t="s">
        <v>39</v>
      </c>
      <c r="C1035" s="15">
        <v>5</v>
      </c>
      <c r="D1035" s="4">
        <v>2000</v>
      </c>
      <c r="E1035" s="14" t="s">
        <v>1475</v>
      </c>
      <c r="F1035" s="133">
        <v>0.36693999999999999</v>
      </c>
      <c r="G1035" s="145">
        <v>36888</v>
      </c>
      <c r="H1035" s="46">
        <v>36903</v>
      </c>
      <c r="I1035" s="133">
        <v>4.2500000000000003E-2</v>
      </c>
      <c r="J1035" s="132">
        <f>IF(Tabela8[[#This Row],[Tipo]]="jcp",Tabela8[[#This Row],[Provento p/Ação]]*85%,Tabela8[[#This Row],[Provento p/Ação]])</f>
        <v>3.6125000000000004E-2</v>
      </c>
      <c r="K1035" s="133">
        <f>IF([Lucro p/Ação]&lt;&gt;0,SUMPRODUCT(N([Papel]=Tabela8[[#This Row],[Papel]]),N([Exercício]=Tabela8[[#This Row],[Exercício]]),[Líquido p/Ação]),"")</f>
        <v>3.6125000000000004E-2</v>
      </c>
      <c r="L1035" s="42">
        <f>IF(Tabela8[[#This Row],[Lucro p/Ação]]="","",IF(Tabela8[[#This Row],[Lucro p/Ação]]&gt;0,Tabela8[[#This Row],[Total Exercício]]/Tabela8[[#This Row],[Lucro p/Ação]],0))</f>
        <v>9.8449337766392336E-2</v>
      </c>
      <c r="M103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0.36693999999999999</v>
      </c>
      <c r="N103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3.6125000000000004E-2</v>
      </c>
      <c r="O1035" s="19">
        <f>IF(Tabela8[[#This Row],[Média Lucro p/Ação]]&lt;&gt;"",Tabela8[[#This Row],[Média Pago]]/Tabela8[[#This Row],[Média Lucro p/Ação]],"")</f>
        <v>9.8449337766392336E-2</v>
      </c>
      <c r="P103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5" s="134">
        <f>SUMPRODUCT(N(Tabela1[Código]=Tabela8[[#This Row],[Papel]]),Tabela1[Fechamento])</f>
        <v>0.41</v>
      </c>
      <c r="R1035" s="17">
        <f>SUMPRODUCT(N(Tabela17[Código]=Tabela8[[#This Row],[Papel]]),Tabela17[Fechamento])</f>
        <v>0</v>
      </c>
      <c r="S1035" s="17">
        <f>SUMPRODUCT(N(Tabela176[Código]=Tabela8[[#This Row],[Papel]]),Tabela176[Fechamento])</f>
        <v>0</v>
      </c>
      <c r="T1035" s="17">
        <f>SUMPRODUCT(N(Tabela1768[Código]=Tabela8[[#This Row],[Papel]]),Tabela1768[Fechamento])</f>
        <v>0</v>
      </c>
      <c r="U1035" s="17">
        <f>SUMPRODUCT(N(Tabela17683[Código]=Tabela8[[#This Row],[Papel]]),Tabela17683[Fechamento])</f>
        <v>0</v>
      </c>
      <c r="V1035" s="17">
        <f>IF(MAX(Tabela8[[#This Row],[Cotação 1]]:Tabela8[[#This Row],[Cotação 5]])=0,"",MAX(Tabela8[[#This Row],[Cotação 1]]:Tabela8[[#This Row],[Cotação 5]]))</f>
        <v>0.41</v>
      </c>
      <c r="W103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5" s="19">
        <f>IF(AND([Ref]=5,[Cotação]&gt;0,[Cotação]&lt;&gt;""),[Total Exercício]/[Cotação],IF([Ref]&lt;4,0,""))</f>
        <v>8.8109756097560998E-2</v>
      </c>
      <c r="Y1035" s="14">
        <f>IF([Tipo]="div",1,0)</f>
        <v>0</v>
      </c>
      <c r="Z1035" s="14">
        <f>IF([Tipo]="jcp",1,0)</f>
        <v>1</v>
      </c>
    </row>
    <row r="1036" spans="1:26" hidden="1">
      <c r="A1036" s="24" t="s">
        <v>40</v>
      </c>
      <c r="B1036" s="131" t="s">
        <v>73</v>
      </c>
      <c r="C1036" s="15">
        <v>5</v>
      </c>
      <c r="D1036" s="4">
        <v>2009</v>
      </c>
      <c r="E1036" s="14" t="s">
        <v>1468</v>
      </c>
      <c r="F1036" s="133">
        <v>-0.81501999999999997</v>
      </c>
      <c r="G1036" s="145">
        <v>40238</v>
      </c>
      <c r="I1036" s="133">
        <v>8.8999999999999996E-2</v>
      </c>
      <c r="J1036" s="134">
        <f>IF(Tabela8[[#This Row],[Tipo]]="jcp",Tabela8[[#This Row],[Provento p/Ação]]*85%,Tabela8[[#This Row],[Provento p/Ação]])</f>
        <v>8.8999999999999996E-2</v>
      </c>
      <c r="K1036" s="133">
        <f>IF([Lucro p/Ação]&lt;&gt;0,SUMPRODUCT(N([Papel]=Tabela8[[#This Row],[Papel]]),N([Exercício]=Tabela8[[#This Row],[Exercício]]),[Líquido p/Ação]),"")</f>
        <v>0.15160000000000001</v>
      </c>
      <c r="L1036" s="42">
        <f>IF(Tabela8[[#This Row],[Lucro p/Ação]]="","",IF(Tabela8[[#This Row],[Lucro p/Ação]]&gt;0,Tabela8[[#This Row],[Total Exercício]]/Tabela8[[#This Row],[Lucro p/Ação]],0))</f>
        <v>0</v>
      </c>
      <c r="M103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0.13000000000000003</v>
      </c>
      <c r="N103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0.10453799999999999</v>
      </c>
      <c r="O1036" s="87">
        <f>IF(Tabela8[[#This Row],[Média Lucro p/Ação]]&lt;&gt;"",Tabela8[[#This Row],[Média Pago]]/Tabela8[[#This Row],[Média Lucro p/Ação]],"")</f>
        <v>0.80413846153846125</v>
      </c>
      <c r="P103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6" s="134">
        <f>SUMPRODUCT(N(Tabela1[Código]=Tabela8[[#This Row],[Papel]]),Tabela1[Fechamento])</f>
        <v>0.64</v>
      </c>
      <c r="R1036" s="17">
        <f>SUMPRODUCT(N(Tabela17[Código]=Tabela8[[#This Row],[Papel]]),Tabela17[Fechamento])</f>
        <v>0</v>
      </c>
      <c r="S1036" s="17">
        <f>SUMPRODUCT(N(Tabela176[Código]=Tabela8[[#This Row],[Papel]]),Tabela176[Fechamento])</f>
        <v>0</v>
      </c>
      <c r="T1036" s="17">
        <f>SUMPRODUCT(N(Tabela1768[Código]=Tabela8[[#This Row],[Papel]]),Tabela1768[Fechamento])</f>
        <v>0</v>
      </c>
      <c r="U1036" s="17">
        <f>SUMPRODUCT(N(Tabela17683[Código]=Tabela8[[#This Row],[Papel]]),Tabela17683[Fechamento])</f>
        <v>0</v>
      </c>
      <c r="V1036" s="17">
        <f>IF(MAX(Tabela8[[#This Row],[Cotação 1]]:Tabela8[[#This Row],[Cotação 5]])=0,"",MAX(Tabela8[[#This Row],[Cotação 1]]:Tabela8[[#This Row],[Cotação 5]]))</f>
        <v>0.64</v>
      </c>
      <c r="W103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6" s="19">
        <f>IF(AND([Ref]=5,[Cotação]&gt;0,[Cotação]&lt;&gt;""),[Total Exercício]/[Cotação],IF([Ref]&lt;4,0,""))</f>
        <v>0.236875</v>
      </c>
      <c r="Y1036" s="14">
        <f>IF([Tipo]="div",1,0)</f>
        <v>1</v>
      </c>
      <c r="Z1036" s="14">
        <f>IF([Tipo]="jcp",1,0)</f>
        <v>0</v>
      </c>
    </row>
    <row r="1037" spans="1:26" hidden="1">
      <c r="A1037" s="4" t="s">
        <v>12</v>
      </c>
      <c r="B1037" s="131" t="s">
        <v>67</v>
      </c>
      <c r="C1037" s="15">
        <v>4</v>
      </c>
      <c r="D1037" s="14">
        <v>2009</v>
      </c>
      <c r="E1037" s="4" t="s">
        <v>1475</v>
      </c>
      <c r="G1037" s="145">
        <v>40163</v>
      </c>
      <c r="I1037" s="133">
        <v>0.23418</v>
      </c>
      <c r="J1037" s="134">
        <f>IF(Tabela8[[#This Row],[Tipo]]="jcp",Tabela8[[#This Row],[Provento p/Ação]]*85%,Tabela8[[#This Row],[Provento p/Ação]])</f>
        <v>0.19905300000000001</v>
      </c>
      <c r="K1037" s="133" t="str">
        <f>IF([Lucro p/Ação]&lt;&gt;0,SUMPRODUCT(N([Papel]=Tabela8[[#This Row],[Papel]]),N([Exercício]=Tabela8[[#This Row],[Exercício]]),[Líquido p/Ação]),"")</f>
        <v/>
      </c>
      <c r="L1037" s="42" t="str">
        <f>IF(Tabela8[[#This Row],[Lucro p/Ação]]="","",IF(Tabela8[[#This Row],[Lucro p/Ação]]&gt;0,Tabela8[[#This Row],[Total Exercício]]/Tabela8[[#This Row],[Lucro p/Ação]],0))</f>
        <v/>
      </c>
      <c r="M103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7" s="19" t="str">
        <f>IF(Tabela8[[#This Row],[Média Lucro p/Ação]]&lt;&gt;"",Tabela8[[#This Row],[Média Pago]]/Tabela8[[#This Row],[Média Lucro p/Ação]],"")</f>
        <v/>
      </c>
      <c r="P103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7" s="134">
        <f>SUMPRODUCT(N(Tabela1[Código]=Tabela8[[#This Row],[Papel]]),Tabela1[Fechamento])</f>
        <v>7.13</v>
      </c>
      <c r="R1037" s="7">
        <f>SUMPRODUCT(N(Tabela17[Código]=Tabela8[[#This Row],[Papel]]),Tabela17[Fechamento])</f>
        <v>0</v>
      </c>
      <c r="S1037" s="7">
        <f>SUMPRODUCT(N(Tabela176[Código]=Tabela8[[#This Row],[Papel]]),Tabela176[Fechamento])</f>
        <v>0</v>
      </c>
      <c r="T1037" s="7">
        <f>SUMPRODUCT(N(Tabela1768[Código]=Tabela8[[#This Row],[Papel]]),Tabela1768[Fechamento])</f>
        <v>0</v>
      </c>
      <c r="U1037" s="7">
        <f>SUMPRODUCT(N(Tabela17683[Código]=Tabela8[[#This Row],[Papel]]),Tabela17683[Fechamento])</f>
        <v>0</v>
      </c>
      <c r="V1037" s="7">
        <f>IF(MAX(Tabela8[[#This Row],[Cotação 1]]:Tabela8[[#This Row],[Cotação 5]])=0,"",MAX(Tabela8[[#This Row],[Cotação 1]]:Tabela8[[#This Row],[Cotação 5]]))</f>
        <v>7.13</v>
      </c>
      <c r="W103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7" s="19" t="str">
        <f>IF(AND([Ref]=5,[Cotação]&gt;0,[Cotação]&lt;&gt;""),[Total Exercício]/[Cotação],IF([Ref]&lt;4,0,""))</f>
        <v/>
      </c>
      <c r="Y1037" s="14">
        <f>IF([Tipo]="div",1,0)</f>
        <v>0</v>
      </c>
      <c r="Z1037" s="14">
        <f>IF([Tipo]="jcp",1,0)</f>
        <v>1</v>
      </c>
    </row>
    <row r="1038" spans="1:26" hidden="1">
      <c r="A1038" s="4" t="s">
        <v>12</v>
      </c>
      <c r="B1038" s="131" t="s">
        <v>67</v>
      </c>
      <c r="C1038" s="15">
        <v>5</v>
      </c>
      <c r="D1038" s="14">
        <v>2009</v>
      </c>
      <c r="E1038" s="4" t="s">
        <v>1468</v>
      </c>
      <c r="F1038" s="133">
        <v>3.2297099999999999</v>
      </c>
      <c r="G1038" s="145">
        <v>40214</v>
      </c>
      <c r="I1038" s="133">
        <v>2.9647299999999999</v>
      </c>
      <c r="J1038" s="134">
        <f>IF(Tabela8[[#This Row],[Tipo]]="jcp",Tabela8[[#This Row],[Provento p/Ação]]*85%,Tabela8[[#This Row],[Provento p/Ação]])</f>
        <v>2.9647299999999999</v>
      </c>
      <c r="K1038" s="133">
        <f>IF([Lucro p/Ação]&lt;&gt;0,SUMPRODUCT(N([Papel]=Tabela8[[#This Row],[Papel]]),N([Exercício]=Tabela8[[#This Row],[Exercício]]),[Líquido p/Ação]),"")</f>
        <v>3.163783</v>
      </c>
      <c r="L1038" s="42">
        <f>IF(Tabela8[[#This Row],[Lucro p/Ação]]="","",IF(Tabela8[[#This Row],[Lucro p/Ação]]&gt;0,Tabela8[[#This Row],[Total Exercício]]/Tabela8[[#This Row],[Lucro p/Ação]],0))</f>
        <v>0.97958733137030884</v>
      </c>
      <c r="M103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-1.3226562819406651</v>
      </c>
      <c r="N103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0.88216383333333348</v>
      </c>
      <c r="O1038" s="19">
        <f>IF(Tabela8[[#This Row],[Média Lucro p/Ação]]&lt;&gt;"",Tabela8[[#This Row],[Média Pago]]/Tabela8[[#This Row],[Média Lucro p/Ação]],"")</f>
        <v>-0.66696377991641198</v>
      </c>
      <c r="P103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8" s="134">
        <f>SUMPRODUCT(N(Tabela1[Código]=Tabela8[[#This Row],[Papel]]),Tabela1[Fechamento])</f>
        <v>7.13</v>
      </c>
      <c r="R1038" s="17">
        <f>SUMPRODUCT(N(Tabela17[Código]=Tabela8[[#This Row],[Papel]]),Tabela17[Fechamento])</f>
        <v>0</v>
      </c>
      <c r="S1038" s="17">
        <f>SUMPRODUCT(N(Tabela176[Código]=Tabela8[[#This Row],[Papel]]),Tabela176[Fechamento])</f>
        <v>0</v>
      </c>
      <c r="T1038" s="17">
        <f>SUMPRODUCT(N(Tabela1768[Código]=Tabela8[[#This Row],[Papel]]),Tabela1768[Fechamento])</f>
        <v>0</v>
      </c>
      <c r="U1038" s="17">
        <f>SUMPRODUCT(N(Tabela17683[Código]=Tabela8[[#This Row],[Papel]]),Tabela17683[Fechamento])</f>
        <v>0</v>
      </c>
      <c r="V1038" s="17">
        <f>IF(MAX(Tabela8[[#This Row],[Cotação 1]]:Tabela8[[#This Row],[Cotação 5]])=0,"",MAX(Tabela8[[#This Row],[Cotação 1]]:Tabela8[[#This Row],[Cotação 5]]))</f>
        <v>7.13</v>
      </c>
      <c r="W103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8" s="19">
        <f>IF(AND([Ref]=5,[Cotação]&gt;0,[Cotação]&lt;&gt;""),[Total Exercício]/[Cotação],IF([Ref]&lt;4,0,""))</f>
        <v>0.44372833099579245</v>
      </c>
      <c r="Y1038" s="14">
        <f>IF([Tipo]="div",1,0)</f>
        <v>1</v>
      </c>
      <c r="Z1038" s="14">
        <f>IF([Tipo]="jcp",1,0)</f>
        <v>0</v>
      </c>
    </row>
    <row r="1039" spans="1:26" hidden="1">
      <c r="A1039" s="4" t="s">
        <v>12</v>
      </c>
      <c r="B1039" s="131" t="s">
        <v>67</v>
      </c>
      <c r="C1039" s="15">
        <v>4</v>
      </c>
      <c r="D1039" s="14">
        <v>2008</v>
      </c>
      <c r="E1039" s="4" t="s">
        <v>1468</v>
      </c>
      <c r="G1039" s="145">
        <v>39672</v>
      </c>
      <c r="H1039" s="46">
        <v>39689</v>
      </c>
      <c r="I1039" s="133">
        <v>1.1045499999999999</v>
      </c>
      <c r="J1039" s="134">
        <f>IF(Tabela8[[#This Row],[Tipo]]="jcp",Tabela8[[#This Row],[Provento p/Ação]]*85%,Tabela8[[#This Row],[Provento p/Ação]])</f>
        <v>1.1045499999999999</v>
      </c>
      <c r="K1039" s="133" t="str">
        <f>IF([Lucro p/Ação]&lt;&gt;0,SUMPRODUCT(N([Papel]=Tabela8[[#This Row],[Papel]]),N([Exercício]=Tabela8[[#This Row],[Exercício]]),[Líquido p/Ação]),"")</f>
        <v/>
      </c>
      <c r="L1039" s="42" t="str">
        <f>IF(Tabela8[[#This Row],[Lucro p/Ação]]="","",IF(Tabela8[[#This Row],[Lucro p/Ação]]&gt;0,Tabela8[[#This Row],[Total Exercício]]/Tabela8[[#This Row],[Lucro p/Ação]],0))</f>
        <v/>
      </c>
      <c r="M103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39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39" s="19" t="str">
        <f>IF(Tabela8[[#This Row],[Média Lucro p/Ação]]&lt;&gt;"",Tabela8[[#This Row],[Média Pago]]/Tabela8[[#This Row],[Média Lucro p/Ação]],"")</f>
        <v/>
      </c>
      <c r="P103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39" s="134">
        <f>SUMPRODUCT(N(Tabela1[Código]=Tabela8[[#This Row],[Papel]]),Tabela1[Fechamento])</f>
        <v>7.13</v>
      </c>
      <c r="R1039" s="17">
        <f>SUMPRODUCT(N(Tabela17[Código]=Tabela8[[#This Row],[Papel]]),Tabela17[Fechamento])</f>
        <v>0</v>
      </c>
      <c r="S1039" s="17">
        <f>SUMPRODUCT(N(Tabela176[Código]=Tabela8[[#This Row],[Papel]]),Tabela176[Fechamento])</f>
        <v>0</v>
      </c>
      <c r="T1039" s="17">
        <f>SUMPRODUCT(N(Tabela1768[Código]=Tabela8[[#This Row],[Papel]]),Tabela1768[Fechamento])</f>
        <v>0</v>
      </c>
      <c r="U1039" s="17">
        <f>SUMPRODUCT(N(Tabela17683[Código]=Tabela8[[#This Row],[Papel]]),Tabela17683[Fechamento])</f>
        <v>0</v>
      </c>
      <c r="V1039" s="17">
        <f>IF(MAX(Tabela8[[#This Row],[Cotação 1]]:Tabela8[[#This Row],[Cotação 5]])=0,"",MAX(Tabela8[[#This Row],[Cotação 1]]:Tabela8[[#This Row],[Cotação 5]]))</f>
        <v>7.13</v>
      </c>
      <c r="W103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39" s="19" t="str">
        <f>IF(AND([Ref]=5,[Cotação]&gt;0,[Cotação]&lt;&gt;""),[Total Exercício]/[Cotação],IF([Ref]&lt;4,0,""))</f>
        <v/>
      </c>
      <c r="Y1039" s="14">
        <f>IF([Tipo]="div",1,0)</f>
        <v>1</v>
      </c>
      <c r="Z1039" s="14">
        <f>IF([Tipo]="jcp",1,0)</f>
        <v>0</v>
      </c>
    </row>
    <row r="1040" spans="1:26" hidden="1">
      <c r="A1040" s="4" t="s">
        <v>12</v>
      </c>
      <c r="B1040" s="131" t="s">
        <v>67</v>
      </c>
      <c r="C1040" s="15">
        <v>4</v>
      </c>
      <c r="D1040" s="14">
        <v>2008</v>
      </c>
      <c r="E1040" s="4" t="s">
        <v>1475</v>
      </c>
      <c r="G1040" s="145">
        <v>39790</v>
      </c>
      <c r="H1040" s="46">
        <v>39941</v>
      </c>
      <c r="I1040" s="133">
        <v>0.22739000000000001</v>
      </c>
      <c r="J1040" s="134">
        <f>IF(Tabela8[[#This Row],[Tipo]]="jcp",Tabela8[[#This Row],[Provento p/Ação]]*85%,Tabela8[[#This Row],[Provento p/Ação]])</f>
        <v>0.19328149999999999</v>
      </c>
      <c r="K1040" s="133" t="str">
        <f>IF([Lucro p/Ação]&lt;&gt;0,SUMPRODUCT(N([Papel]=Tabela8[[#This Row],[Papel]]),N([Exercício]=Tabela8[[#This Row],[Exercício]]),[Líquido p/Ação]),"")</f>
        <v/>
      </c>
      <c r="L1040" s="42" t="str">
        <f>IF(Tabela8[[#This Row],[Lucro p/Ação]]="","",IF(Tabela8[[#This Row],[Lucro p/Ação]]&gt;0,Tabela8[[#This Row],[Total Exercício]]/Tabela8[[#This Row],[Lucro p/Ação]],0))</f>
        <v/>
      </c>
      <c r="M104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0" s="19" t="str">
        <f>IF(Tabela8[[#This Row],[Média Lucro p/Ação]]&lt;&gt;"",Tabela8[[#This Row],[Média Pago]]/Tabela8[[#This Row],[Média Lucro p/Ação]],"")</f>
        <v/>
      </c>
      <c r="P104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0" s="134">
        <f>SUMPRODUCT(N(Tabela1[Código]=Tabela8[[#This Row],[Papel]]),Tabela1[Fechamento])</f>
        <v>7.13</v>
      </c>
      <c r="R1040" s="7">
        <f>SUMPRODUCT(N(Tabela17[Código]=Tabela8[[#This Row],[Papel]]),Tabela17[Fechamento])</f>
        <v>0</v>
      </c>
      <c r="S1040" s="7">
        <f>SUMPRODUCT(N(Tabela176[Código]=Tabela8[[#This Row],[Papel]]),Tabela176[Fechamento])</f>
        <v>0</v>
      </c>
      <c r="T1040" s="7">
        <f>SUMPRODUCT(N(Tabela1768[Código]=Tabela8[[#This Row],[Papel]]),Tabela1768[Fechamento])</f>
        <v>0</v>
      </c>
      <c r="U1040" s="7">
        <f>SUMPRODUCT(N(Tabela17683[Código]=Tabela8[[#This Row],[Papel]]),Tabela17683[Fechamento])</f>
        <v>0</v>
      </c>
      <c r="V1040" s="7">
        <f>IF(MAX(Tabela8[[#This Row],[Cotação 1]]:Tabela8[[#This Row],[Cotação 5]])=0,"",MAX(Tabela8[[#This Row],[Cotação 1]]:Tabela8[[#This Row],[Cotação 5]]))</f>
        <v>7.13</v>
      </c>
      <c r="W104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0" s="19" t="str">
        <f>IF(AND([Ref]=5,[Cotação]&gt;0,[Cotação]&lt;&gt;""),[Total Exercício]/[Cotação],IF([Ref]&lt;4,0,""))</f>
        <v/>
      </c>
      <c r="Y1040" s="14">
        <f>IF([Tipo]="div",1,0)</f>
        <v>0</v>
      </c>
      <c r="Z1040" s="14">
        <f>IF([Tipo]="jcp",1,0)</f>
        <v>1</v>
      </c>
    </row>
    <row r="1041" spans="1:26" hidden="1">
      <c r="A1041" s="4" t="s">
        <v>12</v>
      </c>
      <c r="B1041" s="131" t="s">
        <v>67</v>
      </c>
      <c r="C1041" s="15">
        <v>5</v>
      </c>
      <c r="D1041" s="14">
        <v>2008</v>
      </c>
      <c r="E1041" s="4" t="s">
        <v>1468</v>
      </c>
      <c r="F1041" s="133">
        <v>4.8910200000000001</v>
      </c>
      <c r="I1041" s="133">
        <v>3.4778600000000002</v>
      </c>
      <c r="J1041" s="134">
        <f>IF(Tabela8[[#This Row],[Tipo]]="jcp",Tabela8[[#This Row],[Provento p/Ação]]*85%,Tabela8[[#This Row],[Provento p/Ação]])</f>
        <v>3.4778600000000002</v>
      </c>
      <c r="K1041" s="133">
        <f>IF([Lucro p/Ação]&lt;&gt;0,SUMPRODUCT(N([Papel]=Tabela8[[#This Row],[Papel]]),N([Exercício]=Tabela8[[#This Row],[Exercício]]),[Líquido p/Ação]),"")</f>
        <v>4.7756915000000006</v>
      </c>
      <c r="L1041" s="42">
        <f>IF(Tabela8[[#This Row],[Lucro p/Ação]]="","",IF(Tabela8[[#This Row],[Lucro p/Ação]]&gt;0,Tabela8[[#This Row],[Total Exercício]]/Tabela8[[#This Row],[Lucro p/Ação]],0))</f>
        <v>0.97642035812570804</v>
      </c>
      <c r="M104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-1.8917020671832478</v>
      </c>
      <c r="N104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0.59696143750000008</v>
      </c>
      <c r="O1041" s="19">
        <f>IF(Tabela8[[#This Row],[Média Lucro p/Ação]]&lt;&gt;"",Tabela8[[#This Row],[Média Pago]]/Tabela8[[#This Row],[Média Lucro p/Ação]],"")</f>
        <v>-0.31556842266862778</v>
      </c>
      <c r="P104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1" s="134">
        <f>SUMPRODUCT(N(Tabela1[Código]=Tabela8[[#This Row],[Papel]]),Tabela1[Fechamento])</f>
        <v>7.13</v>
      </c>
      <c r="R1041" s="17">
        <f>SUMPRODUCT(N(Tabela17[Código]=Tabela8[[#This Row],[Papel]]),Tabela17[Fechamento])</f>
        <v>0</v>
      </c>
      <c r="S1041" s="17">
        <f>SUMPRODUCT(N(Tabela176[Código]=Tabela8[[#This Row],[Papel]]),Tabela176[Fechamento])</f>
        <v>0</v>
      </c>
      <c r="T1041" s="17">
        <f>SUMPRODUCT(N(Tabela1768[Código]=Tabela8[[#This Row],[Papel]]),Tabela1768[Fechamento])</f>
        <v>0</v>
      </c>
      <c r="U1041" s="17">
        <f>SUMPRODUCT(N(Tabela17683[Código]=Tabela8[[#This Row],[Papel]]),Tabela17683[Fechamento])</f>
        <v>0</v>
      </c>
      <c r="V1041" s="17">
        <f>IF(MAX(Tabela8[[#This Row],[Cotação 1]]:Tabela8[[#This Row],[Cotação 5]])=0,"",MAX(Tabela8[[#This Row],[Cotação 1]]:Tabela8[[#This Row],[Cotação 5]]))</f>
        <v>7.13</v>
      </c>
      <c r="W104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1" s="19">
        <f>IF(AND([Ref]=5,[Cotação]&gt;0,[Cotação]&lt;&gt;""),[Total Exercício]/[Cotação],IF([Ref]&lt;4,0,""))</f>
        <v>0.66980245441795239</v>
      </c>
      <c r="Y1041" s="14">
        <f>IF([Tipo]="div",1,0)</f>
        <v>1</v>
      </c>
      <c r="Z1041" s="14">
        <f>IF([Tipo]="jcp",1,0)</f>
        <v>0</v>
      </c>
    </row>
    <row r="1042" spans="1:26" hidden="1">
      <c r="A1042" s="4" t="s">
        <v>12</v>
      </c>
      <c r="B1042" s="3" t="s">
        <v>162</v>
      </c>
      <c r="C1042" s="15">
        <v>5</v>
      </c>
      <c r="D1042" s="14">
        <v>2007</v>
      </c>
      <c r="E1042" s="14" t="s">
        <v>1468</v>
      </c>
      <c r="F1042" s="133">
        <f>0.01703*250</f>
        <v>4.2575000000000003</v>
      </c>
      <c r="G1042" s="145">
        <v>39525</v>
      </c>
      <c r="H1042" s="46">
        <v>39576</v>
      </c>
      <c r="I1042" s="133">
        <f>0.00359*250</f>
        <v>0.89749999999999996</v>
      </c>
      <c r="J1042" s="134">
        <f>IF(Tabela8[[#This Row],[Tipo]]="jcp",Tabela8[[#This Row],[Provento p/Ação]]*85%,Tabela8[[#This Row],[Provento p/Ação]])</f>
        <v>0.89749999999999996</v>
      </c>
      <c r="K1042" s="133">
        <f>IF([Lucro p/Ação]&lt;&gt;0,SUMPRODUCT(N([Papel]=Tabela8[[#This Row],[Papel]]),N([Exercício]=Tabela8[[#This Row],[Exercício]]),[Líquido p/Ação]),"")</f>
        <v>3.7476249999999998</v>
      </c>
      <c r="L1042" s="42">
        <f>IF(Tabela8[[#This Row],[Lucro p/Ação]]="","",IF(Tabela8[[#This Row],[Lucro p/Ação]]&gt;0,Tabela8[[#This Row],[Total Exercício]]/Tabela8[[#This Row],[Lucro p/Ação]],0))</f>
        <v>0.88024075161479731</v>
      </c>
      <c r="M104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0.4847727272727273</v>
      </c>
      <c r="N104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0.74342045454545458</v>
      </c>
      <c r="O1042" s="19">
        <f>IF(Tabela8[[#This Row],[Média Lucro p/Ação]]&lt;&gt;"",Tabela8[[#This Row],[Média Pago]]/Tabela8[[#This Row],[Média Lucro p/Ação]],"")</f>
        <v>1.5335443037974683</v>
      </c>
      <c r="P104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2" s="134">
        <f>SUMPRODUCT(N(Tabela1[Código]=Tabela8[[#This Row],[Papel]]),Tabela1[Fechamento])</f>
        <v>15</v>
      </c>
      <c r="R1042" s="7">
        <f>SUMPRODUCT(N(Tabela17[Código]=Tabela8[[#This Row],[Papel]]),Tabela17[Fechamento])</f>
        <v>0</v>
      </c>
      <c r="S1042" s="7">
        <f>SUMPRODUCT(N(Tabela176[Código]=Tabela8[[#This Row],[Papel]]),Tabela176[Fechamento])</f>
        <v>0</v>
      </c>
      <c r="T1042" s="7">
        <f>SUMPRODUCT(N(Tabela1768[Código]=Tabela8[[#This Row],[Papel]]),Tabela1768[Fechamento])</f>
        <v>0</v>
      </c>
      <c r="U1042" s="7">
        <f>SUMPRODUCT(N(Tabela17683[Código]=Tabela8[[#This Row],[Papel]]),Tabela17683[Fechamento])</f>
        <v>0</v>
      </c>
      <c r="V1042" s="7">
        <f>IF(MAX(Tabela8[[#This Row],[Cotação 1]]:Tabela8[[#This Row],[Cotação 5]])=0,"",MAX(Tabela8[[#This Row],[Cotação 1]]:Tabela8[[#This Row],[Cotação 5]]))</f>
        <v>15</v>
      </c>
      <c r="W104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2" s="19">
        <f>IF(AND([Ref]=5,[Cotação]&gt;0,[Cotação]&lt;&gt;""),[Total Exercício]/[Cotação],IF([Ref]&lt;4,0,""))</f>
        <v>0.24984166666666666</v>
      </c>
      <c r="Y1042" s="14">
        <f>IF([Tipo]="div",1,0)</f>
        <v>1</v>
      </c>
      <c r="Z1042" s="14">
        <f>IF([Tipo]="jcp",1,0)</f>
        <v>0</v>
      </c>
    </row>
    <row r="1043" spans="1:26" hidden="1">
      <c r="A1043" s="4" t="s">
        <v>12</v>
      </c>
      <c r="B1043" s="3" t="s">
        <v>1</v>
      </c>
      <c r="C1043" s="16">
        <v>5</v>
      </c>
      <c r="D1043" s="14">
        <v>2007</v>
      </c>
      <c r="E1043" s="14" t="s">
        <v>1468</v>
      </c>
      <c r="F1043" s="133">
        <f>0.01703*250</f>
        <v>4.2575000000000003</v>
      </c>
      <c r="G1043" s="145">
        <v>39525</v>
      </c>
      <c r="H1043" s="46">
        <v>39576</v>
      </c>
      <c r="I1043" s="133">
        <f>0.00395*250</f>
        <v>0.98750000000000004</v>
      </c>
      <c r="J1043" s="134">
        <f>IF(Tabela8[[#This Row],[Tipo]]="jcp",Tabela8[[#This Row],[Provento p/Ação]]*85%,Tabela8[[#This Row],[Provento p/Ação]])</f>
        <v>0.98750000000000004</v>
      </c>
      <c r="K1043" s="133">
        <f>IF([Lucro p/Ação]&lt;&gt;0,SUMPRODUCT(N([Papel]=Tabela8[[#This Row],[Papel]]),N([Exercício]=Tabela8[[#This Row],[Exercício]]),[Líquido p/Ação]),"")</f>
        <v>4.367</v>
      </c>
      <c r="L1043" s="42">
        <f>IF(Tabela8[[#This Row],[Lucro p/Ação]]="","",IF(Tabela8[[#This Row],[Lucro p/Ação]]&gt;0,Tabela8[[#This Row],[Total Exercício]]/Tabela8[[#This Row],[Lucro p/Ação]],0))</f>
        <v>1.0257193188490898</v>
      </c>
      <c r="M104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0.4847727272727273</v>
      </c>
      <c r="N104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0.83976136363636378</v>
      </c>
      <c r="O1043" s="19">
        <f>IF(Tabela8[[#This Row],[Média Lucro p/Ação]]&lt;&gt;"",Tabela8[[#This Row],[Média Pago]]/Tabela8[[#This Row],[Média Lucro p/Ação]],"")</f>
        <v>1.7322784810126584</v>
      </c>
      <c r="P104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3" s="134">
        <f>SUMPRODUCT(N(Tabela1[Código]=Tabela8[[#This Row],[Papel]]),Tabela1[Fechamento])</f>
        <v>7.94</v>
      </c>
      <c r="R1043" s="17">
        <f>SUMPRODUCT(N(Tabela17[Código]=Tabela8[[#This Row],[Papel]]),Tabela17[Fechamento])</f>
        <v>0</v>
      </c>
      <c r="S1043" s="17">
        <f>SUMPRODUCT(N(Tabela176[Código]=Tabela8[[#This Row],[Papel]]),Tabela176[Fechamento])</f>
        <v>0</v>
      </c>
      <c r="T1043" s="17">
        <f>SUMPRODUCT(N(Tabela1768[Código]=Tabela8[[#This Row],[Papel]]),Tabela1768[Fechamento])</f>
        <v>0</v>
      </c>
      <c r="U1043" s="17">
        <f>SUMPRODUCT(N(Tabela17683[Código]=Tabela8[[#This Row],[Papel]]),Tabela17683[Fechamento])</f>
        <v>0</v>
      </c>
      <c r="V1043" s="17">
        <f>IF(MAX(Tabela8[[#This Row],[Cotação 1]]:Tabela8[[#This Row],[Cotação 5]])=0,"",MAX(Tabela8[[#This Row],[Cotação 1]]:Tabela8[[#This Row],[Cotação 5]]))</f>
        <v>7.94</v>
      </c>
      <c r="W104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3" s="19">
        <f>IF(AND([Ref]=5,[Cotação]&gt;0,[Cotação]&lt;&gt;""),[Total Exercício]/[Cotação],IF([Ref]&lt;4,0,""))</f>
        <v>0.54999999999999993</v>
      </c>
      <c r="Y1043" s="14">
        <f>IF([Tipo]="div",1,0)</f>
        <v>1</v>
      </c>
      <c r="Z1043" s="14">
        <f>IF([Tipo]="jcp",1,0)</f>
        <v>0</v>
      </c>
    </row>
    <row r="1044" spans="1:26" hidden="1">
      <c r="A1044" s="4" t="s">
        <v>12</v>
      </c>
      <c r="B1044" s="3" t="s">
        <v>162</v>
      </c>
      <c r="C1044" s="15">
        <v>4</v>
      </c>
      <c r="D1044" s="14">
        <v>2008</v>
      </c>
      <c r="E1044" s="14" t="s">
        <v>1468</v>
      </c>
      <c r="G1044" s="145">
        <v>39672</v>
      </c>
      <c r="H1044" s="46">
        <v>39688</v>
      </c>
      <c r="I1044" s="133">
        <v>2.0261300000000002</v>
      </c>
      <c r="J1044" s="134">
        <f>IF(Tabela8[[#This Row],[Tipo]]="jcp",Tabela8[[#This Row],[Provento p/Ação]]*85%,Tabela8[[#This Row],[Provento p/Ação]])</f>
        <v>2.0261300000000002</v>
      </c>
      <c r="K1044" s="133" t="str">
        <f>IF([Lucro p/Ação]&lt;&gt;0,SUMPRODUCT(N([Papel]=Tabela8[[#This Row],[Papel]]),N([Exercício]=Tabela8[[#This Row],[Exercício]]),[Líquido p/Ação]),"")</f>
        <v/>
      </c>
      <c r="L1044" s="42" t="str">
        <f>IF(Tabela8[[#This Row],[Lucro p/Ação]]="","",IF(Tabela8[[#This Row],[Lucro p/Ação]]&gt;0,Tabela8[[#This Row],[Total Exercício]]/Tabela8[[#This Row],[Lucro p/Ação]],0))</f>
        <v/>
      </c>
      <c r="M104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4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4" s="19" t="str">
        <f>IF(Tabela8[[#This Row],[Média Lucro p/Ação]]&lt;&gt;"",Tabela8[[#This Row],[Média Pago]]/Tabela8[[#This Row],[Média Lucro p/Ação]],"")</f>
        <v/>
      </c>
      <c r="P104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4" s="134">
        <f>SUMPRODUCT(N(Tabela1[Código]=Tabela8[[#This Row],[Papel]]),Tabela1[Fechamento])</f>
        <v>15</v>
      </c>
      <c r="R1044" s="7">
        <f>SUMPRODUCT(N(Tabela17[Código]=Tabela8[[#This Row],[Papel]]),Tabela17[Fechamento])</f>
        <v>0</v>
      </c>
      <c r="S1044" s="7">
        <f>SUMPRODUCT(N(Tabela176[Código]=Tabela8[[#This Row],[Papel]]),Tabela176[Fechamento])</f>
        <v>0</v>
      </c>
      <c r="T1044" s="7">
        <f>SUMPRODUCT(N(Tabela1768[Código]=Tabela8[[#This Row],[Papel]]),Tabela1768[Fechamento])</f>
        <v>0</v>
      </c>
      <c r="U1044" s="7">
        <f>SUMPRODUCT(N(Tabela17683[Código]=Tabela8[[#This Row],[Papel]]),Tabela17683[Fechamento])</f>
        <v>0</v>
      </c>
      <c r="V1044" s="7">
        <f>IF(MAX(Tabela8[[#This Row],[Cotação 1]]:Tabela8[[#This Row],[Cotação 5]])=0,"",MAX(Tabela8[[#This Row],[Cotação 1]]:Tabela8[[#This Row],[Cotação 5]]))</f>
        <v>15</v>
      </c>
      <c r="W104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4" s="19" t="str">
        <f>IF(AND([Ref]=5,[Cotação]&gt;0,[Cotação]&lt;&gt;""),[Total Exercício]/[Cotação],IF([Ref]&lt;4,0,""))</f>
        <v/>
      </c>
      <c r="Y1044" s="14">
        <f>IF([Tipo]="div",1,0)</f>
        <v>1</v>
      </c>
      <c r="Z1044" s="14">
        <f>IF([Tipo]="jcp",1,0)</f>
        <v>0</v>
      </c>
    </row>
    <row r="1045" spans="1:26" hidden="1">
      <c r="A1045" s="4" t="s">
        <v>12</v>
      </c>
      <c r="B1045" s="3" t="s">
        <v>1</v>
      </c>
      <c r="C1045" s="15">
        <v>4</v>
      </c>
      <c r="D1045" s="14">
        <v>2008</v>
      </c>
      <c r="E1045" s="14" t="s">
        <v>1468</v>
      </c>
      <c r="G1045" s="145">
        <v>39672</v>
      </c>
      <c r="H1045" s="46">
        <v>39688</v>
      </c>
      <c r="I1045" s="133">
        <v>2.2287400000000002</v>
      </c>
      <c r="J1045" s="134">
        <f>IF(Tabela8[[#This Row],[Tipo]]="jcp",Tabela8[[#This Row],[Provento p/Ação]]*85%,Tabela8[[#This Row],[Provento p/Ação]])</f>
        <v>2.2287400000000002</v>
      </c>
      <c r="K1045" s="133" t="str">
        <f>IF([Lucro p/Ação]&lt;&gt;0,SUMPRODUCT(N([Papel]=Tabela8[[#This Row],[Papel]]),N([Exercício]=Tabela8[[#This Row],[Exercício]]),[Líquido p/Ação]),"")</f>
        <v/>
      </c>
      <c r="L1045" s="42" t="str">
        <f>IF(Tabela8[[#This Row],[Lucro p/Ação]]="","",IF(Tabela8[[#This Row],[Lucro p/Ação]]&gt;0,Tabela8[[#This Row],[Total Exercício]]/Tabela8[[#This Row],[Lucro p/Ação]],0))</f>
        <v/>
      </c>
      <c r="M104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5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5" s="19" t="str">
        <f>IF(Tabela8[[#This Row],[Média Lucro p/Ação]]&lt;&gt;"",Tabela8[[#This Row],[Média Pago]]/Tabela8[[#This Row],[Média Lucro p/Ação]],"")</f>
        <v/>
      </c>
      <c r="P104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5" s="134">
        <f>SUMPRODUCT(N(Tabela1[Código]=Tabela8[[#This Row],[Papel]]),Tabela1[Fechamento])</f>
        <v>7.94</v>
      </c>
      <c r="R1045" s="7">
        <f>SUMPRODUCT(N(Tabela17[Código]=Tabela8[[#This Row],[Papel]]),Tabela17[Fechamento])</f>
        <v>0</v>
      </c>
      <c r="S1045" s="7">
        <f>SUMPRODUCT(N(Tabela176[Código]=Tabela8[[#This Row],[Papel]]),Tabela176[Fechamento])</f>
        <v>0</v>
      </c>
      <c r="T1045" s="7">
        <f>SUMPRODUCT(N(Tabela1768[Código]=Tabela8[[#This Row],[Papel]]),Tabela1768[Fechamento])</f>
        <v>0</v>
      </c>
      <c r="U1045" s="7">
        <f>SUMPRODUCT(N(Tabela17683[Código]=Tabela8[[#This Row],[Papel]]),Tabela17683[Fechamento])</f>
        <v>0</v>
      </c>
      <c r="V1045" s="7">
        <f>IF(MAX(Tabela8[[#This Row],[Cotação 1]]:Tabela8[[#This Row],[Cotação 5]])=0,"",MAX(Tabela8[[#This Row],[Cotação 1]]:Tabela8[[#This Row],[Cotação 5]]))</f>
        <v>7.94</v>
      </c>
      <c r="W104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5" s="19" t="str">
        <f>IF(AND([Ref]=5,[Cotação]&gt;0,[Cotação]&lt;&gt;""),[Total Exercício]/[Cotação],IF([Ref]&lt;4,0,""))</f>
        <v/>
      </c>
      <c r="Y1045" s="14">
        <f>IF([Tipo]="div",1,0)</f>
        <v>1</v>
      </c>
      <c r="Z1045" s="14">
        <f>IF([Tipo]="jcp",1,0)</f>
        <v>0</v>
      </c>
    </row>
    <row r="1046" spans="1:26" hidden="1">
      <c r="A1046" s="4" t="s">
        <v>12</v>
      </c>
      <c r="B1046" s="3" t="s">
        <v>162</v>
      </c>
      <c r="C1046" s="15">
        <v>4</v>
      </c>
      <c r="D1046" s="14">
        <v>2008</v>
      </c>
      <c r="E1046" s="4" t="s">
        <v>1475</v>
      </c>
      <c r="G1046" s="145">
        <v>39801</v>
      </c>
      <c r="I1046" s="133">
        <v>0.38785999999999998</v>
      </c>
      <c r="J1046" s="134">
        <f>IF(Tabela8[[#This Row],[Tipo]]="jcp",Tabela8[[#This Row],[Provento p/Ação]]*85%,Tabela8[[#This Row],[Provento p/Ação]])</f>
        <v>0.329681</v>
      </c>
      <c r="K1046" s="133" t="str">
        <f>IF([Lucro p/Ação]&lt;&gt;0,SUMPRODUCT(N([Papel]=Tabela8[[#This Row],[Papel]]),N([Exercício]=Tabela8[[#This Row],[Exercício]]),[Líquido p/Ação]),"")</f>
        <v/>
      </c>
      <c r="L1046" s="42" t="str">
        <f>IF(Tabela8[[#This Row],[Lucro p/Ação]]="","",IF(Tabela8[[#This Row],[Lucro p/Ação]]&gt;0,Tabela8[[#This Row],[Total Exercício]]/Tabela8[[#This Row],[Lucro p/Ação]],0))</f>
        <v/>
      </c>
      <c r="M104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6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6" s="19" t="str">
        <f>IF(Tabela8[[#This Row],[Média Lucro p/Ação]]&lt;&gt;"",Tabela8[[#This Row],[Média Pago]]/Tabela8[[#This Row],[Média Lucro p/Ação]],"")</f>
        <v/>
      </c>
      <c r="P104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6" s="134">
        <f>SUMPRODUCT(N(Tabela1[Código]=Tabela8[[#This Row],[Papel]]),Tabela1[Fechamento])</f>
        <v>15</v>
      </c>
      <c r="R1046" s="17">
        <f>SUMPRODUCT(N(Tabela17[Código]=Tabela8[[#This Row],[Papel]]),Tabela17[Fechamento])</f>
        <v>0</v>
      </c>
      <c r="S1046" s="17">
        <f>SUMPRODUCT(N(Tabela176[Código]=Tabela8[[#This Row],[Papel]]),Tabela176[Fechamento])</f>
        <v>0</v>
      </c>
      <c r="T1046" s="17">
        <f>SUMPRODUCT(N(Tabela1768[Código]=Tabela8[[#This Row],[Papel]]),Tabela1768[Fechamento])</f>
        <v>0</v>
      </c>
      <c r="U1046" s="17">
        <f>SUMPRODUCT(N(Tabela17683[Código]=Tabela8[[#This Row],[Papel]]),Tabela17683[Fechamento])</f>
        <v>0</v>
      </c>
      <c r="V1046" s="17">
        <f>IF(MAX(Tabela8[[#This Row],[Cotação 1]]:Tabela8[[#This Row],[Cotação 5]])=0,"",MAX(Tabela8[[#This Row],[Cotação 1]]:Tabela8[[#This Row],[Cotação 5]]))</f>
        <v>15</v>
      </c>
      <c r="W104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6" s="19" t="str">
        <f>IF(AND([Ref]=5,[Cotação]&gt;0,[Cotação]&lt;&gt;""),[Total Exercício]/[Cotação],IF([Ref]&lt;4,0,""))</f>
        <v/>
      </c>
      <c r="Y1046" s="14">
        <f>IF([Tipo]="div",1,0)</f>
        <v>0</v>
      </c>
      <c r="Z1046" s="14">
        <f>IF([Tipo]="jcp",1,0)</f>
        <v>1</v>
      </c>
    </row>
    <row r="1047" spans="1:26" hidden="1">
      <c r="A1047" s="4" t="s">
        <v>12</v>
      </c>
      <c r="B1047" s="3" t="s">
        <v>1</v>
      </c>
      <c r="C1047" s="15">
        <v>4</v>
      </c>
      <c r="D1047" s="14">
        <v>2008</v>
      </c>
      <c r="E1047" s="4" t="s">
        <v>1475</v>
      </c>
      <c r="G1047" s="145">
        <v>39801</v>
      </c>
      <c r="I1047" s="133">
        <v>0.42664999999999997</v>
      </c>
      <c r="J1047" s="134">
        <f>IF(Tabela8[[#This Row],[Tipo]]="jcp",Tabela8[[#This Row],[Provento p/Ação]]*85%,Tabela8[[#This Row],[Provento p/Ação]])</f>
        <v>0.36265249999999999</v>
      </c>
      <c r="K1047" s="133" t="str">
        <f>IF([Lucro p/Ação]&lt;&gt;0,SUMPRODUCT(N([Papel]=Tabela8[[#This Row],[Papel]]),N([Exercício]=Tabela8[[#This Row],[Exercício]]),[Líquido p/Ação]),"")</f>
        <v/>
      </c>
      <c r="L1047" s="42" t="str">
        <f>IF(Tabela8[[#This Row],[Lucro p/Ação]]="","",IF(Tabela8[[#This Row],[Lucro p/Ação]]&gt;0,Tabela8[[#This Row],[Total Exercício]]/Tabela8[[#This Row],[Lucro p/Ação]],0))</f>
        <v/>
      </c>
      <c r="M104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47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47" s="19" t="str">
        <f>IF(Tabela8[[#This Row],[Média Lucro p/Ação]]&lt;&gt;"",Tabela8[[#This Row],[Média Pago]]/Tabela8[[#This Row],[Média Lucro p/Ação]],"")</f>
        <v/>
      </c>
      <c r="P104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7" s="134">
        <f>SUMPRODUCT(N(Tabela1[Código]=Tabela8[[#This Row],[Papel]]),Tabela1[Fechamento])</f>
        <v>7.94</v>
      </c>
      <c r="R1047" s="7">
        <f>SUMPRODUCT(N(Tabela17[Código]=Tabela8[[#This Row],[Papel]]),Tabela17[Fechamento])</f>
        <v>0</v>
      </c>
      <c r="S1047" s="7">
        <f>SUMPRODUCT(N(Tabela176[Código]=Tabela8[[#This Row],[Papel]]),Tabela176[Fechamento])</f>
        <v>0</v>
      </c>
      <c r="T1047" s="7">
        <f>SUMPRODUCT(N(Tabela1768[Código]=Tabela8[[#This Row],[Papel]]),Tabela1768[Fechamento])</f>
        <v>0</v>
      </c>
      <c r="U1047" s="7">
        <f>SUMPRODUCT(N(Tabela17683[Código]=Tabela8[[#This Row],[Papel]]),Tabela17683[Fechamento])</f>
        <v>0</v>
      </c>
      <c r="V1047" s="7">
        <f>IF(MAX(Tabela8[[#This Row],[Cotação 1]]:Tabela8[[#This Row],[Cotação 5]])=0,"",MAX(Tabela8[[#This Row],[Cotação 1]]:Tabela8[[#This Row],[Cotação 5]]))</f>
        <v>7.94</v>
      </c>
      <c r="W104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7" s="19" t="str">
        <f>IF(AND([Ref]=5,[Cotação]&gt;0,[Cotação]&lt;&gt;""),[Total Exercício]/[Cotação],IF([Ref]&lt;4,0,""))</f>
        <v/>
      </c>
      <c r="Y1047" s="14">
        <f>IF([Tipo]="div",1,0)</f>
        <v>0</v>
      </c>
      <c r="Z1047" s="14">
        <f>IF([Tipo]="jcp",1,0)</f>
        <v>1</v>
      </c>
    </row>
    <row r="1048" spans="1:26" hidden="1">
      <c r="A1048" s="4" t="s">
        <v>12</v>
      </c>
      <c r="B1048" s="3" t="s">
        <v>162</v>
      </c>
      <c r="C1048" s="15">
        <v>5</v>
      </c>
      <c r="D1048" s="14">
        <v>2008</v>
      </c>
      <c r="E1048" s="14" t="s">
        <v>1468</v>
      </c>
      <c r="F1048" s="133">
        <v>6.1377100000000002</v>
      </c>
      <c r="I1048" s="133">
        <v>3.4646400000000002</v>
      </c>
      <c r="J1048" s="134">
        <f>IF(Tabela8[[#This Row],[Tipo]]="jcp",Tabela8[[#This Row],[Provento p/Ação]]*85%,Tabela8[[#This Row],[Provento p/Ação]])</f>
        <v>3.4646400000000002</v>
      </c>
      <c r="K1048" s="133">
        <f>IF([Lucro p/Ação]&lt;&gt;0,SUMPRODUCT(N([Papel]=Tabela8[[#This Row],[Papel]]),N([Exercício]=Tabela8[[#This Row],[Exercício]]),[Líquido p/Ação]),"")</f>
        <v>5.8204510000000003</v>
      </c>
      <c r="L1048" s="42">
        <f>IF(Tabela8[[#This Row],[Lucro p/Ação]]="","",IF(Tabela8[[#This Row],[Lucro p/Ação]]&gt;0,Tabela8[[#This Row],[Total Exercício]]/Tabela8[[#This Row],[Lucro p/Ação]],0))</f>
        <v>0.94830987452975135</v>
      </c>
      <c r="M104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0.95585083333333343</v>
      </c>
      <c r="N104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1.1665063333333332</v>
      </c>
      <c r="O1048" s="19">
        <f>IF(Tabela8[[#This Row],[Média Lucro p/Ação]]&lt;&gt;"",Tabela8[[#This Row],[Média Pago]]/Tabela8[[#This Row],[Média Lucro p/Ação]],"")</f>
        <v>1.2203853286033994</v>
      </c>
      <c r="P104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8" s="134">
        <f>SUMPRODUCT(N(Tabela1[Código]=Tabela8[[#This Row],[Papel]]),Tabela1[Fechamento])</f>
        <v>15</v>
      </c>
      <c r="R1048" s="7">
        <f>SUMPRODUCT(N(Tabela17[Código]=Tabela8[[#This Row],[Papel]]),Tabela17[Fechamento])</f>
        <v>0</v>
      </c>
      <c r="S1048" s="7">
        <f>SUMPRODUCT(N(Tabela176[Código]=Tabela8[[#This Row],[Papel]]),Tabela176[Fechamento])</f>
        <v>0</v>
      </c>
      <c r="T1048" s="7">
        <f>SUMPRODUCT(N(Tabela1768[Código]=Tabela8[[#This Row],[Papel]]),Tabela1768[Fechamento])</f>
        <v>0</v>
      </c>
      <c r="U1048" s="7">
        <f>SUMPRODUCT(N(Tabela17683[Código]=Tabela8[[#This Row],[Papel]]),Tabela17683[Fechamento])</f>
        <v>0</v>
      </c>
      <c r="V1048" s="7">
        <f>IF(MAX(Tabela8[[#This Row],[Cotação 1]]:Tabela8[[#This Row],[Cotação 5]])=0,"",MAX(Tabela8[[#This Row],[Cotação 1]]:Tabela8[[#This Row],[Cotação 5]]))</f>
        <v>15</v>
      </c>
      <c r="W104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8" s="19">
        <f>IF(AND([Ref]=5,[Cotação]&gt;0,[Cotação]&lt;&gt;""),[Total Exercício]/[Cotação],IF([Ref]&lt;4,0,""))</f>
        <v>0.38803006666666667</v>
      </c>
      <c r="Y1048" s="14">
        <f>IF([Tipo]="div",1,0)</f>
        <v>1</v>
      </c>
      <c r="Z1048" s="14">
        <f>IF([Tipo]="jcp",1,0)</f>
        <v>0</v>
      </c>
    </row>
    <row r="1049" spans="1:26" hidden="1">
      <c r="A1049" s="4" t="s">
        <v>12</v>
      </c>
      <c r="B1049" s="3" t="s">
        <v>1</v>
      </c>
      <c r="C1049" s="16">
        <v>5</v>
      </c>
      <c r="D1049" s="14">
        <v>2008</v>
      </c>
      <c r="E1049" s="14" t="s">
        <v>1468</v>
      </c>
      <c r="F1049" s="133">
        <v>6.1377100000000002</v>
      </c>
      <c r="I1049" s="133">
        <v>3.8111000000000002</v>
      </c>
      <c r="J1049" s="134">
        <f>IF(Tabela8[[#This Row],[Tipo]]="jcp",Tabela8[[#This Row],[Provento p/Ação]]*85%,Tabela8[[#This Row],[Provento p/Ação]])</f>
        <v>3.8111000000000002</v>
      </c>
      <c r="K1049" s="133">
        <f>IF([Lucro p/Ação]&lt;&gt;0,SUMPRODUCT(N([Papel]=Tabela8[[#This Row],[Papel]]),N([Exercício]=Tabela8[[#This Row],[Exercício]]),[Líquido p/Ação]),"")</f>
        <v>6.4024925000000001</v>
      </c>
      <c r="L1049" s="42">
        <f>IF(Tabela8[[#This Row],[Lucro p/Ação]]="","",IF(Tabela8[[#This Row],[Lucro p/Ação]]&gt;0,Tabela8[[#This Row],[Total Exercício]]/Tabela8[[#This Row],[Lucro p/Ação]],0))</f>
        <v>1.0431402754447505</v>
      </c>
      <c r="M104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0.95585083333333343</v>
      </c>
      <c r="N104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1.3033222916666669</v>
      </c>
      <c r="O1049" s="19">
        <f>IF(Tabela8[[#This Row],[Média Lucro p/Ação]]&lt;&gt;"",Tabela8[[#This Row],[Média Pago]]/Tabela8[[#This Row],[Média Lucro p/Ação]],"")</f>
        <v>1.3635205894225129</v>
      </c>
      <c r="P104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49" s="134">
        <f>SUMPRODUCT(N(Tabela1[Código]=Tabela8[[#This Row],[Papel]]),Tabela1[Fechamento])</f>
        <v>7.94</v>
      </c>
      <c r="R1049" s="7">
        <f>SUMPRODUCT(N(Tabela17[Código]=Tabela8[[#This Row],[Papel]]),Tabela17[Fechamento])</f>
        <v>0</v>
      </c>
      <c r="S1049" s="7">
        <f>SUMPRODUCT(N(Tabela176[Código]=Tabela8[[#This Row],[Papel]]),Tabela176[Fechamento])</f>
        <v>0</v>
      </c>
      <c r="T1049" s="7">
        <f>SUMPRODUCT(N(Tabela1768[Código]=Tabela8[[#This Row],[Papel]]),Tabela1768[Fechamento])</f>
        <v>0</v>
      </c>
      <c r="U1049" s="7">
        <f>SUMPRODUCT(N(Tabela17683[Código]=Tabela8[[#This Row],[Papel]]),Tabela17683[Fechamento])</f>
        <v>0</v>
      </c>
      <c r="V1049" s="7">
        <f>IF(MAX(Tabela8[[#This Row],[Cotação 1]]:Tabela8[[#This Row],[Cotação 5]])=0,"",MAX(Tabela8[[#This Row],[Cotação 1]]:Tabela8[[#This Row],[Cotação 5]]))</f>
        <v>7.94</v>
      </c>
      <c r="W104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49" s="19">
        <f>IF(AND([Ref]=5,[Cotação]&gt;0,[Cotação]&lt;&gt;""),[Total Exercício]/[Cotação],IF([Ref]&lt;4,0,""))</f>
        <v>0.80635925692695209</v>
      </c>
      <c r="Y1049" s="14">
        <f>IF([Tipo]="div",1,0)</f>
        <v>1</v>
      </c>
      <c r="Z1049" s="14">
        <f>IF([Tipo]="jcp",1,0)</f>
        <v>0</v>
      </c>
    </row>
    <row r="1050" spans="1:26" hidden="1">
      <c r="A1050" s="4" t="s">
        <v>12</v>
      </c>
      <c r="B1050" s="3" t="s">
        <v>162</v>
      </c>
      <c r="C1050" s="15">
        <v>4</v>
      </c>
      <c r="D1050" s="14">
        <v>2009</v>
      </c>
      <c r="E1050" s="14" t="s">
        <v>1468</v>
      </c>
      <c r="G1050" s="145">
        <v>40038</v>
      </c>
      <c r="H1050" s="46">
        <v>40080</v>
      </c>
      <c r="I1050" s="133">
        <v>1.8189900000000001</v>
      </c>
      <c r="J1050" s="134">
        <f>IF(Tabela8[[#This Row],[Tipo]]="jcp",Tabela8[[#This Row],[Provento p/Ação]]*85%,Tabela8[[#This Row],[Provento p/Ação]])</f>
        <v>1.8189900000000001</v>
      </c>
      <c r="K1050" s="133" t="str">
        <f>IF([Lucro p/Ação]&lt;&gt;0,SUMPRODUCT(N([Papel]=Tabela8[[#This Row],[Papel]]),N([Exercício]=Tabela8[[#This Row],[Exercício]]),[Líquido p/Ação]),"")</f>
        <v/>
      </c>
      <c r="L1050" s="42" t="str">
        <f>IF(Tabela8[[#This Row],[Lucro p/Ação]]="","",IF(Tabela8[[#This Row],[Lucro p/Ação]]&gt;0,Tabela8[[#This Row],[Total Exercício]]/Tabela8[[#This Row],[Lucro p/Ação]],0))</f>
        <v/>
      </c>
      <c r="M105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0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0" s="19" t="str">
        <f>IF(Tabela8[[#This Row],[Média Lucro p/Ação]]&lt;&gt;"",Tabela8[[#This Row],[Média Pago]]/Tabela8[[#This Row],[Média Lucro p/Ação]],"")</f>
        <v/>
      </c>
      <c r="P105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0" s="134">
        <f>SUMPRODUCT(N(Tabela1[Código]=Tabela8[[#This Row],[Papel]]),Tabela1[Fechamento])</f>
        <v>15</v>
      </c>
      <c r="R1050" s="7">
        <f>SUMPRODUCT(N(Tabela17[Código]=Tabela8[[#This Row],[Papel]]),Tabela17[Fechamento])</f>
        <v>0</v>
      </c>
      <c r="S1050" s="7">
        <f>SUMPRODUCT(N(Tabela176[Código]=Tabela8[[#This Row],[Papel]]),Tabela176[Fechamento])</f>
        <v>0</v>
      </c>
      <c r="T1050" s="7">
        <f>SUMPRODUCT(N(Tabela1768[Código]=Tabela8[[#This Row],[Papel]]),Tabela1768[Fechamento])</f>
        <v>0</v>
      </c>
      <c r="U1050" s="7">
        <f>SUMPRODUCT(N(Tabela17683[Código]=Tabela8[[#This Row],[Papel]]),Tabela17683[Fechamento])</f>
        <v>0</v>
      </c>
      <c r="V1050" s="7">
        <f>IF(MAX(Tabela8[[#This Row],[Cotação 1]]:Tabela8[[#This Row],[Cotação 5]])=0,"",MAX(Tabela8[[#This Row],[Cotação 1]]:Tabela8[[#This Row],[Cotação 5]]))</f>
        <v>15</v>
      </c>
      <c r="W105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0" s="19" t="str">
        <f>IF(AND([Ref]=5,[Cotação]&gt;0,[Cotação]&lt;&gt;""),[Total Exercício]/[Cotação],IF([Ref]&lt;4,0,""))</f>
        <v/>
      </c>
      <c r="Y1050" s="14">
        <f>IF([Tipo]="div",1,0)</f>
        <v>1</v>
      </c>
      <c r="Z1050" s="14">
        <f>IF([Tipo]="jcp",1,0)</f>
        <v>0</v>
      </c>
    </row>
    <row r="1051" spans="1:26" hidden="1">
      <c r="A1051" s="4" t="s">
        <v>12</v>
      </c>
      <c r="B1051" s="3" t="s">
        <v>1</v>
      </c>
      <c r="C1051" s="15">
        <v>4</v>
      </c>
      <c r="D1051" s="14">
        <v>2009</v>
      </c>
      <c r="E1051" s="14" t="s">
        <v>1468</v>
      </c>
      <c r="G1051" s="145">
        <v>40038</v>
      </c>
      <c r="H1051" s="46">
        <v>40080</v>
      </c>
      <c r="I1051" s="133">
        <v>2.0008900000000001</v>
      </c>
      <c r="J1051" s="134">
        <f>IF(Tabela8[[#This Row],[Tipo]]="jcp",Tabela8[[#This Row],[Provento p/Ação]]*85%,Tabela8[[#This Row],[Provento p/Ação]])</f>
        <v>2.0008900000000001</v>
      </c>
      <c r="K1051" s="133" t="str">
        <f>IF([Lucro p/Ação]&lt;&gt;0,SUMPRODUCT(N([Papel]=Tabela8[[#This Row],[Papel]]),N([Exercício]=Tabela8[[#This Row],[Exercício]]),[Líquido p/Ação]),"")</f>
        <v/>
      </c>
      <c r="L1051" s="42" t="str">
        <f>IF(Tabela8[[#This Row],[Lucro p/Ação]]="","",IF(Tabela8[[#This Row],[Lucro p/Ação]]&gt;0,Tabela8[[#This Row],[Total Exercício]]/Tabela8[[#This Row],[Lucro p/Ação]],0))</f>
        <v/>
      </c>
      <c r="M105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1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1" s="19" t="str">
        <f>IF(Tabela8[[#This Row],[Média Lucro p/Ação]]&lt;&gt;"",Tabela8[[#This Row],[Média Pago]]/Tabela8[[#This Row],[Média Lucro p/Ação]],"")</f>
        <v/>
      </c>
      <c r="P105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1" s="134">
        <f>SUMPRODUCT(N(Tabela1[Código]=Tabela8[[#This Row],[Papel]]),Tabela1[Fechamento])</f>
        <v>7.94</v>
      </c>
      <c r="R1051" s="7">
        <f>SUMPRODUCT(N(Tabela17[Código]=Tabela8[[#This Row],[Papel]]),Tabela17[Fechamento])</f>
        <v>0</v>
      </c>
      <c r="S1051" s="7">
        <f>SUMPRODUCT(N(Tabela176[Código]=Tabela8[[#This Row],[Papel]]),Tabela176[Fechamento])</f>
        <v>0</v>
      </c>
      <c r="T1051" s="7">
        <f>SUMPRODUCT(N(Tabela1768[Código]=Tabela8[[#This Row],[Papel]]),Tabela1768[Fechamento])</f>
        <v>0</v>
      </c>
      <c r="U1051" s="7">
        <f>SUMPRODUCT(N(Tabela17683[Código]=Tabela8[[#This Row],[Papel]]),Tabela17683[Fechamento])</f>
        <v>0</v>
      </c>
      <c r="V1051" s="7">
        <f>IF(MAX(Tabela8[[#This Row],[Cotação 1]]:Tabela8[[#This Row],[Cotação 5]])=0,"",MAX(Tabela8[[#This Row],[Cotação 1]]:Tabela8[[#This Row],[Cotação 5]]))</f>
        <v>7.94</v>
      </c>
      <c r="W105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1" s="19" t="str">
        <f>IF(AND([Ref]=5,[Cotação]&gt;0,[Cotação]&lt;&gt;""),[Total Exercício]/[Cotação],IF([Ref]&lt;4,0,""))</f>
        <v/>
      </c>
      <c r="Y1051" s="14">
        <f>IF([Tipo]="div",1,0)</f>
        <v>1</v>
      </c>
      <c r="Z1051" s="14">
        <f>IF([Tipo]="jcp",1,0)</f>
        <v>0</v>
      </c>
    </row>
    <row r="1052" spans="1:26" hidden="1">
      <c r="A1052" s="4" t="s">
        <v>12</v>
      </c>
      <c r="B1052" s="3" t="s">
        <v>162</v>
      </c>
      <c r="C1052" s="15">
        <v>4</v>
      </c>
      <c r="D1052" s="14">
        <v>2009</v>
      </c>
      <c r="E1052" s="4" t="s">
        <v>1475</v>
      </c>
      <c r="G1052" s="145">
        <v>40163</v>
      </c>
      <c r="I1052" s="133">
        <v>0.39905000000000002</v>
      </c>
      <c r="J1052" s="134">
        <f>IF(Tabela8[[#This Row],[Tipo]]="jcp",Tabela8[[#This Row],[Provento p/Ação]]*85%,Tabela8[[#This Row],[Provento p/Ação]])</f>
        <v>0.33919250000000001</v>
      </c>
      <c r="K1052" s="133" t="str">
        <f>IF([Lucro p/Ação]&lt;&gt;0,SUMPRODUCT(N([Papel]=Tabela8[[#This Row],[Papel]]),N([Exercício]=Tabela8[[#This Row],[Exercício]]),[Líquido p/Ação]),"")</f>
        <v/>
      </c>
      <c r="L1052" s="42" t="str">
        <f>IF(Tabela8[[#This Row],[Lucro p/Ação]]="","",IF(Tabela8[[#This Row],[Lucro p/Ação]]&gt;0,Tabela8[[#This Row],[Total Exercício]]/Tabela8[[#This Row],[Lucro p/Ação]],0))</f>
        <v/>
      </c>
      <c r="M105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2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2" s="19" t="str">
        <f>IF(Tabela8[[#This Row],[Média Lucro p/Ação]]&lt;&gt;"",Tabela8[[#This Row],[Média Pago]]/Tabela8[[#This Row],[Média Lucro p/Ação]],"")</f>
        <v/>
      </c>
      <c r="P105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2" s="134">
        <f>SUMPRODUCT(N(Tabela1[Código]=Tabela8[[#This Row],[Papel]]),Tabela1[Fechamento])</f>
        <v>15</v>
      </c>
      <c r="R1052" s="7">
        <f>SUMPRODUCT(N(Tabela17[Código]=Tabela8[[#This Row],[Papel]]),Tabela17[Fechamento])</f>
        <v>0</v>
      </c>
      <c r="S1052" s="7">
        <f>SUMPRODUCT(N(Tabela176[Código]=Tabela8[[#This Row],[Papel]]),Tabela176[Fechamento])</f>
        <v>0</v>
      </c>
      <c r="T1052" s="7">
        <f>SUMPRODUCT(N(Tabela1768[Código]=Tabela8[[#This Row],[Papel]]),Tabela1768[Fechamento])</f>
        <v>0</v>
      </c>
      <c r="U1052" s="7">
        <f>SUMPRODUCT(N(Tabela17683[Código]=Tabela8[[#This Row],[Papel]]),Tabela17683[Fechamento])</f>
        <v>0</v>
      </c>
      <c r="V1052" s="7">
        <f>IF(MAX(Tabela8[[#This Row],[Cotação 1]]:Tabela8[[#This Row],[Cotação 5]])=0,"",MAX(Tabela8[[#This Row],[Cotação 1]]:Tabela8[[#This Row],[Cotação 5]]))</f>
        <v>15</v>
      </c>
      <c r="W105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2" s="19" t="str">
        <f>IF(AND([Ref]=5,[Cotação]&gt;0,[Cotação]&lt;&gt;""),[Total Exercício]/[Cotação],IF([Ref]&lt;4,0,""))</f>
        <v/>
      </c>
      <c r="Y1052" s="14">
        <f>IF([Tipo]="div",1,0)</f>
        <v>0</v>
      </c>
      <c r="Z1052" s="14">
        <f>IF([Tipo]="jcp",1,0)</f>
        <v>1</v>
      </c>
    </row>
    <row r="1053" spans="1:26" hidden="1">
      <c r="A1053" s="4" t="s">
        <v>12</v>
      </c>
      <c r="B1053" s="3" t="s">
        <v>1</v>
      </c>
      <c r="C1053" s="15">
        <v>4</v>
      </c>
      <c r="D1053" s="14">
        <v>2009</v>
      </c>
      <c r="E1053" s="4" t="s">
        <v>1475</v>
      </c>
      <c r="G1053" s="145">
        <v>40163</v>
      </c>
      <c r="I1053" s="133">
        <v>0.43895000000000001</v>
      </c>
      <c r="J1053" s="134">
        <f>IF(Tabela8[[#This Row],[Tipo]]="jcp",Tabela8[[#This Row],[Provento p/Ação]]*85%,Tabela8[[#This Row],[Provento p/Ação]])</f>
        <v>0.37310749999999998</v>
      </c>
      <c r="K1053" s="133" t="str">
        <f>IF([Lucro p/Ação]&lt;&gt;0,SUMPRODUCT(N([Papel]=Tabela8[[#This Row],[Papel]]),N([Exercício]=Tabela8[[#This Row],[Exercício]]),[Líquido p/Ação]),"")</f>
        <v/>
      </c>
      <c r="L1053" s="42" t="str">
        <f>IF(Tabela8[[#This Row],[Lucro p/Ação]]="","",IF(Tabela8[[#This Row],[Lucro p/Ação]]&gt;0,Tabela8[[#This Row],[Total Exercício]]/Tabela8[[#This Row],[Lucro p/Ação]],0))</f>
        <v/>
      </c>
      <c r="M105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3" s="87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3" s="19" t="str">
        <f>IF(Tabela8[[#This Row],[Média Lucro p/Ação]]&lt;&gt;"",Tabela8[[#This Row],[Média Pago]]/Tabela8[[#This Row],[Média Lucro p/Ação]],"")</f>
        <v/>
      </c>
      <c r="P105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3" s="134">
        <f>SUMPRODUCT(N(Tabela1[Código]=Tabela8[[#This Row],[Papel]]),Tabela1[Fechamento])</f>
        <v>7.94</v>
      </c>
      <c r="R1053" s="7">
        <f>SUMPRODUCT(N(Tabela17[Código]=Tabela8[[#This Row],[Papel]]),Tabela17[Fechamento])</f>
        <v>0</v>
      </c>
      <c r="S1053" s="7">
        <f>SUMPRODUCT(N(Tabela176[Código]=Tabela8[[#This Row],[Papel]]),Tabela176[Fechamento])</f>
        <v>0</v>
      </c>
      <c r="T1053" s="7">
        <f>SUMPRODUCT(N(Tabela1768[Código]=Tabela8[[#This Row],[Papel]]),Tabela1768[Fechamento])</f>
        <v>0</v>
      </c>
      <c r="U1053" s="7">
        <f>SUMPRODUCT(N(Tabela17683[Código]=Tabela8[[#This Row],[Papel]]),Tabela17683[Fechamento])</f>
        <v>0</v>
      </c>
      <c r="V1053" s="7">
        <f>IF(MAX(Tabela8[[#This Row],[Cotação 1]]:Tabela8[[#This Row],[Cotação 5]])=0,"",MAX(Tabela8[[#This Row],[Cotação 1]]:Tabela8[[#This Row],[Cotação 5]]))</f>
        <v>7.94</v>
      </c>
      <c r="W105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3" s="19" t="str">
        <f>IF(AND([Ref]=5,[Cotação]&gt;0,[Cotação]&lt;&gt;""),[Total Exercício]/[Cotação],IF([Ref]&lt;4,0,""))</f>
        <v/>
      </c>
      <c r="Y1053" s="14">
        <f>IF([Tipo]="div",1,0)</f>
        <v>0</v>
      </c>
      <c r="Z1053" s="14">
        <f>IF([Tipo]="jcp",1,0)</f>
        <v>1</v>
      </c>
    </row>
    <row r="1054" spans="1:26" hidden="1">
      <c r="A1054" s="4" t="s">
        <v>12</v>
      </c>
      <c r="B1054" s="3" t="s">
        <v>162</v>
      </c>
      <c r="C1054" s="15">
        <v>5</v>
      </c>
      <c r="D1054" s="14">
        <v>2009</v>
      </c>
      <c r="E1054" s="14" t="s">
        <v>1468</v>
      </c>
      <c r="F1054" s="133">
        <v>6.3533400000000002</v>
      </c>
      <c r="I1054" s="133">
        <v>3.86836</v>
      </c>
      <c r="J1054" s="134">
        <f>IF(Tabela8[[#This Row],[Tipo]]="jcp",Tabela8[[#This Row],[Provento p/Ação]]*85%,Tabela8[[#This Row],[Provento p/Ação]])</f>
        <v>3.86836</v>
      </c>
      <c r="K1054" s="133">
        <f>IF([Lucro p/Ação]&lt;&gt;0,SUMPRODUCT(N([Papel]=Tabela8[[#This Row],[Papel]]),N([Exercício]=Tabela8[[#This Row],[Exercício]]),[Líquido p/Ação]),"")</f>
        <v>6.0265424999999997</v>
      </c>
      <c r="L1054" s="42">
        <f>IF(Tabela8[[#This Row],[Lucro p/Ação]]="","",IF(Tabela8[[#This Row],[Lucro p/Ação]]&gt;0,Tabela8[[#This Row],[Total Exercício]]/Tabela8[[#This Row],[Lucro p/Ação]],0))</f>
        <v>0.94856288188574822</v>
      </c>
      <c r="M105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1.3710423076923075</v>
      </c>
      <c r="N105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1.5403552692307689</v>
      </c>
      <c r="O1054" s="19">
        <f>IF(Tabela8[[#This Row],[Média Lucro p/Ação]]&lt;&gt;"",Tabela8[[#This Row],[Média Pago]]/Tabela8[[#This Row],[Média Lucro p/Ação]],"")</f>
        <v>1.1234921494315104</v>
      </c>
      <c r="P105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4" s="134">
        <f>SUMPRODUCT(N(Tabela1[Código]=Tabela8[[#This Row],[Papel]]),Tabela1[Fechamento])</f>
        <v>15</v>
      </c>
      <c r="R1054" s="7">
        <f>SUMPRODUCT(N(Tabela17[Código]=Tabela8[[#This Row],[Papel]]),Tabela17[Fechamento])</f>
        <v>0</v>
      </c>
      <c r="S1054" s="7">
        <f>SUMPRODUCT(N(Tabela176[Código]=Tabela8[[#This Row],[Papel]]),Tabela176[Fechamento])</f>
        <v>0</v>
      </c>
      <c r="T1054" s="7">
        <f>SUMPRODUCT(N(Tabela1768[Código]=Tabela8[[#This Row],[Papel]]),Tabela1768[Fechamento])</f>
        <v>0</v>
      </c>
      <c r="U1054" s="7">
        <f>SUMPRODUCT(N(Tabela17683[Código]=Tabela8[[#This Row],[Papel]]),Tabela17683[Fechamento])</f>
        <v>0</v>
      </c>
      <c r="V1054" s="7">
        <f>IF(MAX(Tabela8[[#This Row],[Cotação 1]]:Tabela8[[#This Row],[Cotação 5]])=0,"",MAX(Tabela8[[#This Row],[Cotação 1]]:Tabela8[[#This Row],[Cotação 5]]))</f>
        <v>15</v>
      </c>
      <c r="W105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4" s="19">
        <f>IF(AND([Ref]=5,[Cotação]&gt;0,[Cotação]&lt;&gt;""),[Total Exercício]/[Cotação],IF([Ref]&lt;4,0,""))</f>
        <v>0.4017695</v>
      </c>
      <c r="Y1054" s="14">
        <f>IF([Tipo]="div",1,0)</f>
        <v>1</v>
      </c>
      <c r="Z1054" s="14">
        <f>IF([Tipo]="jcp",1,0)</f>
        <v>0</v>
      </c>
    </row>
    <row r="1055" spans="1:26" hidden="1">
      <c r="A1055" s="4" t="s">
        <v>12</v>
      </c>
      <c r="B1055" s="3" t="s">
        <v>1</v>
      </c>
      <c r="C1055" s="16">
        <v>5</v>
      </c>
      <c r="D1055" s="14">
        <v>2009</v>
      </c>
      <c r="E1055" s="14" t="s">
        <v>1468</v>
      </c>
      <c r="F1055" s="133">
        <v>6.3533400000000002</v>
      </c>
      <c r="I1055" s="133">
        <v>4.2552000000000003</v>
      </c>
      <c r="J1055" s="134">
        <f>IF(Tabela8[[#This Row],[Tipo]]="jcp",Tabela8[[#This Row],[Provento p/Ação]]*85%,Tabela8[[#This Row],[Provento p/Ação]])</f>
        <v>4.2552000000000003</v>
      </c>
      <c r="K1055" s="133">
        <f>IF([Lucro p/Ação]&lt;&gt;0,SUMPRODUCT(N([Papel]=Tabela8[[#This Row],[Papel]]),N([Exercício]=Tabela8[[#This Row],[Exercício]]),[Líquido p/Ação]),"")</f>
        <v>6.6291975000000001</v>
      </c>
      <c r="L1055" s="42">
        <f>IF(Tabela8[[#This Row],[Lucro p/Ação]]="","",IF(Tabela8[[#This Row],[Lucro p/Ação]]&gt;0,Tabela8[[#This Row],[Total Exercício]]/Tabela8[[#This Row],[Lucro p/Ação]],0))</f>
        <v>1.0434192881224678</v>
      </c>
      <c r="M105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1.3710423076923075</v>
      </c>
      <c r="N105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1.7130050000000001</v>
      </c>
      <c r="O1055" s="19">
        <f>IF(Tabela8[[#This Row],[Média Lucro p/Ação]]&lt;&gt;"",Tabela8[[#This Row],[Média Pago]]/Tabela8[[#This Row],[Média Lucro p/Ação]],"")</f>
        <v>1.2494180452266808</v>
      </c>
      <c r="P105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5" s="134">
        <f>SUMPRODUCT(N(Tabela1[Código]=Tabela8[[#This Row],[Papel]]),Tabela1[Fechamento])</f>
        <v>7.94</v>
      </c>
      <c r="R1055" s="17">
        <f>SUMPRODUCT(N(Tabela17[Código]=Tabela8[[#This Row],[Papel]]),Tabela17[Fechamento])</f>
        <v>0</v>
      </c>
      <c r="S1055" s="17">
        <f>SUMPRODUCT(N(Tabela176[Código]=Tabela8[[#This Row],[Papel]]),Tabela176[Fechamento])</f>
        <v>0</v>
      </c>
      <c r="T1055" s="17">
        <f>SUMPRODUCT(N(Tabela1768[Código]=Tabela8[[#This Row],[Papel]]),Tabela1768[Fechamento])</f>
        <v>0</v>
      </c>
      <c r="U1055" s="17">
        <f>SUMPRODUCT(N(Tabela17683[Código]=Tabela8[[#This Row],[Papel]]),Tabela17683[Fechamento])</f>
        <v>0</v>
      </c>
      <c r="V1055" s="17">
        <f>IF(MAX(Tabela8[[#This Row],[Cotação 1]]:Tabela8[[#This Row],[Cotação 5]])=0,"",MAX(Tabela8[[#This Row],[Cotação 1]]:Tabela8[[#This Row],[Cotação 5]]))</f>
        <v>7.94</v>
      </c>
      <c r="W105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5" s="19">
        <f>IF(AND([Ref]=5,[Cotação]&gt;0,[Cotação]&lt;&gt;""),[Total Exercício]/[Cotação],IF([Ref]&lt;4,0,""))</f>
        <v>0.83491152392947099</v>
      </c>
      <c r="Y1055" s="14">
        <f>IF([Tipo]="div",1,0)</f>
        <v>1</v>
      </c>
      <c r="Z1055" s="14">
        <f>IF([Tipo]="jcp",1,0)</f>
        <v>0</v>
      </c>
    </row>
    <row r="1056" spans="1:26" hidden="1">
      <c r="A1056" s="4" t="s">
        <v>12</v>
      </c>
      <c r="B1056" s="3" t="s">
        <v>162</v>
      </c>
      <c r="C1056" s="15">
        <v>4</v>
      </c>
      <c r="D1056" s="14">
        <v>2010</v>
      </c>
      <c r="E1056" s="4" t="s">
        <v>1468</v>
      </c>
      <c r="F1056" s="4"/>
      <c r="G1056" s="46">
        <v>40395</v>
      </c>
      <c r="H1056" s="46">
        <v>40436</v>
      </c>
      <c r="I1056" s="4">
        <v>1.76285</v>
      </c>
      <c r="J1056" s="133">
        <f>IF(Tabela8[[#This Row],[Tipo]]="jcp",Tabela8[[#This Row],[Provento p/Ação]]*85%,Tabela8[[#This Row],[Provento p/Ação]])</f>
        <v>1.76285</v>
      </c>
      <c r="K1056" s="143" t="str">
        <f>IF([Lucro p/Ação]&lt;&gt;0,SUMPRODUCT(N([Papel]=Tabela8[[#This Row],[Papel]]),N([Exercício]=Tabela8[[#This Row],[Exercício]]),[Líquido p/Ação]),"")</f>
        <v/>
      </c>
      <c r="L1056" s="42" t="str">
        <f>IF(Tabela8[[#This Row],[Lucro p/Ação]]="","",IF(Tabela8[[#This Row],[Lucro p/Ação]]&gt;0,Tabela8[[#This Row],[Total Exercício]]/Tabela8[[#This Row],[Lucro p/Ação]],0))</f>
        <v/>
      </c>
      <c r="M1056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6" s="19" t="str">
        <f>IF(Tabela8[[#This Row],[Média Lucro p/Ação]]&lt;&gt;"",Tabela8[[#This Row],[Média Pago]]/Tabela8[[#This Row],[Média Lucro p/Ação]],"")</f>
        <v/>
      </c>
      <c r="P1056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6" s="17">
        <f>SUMPRODUCT(N(Tabela1[Código]=Tabela8[[#This Row],[Papel]]),Tabela1[Fechamento])</f>
        <v>15</v>
      </c>
      <c r="R1056" s="17">
        <f>SUMPRODUCT(N(Tabela17[Código]=Tabela8[[#This Row],[Papel]]),Tabela17[Fechamento])</f>
        <v>0</v>
      </c>
      <c r="S1056" s="7">
        <f>SUMPRODUCT(N(Tabela176[Código]=Tabela8[[#This Row],[Papel]]),Tabela176[Fechamento])</f>
        <v>0</v>
      </c>
      <c r="T1056" s="7">
        <f>SUMPRODUCT(N(Tabela1768[Código]=Tabela8[[#This Row],[Papel]]),Tabela1768[Fechamento])</f>
        <v>0</v>
      </c>
      <c r="U1056" s="7">
        <f>SUMPRODUCT(N(Tabela17683[Código]=Tabela8[[#This Row],[Papel]]),Tabela17683[Fechamento])</f>
        <v>0</v>
      </c>
      <c r="V1056" s="17">
        <f>IF(MAX(Tabela8[[#This Row],[Cotação 1]]:Tabela8[[#This Row],[Cotação 5]])=0,"",MAX(Tabela8[[#This Row],[Cotação 1]]:Tabela8[[#This Row],[Cotação 5]]))</f>
        <v>15</v>
      </c>
      <c r="W105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6" s="19" t="str">
        <f>IF(AND([Ref]=5,[Cotação]&gt;0,[Cotação]&lt;&gt;""),[Total Exercício]/[Cotação],IF([Ref]&lt;4,0,""))</f>
        <v/>
      </c>
      <c r="Y1056" s="17">
        <f>IF([Tipo]="div",1,0)</f>
        <v>1</v>
      </c>
      <c r="Z1056" s="17">
        <f>IF([Tipo]="jcp",1,0)</f>
        <v>0</v>
      </c>
    </row>
    <row r="1057" spans="1:26" hidden="1">
      <c r="A1057" s="4" t="s">
        <v>12</v>
      </c>
      <c r="B1057" s="3" t="s">
        <v>1</v>
      </c>
      <c r="C1057" s="16">
        <v>4</v>
      </c>
      <c r="D1057" s="14">
        <v>2010</v>
      </c>
      <c r="E1057" s="4" t="s">
        <v>1468</v>
      </c>
      <c r="F1057" s="4"/>
      <c r="G1057" s="46">
        <v>40395</v>
      </c>
      <c r="H1057" s="46">
        <v>40436</v>
      </c>
      <c r="I1057" s="4">
        <v>1.9391400000000001</v>
      </c>
      <c r="J1057" s="133">
        <f>IF(Tabela8[[#This Row],[Tipo]]="jcp",Tabela8[[#This Row],[Provento p/Ação]]*85%,Tabela8[[#This Row],[Provento p/Ação]])</f>
        <v>1.9391400000000001</v>
      </c>
      <c r="K1057" s="143" t="str">
        <f>IF([Lucro p/Ação]&lt;&gt;0,SUMPRODUCT(N([Papel]=Tabela8[[#This Row],[Papel]]),N([Exercício]=Tabela8[[#This Row],[Exercício]]),[Líquido p/Ação]),"")</f>
        <v/>
      </c>
      <c r="L1057" s="42" t="str">
        <f>IF(Tabela8[[#This Row],[Lucro p/Ação]]="","",IF(Tabela8[[#This Row],[Lucro p/Ação]]&gt;0,Tabela8[[#This Row],[Total Exercício]]/Tabela8[[#This Row],[Lucro p/Ação]],0))</f>
        <v/>
      </c>
      <c r="M1057" s="143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5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57" s="19" t="str">
        <f>IF(Tabela8[[#This Row],[Média Lucro p/Ação]]&lt;&gt;"",Tabela8[[#This Row],[Média Pago]]/Tabela8[[#This Row],[Média Lucro p/Ação]],"")</f>
        <v/>
      </c>
      <c r="P1057" s="143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7" s="5">
        <f>SUMPRODUCT(N(Tabela1[Código]=Tabela8[[#This Row],[Papel]]),Tabela1[Fechamento])</f>
        <v>7.94</v>
      </c>
      <c r="R1057" s="5">
        <f>SUMPRODUCT(N(Tabela17[Código]=Tabela8[[#This Row],[Papel]]),Tabela17[Fechamento])</f>
        <v>0</v>
      </c>
      <c r="S1057" s="7">
        <f>SUMPRODUCT(N(Tabela176[Código]=Tabela8[[#This Row],[Papel]]),Tabela176[Fechamento])</f>
        <v>0</v>
      </c>
      <c r="T1057" s="7">
        <f>SUMPRODUCT(N(Tabela1768[Código]=Tabela8[[#This Row],[Papel]]),Tabela1768[Fechamento])</f>
        <v>0</v>
      </c>
      <c r="U1057" s="7">
        <f>SUMPRODUCT(N(Tabela17683[Código]=Tabela8[[#This Row],[Papel]]),Tabela17683[Fechamento])</f>
        <v>0</v>
      </c>
      <c r="V1057" s="17">
        <f>IF(MAX(Tabela8[[#This Row],[Cotação 1]]:Tabela8[[#This Row],[Cotação 5]])=0,"",MAX(Tabela8[[#This Row],[Cotação 1]]:Tabela8[[#This Row],[Cotação 5]]))</f>
        <v>7.94</v>
      </c>
      <c r="W105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7" s="19" t="str">
        <f>IF(AND([Ref]=5,[Cotação]&gt;0,[Cotação]&lt;&gt;""),[Total Exercício]/[Cotação],IF([Ref]&lt;4,0,""))</f>
        <v/>
      </c>
      <c r="Y1057" s="17">
        <f>IF([Tipo]="div",1,0)</f>
        <v>1</v>
      </c>
      <c r="Z1057" s="17">
        <f>IF([Tipo]="jcp",1,0)</f>
        <v>0</v>
      </c>
    </row>
    <row r="1058" spans="1:26" hidden="1">
      <c r="A1058" s="4" t="s">
        <v>12</v>
      </c>
      <c r="B1058" s="3" t="s">
        <v>162</v>
      </c>
      <c r="C1058" s="15">
        <v>5</v>
      </c>
      <c r="D1058" s="14">
        <v>2010</v>
      </c>
      <c r="E1058" s="14" t="s">
        <v>1475</v>
      </c>
      <c r="F1058" s="133">
        <v>7.5960999999999999</v>
      </c>
      <c r="G1058" s="145">
        <v>40515</v>
      </c>
      <c r="I1058" s="133">
        <v>0.41012999999999999</v>
      </c>
      <c r="J1058" s="133">
        <f>IF(Tabela8[[#This Row],[Tipo]]="jcp",Tabela8[[#This Row],[Provento p/Ação]]*85%,Tabela8[[#This Row],[Provento p/Ação]])</f>
        <v>0.34861049999999999</v>
      </c>
      <c r="K1058" s="133">
        <f>IF([Lucro p/Ação]&lt;&gt;0,SUMPRODUCT(N([Papel]=Tabela8[[#This Row],[Papel]]),N([Exercício]=Tabela8[[#This Row],[Exercício]]),[Líquido p/Ação]),"")</f>
        <v>2.1114605000000002</v>
      </c>
      <c r="L1058" s="42">
        <f>IF(Tabela8[[#This Row],[Lucro p/Ação]]="","",IF(Tabela8[[#This Row],[Lucro p/Ação]]&gt;0,Tabela8[[#This Row],[Total Exercício]]/Tabela8[[#This Row],[Lucro p/Ação]],0))</f>
        <v>0.27796639064783246</v>
      </c>
      <c r="M105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1.8156892857142855</v>
      </c>
      <c r="N105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1.5811484999999996</v>
      </c>
      <c r="O1058" s="19">
        <f>IF(Tabela8[[#This Row],[Média Lucro p/Ação]]&lt;&gt;"",Tabela8[[#This Row],[Média Pago]]/Tabela8[[#This Row],[Média Lucro p/Ação]],"")</f>
        <v>0.87082548343505906</v>
      </c>
      <c r="P105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8" s="134">
        <f>SUMPRODUCT(N(Tabela1[Código]=Tabela8[[#This Row],[Papel]]),Tabela1[Fechamento])</f>
        <v>15</v>
      </c>
      <c r="R1058" s="7">
        <f>SUMPRODUCT(N(Tabela17[Código]=Tabela8[[#This Row],[Papel]]),Tabela17[Fechamento])</f>
        <v>0</v>
      </c>
      <c r="S1058" s="7">
        <f>SUMPRODUCT(N(Tabela176[Código]=Tabela8[[#This Row],[Papel]]),Tabela176[Fechamento])</f>
        <v>0</v>
      </c>
      <c r="T1058" s="7">
        <f>SUMPRODUCT(N(Tabela1768[Código]=Tabela8[[#This Row],[Papel]]),Tabela1768[Fechamento])</f>
        <v>0</v>
      </c>
      <c r="U1058" s="7">
        <f>SUMPRODUCT(N(Tabela17683[Código]=Tabela8[[#This Row],[Papel]]),Tabela17683[Fechamento])</f>
        <v>0</v>
      </c>
      <c r="V1058" s="7">
        <f>IF(MAX(Tabela8[[#This Row],[Cotação 1]]:Tabela8[[#This Row],[Cotação 5]])=0,"",MAX(Tabela8[[#This Row],[Cotação 1]]:Tabela8[[#This Row],[Cotação 5]]))</f>
        <v>15</v>
      </c>
      <c r="W105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8" s="19">
        <f>IF(AND([Ref]=5,[Cotação]&gt;0,[Cotação]&lt;&gt;""),[Total Exercício]/[Cotação],IF([Ref]&lt;4,0,""))</f>
        <v>0.14076403333333334</v>
      </c>
      <c r="Y1058" s="17">
        <f>IF([Tipo]="div",1,0)</f>
        <v>0</v>
      </c>
      <c r="Z1058" s="17">
        <f>IF([Tipo]="jcp",1,0)</f>
        <v>1</v>
      </c>
    </row>
    <row r="1059" spans="1:26" hidden="1">
      <c r="A1059" s="4" t="s">
        <v>12</v>
      </c>
      <c r="B1059" s="3" t="s">
        <v>1</v>
      </c>
      <c r="C1059" s="16">
        <v>5</v>
      </c>
      <c r="D1059" s="14">
        <v>2010</v>
      </c>
      <c r="E1059" s="14" t="s">
        <v>1475</v>
      </c>
      <c r="F1059" s="133">
        <v>8.3557000000000006</v>
      </c>
      <c r="G1059" s="145">
        <v>40515</v>
      </c>
      <c r="I1059" s="133">
        <v>0.45113999999999999</v>
      </c>
      <c r="J1059" s="133">
        <f>IF(Tabela8[[#This Row],[Tipo]]="jcp",Tabela8[[#This Row],[Provento p/Ação]]*85%,Tabela8[[#This Row],[Provento p/Ação]])</f>
        <v>0.383469</v>
      </c>
      <c r="K1059" s="133">
        <f>IF([Lucro p/Ação]&lt;&gt;0,SUMPRODUCT(N([Papel]=Tabela8[[#This Row],[Papel]]),N([Exercício]=Tabela8[[#This Row],[Exercício]]),[Líquido p/Ação]),"")</f>
        <v>2.3226089999999999</v>
      </c>
      <c r="L1059" s="42">
        <f>IF(Tabela8[[#This Row],[Lucro p/Ação]]="","",IF(Tabela8[[#This Row],[Lucro p/Ação]]&gt;0,Tabela8[[#This Row],[Total Exercício]]/Tabela8[[#This Row],[Lucro p/Ação]],0))</f>
        <v>0.27796701652763978</v>
      </c>
      <c r="M105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1.8699464285714285</v>
      </c>
      <c r="N105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1.756548142857143</v>
      </c>
      <c r="O1059" s="19">
        <f>IF(Tabela8[[#This Row],[Média Lucro p/Ação]]&lt;&gt;"",Tabela8[[#This Row],[Média Pago]]/Tabela8[[#This Row],[Média Lucro p/Ação]],"")</f>
        <v>0.93935746822387978</v>
      </c>
      <c r="P105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59" s="134">
        <f>SUMPRODUCT(N(Tabela1[Código]=Tabela8[[#This Row],[Papel]]),Tabela1[Fechamento])</f>
        <v>7.94</v>
      </c>
      <c r="R1059" s="17">
        <f>SUMPRODUCT(N(Tabela17[Código]=Tabela8[[#This Row],[Papel]]),Tabela17[Fechamento])</f>
        <v>0</v>
      </c>
      <c r="S1059" s="17">
        <f>SUMPRODUCT(N(Tabela176[Código]=Tabela8[[#This Row],[Papel]]),Tabela176[Fechamento])</f>
        <v>0</v>
      </c>
      <c r="T1059" s="17">
        <f>SUMPRODUCT(N(Tabela1768[Código]=Tabela8[[#This Row],[Papel]]),Tabela1768[Fechamento])</f>
        <v>0</v>
      </c>
      <c r="U1059" s="17">
        <f>SUMPRODUCT(N(Tabela17683[Código]=Tabela8[[#This Row],[Papel]]),Tabela17683[Fechamento])</f>
        <v>0</v>
      </c>
      <c r="V1059" s="17">
        <f>IF(MAX(Tabela8[[#This Row],[Cotação 1]]:Tabela8[[#This Row],[Cotação 5]])=0,"",MAX(Tabela8[[#This Row],[Cotação 1]]:Tabela8[[#This Row],[Cotação 5]]))</f>
        <v>7.94</v>
      </c>
      <c r="W105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59" s="19">
        <f>IF(AND([Ref]=5,[Cotação]&gt;0,[Cotação]&lt;&gt;""),[Total Exercício]/[Cotação],IF([Ref]&lt;4,0,""))</f>
        <v>0.29252002518891684</v>
      </c>
      <c r="Y1059" s="17">
        <f>IF([Tipo]="div",1,0)</f>
        <v>0</v>
      </c>
      <c r="Z1059" s="17">
        <f>IF([Tipo]="jcp",1,0)</f>
        <v>1</v>
      </c>
    </row>
    <row r="1060" spans="1:26" hidden="1">
      <c r="A1060" s="4" t="s">
        <v>12</v>
      </c>
      <c r="B1060" s="3" t="s">
        <v>162</v>
      </c>
      <c r="C1060" s="15">
        <v>4</v>
      </c>
      <c r="D1060" s="14">
        <v>2011</v>
      </c>
      <c r="E1060" s="4" t="s">
        <v>1475</v>
      </c>
      <c r="G1060" s="145">
        <v>40884</v>
      </c>
      <c r="H1060" s="46">
        <v>41044</v>
      </c>
      <c r="I1060" s="133">
        <v>0.41167999999999999</v>
      </c>
      <c r="J1060" s="133">
        <f>IF(Tabela8[[#This Row],[Tipo]]="jcp",Tabela8[[#This Row],[Provento p/Ação]]*85%,Tabela8[[#This Row],[Provento p/Ação]])</f>
        <v>0.34992799999999996</v>
      </c>
      <c r="K1060" s="133" t="str">
        <f>IF([Lucro p/Ação]&lt;&gt;0,SUMPRODUCT(N([Papel]=Tabela8[[#This Row],[Papel]]),N([Exercício]=Tabela8[[#This Row],[Exercício]]),[Líquido p/Ação]),"")</f>
        <v/>
      </c>
      <c r="L1060" s="42" t="str">
        <f>IF(Tabela8[[#This Row],[Lucro p/Ação]]="","",IF(Tabela8[[#This Row],[Lucro p/Ação]]&gt;0,Tabela8[[#This Row],[Total Exercício]]/Tabela8[[#This Row],[Lucro p/Ação]],0))</f>
        <v/>
      </c>
      <c r="M106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0" s="19" t="str">
        <f>IF(Tabela8[[#This Row],[Média Lucro p/Ação]]&lt;&gt;"",Tabela8[[#This Row],[Média Pago]]/Tabela8[[#This Row],[Média Lucro p/Ação]],"")</f>
        <v/>
      </c>
      <c r="P106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0" s="134">
        <f>SUMPRODUCT(N(Tabela1[Código]=Tabela8[[#This Row],[Papel]]),Tabela1[Fechamento])</f>
        <v>15</v>
      </c>
      <c r="R1060" s="7">
        <f>SUMPRODUCT(N(Tabela17[Código]=Tabela8[[#This Row],[Papel]]),Tabela17[Fechamento])</f>
        <v>0</v>
      </c>
      <c r="S1060" s="7">
        <f>SUMPRODUCT(N(Tabela176[Código]=Tabela8[[#This Row],[Papel]]),Tabela176[Fechamento])</f>
        <v>0</v>
      </c>
      <c r="T1060" s="7">
        <f>SUMPRODUCT(N(Tabela1768[Código]=Tabela8[[#This Row],[Papel]]),Tabela1768[Fechamento])</f>
        <v>0</v>
      </c>
      <c r="U1060" s="7">
        <f>SUMPRODUCT(N(Tabela17683[Código]=Tabela8[[#This Row],[Papel]]),Tabela17683[Fechamento])</f>
        <v>0</v>
      </c>
      <c r="V1060" s="7">
        <f>IF(MAX(Tabela8[[#This Row],[Cotação 1]]:Tabela8[[#This Row],[Cotação 5]])=0,"",MAX(Tabela8[[#This Row],[Cotação 1]]:Tabela8[[#This Row],[Cotação 5]]))</f>
        <v>15</v>
      </c>
      <c r="W106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0" s="19" t="str">
        <f>IF(AND([Ref]=5,[Cotação]&gt;0,[Cotação]&lt;&gt;""),[Total Exercício]/[Cotação],IF([Ref]&lt;4,0,""))</f>
        <v/>
      </c>
      <c r="Y1060" s="17">
        <f>IF([Tipo]="div",1,0)</f>
        <v>0</v>
      </c>
      <c r="Z1060" s="17">
        <f>IF([Tipo]="jcp",1,0)</f>
        <v>1</v>
      </c>
    </row>
    <row r="1061" spans="1:26" hidden="1">
      <c r="A1061" s="4" t="s">
        <v>12</v>
      </c>
      <c r="B1061" s="3" t="s">
        <v>1</v>
      </c>
      <c r="C1061" s="15">
        <v>4</v>
      </c>
      <c r="D1061" s="14">
        <v>2011</v>
      </c>
      <c r="E1061" s="4" t="s">
        <v>1475</v>
      </c>
      <c r="G1061" s="145">
        <v>40884</v>
      </c>
      <c r="H1061" s="46">
        <v>41044</v>
      </c>
      <c r="I1061" s="133">
        <v>0.45284999999999997</v>
      </c>
      <c r="J1061" s="133">
        <f>IF(Tabela8[[#This Row],[Tipo]]="jcp",Tabela8[[#This Row],[Provento p/Ação]]*85%,Tabela8[[#This Row],[Provento p/Ação]])</f>
        <v>0.38492249999999995</v>
      </c>
      <c r="K1061" s="133" t="str">
        <f>IF([Lucro p/Ação]&lt;&gt;0,SUMPRODUCT(N([Papel]=Tabela8[[#This Row],[Papel]]),N([Exercício]=Tabela8[[#This Row],[Exercício]]),[Líquido p/Ação]),"")</f>
        <v/>
      </c>
      <c r="L1061" s="42" t="str">
        <f>IF(Tabela8[[#This Row],[Lucro p/Ação]]="","",IF(Tabela8[[#This Row],[Lucro p/Ação]]&gt;0,Tabela8[[#This Row],[Total Exercício]]/Tabela8[[#This Row],[Lucro p/Ação]],0))</f>
        <v/>
      </c>
      <c r="M106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1" s="19" t="str">
        <f>IF(Tabela8[[#This Row],[Média Lucro p/Ação]]&lt;&gt;"",Tabela8[[#This Row],[Média Pago]]/Tabela8[[#This Row],[Média Lucro p/Ação]],"")</f>
        <v/>
      </c>
      <c r="P106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1" s="134">
        <f>SUMPRODUCT(N(Tabela1[Código]=Tabela8[[#This Row],[Papel]]),Tabela1[Fechamento])</f>
        <v>7.94</v>
      </c>
      <c r="R1061" s="17">
        <f>SUMPRODUCT(N(Tabela17[Código]=Tabela8[[#This Row],[Papel]]),Tabela17[Fechamento])</f>
        <v>0</v>
      </c>
      <c r="S1061" s="17">
        <f>SUMPRODUCT(N(Tabela176[Código]=Tabela8[[#This Row],[Papel]]),Tabela176[Fechamento])</f>
        <v>0</v>
      </c>
      <c r="T1061" s="17">
        <f>SUMPRODUCT(N(Tabela1768[Código]=Tabela8[[#This Row],[Papel]]),Tabela1768[Fechamento])</f>
        <v>0</v>
      </c>
      <c r="U1061" s="17">
        <f>SUMPRODUCT(N(Tabela17683[Código]=Tabela8[[#This Row],[Papel]]),Tabela17683[Fechamento])</f>
        <v>0</v>
      </c>
      <c r="V1061" s="17">
        <f>IF(MAX(Tabela8[[#This Row],[Cotação 1]]:Tabela8[[#This Row],[Cotação 5]])=0,"",MAX(Tabela8[[#This Row],[Cotação 1]]:Tabela8[[#This Row],[Cotação 5]]))</f>
        <v>7.94</v>
      </c>
      <c r="W106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1" s="19" t="str">
        <f>IF(AND([Ref]=5,[Cotação]&gt;0,[Cotação]&lt;&gt;""),[Total Exercício]/[Cotação],IF([Ref]&lt;4,0,""))</f>
        <v/>
      </c>
      <c r="Y1061" s="17">
        <f>IF([Tipo]="div",1,0)</f>
        <v>0</v>
      </c>
      <c r="Z1061" s="17">
        <f>IF([Tipo]="jcp",1,0)</f>
        <v>1</v>
      </c>
    </row>
    <row r="1062" spans="1:26" hidden="1">
      <c r="A1062" s="4" t="s">
        <v>12</v>
      </c>
      <c r="B1062" s="3" t="s">
        <v>162</v>
      </c>
      <c r="C1062" s="15">
        <v>4</v>
      </c>
      <c r="D1062" s="14">
        <v>2011</v>
      </c>
      <c r="E1062" s="14" t="s">
        <v>1468</v>
      </c>
      <c r="G1062" s="145">
        <v>40662</v>
      </c>
      <c r="H1062" s="46">
        <v>40678</v>
      </c>
      <c r="I1062" s="133">
        <v>4.75495</v>
      </c>
      <c r="J1062" s="133">
        <f>IF(Tabela8[[#This Row],[Tipo]]="jcp",Tabela8[[#This Row],[Provento p/Ação]]*85%,Tabela8[[#This Row],[Provento p/Ação]])</f>
        <v>4.75495</v>
      </c>
      <c r="K1062" s="133" t="str">
        <f>IF([Lucro p/Ação]&lt;&gt;0,SUMPRODUCT(N([Papel]=Tabela8[[#This Row],[Papel]]),N([Exercício]=Tabela8[[#This Row],[Exercício]]),[Líquido p/Ação]),"")</f>
        <v/>
      </c>
      <c r="L1062" s="42" t="str">
        <f>IF(Tabela8[[#This Row],[Lucro p/Ação]]="","",IF(Tabela8[[#This Row],[Lucro p/Ação]]&gt;0,Tabela8[[#This Row],[Total Exercício]]/Tabela8[[#This Row],[Lucro p/Ação]],0))</f>
        <v/>
      </c>
      <c r="M1062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2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2" s="19" t="str">
        <f>IF(Tabela8[[#This Row],[Média Lucro p/Ação]]&lt;&gt;"",Tabela8[[#This Row],[Média Pago]]/Tabela8[[#This Row],[Média Lucro p/Ação]],"")</f>
        <v/>
      </c>
      <c r="P106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2" s="134">
        <f>SUMPRODUCT(N(Tabela1[Código]=Tabela8[[#This Row],[Papel]]),Tabela1[Fechamento])</f>
        <v>15</v>
      </c>
      <c r="R1062" s="7">
        <f>SUMPRODUCT(N(Tabela17[Código]=Tabela8[[#This Row],[Papel]]),Tabela17[Fechamento])</f>
        <v>0</v>
      </c>
      <c r="S1062" s="7">
        <f>SUMPRODUCT(N(Tabela176[Código]=Tabela8[[#This Row],[Papel]]),Tabela176[Fechamento])</f>
        <v>0</v>
      </c>
      <c r="T1062" s="7">
        <f>SUMPRODUCT(N(Tabela1768[Código]=Tabela8[[#This Row],[Papel]]),Tabela1768[Fechamento])</f>
        <v>0</v>
      </c>
      <c r="U1062" s="7">
        <f>SUMPRODUCT(N(Tabela17683[Código]=Tabela8[[#This Row],[Papel]]),Tabela17683[Fechamento])</f>
        <v>0</v>
      </c>
      <c r="V1062" s="7">
        <f>IF(MAX(Tabela8[[#This Row],[Cotação 1]]:Tabela8[[#This Row],[Cotação 5]])=0,"",MAX(Tabela8[[#This Row],[Cotação 1]]:Tabela8[[#This Row],[Cotação 5]]))</f>
        <v>15</v>
      </c>
      <c r="W106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2" s="19" t="str">
        <f>IF(AND([Ref]=5,[Cotação]&gt;0,[Cotação]&lt;&gt;""),[Total Exercício]/[Cotação],IF([Ref]&lt;4,0,""))</f>
        <v/>
      </c>
      <c r="Y1062" s="17">
        <f>IF([Tipo]="div",1,0)</f>
        <v>1</v>
      </c>
      <c r="Z1062" s="17">
        <f>IF([Tipo]="jcp",1,0)</f>
        <v>0</v>
      </c>
    </row>
    <row r="1063" spans="1:26" hidden="1">
      <c r="A1063" s="4" t="s">
        <v>12</v>
      </c>
      <c r="B1063" s="3" t="s">
        <v>1</v>
      </c>
      <c r="C1063" s="15">
        <v>4</v>
      </c>
      <c r="D1063" s="14">
        <v>2011</v>
      </c>
      <c r="E1063" s="14" t="s">
        <v>1468</v>
      </c>
      <c r="G1063" s="145">
        <v>40662</v>
      </c>
      <c r="H1063" s="46">
        <v>40678</v>
      </c>
      <c r="I1063" s="133">
        <v>5.2304500000000003</v>
      </c>
      <c r="J1063" s="133">
        <f>IF(Tabela8[[#This Row],[Tipo]]="jcp",Tabela8[[#This Row],[Provento p/Ação]]*85%,Tabela8[[#This Row],[Provento p/Ação]])</f>
        <v>5.2304500000000003</v>
      </c>
      <c r="K1063" s="133" t="str">
        <f>IF([Lucro p/Ação]&lt;&gt;0,SUMPRODUCT(N([Papel]=Tabela8[[#This Row],[Papel]]),N([Exercício]=Tabela8[[#This Row],[Exercício]]),[Líquido p/Ação]),"")</f>
        <v/>
      </c>
      <c r="L1063" s="42" t="str">
        <f>IF(Tabela8[[#This Row],[Lucro p/Ação]]="","",IF(Tabela8[[#This Row],[Lucro p/Ação]]&gt;0,Tabela8[[#This Row],[Total Exercício]]/Tabela8[[#This Row],[Lucro p/Ação]],0))</f>
        <v/>
      </c>
      <c r="M1063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3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3" s="19" t="str">
        <f>IF(Tabela8[[#This Row],[Média Lucro p/Ação]]&lt;&gt;"",Tabela8[[#This Row],[Média Pago]]/Tabela8[[#This Row],[Média Lucro p/Ação]],"")</f>
        <v/>
      </c>
      <c r="P106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3" s="134">
        <f>SUMPRODUCT(N(Tabela1[Código]=Tabela8[[#This Row],[Papel]]),Tabela1[Fechamento])</f>
        <v>7.94</v>
      </c>
      <c r="R1063" s="17">
        <f>SUMPRODUCT(N(Tabela17[Código]=Tabela8[[#This Row],[Papel]]),Tabela17[Fechamento])</f>
        <v>0</v>
      </c>
      <c r="S1063" s="17">
        <f>SUMPRODUCT(N(Tabela176[Código]=Tabela8[[#This Row],[Papel]]),Tabela176[Fechamento])</f>
        <v>0</v>
      </c>
      <c r="T1063" s="17">
        <f>SUMPRODUCT(N(Tabela1768[Código]=Tabela8[[#This Row],[Papel]]),Tabela1768[Fechamento])</f>
        <v>0</v>
      </c>
      <c r="U1063" s="17">
        <f>SUMPRODUCT(N(Tabela17683[Código]=Tabela8[[#This Row],[Papel]]),Tabela17683[Fechamento])</f>
        <v>0</v>
      </c>
      <c r="V1063" s="17">
        <f>IF(MAX(Tabela8[[#This Row],[Cotação 1]]:Tabela8[[#This Row],[Cotação 5]])=0,"",MAX(Tabela8[[#This Row],[Cotação 1]]:Tabela8[[#This Row],[Cotação 5]]))</f>
        <v>7.94</v>
      </c>
      <c r="W106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3" s="19" t="str">
        <f>IF(AND([Ref]=5,[Cotação]&gt;0,[Cotação]&lt;&gt;""),[Total Exercício]/[Cotação],IF([Ref]&lt;4,0,""))</f>
        <v/>
      </c>
      <c r="Y1063" s="17">
        <f>IF([Tipo]="div",1,0)</f>
        <v>1</v>
      </c>
      <c r="Z1063" s="17">
        <f>IF([Tipo]="jcp",1,0)</f>
        <v>0</v>
      </c>
    </row>
    <row r="1064" spans="1:26" hidden="1">
      <c r="A1064" s="4" t="s">
        <v>12</v>
      </c>
      <c r="B1064" s="3" t="s">
        <v>162</v>
      </c>
      <c r="C1064" s="15">
        <v>4</v>
      </c>
      <c r="D1064" s="14">
        <v>2011</v>
      </c>
      <c r="E1064" s="4" t="s">
        <v>1468</v>
      </c>
      <c r="G1064" s="145">
        <v>40765</v>
      </c>
      <c r="H1064" s="46">
        <v>40808</v>
      </c>
      <c r="I1064" s="133">
        <v>1.64008</v>
      </c>
      <c r="J1064" s="133">
        <f>IF(Tabela8[[#This Row],[Tipo]]="jcp",Tabela8[[#This Row],[Provento p/Ação]]*85%,Tabela8[[#This Row],[Provento p/Ação]])</f>
        <v>1.64008</v>
      </c>
      <c r="K1064" s="133" t="str">
        <f>IF([Lucro p/Ação]&lt;&gt;0,SUMPRODUCT(N([Papel]=Tabela8[[#This Row],[Papel]]),N([Exercício]=Tabela8[[#This Row],[Exercício]]),[Líquido p/Ação]),"")</f>
        <v/>
      </c>
      <c r="L1064" s="42" t="str">
        <f>IF(Tabela8[[#This Row],[Lucro p/Ação]]="","",IF(Tabela8[[#This Row],[Lucro p/Ação]]&gt;0,Tabela8[[#This Row],[Total Exercício]]/Tabela8[[#This Row],[Lucro p/Ação]],0))</f>
        <v/>
      </c>
      <c r="M106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4" s="19" t="str">
        <f>IF(Tabela8[[#This Row],[Média Lucro p/Ação]]&lt;&gt;"",Tabela8[[#This Row],[Média Pago]]/Tabela8[[#This Row],[Média Lucro p/Ação]],"")</f>
        <v/>
      </c>
      <c r="P106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4" s="134">
        <f>SUMPRODUCT(N(Tabela1[Código]=Tabela8[[#This Row],[Papel]]),Tabela1[Fechamento])</f>
        <v>15</v>
      </c>
      <c r="R1064" s="7">
        <f>SUMPRODUCT(N(Tabela17[Código]=Tabela8[[#This Row],[Papel]]),Tabela17[Fechamento])</f>
        <v>0</v>
      </c>
      <c r="S1064" s="7">
        <f>SUMPRODUCT(N(Tabela176[Código]=Tabela8[[#This Row],[Papel]]),Tabela176[Fechamento])</f>
        <v>0</v>
      </c>
      <c r="T1064" s="7">
        <f>SUMPRODUCT(N(Tabela1768[Código]=Tabela8[[#This Row],[Papel]]),Tabela1768[Fechamento])</f>
        <v>0</v>
      </c>
      <c r="U1064" s="7">
        <f>SUMPRODUCT(N(Tabela17683[Código]=Tabela8[[#This Row],[Papel]]),Tabela17683[Fechamento])</f>
        <v>0</v>
      </c>
      <c r="V1064" s="7">
        <f>IF(MAX(Tabela8[[#This Row],[Cotação 1]]:Tabela8[[#This Row],[Cotação 5]])=0,"",MAX(Tabela8[[#This Row],[Cotação 1]]:Tabela8[[#This Row],[Cotação 5]]))</f>
        <v>15</v>
      </c>
      <c r="W106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4" s="19" t="str">
        <f>IF(AND([Ref]=5,[Cotação]&gt;0,[Cotação]&lt;&gt;""),[Total Exercício]/[Cotação],IF([Ref]&lt;4,0,""))</f>
        <v/>
      </c>
      <c r="Y1064" s="17">
        <f>IF([Tipo]="div",1,0)</f>
        <v>1</v>
      </c>
      <c r="Z1064" s="17">
        <f>IF([Tipo]="jcp",1,0)</f>
        <v>0</v>
      </c>
    </row>
    <row r="1065" spans="1:26" hidden="1">
      <c r="A1065" s="4" t="s">
        <v>12</v>
      </c>
      <c r="B1065" s="3" t="s">
        <v>1</v>
      </c>
      <c r="C1065" s="15">
        <v>4</v>
      </c>
      <c r="D1065" s="14">
        <v>2011</v>
      </c>
      <c r="E1065" s="4" t="s">
        <v>1468</v>
      </c>
      <c r="G1065" s="145">
        <v>40765</v>
      </c>
      <c r="H1065" s="46">
        <v>40808</v>
      </c>
      <c r="I1065" s="133">
        <v>1.80409</v>
      </c>
      <c r="J1065" s="133">
        <f>IF(Tabela8[[#This Row],[Tipo]]="jcp",Tabela8[[#This Row],[Provento p/Ação]]*85%,Tabela8[[#This Row],[Provento p/Ação]])</f>
        <v>1.80409</v>
      </c>
      <c r="K1065" s="133" t="str">
        <f>IF([Lucro p/Ação]&lt;&gt;0,SUMPRODUCT(N([Papel]=Tabela8[[#This Row],[Papel]]),N([Exercício]=Tabela8[[#This Row],[Exercício]]),[Líquido p/Ação]),"")</f>
        <v/>
      </c>
      <c r="L1065" s="42" t="str">
        <f>IF(Tabela8[[#This Row],[Lucro p/Ação]]="","",IF(Tabela8[[#This Row],[Lucro p/Ação]]&gt;0,Tabela8[[#This Row],[Total Exercício]]/Tabela8[[#This Row],[Lucro p/Ação]],0))</f>
        <v/>
      </c>
      <c r="M106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5" s="19" t="str">
        <f>IF(Tabela8[[#This Row],[Média Lucro p/Ação]]&lt;&gt;"",Tabela8[[#This Row],[Média Pago]]/Tabela8[[#This Row],[Média Lucro p/Ação]],"")</f>
        <v/>
      </c>
      <c r="P106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5" s="134">
        <f>SUMPRODUCT(N(Tabela1[Código]=Tabela8[[#This Row],[Papel]]),Tabela1[Fechamento])</f>
        <v>7.94</v>
      </c>
      <c r="R1065" s="17">
        <f>SUMPRODUCT(N(Tabela17[Código]=Tabela8[[#This Row],[Papel]]),Tabela17[Fechamento])</f>
        <v>0</v>
      </c>
      <c r="S1065" s="17">
        <f>SUMPRODUCT(N(Tabela176[Código]=Tabela8[[#This Row],[Papel]]),Tabela176[Fechamento])</f>
        <v>0</v>
      </c>
      <c r="T1065" s="17">
        <f>SUMPRODUCT(N(Tabela1768[Código]=Tabela8[[#This Row],[Papel]]),Tabela1768[Fechamento])</f>
        <v>0</v>
      </c>
      <c r="U1065" s="17">
        <f>SUMPRODUCT(N(Tabela17683[Código]=Tabela8[[#This Row],[Papel]]),Tabela17683[Fechamento])</f>
        <v>0</v>
      </c>
      <c r="V1065" s="17">
        <f>IF(MAX(Tabela8[[#This Row],[Cotação 1]]:Tabela8[[#This Row],[Cotação 5]])=0,"",MAX(Tabela8[[#This Row],[Cotação 1]]:Tabela8[[#This Row],[Cotação 5]]))</f>
        <v>7.94</v>
      </c>
      <c r="W106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5" s="19" t="str">
        <f>IF(AND([Ref]=5,[Cotação]&gt;0,[Cotação]&lt;&gt;""),[Total Exercício]/[Cotação],IF([Ref]&lt;4,0,""))</f>
        <v/>
      </c>
      <c r="Y1065" s="17">
        <f>IF([Tipo]="div",1,0)</f>
        <v>1</v>
      </c>
      <c r="Z1065" s="17">
        <f>IF([Tipo]="jcp",1,0)</f>
        <v>0</v>
      </c>
    </row>
    <row r="1066" spans="1:26" hidden="1">
      <c r="A1066" s="4" t="s">
        <v>12</v>
      </c>
      <c r="B1066" s="3" t="s">
        <v>162</v>
      </c>
      <c r="C1066" s="15">
        <v>5</v>
      </c>
      <c r="D1066" s="14">
        <v>2011</v>
      </c>
      <c r="E1066" s="14" t="s">
        <v>1468</v>
      </c>
      <c r="F1066" s="133">
        <v>8.8610000000000007</v>
      </c>
      <c r="G1066" s="145">
        <v>40981</v>
      </c>
      <c r="H1066" s="46">
        <v>41044</v>
      </c>
      <c r="I1066" s="133">
        <v>3.0834100000000002</v>
      </c>
      <c r="J1066" s="133">
        <f>IF(Tabela8[[#This Row],[Tipo]]="jcp",Tabela8[[#This Row],[Provento p/Ação]]*85%,Tabela8[[#This Row],[Provento p/Ação]])</f>
        <v>3.0834100000000002</v>
      </c>
      <c r="K1066" s="133">
        <f>IF([Lucro p/Ação]&lt;&gt;0,SUMPRODUCT(N([Papel]=Tabela8[[#This Row],[Papel]]),N([Exercício]=Tabela8[[#This Row],[Exercício]]),[Líquido p/Ação]),"")</f>
        <v>9.8283680000000011</v>
      </c>
      <c r="L1066" s="42">
        <f>IF(Tabela8[[#This Row],[Lucro p/Ação]]="","",IF(Tabela8[[#This Row],[Lucro p/Ação]]&gt;0,Tabela8[[#This Row],[Total Exercício]]/Tabela8[[#This Row],[Lucro p/Ação]],0))</f>
        <v>1.1091714253470264</v>
      </c>
      <c r="M106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2.2853766666666666</v>
      </c>
      <c r="N1066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2.1309631333333332</v>
      </c>
      <c r="O1066" s="19">
        <f>IF(Tabela8[[#This Row],[Média Lucro p/Ação]]&lt;&gt;"",Tabela8[[#This Row],[Média Pago]]/Tabela8[[#This Row],[Média Lucro p/Ação]],"")</f>
        <v>0.93243409912005748</v>
      </c>
      <c r="P106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6" s="134">
        <f>SUMPRODUCT(N(Tabela1[Código]=Tabela8[[#This Row],[Papel]]),Tabela1[Fechamento])</f>
        <v>15</v>
      </c>
      <c r="R1066" s="7">
        <f>SUMPRODUCT(N(Tabela17[Código]=Tabela8[[#This Row],[Papel]]),Tabela17[Fechamento])</f>
        <v>0</v>
      </c>
      <c r="S1066" s="7">
        <f>SUMPRODUCT(N(Tabela176[Código]=Tabela8[[#This Row],[Papel]]),Tabela176[Fechamento])</f>
        <v>0</v>
      </c>
      <c r="T1066" s="7">
        <f>SUMPRODUCT(N(Tabela1768[Código]=Tabela8[[#This Row],[Papel]]),Tabela1768[Fechamento])</f>
        <v>0</v>
      </c>
      <c r="U1066" s="7">
        <f>SUMPRODUCT(N(Tabela17683[Código]=Tabela8[[#This Row],[Papel]]),Tabela17683[Fechamento])</f>
        <v>0</v>
      </c>
      <c r="V1066" s="7">
        <f>IF(MAX(Tabela8[[#This Row],[Cotação 1]]:Tabela8[[#This Row],[Cotação 5]])=0,"",MAX(Tabela8[[#This Row],[Cotação 1]]:Tabela8[[#This Row],[Cotação 5]]))</f>
        <v>15</v>
      </c>
      <c r="W106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6" s="19">
        <f>IF(AND([Ref]=5,[Cotação]&gt;0,[Cotação]&lt;&gt;""),[Total Exercício]/[Cotação],IF([Ref]&lt;4,0,""))</f>
        <v>0.65522453333333341</v>
      </c>
      <c r="Y1066" s="17">
        <f>IF([Tipo]="div",1,0)</f>
        <v>1</v>
      </c>
      <c r="Z1066" s="17">
        <f>IF([Tipo]="jcp",1,0)</f>
        <v>0</v>
      </c>
    </row>
    <row r="1067" spans="1:26" hidden="1">
      <c r="A1067" s="4" t="s">
        <v>12</v>
      </c>
      <c r="B1067" s="3" t="s">
        <v>1</v>
      </c>
      <c r="C1067" s="16">
        <v>5</v>
      </c>
      <c r="D1067" s="14">
        <v>2011</v>
      </c>
      <c r="E1067" s="14" t="s">
        <v>1468</v>
      </c>
      <c r="F1067" s="133">
        <v>9.7470999999999997</v>
      </c>
      <c r="G1067" s="145">
        <v>40981</v>
      </c>
      <c r="H1067" s="46">
        <v>41044</v>
      </c>
      <c r="I1067" s="133">
        <v>3.39175</v>
      </c>
      <c r="J1067" s="133">
        <f>IF(Tabela8[[#This Row],[Tipo]]="jcp",Tabela8[[#This Row],[Provento p/Ação]]*85%,Tabela8[[#This Row],[Provento p/Ação]])</f>
        <v>3.39175</v>
      </c>
      <c r="K1067" s="133">
        <f>IF([Lucro p/Ação]&lt;&gt;0,SUMPRODUCT(N([Papel]=Tabela8[[#This Row],[Papel]]),N([Exercício]=Tabela8[[#This Row],[Exercício]]),[Líquido p/Ação]),"")</f>
        <v>10.8112125</v>
      </c>
      <c r="L1067" s="42">
        <f>IF(Tabela8[[#This Row],[Lucro p/Ação]]="","",IF(Tabela8[[#This Row],[Lucro p/Ação]]&gt;0,Tabela8[[#This Row],[Total Exercício]]/Tabela8[[#This Row],[Lucro p/Ação]],0))</f>
        <v>1.1091722153255841</v>
      </c>
      <c r="M106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2.3950900000000006</v>
      </c>
      <c r="N1067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2.3601924333333333</v>
      </c>
      <c r="O1067" s="19">
        <f>IF(Tabela8[[#This Row],[Média Lucro p/Ação]]&lt;&gt;"",Tabela8[[#This Row],[Média Pago]]/Tabela8[[#This Row],[Média Lucro p/Ação]],"")</f>
        <v>0.98542953848637538</v>
      </c>
      <c r="P106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7" s="134">
        <f>SUMPRODUCT(N(Tabela1[Código]=Tabela8[[#This Row],[Papel]]),Tabela1[Fechamento])</f>
        <v>7.94</v>
      </c>
      <c r="R1067" s="17">
        <f>SUMPRODUCT(N(Tabela17[Código]=Tabela8[[#This Row],[Papel]]),Tabela17[Fechamento])</f>
        <v>0</v>
      </c>
      <c r="S1067" s="17">
        <f>SUMPRODUCT(N(Tabela176[Código]=Tabela8[[#This Row],[Papel]]),Tabela176[Fechamento])</f>
        <v>0</v>
      </c>
      <c r="T1067" s="17">
        <f>SUMPRODUCT(N(Tabela1768[Código]=Tabela8[[#This Row],[Papel]]),Tabela1768[Fechamento])</f>
        <v>0</v>
      </c>
      <c r="U1067" s="17">
        <f>SUMPRODUCT(N(Tabela17683[Código]=Tabela8[[#This Row],[Papel]]),Tabela17683[Fechamento])</f>
        <v>0</v>
      </c>
      <c r="V1067" s="17">
        <f>IF(MAX(Tabela8[[#This Row],[Cotação 1]]:Tabela8[[#This Row],[Cotação 5]])=0,"",MAX(Tabela8[[#This Row],[Cotação 1]]:Tabela8[[#This Row],[Cotação 5]]))</f>
        <v>7.94</v>
      </c>
      <c r="W106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7" s="19">
        <f>IF(AND([Ref]=5,[Cotação]&gt;0,[Cotação]&lt;&gt;""),[Total Exercício]/[Cotação],IF([Ref]&lt;4,0,""))</f>
        <v>1.3616136649874055</v>
      </c>
      <c r="Y1067" s="17">
        <f>IF([Tipo]="div",1,0)</f>
        <v>1</v>
      </c>
      <c r="Z1067" s="17">
        <f>IF([Tipo]="jcp",1,0)</f>
        <v>0</v>
      </c>
    </row>
    <row r="1068" spans="1:26" hidden="1">
      <c r="A1068" s="4" t="s">
        <v>12</v>
      </c>
      <c r="B1068" s="3" t="s">
        <v>162</v>
      </c>
      <c r="C1068" s="15">
        <v>4</v>
      </c>
      <c r="D1068" s="14">
        <v>2012</v>
      </c>
      <c r="E1068" s="14" t="s">
        <v>1468</v>
      </c>
      <c r="G1068" s="145">
        <v>41015</v>
      </c>
      <c r="H1068" s="46">
        <v>41044</v>
      </c>
      <c r="I1068" s="133">
        <v>3.0834100000000002</v>
      </c>
      <c r="J1068" s="133">
        <f>IF(Tabela8[[#This Row],[Tipo]]="jcp",Tabela8[[#This Row],[Provento p/Ação]]*85%,Tabela8[[#This Row],[Provento p/Ação]])</f>
        <v>3.0834100000000002</v>
      </c>
      <c r="K1068" s="133" t="str">
        <f>IF([Lucro p/Ação]&lt;&gt;0,SUMPRODUCT(N([Papel]=Tabela8[[#This Row],[Papel]]),N([Exercício]=Tabela8[[#This Row],[Exercício]]),[Líquido p/Ação]),"")</f>
        <v/>
      </c>
      <c r="L1068" s="42" t="str">
        <f>IF(Tabela8[[#This Row],[Lucro p/Ação]]="","",IF(Tabela8[[#This Row],[Lucro p/Ação]]&gt;0,Tabela8[[#This Row],[Total Exercício]]/Tabela8[[#This Row],[Lucro p/Ação]],0))</f>
        <v/>
      </c>
      <c r="M1068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8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8" s="19" t="str">
        <f>IF(Tabela8[[#This Row],[Média Lucro p/Ação]]&lt;&gt;"",Tabela8[[#This Row],[Média Pago]]/Tabela8[[#This Row],[Média Lucro p/Ação]],"")</f>
        <v/>
      </c>
      <c r="P106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8" s="134">
        <f>SUMPRODUCT(N(Tabela1[Código]=Tabela8[[#This Row],[Papel]]),Tabela1[Fechamento])</f>
        <v>15</v>
      </c>
      <c r="R1068" s="7">
        <f>SUMPRODUCT(N(Tabela17[Código]=Tabela8[[#This Row],[Papel]]),Tabela17[Fechamento])</f>
        <v>0</v>
      </c>
      <c r="S1068" s="7">
        <f>SUMPRODUCT(N(Tabela176[Código]=Tabela8[[#This Row],[Papel]]),Tabela176[Fechamento])</f>
        <v>0</v>
      </c>
      <c r="T1068" s="7">
        <f>SUMPRODUCT(N(Tabela1768[Código]=Tabela8[[#This Row],[Papel]]),Tabela1768[Fechamento])</f>
        <v>0</v>
      </c>
      <c r="U1068" s="7">
        <f>SUMPRODUCT(N(Tabela17683[Código]=Tabela8[[#This Row],[Papel]]),Tabela17683[Fechamento])</f>
        <v>0</v>
      </c>
      <c r="V1068" s="7">
        <f>IF(MAX(Tabela8[[#This Row],[Cotação 1]]:Tabela8[[#This Row],[Cotação 5]])=0,"",MAX(Tabela8[[#This Row],[Cotação 1]]:Tabela8[[#This Row],[Cotação 5]]))</f>
        <v>15</v>
      </c>
      <c r="W106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8" s="19" t="str">
        <f>IF(AND([Ref]=5,[Cotação]&gt;0,[Cotação]&lt;&gt;""),[Total Exercício]/[Cotação],IF([Ref]&lt;4,0,""))</f>
        <v/>
      </c>
      <c r="Y1068" s="17">
        <f>IF([Tipo]="div",1,0)</f>
        <v>1</v>
      </c>
      <c r="Z1068" s="17">
        <f>IF([Tipo]="jcp",1,0)</f>
        <v>0</v>
      </c>
    </row>
    <row r="1069" spans="1:26" hidden="1">
      <c r="A1069" s="4" t="s">
        <v>12</v>
      </c>
      <c r="B1069" s="3" t="s">
        <v>1</v>
      </c>
      <c r="C1069" s="15">
        <v>4</v>
      </c>
      <c r="D1069" s="14">
        <v>2012</v>
      </c>
      <c r="E1069" s="14" t="s">
        <v>1468</v>
      </c>
      <c r="G1069" s="145">
        <v>41015</v>
      </c>
      <c r="H1069" s="46">
        <v>41044</v>
      </c>
      <c r="I1069" s="133">
        <v>3.39175</v>
      </c>
      <c r="J1069" s="133">
        <f>IF(Tabela8[[#This Row],[Tipo]]="jcp",Tabela8[[#This Row],[Provento p/Ação]]*85%,Tabela8[[#This Row],[Provento p/Ação]])</f>
        <v>3.39175</v>
      </c>
      <c r="K1069" s="133" t="str">
        <f>IF([Lucro p/Ação]&lt;&gt;0,SUMPRODUCT(N([Papel]=Tabela8[[#This Row],[Papel]]),N([Exercício]=Tabela8[[#This Row],[Exercício]]),[Líquido p/Ação]),"")</f>
        <v/>
      </c>
      <c r="L1069" s="42" t="str">
        <f>IF(Tabela8[[#This Row],[Lucro p/Ação]]="","",IF(Tabela8[[#This Row],[Lucro p/Ação]]&gt;0,Tabela8[[#This Row],[Total Exercício]]/Tabela8[[#This Row],[Lucro p/Ação]],0))</f>
        <v/>
      </c>
      <c r="M1069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69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69" s="19" t="str">
        <f>IF(Tabela8[[#This Row],[Média Lucro p/Ação]]&lt;&gt;"",Tabela8[[#This Row],[Média Pago]]/Tabela8[[#This Row],[Média Lucro p/Ação]],"")</f>
        <v/>
      </c>
      <c r="P106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69" s="134">
        <f>SUMPRODUCT(N(Tabela1[Código]=Tabela8[[#This Row],[Papel]]),Tabela1[Fechamento])</f>
        <v>7.94</v>
      </c>
      <c r="R1069" s="7">
        <f>SUMPRODUCT(N(Tabela17[Código]=Tabela8[[#This Row],[Papel]]),Tabela17[Fechamento])</f>
        <v>0</v>
      </c>
      <c r="S1069" s="7">
        <f>SUMPRODUCT(N(Tabela176[Código]=Tabela8[[#This Row],[Papel]]),Tabela176[Fechamento])</f>
        <v>0</v>
      </c>
      <c r="T1069" s="7">
        <f>SUMPRODUCT(N(Tabela1768[Código]=Tabela8[[#This Row],[Papel]]),Tabela1768[Fechamento])</f>
        <v>0</v>
      </c>
      <c r="U1069" s="7">
        <f>SUMPRODUCT(N(Tabela17683[Código]=Tabela8[[#This Row],[Papel]]),Tabela17683[Fechamento])</f>
        <v>0</v>
      </c>
      <c r="V1069" s="7">
        <f>IF(MAX(Tabela8[[#This Row],[Cotação 1]]:Tabela8[[#This Row],[Cotação 5]])=0,"",MAX(Tabela8[[#This Row],[Cotação 1]]:Tabela8[[#This Row],[Cotação 5]]))</f>
        <v>7.94</v>
      </c>
      <c r="W106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69" s="19" t="str">
        <f>IF(AND([Ref]=5,[Cotação]&gt;0,[Cotação]&lt;&gt;""),[Total Exercício]/[Cotação],IF([Ref]&lt;4,0,""))</f>
        <v/>
      </c>
      <c r="Y1069" s="17">
        <f>IF([Tipo]="div",1,0)</f>
        <v>1</v>
      </c>
      <c r="Z1069" s="17">
        <f>IF([Tipo]="jcp",1,0)</f>
        <v>0</v>
      </c>
    </row>
    <row r="1070" spans="1:26" hidden="1">
      <c r="A1070" s="4" t="s">
        <v>12</v>
      </c>
      <c r="B1070" s="3" t="s">
        <v>162</v>
      </c>
      <c r="C1070" s="15">
        <v>4</v>
      </c>
      <c r="D1070" s="14">
        <v>2012</v>
      </c>
      <c r="E1070" s="4" t="s">
        <v>1475</v>
      </c>
      <c r="G1070" s="145">
        <v>41263</v>
      </c>
      <c r="I1070" s="133">
        <v>0.30615999999999999</v>
      </c>
      <c r="J1070" s="133">
        <f>IF(Tabela8[[#This Row],[Tipo]]="jcp",Tabela8[[#This Row],[Provento p/Ação]]*85%,Tabela8[[#This Row],[Provento p/Ação]])</f>
        <v>0.26023599999999997</v>
      </c>
      <c r="K1070" s="133" t="str">
        <f>IF([Lucro p/Ação]&lt;&gt;0,SUMPRODUCT(N([Papel]=Tabela8[[#This Row],[Papel]]),N([Exercício]=Tabela8[[#This Row],[Exercício]]),[Líquido p/Ação]),"")</f>
        <v/>
      </c>
      <c r="L1070" s="42" t="str">
        <f>IF(Tabela8[[#This Row],[Lucro p/Ação]]="","",IF(Tabela8[[#This Row],[Lucro p/Ação]]&gt;0,Tabela8[[#This Row],[Total Exercício]]/Tabela8[[#This Row],[Lucro p/Ação]],0))</f>
        <v/>
      </c>
      <c r="M1070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0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0" s="19" t="str">
        <f>IF(Tabela8[[#This Row],[Média Lucro p/Ação]]&lt;&gt;"",Tabela8[[#This Row],[Média Pago]]/Tabela8[[#This Row],[Média Lucro p/Ação]],"")</f>
        <v/>
      </c>
      <c r="P107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0" s="134">
        <f>SUMPRODUCT(N(Tabela1[Código]=Tabela8[[#This Row],[Papel]]),Tabela1[Fechamento])</f>
        <v>15</v>
      </c>
      <c r="R1070" s="7">
        <f>SUMPRODUCT(N(Tabela17[Código]=Tabela8[[#This Row],[Papel]]),Tabela17[Fechamento])</f>
        <v>0</v>
      </c>
      <c r="S1070" s="7">
        <f>SUMPRODUCT(N(Tabela176[Código]=Tabela8[[#This Row],[Papel]]),Tabela176[Fechamento])</f>
        <v>0</v>
      </c>
      <c r="T1070" s="7">
        <f>SUMPRODUCT(N(Tabela1768[Código]=Tabela8[[#This Row],[Papel]]),Tabela1768[Fechamento])</f>
        <v>0</v>
      </c>
      <c r="U1070" s="7">
        <f>SUMPRODUCT(N(Tabela17683[Código]=Tabela8[[#This Row],[Papel]]),Tabela17683[Fechamento])</f>
        <v>0</v>
      </c>
      <c r="V1070" s="7">
        <f>IF(MAX(Tabela8[[#This Row],[Cotação 1]]:Tabela8[[#This Row],[Cotação 5]])=0,"",MAX(Tabela8[[#This Row],[Cotação 1]]:Tabela8[[#This Row],[Cotação 5]]))</f>
        <v>15</v>
      </c>
      <c r="W107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0" s="19" t="str">
        <f>IF(AND([Ref]=5,[Cotação]&gt;0,[Cotação]&lt;&gt;""),[Total Exercício]/[Cotação],IF([Ref]&lt;4,0,""))</f>
        <v/>
      </c>
      <c r="Y1070" s="17">
        <f>IF([Tipo]="div",1,0)</f>
        <v>0</v>
      </c>
      <c r="Z1070" s="17">
        <f>IF([Tipo]="jcp",1,0)</f>
        <v>1</v>
      </c>
    </row>
    <row r="1071" spans="1:26" hidden="1">
      <c r="A1071" s="4" t="s">
        <v>12</v>
      </c>
      <c r="B1071" s="3" t="s">
        <v>1</v>
      </c>
      <c r="C1071" s="15">
        <v>4</v>
      </c>
      <c r="D1071" s="14">
        <v>2012</v>
      </c>
      <c r="E1071" s="4" t="s">
        <v>1475</v>
      </c>
      <c r="G1071" s="145">
        <v>41263</v>
      </c>
      <c r="I1071" s="133">
        <v>0.33678000000000002</v>
      </c>
      <c r="J1071" s="133">
        <f>IF(Tabela8[[#This Row],[Tipo]]="jcp",Tabela8[[#This Row],[Provento p/Ação]]*85%,Tabela8[[#This Row],[Provento p/Ação]])</f>
        <v>0.28626299999999999</v>
      </c>
      <c r="K1071" s="133" t="str">
        <f>IF([Lucro p/Ação]&lt;&gt;0,SUMPRODUCT(N([Papel]=Tabela8[[#This Row],[Papel]]),N([Exercício]=Tabela8[[#This Row],[Exercício]]),[Líquido p/Ação]),"")</f>
        <v/>
      </c>
      <c r="L1071" s="42" t="str">
        <f>IF(Tabela8[[#This Row],[Lucro p/Ação]]="","",IF(Tabela8[[#This Row],[Lucro p/Ação]]&gt;0,Tabela8[[#This Row],[Total Exercício]]/Tabela8[[#This Row],[Lucro p/Ação]],0))</f>
        <v/>
      </c>
      <c r="M1071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1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1" s="19" t="str">
        <f>IF(Tabela8[[#This Row],[Média Lucro p/Ação]]&lt;&gt;"",Tabela8[[#This Row],[Média Pago]]/Tabela8[[#This Row],[Média Lucro p/Ação]],"")</f>
        <v/>
      </c>
      <c r="P107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1" s="134">
        <f>SUMPRODUCT(N(Tabela1[Código]=Tabela8[[#This Row],[Papel]]),Tabela1[Fechamento])</f>
        <v>7.94</v>
      </c>
      <c r="R1071" s="7">
        <f>SUMPRODUCT(N(Tabela17[Código]=Tabela8[[#This Row],[Papel]]),Tabela17[Fechamento])</f>
        <v>0</v>
      </c>
      <c r="S1071" s="7">
        <f>SUMPRODUCT(N(Tabela176[Código]=Tabela8[[#This Row],[Papel]]),Tabela176[Fechamento])</f>
        <v>0</v>
      </c>
      <c r="T1071" s="7">
        <f>SUMPRODUCT(N(Tabela1768[Código]=Tabela8[[#This Row],[Papel]]),Tabela1768[Fechamento])</f>
        <v>0</v>
      </c>
      <c r="U1071" s="7">
        <f>SUMPRODUCT(N(Tabela17683[Código]=Tabela8[[#This Row],[Papel]]),Tabela17683[Fechamento])</f>
        <v>0</v>
      </c>
      <c r="V1071" s="7">
        <f>IF(MAX(Tabela8[[#This Row],[Cotação 1]]:Tabela8[[#This Row],[Cotação 5]])=0,"",MAX(Tabela8[[#This Row],[Cotação 1]]:Tabela8[[#This Row],[Cotação 5]]))</f>
        <v>7.94</v>
      </c>
      <c r="W107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1" s="19" t="str">
        <f>IF(AND([Ref]=5,[Cotação]&gt;0,[Cotação]&lt;&gt;""),[Total Exercício]/[Cotação],IF([Ref]&lt;4,0,""))</f>
        <v/>
      </c>
      <c r="Y1071" s="17">
        <f>IF([Tipo]="div",1,0)</f>
        <v>0</v>
      </c>
      <c r="Z1071" s="17">
        <f>IF([Tipo]="jcp",1,0)</f>
        <v>1</v>
      </c>
    </row>
    <row r="1072" spans="1:26" hidden="1">
      <c r="A1072" s="4" t="s">
        <v>12</v>
      </c>
      <c r="B1072" s="3" t="s">
        <v>162</v>
      </c>
      <c r="C1072" s="15">
        <v>5</v>
      </c>
      <c r="D1072" s="14">
        <v>2012</v>
      </c>
      <c r="E1072" s="14" t="s">
        <v>1468</v>
      </c>
      <c r="F1072" s="133">
        <v>0.60840000000000005</v>
      </c>
      <c r="G1072" s="145">
        <v>41331</v>
      </c>
      <c r="I1072" s="133">
        <v>3.0300000000000001E-3</v>
      </c>
      <c r="J1072" s="133">
        <f>IF(Tabela8[[#This Row],[Tipo]]="jcp",Tabela8[[#This Row],[Provento p/Ação]]*85%,Tabela8[[#This Row],[Provento p/Ação]])</f>
        <v>3.0300000000000001E-3</v>
      </c>
      <c r="K1072" s="133">
        <f>IF([Lucro p/Ação]&lt;&gt;0,SUMPRODUCT(N([Papel]=Tabela8[[#This Row],[Papel]]),N([Exercício]=Tabela8[[#This Row],[Exercício]]),[Líquido p/Ação]),"")</f>
        <v>3.346676</v>
      </c>
      <c r="L1072" s="42">
        <f>IF(Tabela8[[#This Row],[Lucro p/Ação]]="","",IF(Tabela8[[#This Row],[Lucro p/Ação]]&gt;0,Tabela8[[#This Row],[Total Exercício]]/Tabela8[[#This Row],[Lucro p/Ação]],0))</f>
        <v>5.500782380013149</v>
      </c>
      <c r="M107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2.1805656250000003</v>
      </c>
      <c r="N1072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2.2069451874999997</v>
      </c>
      <c r="O1072" s="19">
        <f>IF(Tabela8[[#This Row],[Média Lucro p/Ação]]&lt;&gt;"",Tabela8[[#This Row],[Média Pago]]/Tabela8[[#This Row],[Média Lucro p/Ação]],"")</f>
        <v>1.0120975778933503</v>
      </c>
      <c r="P107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2" s="134">
        <f>SUMPRODUCT(N(Tabela1[Código]=Tabela8[[#This Row],[Papel]]),Tabela1[Fechamento])</f>
        <v>15</v>
      </c>
      <c r="R1072" s="7">
        <f>SUMPRODUCT(N(Tabela17[Código]=Tabela8[[#This Row],[Papel]]),Tabela17[Fechamento])</f>
        <v>0</v>
      </c>
      <c r="S1072" s="7">
        <f>SUMPRODUCT(N(Tabela176[Código]=Tabela8[[#This Row],[Papel]]),Tabela176[Fechamento])</f>
        <v>0</v>
      </c>
      <c r="T1072" s="7">
        <f>SUMPRODUCT(N(Tabela1768[Código]=Tabela8[[#This Row],[Papel]]),Tabela1768[Fechamento])</f>
        <v>0</v>
      </c>
      <c r="U1072" s="7">
        <f>SUMPRODUCT(N(Tabela17683[Código]=Tabela8[[#This Row],[Papel]]),Tabela17683[Fechamento])</f>
        <v>0</v>
      </c>
      <c r="V1072" s="7">
        <f>IF(MAX(Tabela8[[#This Row],[Cotação 1]]:Tabela8[[#This Row],[Cotação 5]])=0,"",MAX(Tabela8[[#This Row],[Cotação 1]]:Tabela8[[#This Row],[Cotação 5]]))</f>
        <v>15</v>
      </c>
      <c r="W107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2" s="19">
        <f>IF(AND([Ref]=5,[Cotação]&gt;0,[Cotação]&lt;&gt;""),[Total Exercício]/[Cotação],IF([Ref]&lt;4,0,""))</f>
        <v>0.22311173333333334</v>
      </c>
      <c r="Y1072" s="17">
        <f>IF([Tipo]="div",1,0)</f>
        <v>1</v>
      </c>
      <c r="Z1072" s="17">
        <f>IF([Tipo]="jcp",1,0)</f>
        <v>0</v>
      </c>
    </row>
    <row r="1073" spans="1:26" hidden="1">
      <c r="A1073" s="4" t="s">
        <v>12</v>
      </c>
      <c r="B1073" s="3" t="s">
        <v>1</v>
      </c>
      <c r="C1073" s="16">
        <v>5</v>
      </c>
      <c r="D1073" s="14">
        <v>2012</v>
      </c>
      <c r="E1073" s="14" t="s">
        <v>1468</v>
      </c>
      <c r="F1073" s="133">
        <v>0.66930000000000001</v>
      </c>
      <c r="G1073" s="145">
        <v>41331</v>
      </c>
      <c r="I1073" s="133">
        <v>3.3400000000000001E-3</v>
      </c>
      <c r="J1073" s="133">
        <f>IF(Tabela8[[#This Row],[Tipo]]="jcp",Tabela8[[#This Row],[Provento p/Ação]]*85%,Tabela8[[#This Row],[Provento p/Ação]])</f>
        <v>3.3400000000000001E-3</v>
      </c>
      <c r="K1073" s="133">
        <f>IF([Lucro p/Ação]&lt;&gt;0,SUMPRODUCT(N([Papel]=Tabela8[[#This Row],[Papel]]),N([Exercício]=Tabela8[[#This Row],[Exercício]]),[Líquido p/Ação]),"")</f>
        <v>3.6813530000000001</v>
      </c>
      <c r="L1073" s="42">
        <f>IF(Tabela8[[#This Row],[Lucro p/Ação]]="","",IF(Tabela8[[#This Row],[Lucro p/Ação]]&gt;0,Tabela8[[#This Row],[Total Exercício]]/Tabela8[[#This Row],[Lucro p/Ação]],0))</f>
        <v>5.5003033019572687</v>
      </c>
      <c r="M107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2.2872281250000004</v>
      </c>
      <c r="N1073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2.4427649687500002</v>
      </c>
      <c r="O1073" s="19">
        <f>IF(Tabela8[[#This Row],[Média Lucro p/Ação]]&lt;&gt;"",Tabela8[[#This Row],[Média Pago]]/Tabela8[[#This Row],[Média Lucro p/Ação]],"")</f>
        <v>1.0680023308781235</v>
      </c>
      <c r="P107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3" s="134">
        <f>SUMPRODUCT(N(Tabela1[Código]=Tabela8[[#This Row],[Papel]]),Tabela1[Fechamento])</f>
        <v>7.94</v>
      </c>
      <c r="R1073" s="17">
        <f>SUMPRODUCT(N(Tabela17[Código]=Tabela8[[#This Row],[Papel]]),Tabela17[Fechamento])</f>
        <v>0</v>
      </c>
      <c r="S1073" s="17">
        <f>SUMPRODUCT(N(Tabela176[Código]=Tabela8[[#This Row],[Papel]]),Tabela176[Fechamento])</f>
        <v>0</v>
      </c>
      <c r="T1073" s="17">
        <f>SUMPRODUCT(N(Tabela1768[Código]=Tabela8[[#This Row],[Papel]]),Tabela1768[Fechamento])</f>
        <v>0</v>
      </c>
      <c r="U1073" s="17">
        <f>SUMPRODUCT(N(Tabela17683[Código]=Tabela8[[#This Row],[Papel]]),Tabela17683[Fechamento])</f>
        <v>0</v>
      </c>
      <c r="V1073" s="17">
        <f>IF(MAX(Tabela8[[#This Row],[Cotação 1]]:Tabela8[[#This Row],[Cotação 5]])=0,"",MAX(Tabela8[[#This Row],[Cotação 1]]:Tabela8[[#This Row],[Cotação 5]]))</f>
        <v>7.94</v>
      </c>
      <c r="W107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3" s="19">
        <f>IF(AND([Ref]=5,[Cotação]&gt;0,[Cotação]&lt;&gt;""),[Total Exercício]/[Cotação],IF([Ref]&lt;4,0,""))</f>
        <v>0.46364647355163729</v>
      </c>
      <c r="Y1073" s="17">
        <f>IF([Tipo]="div",1,0)</f>
        <v>1</v>
      </c>
      <c r="Z1073" s="17">
        <f>IF([Tipo]="jcp",1,0)</f>
        <v>0</v>
      </c>
    </row>
    <row r="1074" spans="1:26" hidden="1">
      <c r="A1074" s="4" t="s">
        <v>12</v>
      </c>
      <c r="B1074" s="3" t="s">
        <v>162</v>
      </c>
      <c r="C1074" s="15">
        <v>4</v>
      </c>
      <c r="D1074" s="14">
        <v>2013</v>
      </c>
      <c r="E1074" s="14" t="s">
        <v>1468</v>
      </c>
      <c r="G1074" s="145">
        <v>41368</v>
      </c>
      <c r="H1074" s="46">
        <v>41603</v>
      </c>
      <c r="I1074" s="133">
        <v>3.0300000000000001E-3</v>
      </c>
      <c r="J1074" s="133">
        <f>IF(Tabela8[[#This Row],[Tipo]]="jcp",Tabela8[[#This Row],[Provento p/Ação]]*85%,Tabela8[[#This Row],[Provento p/Ação]])</f>
        <v>3.0300000000000001E-3</v>
      </c>
      <c r="K1074" s="133" t="str">
        <f>IF([Lucro p/Ação]&lt;&gt;0,SUMPRODUCT(N([Papel]=Tabela8[[#This Row],[Papel]]),N([Exercício]=Tabela8[[#This Row],[Exercício]]),[Líquido p/Ação]),"")</f>
        <v/>
      </c>
      <c r="L1074" s="42" t="str">
        <f>IF(Tabela8[[#This Row],[Lucro p/Ação]]="","",IF(Tabela8[[#This Row],[Lucro p/Ação]]&gt;0,Tabela8[[#This Row],[Total Exercício]]/Tabela8[[#This Row],[Lucro p/Ação]],0))</f>
        <v/>
      </c>
      <c r="M1074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4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4" s="19" t="str">
        <f>IF(Tabela8[[#This Row],[Média Lucro p/Ação]]&lt;&gt;"",Tabela8[[#This Row],[Média Pago]]/Tabela8[[#This Row],[Média Lucro p/Ação]],"")</f>
        <v/>
      </c>
      <c r="P107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4" s="134">
        <f>SUMPRODUCT(N(Tabela1[Código]=Tabela8[[#This Row],[Papel]]),Tabela1[Fechamento])</f>
        <v>15</v>
      </c>
      <c r="R1074" s="7">
        <f>SUMPRODUCT(N(Tabela17[Código]=Tabela8[[#This Row],[Papel]]),Tabela17[Fechamento])</f>
        <v>0</v>
      </c>
      <c r="S1074" s="7">
        <f>SUMPRODUCT(N(Tabela176[Código]=Tabela8[[#This Row],[Papel]]),Tabela176[Fechamento])</f>
        <v>0</v>
      </c>
      <c r="T1074" s="7">
        <f>SUMPRODUCT(N(Tabela1768[Código]=Tabela8[[#This Row],[Papel]]),Tabela1768[Fechamento])</f>
        <v>0</v>
      </c>
      <c r="U1074" s="7">
        <f>SUMPRODUCT(N(Tabela17683[Código]=Tabela8[[#This Row],[Papel]]),Tabela17683[Fechamento])</f>
        <v>0</v>
      </c>
      <c r="V1074" s="7">
        <f>IF(MAX(Tabela8[[#This Row],[Cotação 1]]:Tabela8[[#This Row],[Cotação 5]])=0,"",MAX(Tabela8[[#This Row],[Cotação 1]]:Tabela8[[#This Row],[Cotação 5]]))</f>
        <v>15</v>
      </c>
      <c r="W107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4" s="19" t="str">
        <f>IF(AND([Ref]=5,[Cotação]&gt;0,[Cotação]&lt;&gt;""),[Total Exercício]/[Cotação],IF([Ref]&lt;4,0,""))</f>
        <v/>
      </c>
      <c r="Y1074" s="17">
        <f>IF([Tipo]="div",1,0)</f>
        <v>1</v>
      </c>
      <c r="Z1074" s="17">
        <f>IF([Tipo]="jcp",1,0)</f>
        <v>0</v>
      </c>
    </row>
    <row r="1075" spans="1:26" hidden="1">
      <c r="A1075" s="4" t="s">
        <v>12</v>
      </c>
      <c r="B1075" s="3" t="s">
        <v>1</v>
      </c>
      <c r="C1075" s="15">
        <v>4</v>
      </c>
      <c r="D1075" s="14">
        <v>2013</v>
      </c>
      <c r="E1075" s="14" t="s">
        <v>1468</v>
      </c>
      <c r="G1075" s="145">
        <v>41368</v>
      </c>
      <c r="H1075" s="46">
        <v>41603</v>
      </c>
      <c r="I1075" s="133">
        <v>3.3400000000000001E-3</v>
      </c>
      <c r="J1075" s="133">
        <f>IF(Tabela8[[#This Row],[Tipo]]="jcp",Tabela8[[#This Row],[Provento p/Ação]]*85%,Tabela8[[#This Row],[Provento p/Ação]])</f>
        <v>3.3400000000000001E-3</v>
      </c>
      <c r="K1075" s="133" t="str">
        <f>IF([Lucro p/Ação]&lt;&gt;0,SUMPRODUCT(N([Papel]=Tabela8[[#This Row],[Papel]]),N([Exercício]=Tabela8[[#This Row],[Exercício]]),[Líquido p/Ação]),"")</f>
        <v/>
      </c>
      <c r="L1075" s="42" t="str">
        <f>IF(Tabela8[[#This Row],[Lucro p/Ação]]="","",IF(Tabela8[[#This Row],[Lucro p/Ação]]&gt;0,Tabela8[[#This Row],[Total Exercício]]/Tabela8[[#This Row],[Lucro p/Ação]],0))</f>
        <v/>
      </c>
      <c r="M1075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5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5" s="19" t="str">
        <f>IF(Tabela8[[#This Row],[Média Lucro p/Ação]]&lt;&gt;"",Tabela8[[#This Row],[Média Pago]]/Tabela8[[#This Row],[Média Lucro p/Ação]],"")</f>
        <v/>
      </c>
      <c r="P107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5" s="134">
        <f>SUMPRODUCT(N(Tabela1[Código]=Tabela8[[#This Row],[Papel]]),Tabela1[Fechamento])</f>
        <v>7.94</v>
      </c>
      <c r="R1075" s="7">
        <f>SUMPRODUCT(N(Tabela17[Código]=Tabela8[[#This Row],[Papel]]),Tabela17[Fechamento])</f>
        <v>0</v>
      </c>
      <c r="S1075" s="7">
        <f>SUMPRODUCT(N(Tabela176[Código]=Tabela8[[#This Row],[Papel]]),Tabela176[Fechamento])</f>
        <v>0</v>
      </c>
      <c r="T1075" s="7">
        <f>SUMPRODUCT(N(Tabela1768[Código]=Tabela8[[#This Row],[Papel]]),Tabela1768[Fechamento])</f>
        <v>0</v>
      </c>
      <c r="U1075" s="7">
        <f>SUMPRODUCT(N(Tabela17683[Código]=Tabela8[[#This Row],[Papel]]),Tabela17683[Fechamento])</f>
        <v>0</v>
      </c>
      <c r="V1075" s="7">
        <f>IF(MAX(Tabela8[[#This Row],[Cotação 1]]:Tabela8[[#This Row],[Cotação 5]])=0,"",MAX(Tabela8[[#This Row],[Cotação 1]]:Tabela8[[#This Row],[Cotação 5]]))</f>
        <v>7.94</v>
      </c>
      <c r="W107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5" s="19" t="str">
        <f>IF(AND([Ref]=5,[Cotação]&gt;0,[Cotação]&lt;&gt;""),[Total Exercício]/[Cotação],IF([Ref]&lt;4,0,""))</f>
        <v/>
      </c>
      <c r="Y1075" s="17">
        <f>IF([Tipo]="div",1,0)</f>
        <v>1</v>
      </c>
      <c r="Z1075" s="17">
        <f>IF([Tipo]="jcp",1,0)</f>
        <v>0</v>
      </c>
    </row>
    <row r="1076" spans="1:26" hidden="1">
      <c r="A1076" s="4" t="s">
        <v>12</v>
      </c>
      <c r="B1076" s="3" t="s">
        <v>162</v>
      </c>
      <c r="C1076" s="15">
        <v>4</v>
      </c>
      <c r="D1076" s="14">
        <v>2013</v>
      </c>
      <c r="E1076" s="4" t="s">
        <v>1475</v>
      </c>
      <c r="G1076" s="145">
        <v>41368</v>
      </c>
      <c r="H1076" s="46">
        <v>41603</v>
      </c>
      <c r="I1076" s="133">
        <v>0.30615999999999999</v>
      </c>
      <c r="J1076" s="133">
        <f>IF(Tabela8[[#This Row],[Tipo]]="jcp",Tabela8[[#This Row],[Provento p/Ação]]*85%,Tabela8[[#This Row],[Provento p/Ação]])</f>
        <v>0.26023599999999997</v>
      </c>
      <c r="K1076" s="133" t="str">
        <f>IF([Lucro p/Ação]&lt;&gt;0,SUMPRODUCT(N([Papel]=Tabela8[[#This Row],[Papel]]),N([Exercício]=Tabela8[[#This Row],[Exercício]]),[Líquido p/Ação]),"")</f>
        <v/>
      </c>
      <c r="L1076" s="42" t="str">
        <f>IF(Tabela8[[#This Row],[Lucro p/Ação]]="","",IF(Tabela8[[#This Row],[Lucro p/Ação]]&gt;0,Tabela8[[#This Row],[Total Exercício]]/Tabela8[[#This Row],[Lucro p/Ação]],0))</f>
        <v/>
      </c>
      <c r="M1076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6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6" s="19" t="str">
        <f>IF(Tabela8[[#This Row],[Média Lucro p/Ação]]&lt;&gt;"",Tabela8[[#This Row],[Média Pago]]/Tabela8[[#This Row],[Média Lucro p/Ação]],"")</f>
        <v/>
      </c>
      <c r="P107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6" s="134">
        <f>SUMPRODUCT(N(Tabela1[Código]=Tabela8[[#This Row],[Papel]]),Tabela1[Fechamento])</f>
        <v>15</v>
      </c>
      <c r="R1076" s="7">
        <f>SUMPRODUCT(N(Tabela17[Código]=Tabela8[[#This Row],[Papel]]),Tabela17[Fechamento])</f>
        <v>0</v>
      </c>
      <c r="S1076" s="7">
        <f>SUMPRODUCT(N(Tabela176[Código]=Tabela8[[#This Row],[Papel]]),Tabela176[Fechamento])</f>
        <v>0</v>
      </c>
      <c r="T1076" s="7">
        <f>SUMPRODUCT(N(Tabela1768[Código]=Tabela8[[#This Row],[Papel]]),Tabela1768[Fechamento])</f>
        <v>0</v>
      </c>
      <c r="U1076" s="7">
        <f>SUMPRODUCT(N(Tabela17683[Código]=Tabela8[[#This Row],[Papel]]),Tabela17683[Fechamento])</f>
        <v>0</v>
      </c>
      <c r="V1076" s="7">
        <f>IF(MAX(Tabela8[[#This Row],[Cotação 1]]:Tabela8[[#This Row],[Cotação 5]])=0,"",MAX(Tabela8[[#This Row],[Cotação 1]]:Tabela8[[#This Row],[Cotação 5]]))</f>
        <v>15</v>
      </c>
      <c r="W107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6" s="19" t="str">
        <f>IF(AND([Ref]=5,[Cotação]&gt;0,[Cotação]&lt;&gt;""),[Total Exercício]/[Cotação],IF([Ref]&lt;4,0,""))</f>
        <v/>
      </c>
      <c r="Y1076" s="17">
        <f>IF([Tipo]="div",1,0)</f>
        <v>0</v>
      </c>
      <c r="Z1076" s="17">
        <f>IF([Tipo]="jcp",1,0)</f>
        <v>1</v>
      </c>
    </row>
    <row r="1077" spans="1:26" hidden="1">
      <c r="A1077" s="4" t="s">
        <v>12</v>
      </c>
      <c r="B1077" s="3" t="s">
        <v>1</v>
      </c>
      <c r="C1077" s="15">
        <v>4</v>
      </c>
      <c r="D1077" s="14">
        <v>2013</v>
      </c>
      <c r="E1077" s="4" t="s">
        <v>1475</v>
      </c>
      <c r="G1077" s="145">
        <v>41368</v>
      </c>
      <c r="H1077" s="46">
        <v>41603</v>
      </c>
      <c r="I1077" s="133">
        <v>0.33677000000000001</v>
      </c>
      <c r="J1077" s="133">
        <f>IF(Tabela8[[#This Row],[Tipo]]="jcp",Tabela8[[#This Row],[Provento p/Ação]]*85%,Tabela8[[#This Row],[Provento p/Ação]])</f>
        <v>0.28625450000000002</v>
      </c>
      <c r="K1077" s="133" t="str">
        <f>IF([Lucro p/Ação]&lt;&gt;0,SUMPRODUCT(N([Papel]=Tabela8[[#This Row],[Papel]]),N([Exercício]=Tabela8[[#This Row],[Exercício]]),[Líquido p/Ação]),"")</f>
        <v/>
      </c>
      <c r="L1077" s="42" t="str">
        <f>IF(Tabela8[[#This Row],[Lucro p/Ação]]="","",IF(Tabela8[[#This Row],[Lucro p/Ação]]&gt;0,Tabela8[[#This Row],[Total Exercício]]/Tabela8[[#This Row],[Lucro p/Ação]],0))</f>
        <v/>
      </c>
      <c r="M1077" s="144" t="str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/>
      </c>
      <c r="N1077" s="133" t="str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/>
      </c>
      <c r="O1077" s="19" t="str">
        <f>IF(Tabela8[[#This Row],[Média Lucro p/Ação]]&lt;&gt;"",Tabela8[[#This Row],[Média Pago]]/Tabela8[[#This Row],[Média Lucro p/Ação]],"")</f>
        <v/>
      </c>
      <c r="P107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7" s="134">
        <f>SUMPRODUCT(N(Tabela1[Código]=Tabela8[[#This Row],[Papel]]),Tabela1[Fechamento])</f>
        <v>7.94</v>
      </c>
      <c r="R1077" s="7">
        <f>SUMPRODUCT(N(Tabela17[Código]=Tabela8[[#This Row],[Papel]]),Tabela17[Fechamento])</f>
        <v>0</v>
      </c>
      <c r="S1077" s="7">
        <f>SUMPRODUCT(N(Tabela176[Código]=Tabela8[[#This Row],[Papel]]),Tabela176[Fechamento])</f>
        <v>0</v>
      </c>
      <c r="T1077" s="7">
        <f>SUMPRODUCT(N(Tabela1768[Código]=Tabela8[[#This Row],[Papel]]),Tabela1768[Fechamento])</f>
        <v>0</v>
      </c>
      <c r="U1077" s="7">
        <f>SUMPRODUCT(N(Tabela17683[Código]=Tabela8[[#This Row],[Papel]]),Tabela17683[Fechamento])</f>
        <v>0</v>
      </c>
      <c r="V1077" s="7">
        <f>IF(MAX(Tabela8[[#This Row],[Cotação 1]]:Tabela8[[#This Row],[Cotação 5]])=0,"",MAX(Tabela8[[#This Row],[Cotação 1]]:Tabela8[[#This Row],[Cotação 5]]))</f>
        <v>7.94</v>
      </c>
      <c r="W107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7" s="19" t="str">
        <f>IF(AND([Ref]=5,[Cotação]&gt;0,[Cotação]&lt;&gt;""),[Total Exercício]/[Cotação],IF([Ref]&lt;4,0,""))</f>
        <v/>
      </c>
      <c r="Y1077" s="17">
        <f>IF([Tipo]="div",1,0)</f>
        <v>0</v>
      </c>
      <c r="Z1077" s="17">
        <f>IF([Tipo]="jcp",1,0)</f>
        <v>1</v>
      </c>
    </row>
    <row r="1078" spans="1:26" hidden="1">
      <c r="A1078" s="4" t="s">
        <v>12</v>
      </c>
      <c r="B1078" s="3" t="s">
        <v>162</v>
      </c>
      <c r="C1078" s="15">
        <v>5</v>
      </c>
      <c r="D1078" s="14">
        <v>2013</v>
      </c>
      <c r="E1078" s="14" t="s">
        <v>1468</v>
      </c>
      <c r="F1078" s="133">
        <v>1.117</v>
      </c>
      <c r="G1078" s="145">
        <v>41695</v>
      </c>
      <c r="I1078" s="133">
        <v>0.38897999999999999</v>
      </c>
      <c r="J1078" s="133">
        <f>IF(Tabela8[[#This Row],[Tipo]]="jcp",Tabela8[[#This Row],[Provento p/Ação]]*85%,Tabela8[[#This Row],[Provento p/Ação]])</f>
        <v>0.38897999999999999</v>
      </c>
      <c r="K1078" s="133">
        <f>IF([Lucro p/Ação]&lt;&gt;0,SUMPRODUCT(N([Papel]=Tabela8[[#This Row],[Papel]]),N([Exercício]=Tabela8[[#This Row],[Exercício]]),[Líquido p/Ação]),"")</f>
        <v>0.65224599999999988</v>
      </c>
      <c r="L1078" s="42">
        <f>IF(Tabela8[[#This Row],[Lucro p/Ação]]="","",IF(Tabela8[[#This Row],[Lucro p/Ação]]&gt;0,Tabela8[[#This Row],[Total Exercício]]/Tabela8[[#This Row],[Lucro p/Ação]],0))</f>
        <v>0.58392658907788708</v>
      </c>
      <c r="M107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2.1180029411764707</v>
      </c>
      <c r="N1078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2.1154922941176468</v>
      </c>
      <c r="O1078" s="19">
        <f>IF(Tabela8[[#This Row],[Média Lucro p/Ação]]&lt;&gt;"",Tabela8[[#This Row],[Média Pago]]/Tabela8[[#This Row],[Média Lucro p/Ação]],"")</f>
        <v>0.99881461587705389</v>
      </c>
      <c r="P107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8" s="134">
        <f>SUMPRODUCT(N(Tabela1[Código]=Tabela8[[#This Row],[Papel]]),Tabela1[Fechamento])</f>
        <v>15</v>
      </c>
      <c r="R1078" s="7">
        <f>SUMPRODUCT(N(Tabela17[Código]=Tabela8[[#This Row],[Papel]]),Tabela17[Fechamento])</f>
        <v>0</v>
      </c>
      <c r="S1078" s="7">
        <f>SUMPRODUCT(N(Tabela176[Código]=Tabela8[[#This Row],[Papel]]),Tabela176[Fechamento])</f>
        <v>0</v>
      </c>
      <c r="T1078" s="7">
        <f>SUMPRODUCT(N(Tabela1768[Código]=Tabela8[[#This Row],[Papel]]),Tabela1768[Fechamento])</f>
        <v>0</v>
      </c>
      <c r="U1078" s="7">
        <f>SUMPRODUCT(N(Tabela17683[Código]=Tabela8[[#This Row],[Papel]]),Tabela17683[Fechamento])</f>
        <v>0</v>
      </c>
      <c r="V1078" s="7">
        <f>IF(MAX(Tabela8[[#This Row],[Cotação 1]]:Tabela8[[#This Row],[Cotação 5]])=0,"",MAX(Tabela8[[#This Row],[Cotação 1]]:Tabela8[[#This Row],[Cotação 5]]))</f>
        <v>15</v>
      </c>
      <c r="W107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8" s="19">
        <f>IF(AND([Ref]=5,[Cotação]&gt;0,[Cotação]&lt;&gt;""),[Total Exercício]/[Cotação],IF([Ref]&lt;4,0,""))</f>
        <v>4.348306666666666E-2</v>
      </c>
      <c r="Y1078" s="17">
        <f>IF([Tipo]="div",1,0)</f>
        <v>1</v>
      </c>
      <c r="Z1078" s="17">
        <f>IF([Tipo]="jcp",1,0)</f>
        <v>0</v>
      </c>
    </row>
    <row r="1079" spans="1:26" hidden="1">
      <c r="A1079" s="4" t="s">
        <v>12</v>
      </c>
      <c r="B1079" s="3" t="s">
        <v>1</v>
      </c>
      <c r="C1079" s="16">
        <v>5</v>
      </c>
      <c r="D1079" s="14">
        <v>2013</v>
      </c>
      <c r="E1079" s="14" t="s">
        <v>1468</v>
      </c>
      <c r="F1079" s="133">
        <v>1.2286999999999999</v>
      </c>
      <c r="G1079" s="145">
        <v>41695</v>
      </c>
      <c r="I1079" s="133">
        <v>0.42786999999999997</v>
      </c>
      <c r="J1079" s="133">
        <f>IF(Tabela8[[#This Row],[Tipo]]="jcp",Tabela8[[#This Row],[Provento p/Ação]]*85%,Tabela8[[#This Row],[Provento p/Ação]])</f>
        <v>0.42786999999999997</v>
      </c>
      <c r="K1079" s="133">
        <f>IF([Lucro p/Ação]&lt;&gt;0,SUMPRODUCT(N([Papel]=Tabela8[[#This Row],[Papel]]),N([Exercício]=Tabela8[[#This Row],[Exercício]]),[Líquido p/Ação]),"")</f>
        <v>0.71746449999999995</v>
      </c>
      <c r="L1079" s="42">
        <f>IF(Tabela8[[#This Row],[Lucro p/Ação]]="","",IF(Tabela8[[#This Row],[Lucro p/Ação]]&gt;0,Tabela8[[#This Row],[Total Exercício]]/Tabela8[[#This Row],[Lucro p/Ação]],0))</f>
        <v>0.58392162448115892</v>
      </c>
      <c r="M107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2.2249617647058826</v>
      </c>
      <c r="N1079" s="133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2.3412767058823531</v>
      </c>
      <c r="O1079" s="19">
        <f>IF(Tabela8[[#This Row],[Média Lucro p/Ação]]&lt;&gt;"",Tabela8[[#This Row],[Média Pago]]/Tabela8[[#This Row],[Média Lucro p/Ação]],"")</f>
        <v>1.0522772764105661</v>
      </c>
      <c r="P107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79" s="134">
        <f>SUMPRODUCT(N(Tabela1[Código]=Tabela8[[#This Row],[Papel]]),Tabela1[Fechamento])</f>
        <v>7.94</v>
      </c>
      <c r="R1079" s="17">
        <f>SUMPRODUCT(N(Tabela17[Código]=Tabela8[[#This Row],[Papel]]),Tabela17[Fechamento])</f>
        <v>0</v>
      </c>
      <c r="S1079" s="17">
        <f>SUMPRODUCT(N(Tabela176[Código]=Tabela8[[#This Row],[Papel]]),Tabela176[Fechamento])</f>
        <v>0</v>
      </c>
      <c r="T1079" s="17">
        <f>SUMPRODUCT(N(Tabela1768[Código]=Tabela8[[#This Row],[Papel]]),Tabela1768[Fechamento])</f>
        <v>0</v>
      </c>
      <c r="U1079" s="17">
        <f>SUMPRODUCT(N(Tabela17683[Código]=Tabela8[[#This Row],[Papel]]),Tabela17683[Fechamento])</f>
        <v>0</v>
      </c>
      <c r="V1079" s="17">
        <f>IF(MAX(Tabela8[[#This Row],[Cotação 1]]:Tabela8[[#This Row],[Cotação 5]])=0,"",MAX(Tabela8[[#This Row],[Cotação 1]]:Tabela8[[#This Row],[Cotação 5]]))</f>
        <v>7.94</v>
      </c>
      <c r="W107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79" s="19">
        <f>IF(AND([Ref]=5,[Cotação]&gt;0,[Cotação]&lt;&gt;""),[Total Exercício]/[Cotação],IF([Ref]&lt;4,0,""))</f>
        <v>9.0360768261964722E-2</v>
      </c>
      <c r="Y1079" s="17">
        <f>IF([Tipo]="div",1,0)</f>
        <v>1</v>
      </c>
      <c r="Z1079" s="17">
        <f>IF([Tipo]="jcp",1,0)</f>
        <v>0</v>
      </c>
    </row>
    <row r="1080" spans="1:26" hidden="1">
      <c r="A1080" s="4" t="s">
        <v>12</v>
      </c>
      <c r="B1080" s="3" t="s">
        <v>162</v>
      </c>
      <c r="C1080" s="15">
        <v>5</v>
      </c>
      <c r="D1080" s="14">
        <v>1999</v>
      </c>
      <c r="E1080" s="14" t="s">
        <v>1475</v>
      </c>
      <c r="F1080" s="133">
        <f>0.00967*250</f>
        <v>2.4175</v>
      </c>
      <c r="G1080" s="145">
        <v>36608</v>
      </c>
      <c r="H1080" s="46">
        <v>36620</v>
      </c>
      <c r="I1080" s="133">
        <f>0.00362*250</f>
        <v>0.90500000000000003</v>
      </c>
      <c r="J1080" s="134">
        <f>IF(Tabela8[[#This Row],[Tipo]]="jcp",Tabela8[[#This Row],[Provento p/Ação]]*85%,Tabela8[[#This Row],[Provento p/Ação]])</f>
        <v>0.76924999999999999</v>
      </c>
      <c r="K1080" s="133">
        <f>IF([Lucro p/Ação]&lt;&gt;0,SUMPRODUCT(N([Papel]=Tabela8[[#This Row],[Papel]]),N([Exercício]=Tabela8[[#This Row],[Exercício]]),[Líquido p/Ação]),"")</f>
        <v>0.76924999999999999</v>
      </c>
      <c r="L1080" s="42">
        <f>IF(Tabela8[[#This Row],[Lucro p/Ação]]="","",IF(Tabela8[[#This Row],[Lucro p/Ação]]&gt;0,Tabela8[[#This Row],[Total Exercício]]/Tabela8[[#This Row],[Lucro p/Ação]],0))</f>
        <v>0.31820062047569803</v>
      </c>
      <c r="M108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-7.0833333333333345E-2</v>
      </c>
      <c r="N108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0.2880833333333333</v>
      </c>
      <c r="O1080" s="87">
        <f>IF(Tabela8[[#This Row],[Média Lucro p/Ação]]&lt;&gt;"",Tabela8[[#This Row],[Média Pago]]/Tabela8[[#This Row],[Média Lucro p/Ação]],"")</f>
        <v>-4.0670588235294103</v>
      </c>
      <c r="P108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0" s="134">
        <f>SUMPRODUCT(N(Tabela1[Código]=Tabela8[[#This Row],[Papel]]),Tabela1[Fechamento])</f>
        <v>15</v>
      </c>
      <c r="R1080" s="7">
        <f>SUMPRODUCT(N(Tabela17[Código]=Tabela8[[#This Row],[Papel]]),Tabela17[Fechamento])</f>
        <v>0</v>
      </c>
      <c r="S1080" s="7">
        <f>SUMPRODUCT(N(Tabela176[Código]=Tabela8[[#This Row],[Papel]]),Tabela176[Fechamento])</f>
        <v>0</v>
      </c>
      <c r="T1080" s="7">
        <f>SUMPRODUCT(N(Tabela1768[Código]=Tabela8[[#This Row],[Papel]]),Tabela1768[Fechamento])</f>
        <v>0</v>
      </c>
      <c r="U1080" s="7">
        <f>SUMPRODUCT(N(Tabela17683[Código]=Tabela8[[#This Row],[Papel]]),Tabela17683[Fechamento])</f>
        <v>0</v>
      </c>
      <c r="V1080" s="7">
        <f>IF(MAX(Tabela8[[#This Row],[Cotação 1]]:Tabela8[[#This Row],[Cotação 5]])=0,"",MAX(Tabela8[[#This Row],[Cotação 1]]:Tabela8[[#This Row],[Cotação 5]]))</f>
        <v>15</v>
      </c>
      <c r="W108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0" s="19">
        <f>IF(AND([Ref]=5,[Cotação]&gt;0,[Cotação]&lt;&gt;""),[Total Exercício]/[Cotação],IF([Ref]&lt;4,0,""))</f>
        <v>5.1283333333333334E-2</v>
      </c>
      <c r="Y1080" s="14">
        <f>IF([Tipo]="div",1,0)</f>
        <v>0</v>
      </c>
      <c r="Z1080" s="14">
        <f>IF([Tipo]="jcp",1,0)</f>
        <v>1</v>
      </c>
    </row>
    <row r="1081" spans="1:26" hidden="1">
      <c r="A1081" s="4" t="s">
        <v>12</v>
      </c>
      <c r="B1081" s="3" t="s">
        <v>1</v>
      </c>
      <c r="C1081" s="16">
        <v>5</v>
      </c>
      <c r="D1081" s="14">
        <v>1999</v>
      </c>
      <c r="E1081" s="14" t="s">
        <v>1475</v>
      </c>
      <c r="F1081" s="133">
        <f>0.00967*250</f>
        <v>2.4175</v>
      </c>
      <c r="G1081" s="145">
        <v>36608</v>
      </c>
      <c r="H1081" s="46">
        <v>36620</v>
      </c>
      <c r="I1081" s="133">
        <f>0.00398*250</f>
        <v>0.995</v>
      </c>
      <c r="J1081" s="134">
        <f>IF(Tabela8[[#This Row],[Tipo]]="jcp",Tabela8[[#This Row],[Provento p/Ação]]*85%,Tabela8[[#This Row],[Provento p/Ação]])</f>
        <v>0.84575</v>
      </c>
      <c r="K1081" s="133">
        <f>IF([Lucro p/Ação]&lt;&gt;0,SUMPRODUCT(N([Papel]=Tabela8[[#This Row],[Papel]]),N([Exercício]=Tabela8[[#This Row],[Exercício]]),[Líquido p/Ação]),"")</f>
        <v>0.84575</v>
      </c>
      <c r="L1081" s="42">
        <f>IF(Tabela8[[#This Row],[Lucro p/Ação]]="","",IF(Tabela8[[#This Row],[Lucro p/Ação]]&gt;0,Tabela8[[#This Row],[Total Exercício]]/Tabela8[[#This Row],[Lucro p/Ação]],0))</f>
        <v>0.34984488107549122</v>
      </c>
      <c r="M108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-7.0833333333333345E-2</v>
      </c>
      <c r="N108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0.31691666666666668</v>
      </c>
      <c r="O1081" s="87">
        <f>IF(Tabela8[[#This Row],[Média Lucro p/Ação]]&lt;&gt;"",Tabela8[[#This Row],[Média Pago]]/Tabela8[[#This Row],[Média Lucro p/Ação]],"")</f>
        <v>-4.4741176470588231</v>
      </c>
      <c r="P108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1" s="134">
        <f>SUMPRODUCT(N(Tabela1[Código]=Tabela8[[#This Row],[Papel]]),Tabela1[Fechamento])</f>
        <v>7.94</v>
      </c>
      <c r="R1081" s="17">
        <f>SUMPRODUCT(N(Tabela17[Código]=Tabela8[[#This Row],[Papel]]),Tabela17[Fechamento])</f>
        <v>0</v>
      </c>
      <c r="S1081" s="17">
        <f>SUMPRODUCT(N(Tabela176[Código]=Tabela8[[#This Row],[Papel]]),Tabela176[Fechamento])</f>
        <v>0</v>
      </c>
      <c r="T1081" s="17">
        <f>SUMPRODUCT(N(Tabela1768[Código]=Tabela8[[#This Row],[Papel]]),Tabela1768[Fechamento])</f>
        <v>0</v>
      </c>
      <c r="U1081" s="17">
        <f>SUMPRODUCT(N(Tabela17683[Código]=Tabela8[[#This Row],[Papel]]),Tabela17683[Fechamento])</f>
        <v>0</v>
      </c>
      <c r="V1081" s="17">
        <f>IF(MAX(Tabela8[[#This Row],[Cotação 1]]:Tabela8[[#This Row],[Cotação 5]])=0,"",MAX(Tabela8[[#This Row],[Cotação 1]]:Tabela8[[#This Row],[Cotação 5]]))</f>
        <v>7.94</v>
      </c>
      <c r="W108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1" s="19">
        <f>IF(AND([Ref]=5,[Cotação]&gt;0,[Cotação]&lt;&gt;""),[Total Exercício]/[Cotação],IF([Ref]&lt;4,0,""))</f>
        <v>0.1065176322418136</v>
      </c>
      <c r="Y1081" s="14">
        <f>IF([Tipo]="div",1,0)</f>
        <v>0</v>
      </c>
      <c r="Z1081" s="14">
        <f>IF([Tipo]="jcp",1,0)</f>
        <v>1</v>
      </c>
    </row>
    <row r="1082" spans="1:26" hidden="1">
      <c r="A1082" s="4" t="s">
        <v>12</v>
      </c>
      <c r="B1082" s="3" t="s">
        <v>162</v>
      </c>
      <c r="C1082" s="15">
        <v>5</v>
      </c>
      <c r="D1082" s="14">
        <v>1998</v>
      </c>
      <c r="F1082" s="133">
        <f>-0.01276*250</f>
        <v>-3.19</v>
      </c>
      <c r="J1082" s="134">
        <f>IF(Tabela8[[#This Row],[Tipo]]="jcp",Tabela8[[#This Row],[Provento p/Ação]]*85%,Tabela8[[#This Row],[Provento p/Ação]])</f>
        <v>0</v>
      </c>
      <c r="K1082" s="133">
        <f>IF([Lucro p/Ação]&lt;&gt;0,SUMPRODUCT(N([Papel]=Tabela8[[#This Row],[Papel]]),N([Exercício]=Tabela8[[#This Row],[Exercício]]),[Líquido p/Ação]),"")</f>
        <v>0</v>
      </c>
      <c r="L1082" s="42">
        <f>IF(Tabela8[[#This Row],[Lucro p/Ação]]="","",IF(Tabela8[[#This Row],[Lucro p/Ação]]&gt;0,Tabela8[[#This Row],[Total Exercício]]/Tabela8[[#This Row],[Lucro p/Ação]],0))</f>
        <v>0</v>
      </c>
      <c r="M108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-1.3149999999999999</v>
      </c>
      <c r="N108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4.7500000000000001E-2</v>
      </c>
      <c r="O1082" s="87">
        <f>IF(Tabela8[[#This Row],[Média Lucro p/Ação]]&lt;&gt;"",Tabela8[[#This Row],[Média Pago]]/Tabela8[[#This Row],[Média Lucro p/Ação]],"")</f>
        <v>-3.6121673003802285E-2</v>
      </c>
      <c r="P108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2" s="134">
        <f>SUMPRODUCT(N(Tabela1[Código]=Tabela8[[#This Row],[Papel]]),Tabela1[Fechamento])</f>
        <v>15</v>
      </c>
      <c r="R1082" s="7">
        <f>SUMPRODUCT(N(Tabela17[Código]=Tabela8[[#This Row],[Papel]]),Tabela17[Fechamento])</f>
        <v>0</v>
      </c>
      <c r="S1082" s="7">
        <f>SUMPRODUCT(N(Tabela176[Código]=Tabela8[[#This Row],[Papel]]),Tabela176[Fechamento])</f>
        <v>0</v>
      </c>
      <c r="T1082" s="7">
        <f>SUMPRODUCT(N(Tabela1768[Código]=Tabela8[[#This Row],[Papel]]),Tabela1768[Fechamento])</f>
        <v>0</v>
      </c>
      <c r="U1082" s="7">
        <f>SUMPRODUCT(N(Tabela17683[Código]=Tabela8[[#This Row],[Papel]]),Tabela17683[Fechamento])</f>
        <v>0</v>
      </c>
      <c r="V1082" s="7">
        <f>IF(MAX(Tabela8[[#This Row],[Cotação 1]]:Tabela8[[#This Row],[Cotação 5]])=0,"",MAX(Tabela8[[#This Row],[Cotação 1]]:Tabela8[[#This Row],[Cotação 5]]))</f>
        <v>15</v>
      </c>
      <c r="W108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2" s="19">
        <f>IF(AND([Ref]=5,[Cotação]&gt;0,[Cotação]&lt;&gt;""),[Total Exercício]/[Cotação],IF([Ref]&lt;4,0,""))</f>
        <v>0</v>
      </c>
      <c r="Y1082" s="14">
        <f>IF([Tipo]="div",1,0)</f>
        <v>0</v>
      </c>
      <c r="Z1082" s="14">
        <f>IF([Tipo]="jcp",1,0)</f>
        <v>0</v>
      </c>
    </row>
    <row r="1083" spans="1:26" hidden="1">
      <c r="A1083" s="4" t="s">
        <v>12</v>
      </c>
      <c r="B1083" s="3" t="s">
        <v>1</v>
      </c>
      <c r="C1083" s="16">
        <v>5</v>
      </c>
      <c r="D1083" s="14">
        <v>1998</v>
      </c>
      <c r="F1083" s="133">
        <f>-0.01276*250</f>
        <v>-3.19</v>
      </c>
      <c r="J1083" s="134">
        <f>IF(Tabela8[[#This Row],[Tipo]]="jcp",Tabela8[[#This Row],[Provento p/Ação]]*85%,Tabela8[[#This Row],[Provento p/Ação]])</f>
        <v>0</v>
      </c>
      <c r="K1083" s="133">
        <f>IF([Lucro p/Ação]&lt;&gt;0,SUMPRODUCT(N([Papel]=Tabela8[[#This Row],[Papel]]),N([Exercício]=Tabela8[[#This Row],[Exercício]]),[Líquido p/Ação]),"")</f>
        <v>0</v>
      </c>
      <c r="L1083" s="42">
        <f>IF(Tabela8[[#This Row],[Lucro p/Ação]]="","",IF(Tabela8[[#This Row],[Lucro p/Ação]]&gt;0,Tabela8[[#This Row],[Total Exercício]]/Tabela8[[#This Row],[Lucro p/Ação]],0))</f>
        <v>0</v>
      </c>
      <c r="M108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-1.3149999999999999</v>
      </c>
      <c r="N108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5.2500000000000005E-2</v>
      </c>
      <c r="O1083" s="87">
        <f>IF(Tabela8[[#This Row],[Média Lucro p/Ação]]&lt;&gt;"",Tabela8[[#This Row],[Média Pago]]/Tabela8[[#This Row],[Média Lucro p/Ação]],"")</f>
        <v>-3.9923954372623582E-2</v>
      </c>
      <c r="P108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3" s="134">
        <f>SUMPRODUCT(N(Tabela1[Código]=Tabela8[[#This Row],[Papel]]),Tabela1[Fechamento])</f>
        <v>7.94</v>
      </c>
      <c r="R1083" s="17">
        <f>SUMPRODUCT(N(Tabela17[Código]=Tabela8[[#This Row],[Papel]]),Tabela17[Fechamento])</f>
        <v>0</v>
      </c>
      <c r="S1083" s="17">
        <f>SUMPRODUCT(N(Tabela176[Código]=Tabela8[[#This Row],[Papel]]),Tabela176[Fechamento])</f>
        <v>0</v>
      </c>
      <c r="T1083" s="17">
        <f>SUMPRODUCT(N(Tabela1768[Código]=Tabela8[[#This Row],[Papel]]),Tabela1768[Fechamento])</f>
        <v>0</v>
      </c>
      <c r="U1083" s="17">
        <f>SUMPRODUCT(N(Tabela17683[Código]=Tabela8[[#This Row],[Papel]]),Tabela17683[Fechamento])</f>
        <v>0</v>
      </c>
      <c r="V1083" s="17">
        <f>IF(MAX(Tabela8[[#This Row],[Cotação 1]]:Tabela8[[#This Row],[Cotação 5]])=0,"",MAX(Tabela8[[#This Row],[Cotação 1]]:Tabela8[[#This Row],[Cotação 5]]))</f>
        <v>7.94</v>
      </c>
      <c r="W108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3" s="19">
        <f>IF(AND([Ref]=5,[Cotação]&gt;0,[Cotação]&lt;&gt;""),[Total Exercício]/[Cotação],IF([Ref]&lt;4,0,""))</f>
        <v>0</v>
      </c>
      <c r="Y1083" s="14">
        <f>IF([Tipo]="div",1,0)</f>
        <v>0</v>
      </c>
      <c r="Z1083" s="14">
        <f>IF([Tipo]="jcp",1,0)</f>
        <v>0</v>
      </c>
    </row>
    <row r="1084" spans="1:26" hidden="1">
      <c r="A1084" s="4" t="s">
        <v>12</v>
      </c>
      <c r="B1084" s="3" t="s">
        <v>162</v>
      </c>
      <c r="C1084" s="15">
        <v>5</v>
      </c>
      <c r="D1084" s="14">
        <v>1997</v>
      </c>
      <c r="E1084" s="14" t="s">
        <v>1468</v>
      </c>
      <c r="F1084" s="133">
        <f>0.00224*250</f>
        <v>0.55999999999999994</v>
      </c>
      <c r="G1084" s="145">
        <v>35879</v>
      </c>
      <c r="H1084" s="46">
        <v>35940</v>
      </c>
      <c r="I1084" s="133">
        <f>0.00038*250</f>
        <v>9.5000000000000001E-2</v>
      </c>
      <c r="J1084" s="134">
        <f>IF(Tabela8[[#This Row],[Tipo]]="jcp",Tabela8[[#This Row],[Provento p/Ação]]*85%,Tabela8[[#This Row],[Provento p/Ação]])</f>
        <v>9.5000000000000001E-2</v>
      </c>
      <c r="K1084" s="133">
        <f>IF([Lucro p/Ação]&lt;&gt;0,SUMPRODUCT(N([Papel]=Tabela8[[#This Row],[Papel]]),N([Exercício]=Tabela8[[#This Row],[Exercício]]),[Líquido p/Ação]),"")</f>
        <v>9.5000000000000001E-2</v>
      </c>
      <c r="L1084" s="42">
        <f>IF(Tabela8[[#This Row],[Lucro p/Ação]]="","",IF(Tabela8[[#This Row],[Lucro p/Ação]]&gt;0,Tabela8[[#This Row],[Total Exercício]]/Tabela8[[#This Row],[Lucro p/Ação]],0))</f>
        <v>0.16964285714285715</v>
      </c>
      <c r="M108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0.55999999999999994</v>
      </c>
      <c r="N108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9.5000000000000001E-2</v>
      </c>
      <c r="O1084" s="87">
        <f>IF(Tabela8[[#This Row],[Média Lucro p/Ação]]&lt;&gt;"",Tabela8[[#This Row],[Média Pago]]/Tabela8[[#This Row],[Média Lucro p/Ação]],"")</f>
        <v>0.16964285714285715</v>
      </c>
      <c r="P108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4" s="134">
        <f>SUMPRODUCT(N(Tabela1[Código]=Tabela8[[#This Row],[Papel]]),Tabela1[Fechamento])</f>
        <v>15</v>
      </c>
      <c r="R1084" s="7">
        <f>SUMPRODUCT(N(Tabela17[Código]=Tabela8[[#This Row],[Papel]]),Tabela17[Fechamento])</f>
        <v>0</v>
      </c>
      <c r="S1084" s="7">
        <f>SUMPRODUCT(N(Tabela176[Código]=Tabela8[[#This Row],[Papel]]),Tabela176[Fechamento])</f>
        <v>0</v>
      </c>
      <c r="T1084" s="7">
        <f>SUMPRODUCT(N(Tabela1768[Código]=Tabela8[[#This Row],[Papel]]),Tabela1768[Fechamento])</f>
        <v>0</v>
      </c>
      <c r="U1084" s="7">
        <f>SUMPRODUCT(N(Tabela17683[Código]=Tabela8[[#This Row],[Papel]]),Tabela17683[Fechamento])</f>
        <v>0</v>
      </c>
      <c r="V1084" s="7">
        <f>IF(MAX(Tabela8[[#This Row],[Cotação 1]]:Tabela8[[#This Row],[Cotação 5]])=0,"",MAX(Tabela8[[#This Row],[Cotação 1]]:Tabela8[[#This Row],[Cotação 5]]))</f>
        <v>15</v>
      </c>
      <c r="W108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4" s="19">
        <f>IF(AND([Ref]=5,[Cotação]&gt;0,[Cotação]&lt;&gt;""),[Total Exercício]/[Cotação],IF([Ref]&lt;4,0,""))</f>
        <v>6.3333333333333332E-3</v>
      </c>
      <c r="Y1084" s="14">
        <f>IF([Tipo]="div",1,0)</f>
        <v>1</v>
      </c>
      <c r="Z1084" s="14">
        <f>IF([Tipo]="jcp",1,0)</f>
        <v>0</v>
      </c>
    </row>
    <row r="1085" spans="1:26" hidden="1">
      <c r="A1085" s="4" t="s">
        <v>12</v>
      </c>
      <c r="B1085" s="3" t="s">
        <v>1</v>
      </c>
      <c r="C1085" s="16">
        <v>5</v>
      </c>
      <c r="D1085" s="14">
        <v>1997</v>
      </c>
      <c r="E1085" s="14" t="s">
        <v>1468</v>
      </c>
      <c r="F1085" s="133">
        <f>0.00224*250</f>
        <v>0.55999999999999994</v>
      </c>
      <c r="G1085" s="145">
        <v>35879</v>
      </c>
      <c r="H1085" s="46">
        <v>35940</v>
      </c>
      <c r="I1085" s="133">
        <f>0.00042*250</f>
        <v>0.10500000000000001</v>
      </c>
      <c r="J1085" s="134">
        <f>IF(Tabela8[[#This Row],[Tipo]]="jcp",Tabela8[[#This Row],[Provento p/Ação]]*85%,Tabela8[[#This Row],[Provento p/Ação]])</f>
        <v>0.10500000000000001</v>
      </c>
      <c r="K1085" s="133">
        <f>IF([Lucro p/Ação]&lt;&gt;0,SUMPRODUCT(N([Papel]=Tabela8[[#This Row],[Papel]]),N([Exercício]=Tabela8[[#This Row],[Exercício]]),[Líquido p/Ação]),"")</f>
        <v>0.10500000000000001</v>
      </c>
      <c r="L1085" s="42">
        <f>IF(Tabela8[[#This Row],[Lucro p/Ação]]="","",IF(Tabela8[[#This Row],[Lucro p/Ação]]&gt;0,Tabela8[[#This Row],[Total Exercício]]/Tabela8[[#This Row],[Lucro p/Ação]],0))</f>
        <v>0.18750000000000003</v>
      </c>
      <c r="M108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0.55999999999999994</v>
      </c>
      <c r="N108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0.10500000000000001</v>
      </c>
      <c r="O1085" s="87">
        <f>IF(Tabela8[[#This Row],[Média Lucro p/Ação]]&lt;&gt;"",Tabela8[[#This Row],[Média Pago]]/Tabela8[[#This Row],[Média Lucro p/Ação]],"")</f>
        <v>0.18750000000000003</v>
      </c>
      <c r="P108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5" s="134">
        <f>SUMPRODUCT(N(Tabela1[Código]=Tabela8[[#This Row],[Papel]]),Tabela1[Fechamento])</f>
        <v>7.94</v>
      </c>
      <c r="R1085" s="17">
        <f>SUMPRODUCT(N(Tabela17[Código]=Tabela8[[#This Row],[Papel]]),Tabela17[Fechamento])</f>
        <v>0</v>
      </c>
      <c r="S1085" s="17">
        <f>SUMPRODUCT(N(Tabela176[Código]=Tabela8[[#This Row],[Papel]]),Tabela176[Fechamento])</f>
        <v>0</v>
      </c>
      <c r="T1085" s="17">
        <f>SUMPRODUCT(N(Tabela1768[Código]=Tabela8[[#This Row],[Papel]]),Tabela1768[Fechamento])</f>
        <v>0</v>
      </c>
      <c r="U1085" s="17">
        <f>SUMPRODUCT(N(Tabela17683[Código]=Tabela8[[#This Row],[Papel]]),Tabela17683[Fechamento])</f>
        <v>0</v>
      </c>
      <c r="V1085" s="17">
        <f>IF(MAX(Tabela8[[#This Row],[Cotação 1]]:Tabela8[[#This Row],[Cotação 5]])=0,"",MAX(Tabela8[[#This Row],[Cotação 1]]:Tabela8[[#This Row],[Cotação 5]]))</f>
        <v>7.94</v>
      </c>
      <c r="W108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5" s="19">
        <f>IF(AND([Ref]=5,[Cotação]&gt;0,[Cotação]&lt;&gt;""),[Total Exercício]/[Cotação],IF([Ref]&lt;4,0,""))</f>
        <v>1.3224181360201512E-2</v>
      </c>
      <c r="Y1085" s="14">
        <f>IF([Tipo]="div",1,0)</f>
        <v>1</v>
      </c>
      <c r="Z1085" s="14">
        <f>IF([Tipo]="jcp",1,0)</f>
        <v>0</v>
      </c>
    </row>
    <row r="1086" spans="1:26" hidden="1">
      <c r="A1086" s="4" t="s">
        <v>12</v>
      </c>
      <c r="B1086" s="131" t="s">
        <v>67</v>
      </c>
      <c r="C1086" s="15">
        <v>5</v>
      </c>
      <c r="D1086" s="14">
        <v>2007</v>
      </c>
      <c r="F1086" s="133">
        <v>1.99</v>
      </c>
      <c r="J1086" s="134">
        <f>IF(Tabela8[[#This Row],[Tipo]]="jcp",Tabela8[[#This Row],[Provento p/Ação]]*85%,Tabela8[[#This Row],[Provento p/Ação]])</f>
        <v>0</v>
      </c>
      <c r="K1086" s="133">
        <f>IF([Lucro p/Ação]&lt;&gt;0,SUMPRODUCT(N([Papel]=Tabela8[[#This Row],[Papel]]),N([Exercício]=Tabela8[[#This Row],[Exercício]]),[Líquido p/Ação]),"")</f>
        <v>0</v>
      </c>
      <c r="L1086" s="42">
        <f>IF(Tabela8[[#This Row],[Lucro p/Ação]]="","",IF(Tabela8[[#This Row],[Lucro p/Ação]]&gt;0,Tabela8[[#This Row],[Total Exercício]]/Tabela8[[#This Row],[Lucro p/Ação]],0))</f>
        <v>0</v>
      </c>
      <c r="M108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-2.8606623624951406</v>
      </c>
      <c r="N108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86" s="19">
        <f>IF(Tabela8[[#This Row],[Média Lucro p/Ação]]&lt;&gt;"",Tabela8[[#This Row],[Média Pago]]/Tabela8[[#This Row],[Média Lucro p/Ação]],"")</f>
        <v>0</v>
      </c>
      <c r="P108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6" s="134">
        <f>SUMPRODUCT(N(Tabela1[Código]=Tabela8[[#This Row],[Papel]]),Tabela1[Fechamento])</f>
        <v>7.13</v>
      </c>
      <c r="R1086" s="7">
        <f>SUMPRODUCT(N(Tabela17[Código]=Tabela8[[#This Row],[Papel]]),Tabela17[Fechamento])</f>
        <v>0</v>
      </c>
      <c r="S1086" s="7">
        <f>SUMPRODUCT(N(Tabela176[Código]=Tabela8[[#This Row],[Papel]]),Tabela176[Fechamento])</f>
        <v>0</v>
      </c>
      <c r="T1086" s="7">
        <f>SUMPRODUCT(N(Tabela1768[Código]=Tabela8[[#This Row],[Papel]]),Tabela1768[Fechamento])</f>
        <v>0</v>
      </c>
      <c r="U1086" s="7">
        <f>SUMPRODUCT(N(Tabela17683[Código]=Tabela8[[#This Row],[Papel]]),Tabela17683[Fechamento])</f>
        <v>0</v>
      </c>
      <c r="V1086" s="7">
        <f>IF(MAX(Tabela8[[#This Row],[Cotação 1]]:Tabela8[[#This Row],[Cotação 5]])=0,"",MAX(Tabela8[[#This Row],[Cotação 1]]:Tabela8[[#This Row],[Cotação 5]]))</f>
        <v>7.13</v>
      </c>
      <c r="W108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6" s="19">
        <f>IF(AND([Ref]=5,[Cotação]&gt;0,[Cotação]&lt;&gt;""),[Total Exercício]/[Cotação],IF([Ref]&lt;4,0,""))</f>
        <v>0</v>
      </c>
      <c r="Y1086" s="14">
        <f>IF([Tipo]="div",1,0)</f>
        <v>0</v>
      </c>
      <c r="Z1086" s="14">
        <f>IF([Tipo]="jcp",1,0)</f>
        <v>0</v>
      </c>
    </row>
    <row r="1087" spans="1:26" hidden="1">
      <c r="A1087" s="4" t="s">
        <v>12</v>
      </c>
      <c r="B1087" s="131" t="s">
        <v>67</v>
      </c>
      <c r="C1087" s="15">
        <v>5</v>
      </c>
      <c r="D1087" s="14">
        <v>2006</v>
      </c>
      <c r="F1087" s="133">
        <v>0.72</v>
      </c>
      <c r="J1087" s="134">
        <f>IF(Tabela8[[#This Row],[Tipo]]="jcp",Tabela8[[#This Row],[Provento p/Ação]]*85%,Tabela8[[#This Row],[Provento p/Ação]])</f>
        <v>0</v>
      </c>
      <c r="K1087" s="133">
        <f>IF([Lucro p/Ação]&lt;&gt;0,SUMPRODUCT(N([Papel]=Tabela8[[#This Row],[Papel]]),N([Exercício]=Tabela8[[#This Row],[Exercício]]),[Líquido p/Ação]),"")</f>
        <v>0</v>
      </c>
      <c r="L1087" s="42">
        <f>IF(Tabela8[[#This Row],[Lucro p/Ação]]="","",IF(Tabela8[[#This Row],[Lucro p/Ação]]&gt;0,Tabela8[[#This Row],[Total Exercício]]/Tabela8[[#This Row],[Lucro p/Ação]],0))</f>
        <v>0</v>
      </c>
      <c r="M108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-3.6691060895776642</v>
      </c>
      <c r="N108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87" s="19">
        <f>IF(Tabela8[[#This Row],[Média Lucro p/Ação]]&lt;&gt;"",Tabela8[[#This Row],[Média Pago]]/Tabela8[[#This Row],[Média Lucro p/Ação]],"")</f>
        <v>0</v>
      </c>
      <c r="P108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7" s="134">
        <f>SUMPRODUCT(N(Tabela1[Código]=Tabela8[[#This Row],[Papel]]),Tabela1[Fechamento])</f>
        <v>7.13</v>
      </c>
      <c r="R1087" s="17">
        <f>SUMPRODUCT(N(Tabela17[Código]=Tabela8[[#This Row],[Papel]]),Tabela17[Fechamento])</f>
        <v>0</v>
      </c>
      <c r="S1087" s="17">
        <f>SUMPRODUCT(N(Tabela176[Código]=Tabela8[[#This Row],[Papel]]),Tabela176[Fechamento])</f>
        <v>0</v>
      </c>
      <c r="T1087" s="17">
        <f>SUMPRODUCT(N(Tabela1768[Código]=Tabela8[[#This Row],[Papel]]),Tabela1768[Fechamento])</f>
        <v>0</v>
      </c>
      <c r="U1087" s="17">
        <f>SUMPRODUCT(N(Tabela17683[Código]=Tabela8[[#This Row],[Papel]]),Tabela17683[Fechamento])</f>
        <v>0</v>
      </c>
      <c r="V1087" s="17">
        <f>IF(MAX(Tabela8[[#This Row],[Cotação 1]]:Tabela8[[#This Row],[Cotação 5]])=0,"",MAX(Tabela8[[#This Row],[Cotação 1]]:Tabela8[[#This Row],[Cotação 5]]))</f>
        <v>7.13</v>
      </c>
      <c r="W108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7" s="19">
        <f>IF(AND([Ref]=5,[Cotação]&gt;0,[Cotação]&lt;&gt;""),[Total Exercício]/[Cotação],IF([Ref]&lt;4,0,""))</f>
        <v>0</v>
      </c>
      <c r="Y1087" s="14">
        <f>IF([Tipo]="div",1,0)</f>
        <v>0</v>
      </c>
      <c r="Z1087" s="14">
        <f>IF([Tipo]="jcp",1,0)</f>
        <v>0</v>
      </c>
    </row>
    <row r="1088" spans="1:26" hidden="1">
      <c r="A1088" s="4" t="s">
        <v>12</v>
      </c>
      <c r="B1088" s="131" t="s">
        <v>67</v>
      </c>
      <c r="C1088" s="15">
        <v>5</v>
      </c>
      <c r="D1088" s="14">
        <v>2005</v>
      </c>
      <c r="F1088" s="133">
        <v>-1.26</v>
      </c>
      <c r="J1088" s="134">
        <f>IF(Tabela8[[#This Row],[Tipo]]="jcp",Tabela8[[#This Row],[Provento p/Ação]]*85%,Tabela8[[#This Row],[Provento p/Ação]])</f>
        <v>0</v>
      </c>
      <c r="K1088" s="133">
        <f>IF([Lucro p/Ação]&lt;&gt;0,SUMPRODUCT(N([Papel]=Tabela8[[#This Row],[Papel]]),N([Exercício]=Tabela8[[#This Row],[Exercício]]),[Líquido p/Ação]),"")</f>
        <v>0</v>
      </c>
      <c r="L1088" s="42">
        <f>IF(Tabela8[[#This Row],[Lucro p/Ação]]="","",IF(Tabela8[[#This Row],[Lucro p/Ação]]&gt;0,Tabela8[[#This Row],[Total Exercício]]/Tabela8[[#This Row],[Lucro p/Ação]],0))</f>
        <v>0</v>
      </c>
      <c r="M108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-4.5469273074931973</v>
      </c>
      <c r="N108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88" s="19">
        <f>IF(Tabela8[[#This Row],[Média Lucro p/Ação]]&lt;&gt;"",Tabela8[[#This Row],[Média Pago]]/Tabela8[[#This Row],[Média Lucro p/Ação]],"")</f>
        <v>0</v>
      </c>
      <c r="P108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8" s="134">
        <f>SUMPRODUCT(N(Tabela1[Código]=Tabela8[[#This Row],[Papel]]),Tabela1[Fechamento])</f>
        <v>7.13</v>
      </c>
      <c r="R1088" s="7">
        <f>SUMPRODUCT(N(Tabela17[Código]=Tabela8[[#This Row],[Papel]]),Tabela17[Fechamento])</f>
        <v>0</v>
      </c>
      <c r="S1088" s="7">
        <f>SUMPRODUCT(N(Tabela176[Código]=Tabela8[[#This Row],[Papel]]),Tabela176[Fechamento])</f>
        <v>0</v>
      </c>
      <c r="T1088" s="7">
        <f>SUMPRODUCT(N(Tabela1768[Código]=Tabela8[[#This Row],[Papel]]),Tabela1768[Fechamento])</f>
        <v>0</v>
      </c>
      <c r="U1088" s="7">
        <f>SUMPRODUCT(N(Tabela17683[Código]=Tabela8[[#This Row],[Papel]]),Tabela17683[Fechamento])</f>
        <v>0</v>
      </c>
      <c r="V1088" s="7">
        <f>IF(MAX(Tabela8[[#This Row],[Cotação 1]]:Tabela8[[#This Row],[Cotação 5]])=0,"",MAX(Tabela8[[#This Row],[Cotação 1]]:Tabela8[[#This Row],[Cotação 5]]))</f>
        <v>7.13</v>
      </c>
      <c r="W108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8" s="19">
        <f>IF(AND([Ref]=5,[Cotação]&gt;0,[Cotação]&lt;&gt;""),[Total Exercício]/[Cotação],IF([Ref]&lt;4,0,""))</f>
        <v>0</v>
      </c>
      <c r="Y1088" s="14">
        <f>IF([Tipo]="div",1,0)</f>
        <v>0</v>
      </c>
      <c r="Z1088" s="14">
        <f>IF([Tipo]="jcp",1,0)</f>
        <v>0</v>
      </c>
    </row>
    <row r="1089" spans="1:26" hidden="1">
      <c r="A1089" s="4" t="s">
        <v>12</v>
      </c>
      <c r="B1089" s="131" t="s">
        <v>67</v>
      </c>
      <c r="C1089" s="15">
        <v>5</v>
      </c>
      <c r="D1089" s="14">
        <v>2004</v>
      </c>
      <c r="F1089" s="133">
        <v>-4.8099999999999996</v>
      </c>
      <c r="J1089" s="134">
        <f>IF(Tabela8[[#This Row],[Tipo]]="jcp",Tabela8[[#This Row],[Provento p/Ação]]*85%,Tabela8[[#This Row],[Provento p/Ação]])</f>
        <v>0</v>
      </c>
      <c r="K1089" s="133">
        <f>IF([Lucro p/Ação]&lt;&gt;0,SUMPRODUCT(N([Papel]=Tabela8[[#This Row],[Papel]]),N([Exercício]=Tabela8[[#This Row],[Exercício]]),[Líquido p/Ação]),"")</f>
        <v>0</v>
      </c>
      <c r="L1089" s="42">
        <f>IF(Tabela8[[#This Row],[Lucro p/Ação]]="","",IF(Tabela8[[#This Row],[Lucro p/Ação]]&gt;0,Tabela8[[#This Row],[Total Exercício]]/Tabela8[[#This Row],[Lucro p/Ação]],0))</f>
        <v>0</v>
      </c>
      <c r="M108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-5.3686591343664958</v>
      </c>
      <c r="N108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89" s="19">
        <f>IF(Tabela8[[#This Row],[Média Lucro p/Ação]]&lt;&gt;"",Tabela8[[#This Row],[Média Pago]]/Tabela8[[#This Row],[Média Lucro p/Ação]],"")</f>
        <v>0</v>
      </c>
      <c r="P108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89" s="134">
        <f>SUMPRODUCT(N(Tabela1[Código]=Tabela8[[#This Row],[Papel]]),Tabela1[Fechamento])</f>
        <v>7.13</v>
      </c>
      <c r="R1089" s="7">
        <f>SUMPRODUCT(N(Tabela17[Código]=Tabela8[[#This Row],[Papel]]),Tabela17[Fechamento])</f>
        <v>0</v>
      </c>
      <c r="S1089" s="7">
        <f>SUMPRODUCT(N(Tabela176[Código]=Tabela8[[#This Row],[Papel]]),Tabela176[Fechamento])</f>
        <v>0</v>
      </c>
      <c r="T1089" s="7">
        <f>SUMPRODUCT(N(Tabela1768[Código]=Tabela8[[#This Row],[Papel]]),Tabela1768[Fechamento])</f>
        <v>0</v>
      </c>
      <c r="U1089" s="7">
        <f>SUMPRODUCT(N(Tabela17683[Código]=Tabela8[[#This Row],[Papel]]),Tabela17683[Fechamento])</f>
        <v>0</v>
      </c>
      <c r="V1089" s="7">
        <f>IF(MAX(Tabela8[[#This Row],[Cotação 1]]:Tabela8[[#This Row],[Cotação 5]])=0,"",MAX(Tabela8[[#This Row],[Cotação 1]]:Tabela8[[#This Row],[Cotação 5]]))</f>
        <v>7.13</v>
      </c>
      <c r="W108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89" s="19">
        <f>IF(AND([Ref]=5,[Cotação]&gt;0,[Cotação]&lt;&gt;""),[Total Exercício]/[Cotação],IF([Ref]&lt;4,0,""))</f>
        <v>0</v>
      </c>
      <c r="Y1089" s="14">
        <f>IF([Tipo]="div",1,0)</f>
        <v>0</v>
      </c>
      <c r="Z1089" s="14">
        <f>IF([Tipo]="jcp",1,0)</f>
        <v>0</v>
      </c>
    </row>
    <row r="1090" spans="1:26" hidden="1">
      <c r="A1090" s="4" t="s">
        <v>12</v>
      </c>
      <c r="B1090" s="131" t="s">
        <v>67</v>
      </c>
      <c r="C1090" s="15">
        <v>5</v>
      </c>
      <c r="D1090" s="14">
        <v>2003</v>
      </c>
      <c r="F1090" s="133">
        <f>-14.17/5.77690367165</f>
        <v>-2.452871088977802</v>
      </c>
      <c r="J1090" s="134">
        <f>IF(Tabela8[[#This Row],[Tipo]]="jcp",Tabela8[[#This Row],[Provento p/Ação]]*85%,Tabela8[[#This Row],[Provento p/Ação]])</f>
        <v>0</v>
      </c>
      <c r="K1090" s="133">
        <f>IF([Lucro p/Ação]&lt;&gt;0,SUMPRODUCT(N([Papel]=Tabela8[[#This Row],[Papel]]),N([Exercício]=Tabela8[[#This Row],[Exercício]]),[Líquido p/Ação]),"")</f>
        <v>0</v>
      </c>
      <c r="L1090" s="42">
        <f>IF(Tabela8[[#This Row],[Lucro p/Ação]]="","",IF(Tabela8[[#This Row],[Lucro p/Ação]]&gt;0,Tabela8[[#This Row],[Total Exercício]]/Tabela8[[#This Row],[Lucro p/Ação]],0))</f>
        <v>0</v>
      </c>
      <c r="M109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-5.5548788458219951</v>
      </c>
      <c r="N109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0" s="19">
        <f>IF(Tabela8[[#This Row],[Média Lucro p/Ação]]&lt;&gt;"",Tabela8[[#This Row],[Média Pago]]/Tabela8[[#This Row],[Média Lucro p/Ação]],"")</f>
        <v>0</v>
      </c>
      <c r="P109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0" s="134">
        <f>SUMPRODUCT(N(Tabela1[Código]=Tabela8[[#This Row],[Papel]]),Tabela1[Fechamento])</f>
        <v>7.13</v>
      </c>
      <c r="R1090" s="7">
        <f>SUMPRODUCT(N(Tabela17[Código]=Tabela8[[#This Row],[Papel]]),Tabela17[Fechamento])</f>
        <v>0</v>
      </c>
      <c r="S1090" s="7">
        <f>SUMPRODUCT(N(Tabela176[Código]=Tabela8[[#This Row],[Papel]]),Tabela176[Fechamento])</f>
        <v>0</v>
      </c>
      <c r="T1090" s="7">
        <f>SUMPRODUCT(N(Tabela1768[Código]=Tabela8[[#This Row],[Papel]]),Tabela1768[Fechamento])</f>
        <v>0</v>
      </c>
      <c r="U1090" s="7">
        <f>SUMPRODUCT(N(Tabela17683[Código]=Tabela8[[#This Row],[Papel]]),Tabela17683[Fechamento])</f>
        <v>0</v>
      </c>
      <c r="V1090" s="7">
        <f>IF(MAX(Tabela8[[#This Row],[Cotação 1]]:Tabela8[[#This Row],[Cotação 5]])=0,"",MAX(Tabela8[[#This Row],[Cotação 1]]:Tabela8[[#This Row],[Cotação 5]]))</f>
        <v>7.13</v>
      </c>
      <c r="W109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0" s="19">
        <f>IF(AND([Ref]=5,[Cotação]&gt;0,[Cotação]&lt;&gt;""),[Total Exercício]/[Cotação],IF([Ref]&lt;4,0,""))</f>
        <v>0</v>
      </c>
      <c r="Y1090" s="14">
        <f>IF([Tipo]="div",1,0)</f>
        <v>0</v>
      </c>
      <c r="Z1090" s="14">
        <f>IF([Tipo]="jcp",1,0)</f>
        <v>0</v>
      </c>
    </row>
    <row r="1091" spans="1:26" hidden="1">
      <c r="A1091" s="4" t="s">
        <v>12</v>
      </c>
      <c r="B1091" s="131" t="s">
        <v>67</v>
      </c>
      <c r="C1091" s="15">
        <v>5</v>
      </c>
      <c r="D1091" s="14">
        <v>2002</v>
      </c>
      <c r="F1091" s="133">
        <f>-0.09424/5.77690367165*1000</f>
        <v>-16.31323722126098</v>
      </c>
      <c r="J1091" s="134">
        <f>IF(Tabela8[[#This Row],[Tipo]]="jcp",Tabela8[[#This Row],[Provento p/Ação]]*85%,Tabela8[[#This Row],[Provento p/Ação]])</f>
        <v>0</v>
      </c>
      <c r="K1091" s="133">
        <f>IF([Lucro p/Ação]&lt;&gt;0,SUMPRODUCT(N([Papel]=Tabela8[[#This Row],[Papel]]),N([Exercício]=Tabela8[[#This Row],[Exercício]]),[Líquido p/Ação]),"")</f>
        <v>0</v>
      </c>
      <c r="L1091" s="42">
        <f>IF(Tabela8[[#This Row],[Lucro p/Ação]]="","",IF(Tabela8[[#This Row],[Lucro p/Ação]]&gt;0,Tabela8[[#This Row],[Total Exercício]]/Tabela8[[#This Row],[Lucro p/Ação]],0))</f>
        <v>0</v>
      </c>
      <c r="M109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-7.1058827242440916</v>
      </c>
      <c r="N109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1" s="19">
        <f>IF(Tabela8[[#This Row],[Média Lucro p/Ação]]&lt;&gt;"",Tabela8[[#This Row],[Média Pago]]/Tabela8[[#This Row],[Média Lucro p/Ação]],"")</f>
        <v>0</v>
      </c>
      <c r="P109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1" s="134">
        <f>SUMPRODUCT(N(Tabela1[Código]=Tabela8[[#This Row],[Papel]]),Tabela1[Fechamento])</f>
        <v>7.13</v>
      </c>
      <c r="R1091" s="7">
        <f>SUMPRODUCT(N(Tabela17[Código]=Tabela8[[#This Row],[Papel]]),Tabela17[Fechamento])</f>
        <v>0</v>
      </c>
      <c r="S1091" s="7">
        <f>SUMPRODUCT(N(Tabela176[Código]=Tabela8[[#This Row],[Papel]]),Tabela176[Fechamento])</f>
        <v>0</v>
      </c>
      <c r="T1091" s="7">
        <f>SUMPRODUCT(N(Tabela1768[Código]=Tabela8[[#This Row],[Papel]]),Tabela1768[Fechamento])</f>
        <v>0</v>
      </c>
      <c r="U1091" s="7">
        <f>SUMPRODUCT(N(Tabela17683[Código]=Tabela8[[#This Row],[Papel]]),Tabela17683[Fechamento])</f>
        <v>0</v>
      </c>
      <c r="V1091" s="7">
        <f>IF(MAX(Tabela8[[#This Row],[Cotação 1]]:Tabela8[[#This Row],[Cotação 5]])=0,"",MAX(Tabela8[[#This Row],[Cotação 1]]:Tabela8[[#This Row],[Cotação 5]]))</f>
        <v>7.13</v>
      </c>
      <c r="W109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1" s="19">
        <f>IF(AND([Ref]=5,[Cotação]&gt;0,[Cotação]&lt;&gt;""),[Total Exercício]/[Cotação],IF([Ref]&lt;4,0,""))</f>
        <v>0</v>
      </c>
      <c r="Y1091" s="14">
        <f>IF([Tipo]="div",1,0)</f>
        <v>0</v>
      </c>
      <c r="Z1091" s="14">
        <f>IF([Tipo]="jcp",1,0)</f>
        <v>0</v>
      </c>
    </row>
    <row r="1092" spans="1:26" hidden="1">
      <c r="A1092" s="4" t="s">
        <v>12</v>
      </c>
      <c r="B1092" s="131" t="s">
        <v>67</v>
      </c>
      <c r="C1092" s="15">
        <v>5</v>
      </c>
      <c r="D1092" s="14">
        <v>2001</v>
      </c>
      <c r="F1092" s="133">
        <f>12.14/5.77690367165</f>
        <v>2.1014717727727961</v>
      </c>
      <c r="J1092" s="134">
        <f>IF(Tabela8[[#This Row],[Tipo]]="jcp",Tabela8[[#This Row],[Provento p/Ação]]*85%,Tabela8[[#This Row],[Provento p/Ação]])</f>
        <v>0</v>
      </c>
      <c r="K1092" s="133">
        <f>IF([Lucro p/Ação]&lt;&gt;0,SUMPRODUCT(N([Papel]=Tabela8[[#This Row],[Papel]]),N([Exercício]=Tabela8[[#This Row],[Exercício]]),[Líquido p/Ação]),"")</f>
        <v>0</v>
      </c>
      <c r="L1092" s="42">
        <f>IF(Tabela8[[#This Row],[Lucro p/Ação]]="","",IF(Tabela8[[#This Row],[Lucro p/Ação]]&gt;0,Tabela8[[#This Row],[Total Exercício]]/Tabela8[[#This Row],[Lucro p/Ação]],0))</f>
        <v>0</v>
      </c>
      <c r="M109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2.1014717727727961</v>
      </c>
      <c r="N109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2" s="19">
        <f>IF(Tabela8[[#This Row],[Média Lucro p/Ação]]&lt;&gt;"",Tabela8[[#This Row],[Média Pago]]/Tabela8[[#This Row],[Média Lucro p/Ação]],"")</f>
        <v>0</v>
      </c>
      <c r="P109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2" s="134">
        <f>SUMPRODUCT(N(Tabela1[Código]=Tabela8[[#This Row],[Papel]]),Tabela1[Fechamento])</f>
        <v>7.13</v>
      </c>
      <c r="R1092" s="17">
        <f>SUMPRODUCT(N(Tabela17[Código]=Tabela8[[#This Row],[Papel]]),Tabela17[Fechamento])</f>
        <v>0</v>
      </c>
      <c r="S1092" s="17">
        <f>SUMPRODUCT(N(Tabela176[Código]=Tabela8[[#This Row],[Papel]]),Tabela176[Fechamento])</f>
        <v>0</v>
      </c>
      <c r="T1092" s="17">
        <f>SUMPRODUCT(N(Tabela1768[Código]=Tabela8[[#This Row],[Papel]]),Tabela1768[Fechamento])</f>
        <v>0</v>
      </c>
      <c r="U1092" s="17">
        <f>SUMPRODUCT(N(Tabela17683[Código]=Tabela8[[#This Row],[Papel]]),Tabela17683[Fechamento])</f>
        <v>0</v>
      </c>
      <c r="V1092" s="17">
        <f>IF(MAX(Tabela8[[#This Row],[Cotação 1]]:Tabela8[[#This Row],[Cotação 5]])=0,"",MAX(Tabela8[[#This Row],[Cotação 1]]:Tabela8[[#This Row],[Cotação 5]]))</f>
        <v>7.13</v>
      </c>
      <c r="W109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2" s="19">
        <f>IF(AND([Ref]=5,[Cotação]&gt;0,[Cotação]&lt;&gt;""),[Total Exercício]/[Cotação],IF([Ref]&lt;4,0,""))</f>
        <v>0</v>
      </c>
      <c r="Y1092" s="14">
        <f>IF([Tipo]="div",1,0)</f>
        <v>0</v>
      </c>
      <c r="Z1092" s="14">
        <f>IF([Tipo]="jcp",1,0)</f>
        <v>0</v>
      </c>
    </row>
    <row r="1093" spans="1:26" hidden="1">
      <c r="A1093" s="4" t="s">
        <v>12</v>
      </c>
      <c r="B1093" s="139" t="s">
        <v>2</v>
      </c>
      <c r="C1093" s="15">
        <v>5</v>
      </c>
      <c r="D1093" s="14">
        <v>2009</v>
      </c>
      <c r="F1093" s="133">
        <v>0.15059</v>
      </c>
      <c r="J1093" s="134">
        <f>IF(Tabela8[[#This Row],[Tipo]]="jcp",Tabela8[[#This Row],[Provento p/Ação]]*85%,Tabela8[[#This Row],[Provento p/Ação]])</f>
        <v>0</v>
      </c>
      <c r="K1093" s="133">
        <f>IF([Lucro p/Ação]&lt;&gt;0,SUMPRODUCT(N([Papel]=Tabela8[[#This Row],[Papel]]),N([Exercício]=Tabela8[[#This Row],[Exercício]]),[Líquido p/Ação]),"")</f>
        <v>0</v>
      </c>
      <c r="L1093" s="42">
        <f>IF(Tabela8[[#This Row],[Lucro p/Ação]]="","",IF(Tabela8[[#This Row],[Lucro p/Ação]]&gt;0,Tabela8[[#This Row],[Total Exercício]]/Tabela8[[#This Row],[Lucro p/Ação]],0))</f>
        <v>0</v>
      </c>
      <c r="M109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1.7088615384615387</v>
      </c>
      <c r="N109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3" s="19">
        <f>IF(Tabela8[[#This Row],[Média Lucro p/Ação]]&lt;&gt;"",Tabela8[[#This Row],[Média Pago]]/Tabela8[[#This Row],[Média Lucro p/Ação]],"")</f>
        <v>0</v>
      </c>
      <c r="P109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3" s="134">
        <f>SUMPRODUCT(N(Tabela1[Código]=Tabela8[[#This Row],[Papel]]),Tabela1[Fechamento])</f>
        <v>5.35</v>
      </c>
      <c r="R1093" s="7">
        <f>SUMPRODUCT(N(Tabela17[Código]=Tabela8[[#This Row],[Papel]]),Tabela17[Fechamento])</f>
        <v>0</v>
      </c>
      <c r="S1093" s="7">
        <f>SUMPRODUCT(N(Tabela176[Código]=Tabela8[[#This Row],[Papel]]),Tabela176[Fechamento])</f>
        <v>0</v>
      </c>
      <c r="T1093" s="7">
        <f>SUMPRODUCT(N(Tabela1768[Código]=Tabela8[[#This Row],[Papel]]),Tabela1768[Fechamento])</f>
        <v>0</v>
      </c>
      <c r="U1093" s="7">
        <f>SUMPRODUCT(N(Tabela17683[Código]=Tabela8[[#This Row],[Papel]]),Tabela17683[Fechamento])</f>
        <v>0</v>
      </c>
      <c r="V1093" s="7">
        <f>IF(MAX(Tabela8[[#This Row],[Cotação 1]]:Tabela8[[#This Row],[Cotação 5]])=0,"",MAX(Tabela8[[#This Row],[Cotação 1]]:Tabela8[[#This Row],[Cotação 5]]))</f>
        <v>5.35</v>
      </c>
      <c r="W109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3" s="19">
        <f>IF(AND([Ref]=5,[Cotação]&gt;0,[Cotação]&lt;&gt;""),[Total Exercício]/[Cotação],IF([Ref]&lt;4,0,""))</f>
        <v>0</v>
      </c>
      <c r="Y1093" s="14">
        <f>IF([Tipo]="div",1,0)</f>
        <v>0</v>
      </c>
      <c r="Z1093" s="14">
        <f>IF([Tipo]="jcp",1,0)</f>
        <v>0</v>
      </c>
    </row>
    <row r="1094" spans="1:26" hidden="1">
      <c r="A1094" s="4" t="s">
        <v>12</v>
      </c>
      <c r="B1094" s="139" t="s">
        <v>450</v>
      </c>
      <c r="C1094" s="15">
        <v>5</v>
      </c>
      <c r="D1094" s="14">
        <v>2009</v>
      </c>
      <c r="F1094" s="133">
        <v>0.15059</v>
      </c>
      <c r="J1094" s="134">
        <f>IF(Tabela8[[#This Row],[Tipo]]="jcp",Tabela8[[#This Row],[Provento p/Ação]]*85%,Tabela8[[#This Row],[Provento p/Ação]])</f>
        <v>0</v>
      </c>
      <c r="K1094" s="133">
        <f>IF([Lucro p/Ação]&lt;&gt;0,SUMPRODUCT(N([Papel]=Tabela8[[#This Row],[Papel]]),N([Exercício]=Tabela8[[#This Row],[Exercício]]),[Líquido p/Ação]),"")</f>
        <v>0</v>
      </c>
      <c r="L1094" s="42">
        <f>IF(Tabela8[[#This Row],[Lucro p/Ação]]="","",IF(Tabela8[[#This Row],[Lucro p/Ação]]&gt;0,Tabela8[[#This Row],[Total Exercício]]/Tabela8[[#This Row],[Lucro p/Ação]],0))</f>
        <v>0</v>
      </c>
      <c r="M109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1.7088615384615387</v>
      </c>
      <c r="N109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4" s="19">
        <f>IF(Tabela8[[#This Row],[Média Lucro p/Ação]]&lt;&gt;"",Tabela8[[#This Row],[Média Pago]]/Tabela8[[#This Row],[Média Lucro p/Ação]],"")</f>
        <v>0</v>
      </c>
      <c r="P109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4" s="134">
        <f>SUMPRODUCT(N(Tabela1[Código]=Tabela8[[#This Row],[Papel]]),Tabela1[Fechamento])</f>
        <v>0</v>
      </c>
      <c r="R1094" s="7">
        <f>SUMPRODUCT(N(Tabela17[Código]=Tabela8[[#This Row],[Papel]]),Tabela17[Fechamento])</f>
        <v>23.01</v>
      </c>
      <c r="S1094" s="7">
        <f>SUMPRODUCT(N(Tabela176[Código]=Tabela8[[#This Row],[Papel]]),Tabela176[Fechamento])</f>
        <v>0</v>
      </c>
      <c r="T1094" s="7">
        <f>SUMPRODUCT(N(Tabela1768[Código]=Tabela8[[#This Row],[Papel]]),Tabela1768[Fechamento])</f>
        <v>0</v>
      </c>
      <c r="U1094" s="7">
        <f>SUMPRODUCT(N(Tabela17683[Código]=Tabela8[[#This Row],[Papel]]),Tabela17683[Fechamento])</f>
        <v>0</v>
      </c>
      <c r="V1094" s="7">
        <f>IF(MAX(Tabela8[[#This Row],[Cotação 1]]:Tabela8[[#This Row],[Cotação 5]])=0,"",MAX(Tabela8[[#This Row],[Cotação 1]]:Tabela8[[#This Row],[Cotação 5]]))</f>
        <v>23.01</v>
      </c>
      <c r="W109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4" s="19">
        <f>IF(AND([Ref]=5,[Cotação]&gt;0,[Cotação]&lt;&gt;""),[Total Exercício]/[Cotação],IF([Ref]&lt;4,0,""))</f>
        <v>0</v>
      </c>
      <c r="Y1094" s="14">
        <f>IF([Tipo]="div",1,0)</f>
        <v>0</v>
      </c>
      <c r="Z1094" s="14">
        <f>IF([Tipo]="jcp",1,0)</f>
        <v>0</v>
      </c>
    </row>
    <row r="1095" spans="1:26" hidden="1">
      <c r="A1095" s="4" t="s">
        <v>12</v>
      </c>
      <c r="B1095" s="131" t="s">
        <v>27</v>
      </c>
      <c r="C1095" s="15">
        <v>5</v>
      </c>
      <c r="D1095" s="14">
        <v>2009</v>
      </c>
      <c r="F1095" s="133">
        <v>0.15059</v>
      </c>
      <c r="J1095" s="134">
        <f>IF(Tabela8[[#This Row],[Tipo]]="jcp",Tabela8[[#This Row],[Provento p/Ação]]*85%,Tabela8[[#This Row],[Provento p/Ação]])</f>
        <v>0</v>
      </c>
      <c r="K1095" s="133">
        <f>IF([Lucro p/Ação]&lt;&gt;0,SUMPRODUCT(N([Papel]=Tabela8[[#This Row],[Papel]]),N([Exercício]=Tabela8[[#This Row],[Exercício]]),[Líquido p/Ação]),"")</f>
        <v>0</v>
      </c>
      <c r="L1095" s="42">
        <f>IF(Tabela8[[#This Row],[Lucro p/Ação]]="","",IF(Tabela8[[#This Row],[Lucro p/Ação]]&gt;0,Tabela8[[#This Row],[Total Exercício]]/Tabela8[[#This Row],[Lucro p/Ação]],0))</f>
        <v>0</v>
      </c>
      <c r="M109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1.7088615384615387</v>
      </c>
      <c r="N109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5" s="19">
        <f>IF(Tabela8[[#This Row],[Média Lucro p/Ação]]&lt;&gt;"",Tabela8[[#This Row],[Média Pago]]/Tabela8[[#This Row],[Média Lucro p/Ação]],"")</f>
        <v>0</v>
      </c>
      <c r="P109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5" s="134">
        <f>SUMPRODUCT(N(Tabela1[Código]=Tabela8[[#This Row],[Papel]]),Tabela1[Fechamento])</f>
        <v>9.67</v>
      </c>
      <c r="R1095" s="17">
        <f>SUMPRODUCT(N(Tabela17[Código]=Tabela8[[#This Row],[Papel]]),Tabela17[Fechamento])</f>
        <v>0</v>
      </c>
      <c r="S1095" s="17">
        <f>SUMPRODUCT(N(Tabela176[Código]=Tabela8[[#This Row],[Papel]]),Tabela176[Fechamento])</f>
        <v>0</v>
      </c>
      <c r="T1095" s="17">
        <f>SUMPRODUCT(N(Tabela1768[Código]=Tabela8[[#This Row],[Papel]]),Tabela1768[Fechamento])</f>
        <v>0</v>
      </c>
      <c r="U1095" s="17">
        <f>SUMPRODUCT(N(Tabela17683[Código]=Tabela8[[#This Row],[Papel]]),Tabela17683[Fechamento])</f>
        <v>0</v>
      </c>
      <c r="V1095" s="17">
        <f>IF(MAX(Tabela8[[#This Row],[Cotação 1]]:Tabela8[[#This Row],[Cotação 5]])=0,"",MAX(Tabela8[[#This Row],[Cotação 1]]:Tabela8[[#This Row],[Cotação 5]]))</f>
        <v>9.67</v>
      </c>
      <c r="W109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5" s="19">
        <f>IF(AND([Ref]=5,[Cotação]&gt;0,[Cotação]&lt;&gt;""),[Total Exercício]/[Cotação],IF([Ref]&lt;4,0,""))</f>
        <v>0</v>
      </c>
      <c r="Y1095" s="14">
        <f>IF([Tipo]="div",1,0)</f>
        <v>0</v>
      </c>
      <c r="Z1095" s="14">
        <f>IF([Tipo]="jcp",1,0)</f>
        <v>0</v>
      </c>
    </row>
    <row r="1096" spans="1:26" hidden="1">
      <c r="A1096" s="4" t="s">
        <v>12</v>
      </c>
      <c r="B1096" s="139" t="s">
        <v>2</v>
      </c>
      <c r="C1096" s="15">
        <v>5</v>
      </c>
      <c r="D1096" s="14">
        <v>2008</v>
      </c>
      <c r="F1096" s="133">
        <v>5.4192200000000001</v>
      </c>
      <c r="J1096" s="134">
        <f>IF(Tabela8[[#This Row],[Tipo]]="jcp",Tabela8[[#This Row],[Provento p/Ação]]*85%,Tabela8[[#This Row],[Provento p/Ação]])</f>
        <v>0</v>
      </c>
      <c r="K1096" s="133">
        <f>IF([Lucro p/Ação]&lt;&gt;0,SUMPRODUCT(N([Papel]=Tabela8[[#This Row],[Papel]]),N([Exercício]=Tabela8[[#This Row],[Exercício]]),[Líquido p/Ação]),"")</f>
        <v>0</v>
      </c>
      <c r="L1096" s="42">
        <f>IF(Tabela8[[#This Row],[Lucro p/Ação]]="","",IF(Tabela8[[#This Row],[Lucro p/Ação]]&gt;0,Tabela8[[#This Row],[Total Exercício]]/Tabela8[[#This Row],[Lucro p/Ação]],0))</f>
        <v>0</v>
      </c>
      <c r="M109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1.8387175000000002</v>
      </c>
      <c r="N109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6" s="19">
        <f>IF(Tabela8[[#This Row],[Média Lucro p/Ação]]&lt;&gt;"",Tabela8[[#This Row],[Média Pago]]/Tabela8[[#This Row],[Média Lucro p/Ação]],"")</f>
        <v>0</v>
      </c>
      <c r="P109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6" s="134">
        <f>SUMPRODUCT(N(Tabela1[Código]=Tabela8[[#This Row],[Papel]]),Tabela1[Fechamento])</f>
        <v>5.35</v>
      </c>
      <c r="R1096" s="7">
        <f>SUMPRODUCT(N(Tabela17[Código]=Tabela8[[#This Row],[Papel]]),Tabela17[Fechamento])</f>
        <v>0</v>
      </c>
      <c r="S1096" s="7">
        <f>SUMPRODUCT(N(Tabela176[Código]=Tabela8[[#This Row],[Papel]]),Tabela176[Fechamento])</f>
        <v>0</v>
      </c>
      <c r="T1096" s="7">
        <f>SUMPRODUCT(N(Tabela1768[Código]=Tabela8[[#This Row],[Papel]]),Tabela1768[Fechamento])</f>
        <v>0</v>
      </c>
      <c r="U1096" s="7">
        <f>SUMPRODUCT(N(Tabela17683[Código]=Tabela8[[#This Row],[Papel]]),Tabela17683[Fechamento])</f>
        <v>0</v>
      </c>
      <c r="V1096" s="7">
        <f>IF(MAX(Tabela8[[#This Row],[Cotação 1]]:Tabela8[[#This Row],[Cotação 5]])=0,"",MAX(Tabela8[[#This Row],[Cotação 1]]:Tabela8[[#This Row],[Cotação 5]]))</f>
        <v>5.35</v>
      </c>
      <c r="W109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6" s="19">
        <f>IF(AND([Ref]=5,[Cotação]&gt;0,[Cotação]&lt;&gt;""),[Total Exercício]/[Cotação],IF([Ref]&lt;4,0,""))</f>
        <v>0</v>
      </c>
      <c r="Y1096" s="14">
        <f>IF([Tipo]="div",1,0)</f>
        <v>0</v>
      </c>
      <c r="Z1096" s="14">
        <f>IF([Tipo]="jcp",1,0)</f>
        <v>0</v>
      </c>
    </row>
    <row r="1097" spans="1:26" hidden="1">
      <c r="A1097" s="4" t="s">
        <v>12</v>
      </c>
      <c r="B1097" s="139" t="s">
        <v>450</v>
      </c>
      <c r="C1097" s="15">
        <v>5</v>
      </c>
      <c r="D1097" s="14">
        <v>2008</v>
      </c>
      <c r="F1097" s="133">
        <v>5.4192200000000001</v>
      </c>
      <c r="J1097" s="134">
        <f>IF(Tabela8[[#This Row],[Tipo]]="jcp",Tabela8[[#This Row],[Provento p/Ação]]*85%,Tabela8[[#This Row],[Provento p/Ação]])</f>
        <v>0</v>
      </c>
      <c r="K1097" s="133">
        <f>IF([Lucro p/Ação]&lt;&gt;0,SUMPRODUCT(N([Papel]=Tabela8[[#This Row],[Papel]]),N([Exercício]=Tabela8[[#This Row],[Exercício]]),[Líquido p/Ação]),"")</f>
        <v>0</v>
      </c>
      <c r="L1097" s="42">
        <f>IF(Tabela8[[#This Row],[Lucro p/Ação]]="","",IF(Tabela8[[#This Row],[Lucro p/Ação]]&gt;0,Tabela8[[#This Row],[Total Exercício]]/Tabela8[[#This Row],[Lucro p/Ação]],0))</f>
        <v>0</v>
      </c>
      <c r="M109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1.8387175000000002</v>
      </c>
      <c r="N109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7" s="19">
        <f>IF(Tabela8[[#This Row],[Média Lucro p/Ação]]&lt;&gt;"",Tabela8[[#This Row],[Média Pago]]/Tabela8[[#This Row],[Média Lucro p/Ação]],"")</f>
        <v>0</v>
      </c>
      <c r="P109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7" s="134">
        <f>SUMPRODUCT(N(Tabela1[Código]=Tabela8[[#This Row],[Papel]]),Tabela1[Fechamento])</f>
        <v>0</v>
      </c>
      <c r="R1097" s="7">
        <f>SUMPRODUCT(N(Tabela17[Código]=Tabela8[[#This Row],[Papel]]),Tabela17[Fechamento])</f>
        <v>23.01</v>
      </c>
      <c r="S1097" s="7">
        <f>SUMPRODUCT(N(Tabela176[Código]=Tabela8[[#This Row],[Papel]]),Tabela176[Fechamento])</f>
        <v>0</v>
      </c>
      <c r="T1097" s="7">
        <f>SUMPRODUCT(N(Tabela1768[Código]=Tabela8[[#This Row],[Papel]]),Tabela1768[Fechamento])</f>
        <v>0</v>
      </c>
      <c r="U1097" s="7">
        <f>SUMPRODUCT(N(Tabela17683[Código]=Tabela8[[#This Row],[Papel]]),Tabela17683[Fechamento])</f>
        <v>0</v>
      </c>
      <c r="V1097" s="7">
        <f>IF(MAX(Tabela8[[#This Row],[Cotação 1]]:Tabela8[[#This Row],[Cotação 5]])=0,"",MAX(Tabela8[[#This Row],[Cotação 1]]:Tabela8[[#This Row],[Cotação 5]]))</f>
        <v>23.01</v>
      </c>
      <c r="W109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7" s="19">
        <f>IF(AND([Ref]=5,[Cotação]&gt;0,[Cotação]&lt;&gt;""),[Total Exercício]/[Cotação],IF([Ref]&lt;4,0,""))</f>
        <v>0</v>
      </c>
      <c r="Y1097" s="14">
        <f>IF([Tipo]="div",1,0)</f>
        <v>0</v>
      </c>
      <c r="Z1097" s="14">
        <f>IF([Tipo]="jcp",1,0)</f>
        <v>0</v>
      </c>
    </row>
    <row r="1098" spans="1:26" hidden="1">
      <c r="A1098" s="4" t="s">
        <v>12</v>
      </c>
      <c r="B1098" s="131" t="s">
        <v>27</v>
      </c>
      <c r="C1098" s="15">
        <v>5</v>
      </c>
      <c r="D1098" s="14">
        <v>2008</v>
      </c>
      <c r="F1098" s="133">
        <v>5.4192200000000001</v>
      </c>
      <c r="J1098" s="134">
        <f>IF(Tabela8[[#This Row],[Tipo]]="jcp",Tabela8[[#This Row],[Provento p/Ação]]*85%,Tabela8[[#This Row],[Provento p/Ação]])</f>
        <v>0</v>
      </c>
      <c r="K1098" s="133">
        <f>IF([Lucro p/Ação]&lt;&gt;0,SUMPRODUCT(N([Papel]=Tabela8[[#This Row],[Papel]]),N([Exercício]=Tabela8[[#This Row],[Exercício]]),[Líquido p/Ação]),"")</f>
        <v>0</v>
      </c>
      <c r="L1098" s="42">
        <f>IF(Tabela8[[#This Row],[Lucro p/Ação]]="","",IF(Tabela8[[#This Row],[Lucro p/Ação]]&gt;0,Tabela8[[#This Row],[Total Exercício]]/Tabela8[[#This Row],[Lucro p/Ação]],0))</f>
        <v>0</v>
      </c>
      <c r="M109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1.8387175000000002</v>
      </c>
      <c r="N109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8" s="19">
        <f>IF(Tabela8[[#This Row],[Média Lucro p/Ação]]&lt;&gt;"",Tabela8[[#This Row],[Média Pago]]/Tabela8[[#This Row],[Média Lucro p/Ação]],"")</f>
        <v>0</v>
      </c>
      <c r="P109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8" s="134">
        <f>SUMPRODUCT(N(Tabela1[Código]=Tabela8[[#This Row],[Papel]]),Tabela1[Fechamento])</f>
        <v>9.67</v>
      </c>
      <c r="R1098" s="17">
        <f>SUMPRODUCT(N(Tabela17[Código]=Tabela8[[#This Row],[Papel]]),Tabela17[Fechamento])</f>
        <v>0</v>
      </c>
      <c r="S1098" s="17">
        <f>SUMPRODUCT(N(Tabela176[Código]=Tabela8[[#This Row],[Papel]]),Tabela176[Fechamento])</f>
        <v>0</v>
      </c>
      <c r="T1098" s="17">
        <f>SUMPRODUCT(N(Tabela1768[Código]=Tabela8[[#This Row],[Papel]]),Tabela1768[Fechamento])</f>
        <v>0</v>
      </c>
      <c r="U1098" s="17">
        <f>SUMPRODUCT(N(Tabela17683[Código]=Tabela8[[#This Row],[Papel]]),Tabela17683[Fechamento])</f>
        <v>0</v>
      </c>
      <c r="V1098" s="17">
        <f>IF(MAX(Tabela8[[#This Row],[Cotação 1]]:Tabela8[[#This Row],[Cotação 5]])=0,"",MAX(Tabela8[[#This Row],[Cotação 1]]:Tabela8[[#This Row],[Cotação 5]]))</f>
        <v>9.67</v>
      </c>
      <c r="W109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8" s="19">
        <f>IF(AND([Ref]=5,[Cotação]&gt;0,[Cotação]&lt;&gt;""),[Total Exercício]/[Cotação],IF([Ref]&lt;4,0,""))</f>
        <v>0</v>
      </c>
      <c r="Y1098" s="14">
        <f>IF([Tipo]="div",1,0)</f>
        <v>0</v>
      </c>
      <c r="Z1098" s="14">
        <f>IF([Tipo]="jcp",1,0)</f>
        <v>0</v>
      </c>
    </row>
    <row r="1099" spans="1:26" hidden="1">
      <c r="A1099" s="4" t="s">
        <v>12</v>
      </c>
      <c r="B1099" s="139" t="s">
        <v>2</v>
      </c>
      <c r="C1099" s="15">
        <v>5</v>
      </c>
      <c r="D1099" s="14">
        <v>2007</v>
      </c>
      <c r="F1099" s="133">
        <v>1.37039</v>
      </c>
      <c r="J1099" s="134">
        <f>IF(Tabela8[[#This Row],[Tipo]]="jcp",Tabela8[[#This Row],[Provento p/Ação]]*85%,Tabela8[[#This Row],[Provento p/Ação]])</f>
        <v>0</v>
      </c>
      <c r="K1099" s="133">
        <f>IF([Lucro p/Ação]&lt;&gt;0,SUMPRODUCT(N([Papel]=Tabela8[[#This Row],[Papel]]),N([Exercício]=Tabela8[[#This Row],[Exercício]]),[Líquido p/Ação]),"")</f>
        <v>0</v>
      </c>
      <c r="L1099" s="42">
        <f>IF(Tabela8[[#This Row],[Lucro p/Ação]]="","",IF(Tabela8[[#This Row],[Lucro p/Ação]]&gt;0,Tabela8[[#This Row],[Total Exercício]]/Tabela8[[#This Row],[Lucro p/Ação]],0))</f>
        <v>0</v>
      </c>
      <c r="M109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1.5132172727272726</v>
      </c>
      <c r="N109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099" s="19">
        <f>IF(Tabela8[[#This Row],[Média Lucro p/Ação]]&lt;&gt;"",Tabela8[[#This Row],[Média Pago]]/Tabela8[[#This Row],[Média Lucro p/Ação]],"")</f>
        <v>0</v>
      </c>
      <c r="P109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099" s="134">
        <f>SUMPRODUCT(N(Tabela1[Código]=Tabela8[[#This Row],[Papel]]),Tabela1[Fechamento])</f>
        <v>5.35</v>
      </c>
      <c r="R1099" s="7">
        <f>SUMPRODUCT(N(Tabela17[Código]=Tabela8[[#This Row],[Papel]]),Tabela17[Fechamento])</f>
        <v>0</v>
      </c>
      <c r="S1099" s="7">
        <f>SUMPRODUCT(N(Tabela176[Código]=Tabela8[[#This Row],[Papel]]),Tabela176[Fechamento])</f>
        <v>0</v>
      </c>
      <c r="T1099" s="7">
        <f>SUMPRODUCT(N(Tabela1768[Código]=Tabela8[[#This Row],[Papel]]),Tabela1768[Fechamento])</f>
        <v>0</v>
      </c>
      <c r="U1099" s="7">
        <f>SUMPRODUCT(N(Tabela17683[Código]=Tabela8[[#This Row],[Papel]]),Tabela17683[Fechamento])</f>
        <v>0</v>
      </c>
      <c r="V1099" s="7">
        <f>IF(MAX(Tabela8[[#This Row],[Cotação 1]]:Tabela8[[#This Row],[Cotação 5]])=0,"",MAX(Tabela8[[#This Row],[Cotação 1]]:Tabela8[[#This Row],[Cotação 5]]))</f>
        <v>5.35</v>
      </c>
      <c r="W109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099" s="19">
        <f>IF(AND([Ref]=5,[Cotação]&gt;0,[Cotação]&lt;&gt;""),[Total Exercício]/[Cotação],IF([Ref]&lt;4,0,""))</f>
        <v>0</v>
      </c>
      <c r="Y1099" s="14">
        <f>IF([Tipo]="div",1,0)</f>
        <v>0</v>
      </c>
      <c r="Z1099" s="14">
        <f>IF([Tipo]="jcp",1,0)</f>
        <v>0</v>
      </c>
    </row>
    <row r="1100" spans="1:26" hidden="1">
      <c r="A1100" s="4" t="s">
        <v>12</v>
      </c>
      <c r="B1100" s="139" t="s">
        <v>450</v>
      </c>
      <c r="C1100" s="15">
        <v>5</v>
      </c>
      <c r="D1100" s="14">
        <v>2007</v>
      </c>
      <c r="F1100" s="133">
        <v>1.37039</v>
      </c>
      <c r="J1100" s="134">
        <f>IF(Tabela8[[#This Row],[Tipo]]="jcp",Tabela8[[#This Row],[Provento p/Ação]]*85%,Tabela8[[#This Row],[Provento p/Ação]])</f>
        <v>0</v>
      </c>
      <c r="K1100" s="133">
        <f>IF([Lucro p/Ação]&lt;&gt;0,SUMPRODUCT(N([Papel]=Tabela8[[#This Row],[Papel]]),N([Exercício]=Tabela8[[#This Row],[Exercício]]),[Líquido p/Ação]),"")</f>
        <v>0</v>
      </c>
      <c r="L1100" s="42">
        <f>IF(Tabela8[[#This Row],[Lucro p/Ação]]="","",IF(Tabela8[[#This Row],[Lucro p/Ação]]&gt;0,Tabela8[[#This Row],[Total Exercício]]/Tabela8[[#This Row],[Lucro p/Ação]],0))</f>
        <v>0</v>
      </c>
      <c r="M110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1.5132172727272726</v>
      </c>
      <c r="N110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0" s="19">
        <f>IF(Tabela8[[#This Row],[Média Lucro p/Ação]]&lt;&gt;"",Tabela8[[#This Row],[Média Pago]]/Tabela8[[#This Row],[Média Lucro p/Ação]],"")</f>
        <v>0</v>
      </c>
      <c r="P110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0" s="134">
        <f>SUMPRODUCT(N(Tabela1[Código]=Tabela8[[#This Row],[Papel]]),Tabela1[Fechamento])</f>
        <v>0</v>
      </c>
      <c r="R1100" s="7">
        <f>SUMPRODUCT(N(Tabela17[Código]=Tabela8[[#This Row],[Papel]]),Tabela17[Fechamento])</f>
        <v>23.01</v>
      </c>
      <c r="S1100" s="7">
        <f>SUMPRODUCT(N(Tabela176[Código]=Tabela8[[#This Row],[Papel]]),Tabela176[Fechamento])</f>
        <v>0</v>
      </c>
      <c r="T1100" s="7">
        <f>SUMPRODUCT(N(Tabela1768[Código]=Tabela8[[#This Row],[Papel]]),Tabela1768[Fechamento])</f>
        <v>0</v>
      </c>
      <c r="U1100" s="7">
        <f>SUMPRODUCT(N(Tabela17683[Código]=Tabela8[[#This Row],[Papel]]),Tabela17683[Fechamento])</f>
        <v>0</v>
      </c>
      <c r="V1100" s="7">
        <f>IF(MAX(Tabela8[[#This Row],[Cotação 1]]:Tabela8[[#This Row],[Cotação 5]])=0,"",MAX(Tabela8[[#This Row],[Cotação 1]]:Tabela8[[#This Row],[Cotação 5]]))</f>
        <v>23.01</v>
      </c>
      <c r="W110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0" s="19">
        <f>IF(AND([Ref]=5,[Cotação]&gt;0,[Cotação]&lt;&gt;""),[Total Exercício]/[Cotação],IF([Ref]&lt;4,0,""))</f>
        <v>0</v>
      </c>
      <c r="Y1100" s="14">
        <f>IF([Tipo]="div",1,0)</f>
        <v>0</v>
      </c>
      <c r="Z1100" s="14">
        <f>IF([Tipo]="jcp",1,0)</f>
        <v>0</v>
      </c>
    </row>
    <row r="1101" spans="1:26" hidden="1">
      <c r="A1101" s="4" t="s">
        <v>12</v>
      </c>
      <c r="B1101" s="131" t="s">
        <v>27</v>
      </c>
      <c r="C1101" s="15">
        <v>5</v>
      </c>
      <c r="D1101" s="14">
        <v>2007</v>
      </c>
      <c r="F1101" s="133">
        <v>1.37039</v>
      </c>
      <c r="J1101" s="134">
        <f>IF(Tabela8[[#This Row],[Tipo]]="jcp",Tabela8[[#This Row],[Provento p/Ação]]*85%,Tabela8[[#This Row],[Provento p/Ação]])</f>
        <v>0</v>
      </c>
      <c r="K1101" s="133">
        <f>IF([Lucro p/Ação]&lt;&gt;0,SUMPRODUCT(N([Papel]=Tabela8[[#This Row],[Papel]]),N([Exercício]=Tabela8[[#This Row],[Exercício]]),[Líquido p/Ação]),"")</f>
        <v>0</v>
      </c>
      <c r="L1101" s="42">
        <f>IF(Tabela8[[#This Row],[Lucro p/Ação]]="","",IF(Tabela8[[#This Row],[Lucro p/Ação]]&gt;0,Tabela8[[#This Row],[Total Exercício]]/Tabela8[[#This Row],[Lucro p/Ação]],0))</f>
        <v>0</v>
      </c>
      <c r="M110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1.5132172727272726</v>
      </c>
      <c r="N110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1" s="19">
        <f>IF(Tabela8[[#This Row],[Média Lucro p/Ação]]&lt;&gt;"",Tabela8[[#This Row],[Média Pago]]/Tabela8[[#This Row],[Média Lucro p/Ação]],"")</f>
        <v>0</v>
      </c>
      <c r="P110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1" s="134">
        <f>SUMPRODUCT(N(Tabela1[Código]=Tabela8[[#This Row],[Papel]]),Tabela1[Fechamento])</f>
        <v>9.67</v>
      </c>
      <c r="R1101" s="17">
        <f>SUMPRODUCT(N(Tabela17[Código]=Tabela8[[#This Row],[Papel]]),Tabela17[Fechamento])</f>
        <v>0</v>
      </c>
      <c r="S1101" s="17">
        <f>SUMPRODUCT(N(Tabela176[Código]=Tabela8[[#This Row],[Papel]]),Tabela176[Fechamento])</f>
        <v>0</v>
      </c>
      <c r="T1101" s="17">
        <f>SUMPRODUCT(N(Tabela1768[Código]=Tabela8[[#This Row],[Papel]]),Tabela1768[Fechamento])</f>
        <v>0</v>
      </c>
      <c r="U1101" s="17">
        <f>SUMPRODUCT(N(Tabela17683[Código]=Tabela8[[#This Row],[Papel]]),Tabela17683[Fechamento])</f>
        <v>0</v>
      </c>
      <c r="V1101" s="17">
        <f>IF(MAX(Tabela8[[#This Row],[Cotação 1]]:Tabela8[[#This Row],[Cotação 5]])=0,"",MAX(Tabela8[[#This Row],[Cotação 1]]:Tabela8[[#This Row],[Cotação 5]]))</f>
        <v>9.67</v>
      </c>
      <c r="W110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1" s="19">
        <f>IF(AND([Ref]=5,[Cotação]&gt;0,[Cotação]&lt;&gt;""),[Total Exercício]/[Cotação],IF([Ref]&lt;4,0,""))</f>
        <v>0</v>
      </c>
      <c r="Y1101" s="14">
        <f>IF([Tipo]="div",1,0)</f>
        <v>0</v>
      </c>
      <c r="Z1101" s="14">
        <f>IF([Tipo]="jcp",1,0)</f>
        <v>0</v>
      </c>
    </row>
    <row r="1102" spans="1:26" hidden="1">
      <c r="A1102" s="4" t="s">
        <v>12</v>
      </c>
      <c r="B1102" s="139" t="s">
        <v>2</v>
      </c>
      <c r="C1102" s="15">
        <v>5</v>
      </c>
      <c r="D1102" s="14">
        <v>2006</v>
      </c>
      <c r="F1102" s="133">
        <f>0.00206*500</f>
        <v>1.03</v>
      </c>
      <c r="J1102" s="134">
        <f>IF(Tabela8[[#This Row],[Tipo]]="jcp",Tabela8[[#This Row],[Provento p/Ação]]*85%,Tabela8[[#This Row],[Provento p/Ação]])</f>
        <v>0</v>
      </c>
      <c r="K1102" s="133">
        <f>IF([Lucro p/Ação]&lt;&gt;0,SUMPRODUCT(N([Papel]=Tabela8[[#This Row],[Papel]]),N([Exercício]=Tabela8[[#This Row],[Exercício]]),[Líquido p/Ação]),"")</f>
        <v>0</v>
      </c>
      <c r="L1102" s="42">
        <f>IF(Tabela8[[#This Row],[Lucro p/Ação]]="","",IF(Tabela8[[#This Row],[Lucro p/Ação]]&gt;0,Tabela8[[#This Row],[Total Exercício]]/Tabela8[[#This Row],[Lucro p/Ação]],0))</f>
        <v>0</v>
      </c>
      <c r="M110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1.5274999999999999</v>
      </c>
      <c r="N110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2" s="19">
        <f>IF(Tabela8[[#This Row],[Média Lucro p/Ação]]&lt;&gt;"",Tabela8[[#This Row],[Média Pago]]/Tabela8[[#This Row],[Média Lucro p/Ação]],"")</f>
        <v>0</v>
      </c>
      <c r="P110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2" s="134">
        <f>SUMPRODUCT(N(Tabela1[Código]=Tabela8[[#This Row],[Papel]]),Tabela1[Fechamento])</f>
        <v>5.35</v>
      </c>
      <c r="R1102" s="7">
        <f>SUMPRODUCT(N(Tabela17[Código]=Tabela8[[#This Row],[Papel]]),Tabela17[Fechamento])</f>
        <v>0</v>
      </c>
      <c r="S1102" s="7">
        <f>SUMPRODUCT(N(Tabela176[Código]=Tabela8[[#This Row],[Papel]]),Tabela176[Fechamento])</f>
        <v>0</v>
      </c>
      <c r="T1102" s="7">
        <f>SUMPRODUCT(N(Tabela1768[Código]=Tabela8[[#This Row],[Papel]]),Tabela1768[Fechamento])</f>
        <v>0</v>
      </c>
      <c r="U1102" s="7">
        <f>SUMPRODUCT(N(Tabela17683[Código]=Tabela8[[#This Row],[Papel]]),Tabela17683[Fechamento])</f>
        <v>0</v>
      </c>
      <c r="V1102" s="7">
        <f>IF(MAX(Tabela8[[#This Row],[Cotação 1]]:Tabela8[[#This Row],[Cotação 5]])=0,"",MAX(Tabela8[[#This Row],[Cotação 1]]:Tabela8[[#This Row],[Cotação 5]]))</f>
        <v>5.35</v>
      </c>
      <c r="W110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2" s="19">
        <f>IF(AND([Ref]=5,[Cotação]&gt;0,[Cotação]&lt;&gt;""),[Total Exercício]/[Cotação],IF([Ref]&lt;4,0,""))</f>
        <v>0</v>
      </c>
      <c r="Y1102" s="14">
        <f>IF([Tipo]="div",1,0)</f>
        <v>0</v>
      </c>
      <c r="Z1102" s="14">
        <f>IF([Tipo]="jcp",1,0)</f>
        <v>0</v>
      </c>
    </row>
    <row r="1103" spans="1:26" hidden="1">
      <c r="A1103" s="4" t="s">
        <v>12</v>
      </c>
      <c r="B1103" s="139" t="s">
        <v>450</v>
      </c>
      <c r="C1103" s="15">
        <v>5</v>
      </c>
      <c r="D1103" s="14">
        <v>2006</v>
      </c>
      <c r="F1103" s="133">
        <f>0.00206*500</f>
        <v>1.03</v>
      </c>
      <c r="J1103" s="134">
        <f>IF(Tabela8[[#This Row],[Tipo]]="jcp",Tabela8[[#This Row],[Provento p/Ação]]*85%,Tabela8[[#This Row],[Provento p/Ação]])</f>
        <v>0</v>
      </c>
      <c r="K1103" s="133">
        <f>IF([Lucro p/Ação]&lt;&gt;0,SUMPRODUCT(N([Papel]=Tabela8[[#This Row],[Papel]]),N([Exercício]=Tabela8[[#This Row],[Exercício]]),[Líquido p/Ação]),"")</f>
        <v>0</v>
      </c>
      <c r="L1103" s="42">
        <f>IF(Tabela8[[#This Row],[Lucro p/Ação]]="","",IF(Tabela8[[#This Row],[Lucro p/Ação]]&gt;0,Tabela8[[#This Row],[Total Exercício]]/Tabela8[[#This Row],[Lucro p/Ação]],0))</f>
        <v>0</v>
      </c>
      <c r="M110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1.5274999999999999</v>
      </c>
      <c r="N110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3" s="19">
        <f>IF(Tabela8[[#This Row],[Média Lucro p/Ação]]&lt;&gt;"",Tabela8[[#This Row],[Média Pago]]/Tabela8[[#This Row],[Média Lucro p/Ação]],"")</f>
        <v>0</v>
      </c>
      <c r="P110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3" s="134">
        <f>SUMPRODUCT(N(Tabela1[Código]=Tabela8[[#This Row],[Papel]]),Tabela1[Fechamento])</f>
        <v>0</v>
      </c>
      <c r="R1103" s="7">
        <f>SUMPRODUCT(N(Tabela17[Código]=Tabela8[[#This Row],[Papel]]),Tabela17[Fechamento])</f>
        <v>23.01</v>
      </c>
      <c r="S1103" s="7">
        <f>SUMPRODUCT(N(Tabela176[Código]=Tabela8[[#This Row],[Papel]]),Tabela176[Fechamento])</f>
        <v>0</v>
      </c>
      <c r="T1103" s="7">
        <f>SUMPRODUCT(N(Tabela1768[Código]=Tabela8[[#This Row],[Papel]]),Tabela1768[Fechamento])</f>
        <v>0</v>
      </c>
      <c r="U1103" s="7">
        <f>SUMPRODUCT(N(Tabela17683[Código]=Tabela8[[#This Row],[Papel]]),Tabela17683[Fechamento])</f>
        <v>0</v>
      </c>
      <c r="V1103" s="7">
        <f>IF(MAX(Tabela8[[#This Row],[Cotação 1]]:Tabela8[[#This Row],[Cotação 5]])=0,"",MAX(Tabela8[[#This Row],[Cotação 1]]:Tabela8[[#This Row],[Cotação 5]]))</f>
        <v>23.01</v>
      </c>
      <c r="W110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3" s="19">
        <f>IF(AND([Ref]=5,[Cotação]&gt;0,[Cotação]&lt;&gt;""),[Total Exercício]/[Cotação],IF([Ref]&lt;4,0,""))</f>
        <v>0</v>
      </c>
      <c r="Y1103" s="14">
        <f>IF([Tipo]="div",1,0)</f>
        <v>0</v>
      </c>
      <c r="Z1103" s="14">
        <f>IF([Tipo]="jcp",1,0)</f>
        <v>0</v>
      </c>
    </row>
    <row r="1104" spans="1:26" hidden="1">
      <c r="A1104" s="4" t="s">
        <v>12</v>
      </c>
      <c r="B1104" s="131" t="s">
        <v>27</v>
      </c>
      <c r="C1104" s="15">
        <v>5</v>
      </c>
      <c r="D1104" s="14">
        <v>2006</v>
      </c>
      <c r="F1104" s="133">
        <f>0.00206*500</f>
        <v>1.03</v>
      </c>
      <c r="J1104" s="134">
        <f>IF(Tabela8[[#This Row],[Tipo]]="jcp",Tabela8[[#This Row],[Provento p/Ação]]*85%,Tabela8[[#This Row],[Provento p/Ação]])</f>
        <v>0</v>
      </c>
      <c r="K1104" s="133">
        <f>IF([Lucro p/Ação]&lt;&gt;0,SUMPRODUCT(N([Papel]=Tabela8[[#This Row],[Papel]]),N([Exercício]=Tabela8[[#This Row],[Exercício]]),[Líquido p/Ação]),"")</f>
        <v>0</v>
      </c>
      <c r="L1104" s="42">
        <f>IF(Tabela8[[#This Row],[Lucro p/Ação]]="","",IF(Tabela8[[#This Row],[Lucro p/Ação]]&gt;0,Tabela8[[#This Row],[Total Exercício]]/Tabela8[[#This Row],[Lucro p/Ação]],0))</f>
        <v>0</v>
      </c>
      <c r="M110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1.5274999999999999</v>
      </c>
      <c r="N110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4" s="19">
        <f>IF(Tabela8[[#This Row],[Média Lucro p/Ação]]&lt;&gt;"",Tabela8[[#This Row],[Média Pago]]/Tabela8[[#This Row],[Média Lucro p/Ação]],"")</f>
        <v>0</v>
      </c>
      <c r="P110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4" s="134">
        <f>SUMPRODUCT(N(Tabela1[Código]=Tabela8[[#This Row],[Papel]]),Tabela1[Fechamento])</f>
        <v>9.67</v>
      </c>
      <c r="R1104" s="7">
        <f>SUMPRODUCT(N(Tabela17[Código]=Tabela8[[#This Row],[Papel]]),Tabela17[Fechamento])</f>
        <v>0</v>
      </c>
      <c r="S1104" s="7">
        <f>SUMPRODUCT(N(Tabela176[Código]=Tabela8[[#This Row],[Papel]]),Tabela176[Fechamento])</f>
        <v>0</v>
      </c>
      <c r="T1104" s="7">
        <f>SUMPRODUCT(N(Tabela1768[Código]=Tabela8[[#This Row],[Papel]]),Tabela1768[Fechamento])</f>
        <v>0</v>
      </c>
      <c r="U1104" s="7">
        <f>SUMPRODUCT(N(Tabela17683[Código]=Tabela8[[#This Row],[Papel]]),Tabela17683[Fechamento])</f>
        <v>0</v>
      </c>
      <c r="V1104" s="7">
        <f>IF(MAX(Tabela8[[#This Row],[Cotação 1]]:Tabela8[[#This Row],[Cotação 5]])=0,"",MAX(Tabela8[[#This Row],[Cotação 1]]:Tabela8[[#This Row],[Cotação 5]]))</f>
        <v>9.67</v>
      </c>
      <c r="W110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4" s="19">
        <f>IF(AND([Ref]=5,[Cotação]&gt;0,[Cotação]&lt;&gt;""),[Total Exercício]/[Cotação],IF([Ref]&lt;4,0,""))</f>
        <v>0</v>
      </c>
      <c r="Y1104" s="14">
        <f>IF([Tipo]="div",1,0)</f>
        <v>0</v>
      </c>
      <c r="Z1104" s="14">
        <f>IF([Tipo]="jcp",1,0)</f>
        <v>0</v>
      </c>
    </row>
    <row r="1105" spans="1:26" hidden="1">
      <c r="A1105" s="4" t="s">
        <v>12</v>
      </c>
      <c r="B1105" s="139" t="s">
        <v>2</v>
      </c>
      <c r="C1105" s="15">
        <v>5</v>
      </c>
      <c r="D1105" s="14">
        <v>2005</v>
      </c>
      <c r="F1105" s="133">
        <f>0.00173*500</f>
        <v>0.86499999999999999</v>
      </c>
      <c r="J1105" s="134">
        <f>IF(Tabela8[[#This Row],[Tipo]]="jcp",Tabela8[[#This Row],[Provento p/Ação]]*85%,Tabela8[[#This Row],[Provento p/Ação]])</f>
        <v>0</v>
      </c>
      <c r="K1105" s="133">
        <f>IF([Lucro p/Ação]&lt;&gt;0,SUMPRODUCT(N([Papel]=Tabela8[[#This Row],[Papel]]),N([Exercício]=Tabela8[[#This Row],[Exercício]]),[Líquido p/Ação]),"")</f>
        <v>0</v>
      </c>
      <c r="L1105" s="42">
        <f>IF(Tabela8[[#This Row],[Lucro p/Ação]]="","",IF(Tabela8[[#This Row],[Lucro p/Ação]]&gt;0,Tabela8[[#This Row],[Total Exercício]]/Tabela8[[#This Row],[Lucro p/Ação]],0))</f>
        <v>0</v>
      </c>
      <c r="M110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1.5827777777777778</v>
      </c>
      <c r="N110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5" s="19">
        <f>IF(Tabela8[[#This Row],[Média Lucro p/Ação]]&lt;&gt;"",Tabela8[[#This Row],[Média Pago]]/Tabela8[[#This Row],[Média Lucro p/Ação]],"")</f>
        <v>0</v>
      </c>
      <c r="P110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5" s="134">
        <f>SUMPRODUCT(N(Tabela1[Código]=Tabela8[[#This Row],[Papel]]),Tabela1[Fechamento])</f>
        <v>5.35</v>
      </c>
      <c r="R1105" s="7">
        <f>SUMPRODUCT(N(Tabela17[Código]=Tabela8[[#This Row],[Papel]]),Tabela17[Fechamento])</f>
        <v>0</v>
      </c>
      <c r="S1105" s="7">
        <f>SUMPRODUCT(N(Tabela176[Código]=Tabela8[[#This Row],[Papel]]),Tabela176[Fechamento])</f>
        <v>0</v>
      </c>
      <c r="T1105" s="7">
        <f>SUMPRODUCT(N(Tabela1768[Código]=Tabela8[[#This Row],[Papel]]),Tabela1768[Fechamento])</f>
        <v>0</v>
      </c>
      <c r="U1105" s="7">
        <f>SUMPRODUCT(N(Tabela17683[Código]=Tabela8[[#This Row],[Papel]]),Tabela17683[Fechamento])</f>
        <v>0</v>
      </c>
      <c r="V1105" s="7">
        <f>IF(MAX(Tabela8[[#This Row],[Cotação 1]]:Tabela8[[#This Row],[Cotação 5]])=0,"",MAX(Tabela8[[#This Row],[Cotação 1]]:Tabela8[[#This Row],[Cotação 5]]))</f>
        <v>5.35</v>
      </c>
      <c r="W110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5" s="19">
        <f>IF(AND([Ref]=5,[Cotação]&gt;0,[Cotação]&lt;&gt;""),[Total Exercício]/[Cotação],IF([Ref]&lt;4,0,""))</f>
        <v>0</v>
      </c>
      <c r="Y1105" s="14">
        <f>IF([Tipo]="div",1,0)</f>
        <v>0</v>
      </c>
      <c r="Z1105" s="14">
        <f>IF([Tipo]="jcp",1,0)</f>
        <v>0</v>
      </c>
    </row>
    <row r="1106" spans="1:26" hidden="1">
      <c r="A1106" s="4" t="s">
        <v>12</v>
      </c>
      <c r="B1106" s="139" t="s">
        <v>450</v>
      </c>
      <c r="C1106" s="15">
        <v>5</v>
      </c>
      <c r="D1106" s="14">
        <v>2005</v>
      </c>
      <c r="F1106" s="133">
        <f>0.00173*500</f>
        <v>0.86499999999999999</v>
      </c>
      <c r="J1106" s="134">
        <f>IF(Tabela8[[#This Row],[Tipo]]="jcp",Tabela8[[#This Row],[Provento p/Ação]]*85%,Tabela8[[#This Row],[Provento p/Ação]])</f>
        <v>0</v>
      </c>
      <c r="K1106" s="133">
        <f>IF([Lucro p/Ação]&lt;&gt;0,SUMPRODUCT(N([Papel]=Tabela8[[#This Row],[Papel]]),N([Exercício]=Tabela8[[#This Row],[Exercício]]),[Líquido p/Ação]),"")</f>
        <v>0</v>
      </c>
      <c r="L1106" s="42">
        <f>IF(Tabela8[[#This Row],[Lucro p/Ação]]="","",IF(Tabela8[[#This Row],[Lucro p/Ação]]&gt;0,Tabela8[[#This Row],[Total Exercício]]/Tabela8[[#This Row],[Lucro p/Ação]],0))</f>
        <v>0</v>
      </c>
      <c r="M110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1.5827777777777778</v>
      </c>
      <c r="N110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6" s="19">
        <f>IF(Tabela8[[#This Row],[Média Lucro p/Ação]]&lt;&gt;"",Tabela8[[#This Row],[Média Pago]]/Tabela8[[#This Row],[Média Lucro p/Ação]],"")</f>
        <v>0</v>
      </c>
      <c r="P110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6" s="134">
        <f>SUMPRODUCT(N(Tabela1[Código]=Tabela8[[#This Row],[Papel]]),Tabela1[Fechamento])</f>
        <v>0</v>
      </c>
      <c r="R1106" s="7">
        <f>SUMPRODUCT(N(Tabela17[Código]=Tabela8[[#This Row],[Papel]]),Tabela17[Fechamento])</f>
        <v>23.01</v>
      </c>
      <c r="S1106" s="7">
        <f>SUMPRODUCT(N(Tabela176[Código]=Tabela8[[#This Row],[Papel]]),Tabela176[Fechamento])</f>
        <v>0</v>
      </c>
      <c r="T1106" s="7">
        <f>SUMPRODUCT(N(Tabela1768[Código]=Tabela8[[#This Row],[Papel]]),Tabela1768[Fechamento])</f>
        <v>0</v>
      </c>
      <c r="U1106" s="7">
        <f>SUMPRODUCT(N(Tabela17683[Código]=Tabela8[[#This Row],[Papel]]),Tabela17683[Fechamento])</f>
        <v>0</v>
      </c>
      <c r="V1106" s="7">
        <f>IF(MAX(Tabela8[[#This Row],[Cotação 1]]:Tabela8[[#This Row],[Cotação 5]])=0,"",MAX(Tabela8[[#This Row],[Cotação 1]]:Tabela8[[#This Row],[Cotação 5]]))</f>
        <v>23.01</v>
      </c>
      <c r="W110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6" s="19">
        <f>IF(AND([Ref]=5,[Cotação]&gt;0,[Cotação]&lt;&gt;""),[Total Exercício]/[Cotação],IF([Ref]&lt;4,0,""))</f>
        <v>0</v>
      </c>
      <c r="Y1106" s="14">
        <f>IF([Tipo]="div",1,0)</f>
        <v>0</v>
      </c>
      <c r="Z1106" s="14">
        <f>IF([Tipo]="jcp",1,0)</f>
        <v>0</v>
      </c>
    </row>
    <row r="1107" spans="1:26" hidden="1">
      <c r="A1107" s="4" t="s">
        <v>12</v>
      </c>
      <c r="B1107" s="131" t="s">
        <v>27</v>
      </c>
      <c r="C1107" s="15">
        <v>5</v>
      </c>
      <c r="D1107" s="14">
        <v>2005</v>
      </c>
      <c r="F1107" s="133">
        <f>0.00173*500</f>
        <v>0.86499999999999999</v>
      </c>
      <c r="J1107" s="134">
        <f>IF(Tabela8[[#This Row],[Tipo]]="jcp",Tabela8[[#This Row],[Provento p/Ação]]*85%,Tabela8[[#This Row],[Provento p/Ação]])</f>
        <v>0</v>
      </c>
      <c r="K1107" s="133">
        <f>IF([Lucro p/Ação]&lt;&gt;0,SUMPRODUCT(N([Papel]=Tabela8[[#This Row],[Papel]]),N([Exercício]=Tabela8[[#This Row],[Exercício]]),[Líquido p/Ação]),"")</f>
        <v>0</v>
      </c>
      <c r="L1107" s="42">
        <f>IF(Tabela8[[#This Row],[Lucro p/Ação]]="","",IF(Tabela8[[#This Row],[Lucro p/Ação]]&gt;0,Tabela8[[#This Row],[Total Exercício]]/Tabela8[[#This Row],[Lucro p/Ação]],0))</f>
        <v>0</v>
      </c>
      <c r="M110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1.5827777777777778</v>
      </c>
      <c r="N110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7" s="19">
        <f>IF(Tabela8[[#This Row],[Média Lucro p/Ação]]&lt;&gt;"",Tabela8[[#This Row],[Média Pago]]/Tabela8[[#This Row],[Média Lucro p/Ação]],"")</f>
        <v>0</v>
      </c>
      <c r="P110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7" s="134">
        <f>SUMPRODUCT(N(Tabela1[Código]=Tabela8[[#This Row],[Papel]]),Tabela1[Fechamento])</f>
        <v>9.67</v>
      </c>
      <c r="R1107" s="7">
        <f>SUMPRODUCT(N(Tabela17[Código]=Tabela8[[#This Row],[Papel]]),Tabela17[Fechamento])</f>
        <v>0</v>
      </c>
      <c r="S1107" s="7">
        <f>SUMPRODUCT(N(Tabela176[Código]=Tabela8[[#This Row],[Papel]]),Tabela176[Fechamento])</f>
        <v>0</v>
      </c>
      <c r="T1107" s="7">
        <f>SUMPRODUCT(N(Tabela1768[Código]=Tabela8[[#This Row],[Papel]]),Tabela1768[Fechamento])</f>
        <v>0</v>
      </c>
      <c r="U1107" s="7">
        <f>SUMPRODUCT(N(Tabela17683[Código]=Tabela8[[#This Row],[Papel]]),Tabela17683[Fechamento])</f>
        <v>0</v>
      </c>
      <c r="V1107" s="7">
        <f>IF(MAX(Tabela8[[#This Row],[Cotação 1]]:Tabela8[[#This Row],[Cotação 5]])=0,"",MAX(Tabela8[[#This Row],[Cotação 1]]:Tabela8[[#This Row],[Cotação 5]]))</f>
        <v>9.67</v>
      </c>
      <c r="W110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7" s="19">
        <f>IF(AND([Ref]=5,[Cotação]&gt;0,[Cotação]&lt;&gt;""),[Total Exercício]/[Cotação],IF([Ref]&lt;4,0,""))</f>
        <v>0</v>
      </c>
      <c r="Y1107" s="14">
        <f>IF([Tipo]="div",1,0)</f>
        <v>0</v>
      </c>
      <c r="Z1107" s="14">
        <f>IF([Tipo]="jcp",1,0)</f>
        <v>0</v>
      </c>
    </row>
    <row r="1108" spans="1:26" hidden="1">
      <c r="A1108" s="4" t="s">
        <v>12</v>
      </c>
      <c r="B1108" s="139" t="s">
        <v>2</v>
      </c>
      <c r="C1108" s="15">
        <v>5</v>
      </c>
      <c r="D1108" s="14">
        <v>2004</v>
      </c>
      <c r="F1108" s="133">
        <f>0.00241*500</f>
        <v>1.2049999999999998</v>
      </c>
      <c r="J1108" s="134">
        <f>IF(Tabela8[[#This Row],[Tipo]]="jcp",Tabela8[[#This Row],[Provento p/Ação]]*85%,Tabela8[[#This Row],[Provento p/Ação]])</f>
        <v>0</v>
      </c>
      <c r="K1108" s="133">
        <f>IF([Lucro p/Ação]&lt;&gt;0,SUMPRODUCT(N([Papel]=Tabela8[[#This Row],[Papel]]),N([Exercício]=Tabela8[[#This Row],[Exercício]]),[Líquido p/Ação]),"")</f>
        <v>0</v>
      </c>
      <c r="L1108" s="42">
        <f>IF(Tabela8[[#This Row],[Lucro p/Ação]]="","",IF(Tabela8[[#This Row],[Lucro p/Ação]]&gt;0,Tabela8[[#This Row],[Total Exercício]]/Tabela8[[#This Row],[Lucro p/Ação]],0))</f>
        <v>0</v>
      </c>
      <c r="M110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1.6724999999999999</v>
      </c>
      <c r="N110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8" s="19">
        <f>IF(Tabela8[[#This Row],[Média Lucro p/Ação]]&lt;&gt;"",Tabela8[[#This Row],[Média Pago]]/Tabela8[[#This Row],[Média Lucro p/Ação]],"")</f>
        <v>0</v>
      </c>
      <c r="P110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8" s="134">
        <f>SUMPRODUCT(N(Tabela1[Código]=Tabela8[[#This Row],[Papel]]),Tabela1[Fechamento])</f>
        <v>5.35</v>
      </c>
      <c r="R1108" s="7">
        <f>SUMPRODUCT(N(Tabela17[Código]=Tabela8[[#This Row],[Papel]]),Tabela17[Fechamento])</f>
        <v>0</v>
      </c>
      <c r="S1108" s="7">
        <f>SUMPRODUCT(N(Tabela176[Código]=Tabela8[[#This Row],[Papel]]),Tabela176[Fechamento])</f>
        <v>0</v>
      </c>
      <c r="T1108" s="7">
        <f>SUMPRODUCT(N(Tabela1768[Código]=Tabela8[[#This Row],[Papel]]),Tabela1768[Fechamento])</f>
        <v>0</v>
      </c>
      <c r="U1108" s="7">
        <f>SUMPRODUCT(N(Tabela17683[Código]=Tabela8[[#This Row],[Papel]]),Tabela17683[Fechamento])</f>
        <v>0</v>
      </c>
      <c r="V1108" s="7">
        <f>IF(MAX(Tabela8[[#This Row],[Cotação 1]]:Tabela8[[#This Row],[Cotação 5]])=0,"",MAX(Tabela8[[#This Row],[Cotação 1]]:Tabela8[[#This Row],[Cotação 5]]))</f>
        <v>5.35</v>
      </c>
      <c r="W110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8" s="19">
        <f>IF(AND([Ref]=5,[Cotação]&gt;0,[Cotação]&lt;&gt;""),[Total Exercício]/[Cotação],IF([Ref]&lt;4,0,""))</f>
        <v>0</v>
      </c>
      <c r="Y1108" s="14">
        <f>IF([Tipo]="div",1,0)</f>
        <v>0</v>
      </c>
      <c r="Z1108" s="14">
        <f>IF([Tipo]="jcp",1,0)</f>
        <v>0</v>
      </c>
    </row>
    <row r="1109" spans="1:26" hidden="1">
      <c r="A1109" s="4" t="s">
        <v>12</v>
      </c>
      <c r="B1109" s="139" t="s">
        <v>450</v>
      </c>
      <c r="C1109" s="15">
        <v>5</v>
      </c>
      <c r="D1109" s="14">
        <v>2004</v>
      </c>
      <c r="F1109" s="133">
        <f>0.00241*500</f>
        <v>1.2049999999999998</v>
      </c>
      <c r="J1109" s="134">
        <f>IF(Tabela8[[#This Row],[Tipo]]="jcp",Tabela8[[#This Row],[Provento p/Ação]]*85%,Tabela8[[#This Row],[Provento p/Ação]])</f>
        <v>0</v>
      </c>
      <c r="K1109" s="133">
        <f>IF([Lucro p/Ação]&lt;&gt;0,SUMPRODUCT(N([Papel]=Tabela8[[#This Row],[Papel]]),N([Exercício]=Tabela8[[#This Row],[Exercício]]),[Líquido p/Ação]),"")</f>
        <v>0</v>
      </c>
      <c r="L1109" s="42">
        <f>IF(Tabela8[[#This Row],[Lucro p/Ação]]="","",IF(Tabela8[[#This Row],[Lucro p/Ação]]&gt;0,Tabela8[[#This Row],[Total Exercício]]/Tabela8[[#This Row],[Lucro p/Ação]],0))</f>
        <v>0</v>
      </c>
      <c r="M110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1.6724999999999999</v>
      </c>
      <c r="N110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09" s="19">
        <f>IF(Tabela8[[#This Row],[Média Lucro p/Ação]]&lt;&gt;"",Tabela8[[#This Row],[Média Pago]]/Tabela8[[#This Row],[Média Lucro p/Ação]],"")</f>
        <v>0</v>
      </c>
      <c r="P110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09" s="134">
        <f>SUMPRODUCT(N(Tabela1[Código]=Tabela8[[#This Row],[Papel]]),Tabela1[Fechamento])</f>
        <v>0</v>
      </c>
      <c r="R1109" s="7">
        <f>SUMPRODUCT(N(Tabela17[Código]=Tabela8[[#This Row],[Papel]]),Tabela17[Fechamento])</f>
        <v>23.01</v>
      </c>
      <c r="S1109" s="7">
        <f>SUMPRODUCT(N(Tabela176[Código]=Tabela8[[#This Row],[Papel]]),Tabela176[Fechamento])</f>
        <v>0</v>
      </c>
      <c r="T1109" s="7">
        <f>SUMPRODUCT(N(Tabela1768[Código]=Tabela8[[#This Row],[Papel]]),Tabela1768[Fechamento])</f>
        <v>0</v>
      </c>
      <c r="U1109" s="7">
        <f>SUMPRODUCT(N(Tabela17683[Código]=Tabela8[[#This Row],[Papel]]),Tabela17683[Fechamento])</f>
        <v>0</v>
      </c>
      <c r="V1109" s="7">
        <f>IF(MAX(Tabela8[[#This Row],[Cotação 1]]:Tabela8[[#This Row],[Cotação 5]])=0,"",MAX(Tabela8[[#This Row],[Cotação 1]]:Tabela8[[#This Row],[Cotação 5]]))</f>
        <v>23.01</v>
      </c>
      <c r="W110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09" s="19">
        <f>IF(AND([Ref]=5,[Cotação]&gt;0,[Cotação]&lt;&gt;""),[Total Exercício]/[Cotação],IF([Ref]&lt;4,0,""))</f>
        <v>0</v>
      </c>
      <c r="Y1109" s="14">
        <f>IF([Tipo]="div",1,0)</f>
        <v>0</v>
      </c>
      <c r="Z1109" s="14">
        <f>IF([Tipo]="jcp",1,0)</f>
        <v>0</v>
      </c>
    </row>
    <row r="1110" spans="1:26" hidden="1">
      <c r="A1110" s="4" t="s">
        <v>12</v>
      </c>
      <c r="B1110" s="131" t="s">
        <v>27</v>
      </c>
      <c r="C1110" s="15">
        <v>5</v>
      </c>
      <c r="D1110" s="14">
        <v>2004</v>
      </c>
      <c r="F1110" s="133">
        <f>0.00241*500</f>
        <v>1.2049999999999998</v>
      </c>
      <c r="J1110" s="134">
        <f>IF(Tabela8[[#This Row],[Tipo]]="jcp",Tabela8[[#This Row],[Provento p/Ação]]*85%,Tabela8[[#This Row],[Provento p/Ação]])</f>
        <v>0</v>
      </c>
      <c r="K1110" s="133">
        <f>IF([Lucro p/Ação]&lt;&gt;0,SUMPRODUCT(N([Papel]=Tabela8[[#This Row],[Papel]]),N([Exercício]=Tabela8[[#This Row],[Exercício]]),[Líquido p/Ação]),"")</f>
        <v>0</v>
      </c>
      <c r="L1110" s="42">
        <f>IF(Tabela8[[#This Row],[Lucro p/Ação]]="","",IF(Tabela8[[#This Row],[Lucro p/Ação]]&gt;0,Tabela8[[#This Row],[Total Exercício]]/Tabela8[[#This Row],[Lucro p/Ação]],0))</f>
        <v>0</v>
      </c>
      <c r="M111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1.6724999999999999</v>
      </c>
      <c r="N111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0" s="19">
        <f>IF(Tabela8[[#This Row],[Média Lucro p/Ação]]&lt;&gt;"",Tabela8[[#This Row],[Média Pago]]/Tabela8[[#This Row],[Média Lucro p/Ação]],"")</f>
        <v>0</v>
      </c>
      <c r="P111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0" s="134">
        <f>SUMPRODUCT(N(Tabela1[Código]=Tabela8[[#This Row],[Papel]]),Tabela1[Fechamento])</f>
        <v>9.67</v>
      </c>
      <c r="R1110" s="17">
        <f>SUMPRODUCT(N(Tabela17[Código]=Tabela8[[#This Row],[Papel]]),Tabela17[Fechamento])</f>
        <v>0</v>
      </c>
      <c r="S1110" s="17">
        <f>SUMPRODUCT(N(Tabela176[Código]=Tabela8[[#This Row],[Papel]]),Tabela176[Fechamento])</f>
        <v>0</v>
      </c>
      <c r="T1110" s="17">
        <f>SUMPRODUCT(N(Tabela1768[Código]=Tabela8[[#This Row],[Papel]]),Tabela1768[Fechamento])</f>
        <v>0</v>
      </c>
      <c r="U1110" s="17">
        <f>SUMPRODUCT(N(Tabela17683[Código]=Tabela8[[#This Row],[Papel]]),Tabela17683[Fechamento])</f>
        <v>0</v>
      </c>
      <c r="V1110" s="17">
        <f>IF(MAX(Tabela8[[#This Row],[Cotação 1]]:Tabela8[[#This Row],[Cotação 5]])=0,"",MAX(Tabela8[[#This Row],[Cotação 1]]:Tabela8[[#This Row],[Cotação 5]]))</f>
        <v>9.67</v>
      </c>
      <c r="W111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0" s="19">
        <f>IF(AND([Ref]=5,[Cotação]&gt;0,[Cotação]&lt;&gt;""),[Total Exercício]/[Cotação],IF([Ref]&lt;4,0,""))</f>
        <v>0</v>
      </c>
      <c r="Y1110" s="14">
        <f>IF([Tipo]="div",1,0)</f>
        <v>0</v>
      </c>
      <c r="Z1110" s="14">
        <f>IF([Tipo]="jcp",1,0)</f>
        <v>0</v>
      </c>
    </row>
    <row r="1111" spans="1:26" hidden="1">
      <c r="A1111" s="4" t="s">
        <v>12</v>
      </c>
      <c r="B1111" s="139" t="s">
        <v>2</v>
      </c>
      <c r="C1111" s="15">
        <v>5</v>
      </c>
      <c r="D1111" s="14">
        <v>2003</v>
      </c>
      <c r="F1111" s="133">
        <f>0.0006*500</f>
        <v>0.3</v>
      </c>
      <c r="J1111" s="134">
        <f>IF(Tabela8[[#This Row],[Tipo]]="jcp",Tabela8[[#This Row],[Provento p/Ação]]*85%,Tabela8[[#This Row],[Provento p/Ação]])</f>
        <v>0</v>
      </c>
      <c r="K1111" s="133">
        <f>IF([Lucro p/Ação]&lt;&gt;0,SUMPRODUCT(N([Papel]=Tabela8[[#This Row],[Papel]]),N([Exercício]=Tabela8[[#This Row],[Exercício]]),[Líquido p/Ação]),"")</f>
        <v>0</v>
      </c>
      <c r="L1111" s="42">
        <f>IF(Tabela8[[#This Row],[Lucro p/Ação]]="","",IF(Tabela8[[#This Row],[Lucro p/Ação]]&gt;0,Tabela8[[#This Row],[Total Exercício]]/Tabela8[[#This Row],[Lucro p/Ação]],0))</f>
        <v>0</v>
      </c>
      <c r="M111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1.7392857142857141</v>
      </c>
      <c r="N111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1" s="19">
        <f>IF(Tabela8[[#This Row],[Média Lucro p/Ação]]&lt;&gt;"",Tabela8[[#This Row],[Média Pago]]/Tabela8[[#This Row],[Média Lucro p/Ação]],"")</f>
        <v>0</v>
      </c>
      <c r="P111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1" s="134">
        <f>SUMPRODUCT(N(Tabela1[Código]=Tabela8[[#This Row],[Papel]]),Tabela1[Fechamento])</f>
        <v>5.35</v>
      </c>
      <c r="R1111" s="7">
        <f>SUMPRODUCT(N(Tabela17[Código]=Tabela8[[#This Row],[Papel]]),Tabela17[Fechamento])</f>
        <v>0</v>
      </c>
      <c r="S1111" s="7">
        <f>SUMPRODUCT(N(Tabela176[Código]=Tabela8[[#This Row],[Papel]]),Tabela176[Fechamento])</f>
        <v>0</v>
      </c>
      <c r="T1111" s="7">
        <f>SUMPRODUCT(N(Tabela1768[Código]=Tabela8[[#This Row],[Papel]]),Tabela1768[Fechamento])</f>
        <v>0</v>
      </c>
      <c r="U1111" s="7">
        <f>SUMPRODUCT(N(Tabela17683[Código]=Tabela8[[#This Row],[Papel]]),Tabela17683[Fechamento])</f>
        <v>0</v>
      </c>
      <c r="V1111" s="7">
        <f>IF(MAX(Tabela8[[#This Row],[Cotação 1]]:Tabela8[[#This Row],[Cotação 5]])=0,"",MAX(Tabela8[[#This Row],[Cotação 1]]:Tabela8[[#This Row],[Cotação 5]]))</f>
        <v>5.35</v>
      </c>
      <c r="W111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1" s="19">
        <f>IF(AND([Ref]=5,[Cotação]&gt;0,[Cotação]&lt;&gt;""),[Total Exercício]/[Cotação],IF([Ref]&lt;4,0,""))</f>
        <v>0</v>
      </c>
      <c r="Y1111" s="14">
        <f>IF([Tipo]="div",1,0)</f>
        <v>0</v>
      </c>
      <c r="Z1111" s="14">
        <f>IF([Tipo]="jcp",1,0)</f>
        <v>0</v>
      </c>
    </row>
    <row r="1112" spans="1:26" hidden="1">
      <c r="A1112" s="4" t="s">
        <v>12</v>
      </c>
      <c r="B1112" s="139" t="s">
        <v>450</v>
      </c>
      <c r="C1112" s="15">
        <v>5</v>
      </c>
      <c r="D1112" s="14">
        <v>2003</v>
      </c>
      <c r="F1112" s="133">
        <f>0.0006*500</f>
        <v>0.3</v>
      </c>
      <c r="J1112" s="134">
        <f>IF(Tabela8[[#This Row],[Tipo]]="jcp",Tabela8[[#This Row],[Provento p/Ação]]*85%,Tabela8[[#This Row],[Provento p/Ação]])</f>
        <v>0</v>
      </c>
      <c r="K1112" s="133">
        <f>IF([Lucro p/Ação]&lt;&gt;0,SUMPRODUCT(N([Papel]=Tabela8[[#This Row],[Papel]]),N([Exercício]=Tabela8[[#This Row],[Exercício]]),[Líquido p/Ação]),"")</f>
        <v>0</v>
      </c>
      <c r="L1112" s="42">
        <f>IF(Tabela8[[#This Row],[Lucro p/Ação]]="","",IF(Tabela8[[#This Row],[Lucro p/Ação]]&gt;0,Tabela8[[#This Row],[Total Exercício]]/Tabela8[[#This Row],[Lucro p/Ação]],0))</f>
        <v>0</v>
      </c>
      <c r="M111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1.7392857142857141</v>
      </c>
      <c r="N111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2" s="19">
        <f>IF(Tabela8[[#This Row],[Média Lucro p/Ação]]&lt;&gt;"",Tabela8[[#This Row],[Média Pago]]/Tabela8[[#This Row],[Média Lucro p/Ação]],"")</f>
        <v>0</v>
      </c>
      <c r="P111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2" s="134">
        <f>SUMPRODUCT(N(Tabela1[Código]=Tabela8[[#This Row],[Papel]]),Tabela1[Fechamento])</f>
        <v>0</v>
      </c>
      <c r="R1112" s="7">
        <f>SUMPRODUCT(N(Tabela17[Código]=Tabela8[[#This Row],[Papel]]),Tabela17[Fechamento])</f>
        <v>23.01</v>
      </c>
      <c r="S1112" s="7">
        <f>SUMPRODUCT(N(Tabela176[Código]=Tabela8[[#This Row],[Papel]]),Tabela176[Fechamento])</f>
        <v>0</v>
      </c>
      <c r="T1112" s="7">
        <f>SUMPRODUCT(N(Tabela1768[Código]=Tabela8[[#This Row],[Papel]]),Tabela1768[Fechamento])</f>
        <v>0</v>
      </c>
      <c r="U1112" s="7">
        <f>SUMPRODUCT(N(Tabela17683[Código]=Tabela8[[#This Row],[Papel]]),Tabela17683[Fechamento])</f>
        <v>0</v>
      </c>
      <c r="V1112" s="7">
        <f>IF(MAX(Tabela8[[#This Row],[Cotação 1]]:Tabela8[[#This Row],[Cotação 5]])=0,"",MAX(Tabela8[[#This Row],[Cotação 1]]:Tabela8[[#This Row],[Cotação 5]]))</f>
        <v>23.01</v>
      </c>
      <c r="W111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2" s="19">
        <f>IF(AND([Ref]=5,[Cotação]&gt;0,[Cotação]&lt;&gt;""),[Total Exercício]/[Cotação],IF([Ref]&lt;4,0,""))</f>
        <v>0</v>
      </c>
      <c r="Y1112" s="14">
        <f>IF([Tipo]="div",1,0)</f>
        <v>0</v>
      </c>
      <c r="Z1112" s="14">
        <f>IF([Tipo]="jcp",1,0)</f>
        <v>0</v>
      </c>
    </row>
    <row r="1113" spans="1:26" hidden="1">
      <c r="A1113" s="4" t="s">
        <v>12</v>
      </c>
      <c r="B1113" s="131" t="s">
        <v>27</v>
      </c>
      <c r="C1113" s="15">
        <v>5</v>
      </c>
      <c r="D1113" s="14">
        <v>2003</v>
      </c>
      <c r="F1113" s="133">
        <f>0.0006*500</f>
        <v>0.3</v>
      </c>
      <c r="J1113" s="134">
        <f>IF(Tabela8[[#This Row],[Tipo]]="jcp",Tabela8[[#This Row],[Provento p/Ação]]*85%,Tabela8[[#This Row],[Provento p/Ação]])</f>
        <v>0</v>
      </c>
      <c r="K1113" s="133">
        <f>IF([Lucro p/Ação]&lt;&gt;0,SUMPRODUCT(N([Papel]=Tabela8[[#This Row],[Papel]]),N([Exercício]=Tabela8[[#This Row],[Exercício]]),[Líquido p/Ação]),"")</f>
        <v>0</v>
      </c>
      <c r="L1113" s="42">
        <f>IF(Tabela8[[#This Row],[Lucro p/Ação]]="","",IF(Tabela8[[#This Row],[Lucro p/Ação]]&gt;0,Tabela8[[#This Row],[Total Exercício]]/Tabela8[[#This Row],[Lucro p/Ação]],0))</f>
        <v>0</v>
      </c>
      <c r="M111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1.7392857142857141</v>
      </c>
      <c r="N111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3" s="19">
        <f>IF(Tabela8[[#This Row],[Média Lucro p/Ação]]&lt;&gt;"",Tabela8[[#This Row],[Média Pago]]/Tabela8[[#This Row],[Média Lucro p/Ação]],"")</f>
        <v>0</v>
      </c>
      <c r="P111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3" s="134">
        <f>SUMPRODUCT(N(Tabela1[Código]=Tabela8[[#This Row],[Papel]]),Tabela1[Fechamento])</f>
        <v>9.67</v>
      </c>
      <c r="R1113" s="7">
        <f>SUMPRODUCT(N(Tabela17[Código]=Tabela8[[#This Row],[Papel]]),Tabela17[Fechamento])</f>
        <v>0</v>
      </c>
      <c r="S1113" s="7">
        <f>SUMPRODUCT(N(Tabela176[Código]=Tabela8[[#This Row],[Papel]]),Tabela176[Fechamento])</f>
        <v>0</v>
      </c>
      <c r="T1113" s="7">
        <f>SUMPRODUCT(N(Tabela1768[Código]=Tabela8[[#This Row],[Papel]]),Tabela1768[Fechamento])</f>
        <v>0</v>
      </c>
      <c r="U1113" s="7">
        <f>SUMPRODUCT(N(Tabela17683[Código]=Tabela8[[#This Row],[Papel]]),Tabela17683[Fechamento])</f>
        <v>0</v>
      </c>
      <c r="V1113" s="7">
        <f>IF(MAX(Tabela8[[#This Row],[Cotação 1]]:Tabela8[[#This Row],[Cotação 5]])=0,"",MAX(Tabela8[[#This Row],[Cotação 1]]:Tabela8[[#This Row],[Cotação 5]]))</f>
        <v>9.67</v>
      </c>
      <c r="W111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3" s="19">
        <f>IF(AND([Ref]=5,[Cotação]&gt;0,[Cotação]&lt;&gt;""),[Total Exercício]/[Cotação],IF([Ref]&lt;4,0,""))</f>
        <v>0</v>
      </c>
      <c r="Y1113" s="14">
        <f>IF([Tipo]="div",1,0)</f>
        <v>0</v>
      </c>
      <c r="Z1113" s="14">
        <f>IF([Tipo]="jcp",1,0)</f>
        <v>0</v>
      </c>
    </row>
    <row r="1114" spans="1:26" hidden="1">
      <c r="A1114" s="4" t="s">
        <v>12</v>
      </c>
      <c r="B1114" s="139" t="s">
        <v>2</v>
      </c>
      <c r="C1114" s="15">
        <v>5</v>
      </c>
      <c r="D1114" s="14">
        <v>2002</v>
      </c>
      <c r="F1114" s="133">
        <f>0.00205*500</f>
        <v>1.0250000000000001</v>
      </c>
      <c r="J1114" s="134">
        <f>IF(Tabela8[[#This Row],[Tipo]]="jcp",Tabela8[[#This Row],[Provento p/Ação]]*85%,Tabela8[[#This Row],[Provento p/Ação]])</f>
        <v>0</v>
      </c>
      <c r="K1114" s="133">
        <f>IF([Lucro p/Ação]&lt;&gt;0,SUMPRODUCT(N([Papel]=Tabela8[[#This Row],[Papel]]),N([Exercício]=Tabela8[[#This Row],[Exercício]]),[Líquido p/Ação]),"")</f>
        <v>0</v>
      </c>
      <c r="L1114" s="42">
        <f>IF(Tabela8[[#This Row],[Lucro p/Ação]]="","",IF(Tabela8[[#This Row],[Lucro p/Ação]]&gt;0,Tabela8[[#This Row],[Total Exercício]]/Tabela8[[#This Row],[Lucro p/Ação]],0))</f>
        <v>0</v>
      </c>
      <c r="M111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1.9791666666666667</v>
      </c>
      <c r="N111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4" s="19">
        <f>IF(Tabela8[[#This Row],[Média Lucro p/Ação]]&lt;&gt;"",Tabela8[[#This Row],[Média Pago]]/Tabela8[[#This Row],[Média Lucro p/Ação]],"")</f>
        <v>0</v>
      </c>
      <c r="P111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4" s="134">
        <f>SUMPRODUCT(N(Tabela1[Código]=Tabela8[[#This Row],[Papel]]),Tabela1[Fechamento])</f>
        <v>5.35</v>
      </c>
      <c r="R1114" s="7">
        <f>SUMPRODUCT(N(Tabela17[Código]=Tabela8[[#This Row],[Papel]]),Tabela17[Fechamento])</f>
        <v>0</v>
      </c>
      <c r="S1114" s="7">
        <f>SUMPRODUCT(N(Tabela176[Código]=Tabela8[[#This Row],[Papel]]),Tabela176[Fechamento])</f>
        <v>0</v>
      </c>
      <c r="T1114" s="7">
        <f>SUMPRODUCT(N(Tabela1768[Código]=Tabela8[[#This Row],[Papel]]),Tabela1768[Fechamento])</f>
        <v>0</v>
      </c>
      <c r="U1114" s="7">
        <f>SUMPRODUCT(N(Tabela17683[Código]=Tabela8[[#This Row],[Papel]]),Tabela17683[Fechamento])</f>
        <v>0</v>
      </c>
      <c r="V1114" s="7">
        <f>IF(MAX(Tabela8[[#This Row],[Cotação 1]]:Tabela8[[#This Row],[Cotação 5]])=0,"",MAX(Tabela8[[#This Row],[Cotação 1]]:Tabela8[[#This Row],[Cotação 5]]))</f>
        <v>5.35</v>
      </c>
      <c r="W111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4" s="19">
        <f>IF(AND([Ref]=5,[Cotação]&gt;0,[Cotação]&lt;&gt;""),[Total Exercício]/[Cotação],IF([Ref]&lt;4,0,""))</f>
        <v>0</v>
      </c>
      <c r="Y1114" s="14">
        <f>IF([Tipo]="div",1,0)</f>
        <v>0</v>
      </c>
      <c r="Z1114" s="14">
        <f>IF([Tipo]="jcp",1,0)</f>
        <v>0</v>
      </c>
    </row>
    <row r="1115" spans="1:26" hidden="1">
      <c r="A1115" s="4" t="s">
        <v>12</v>
      </c>
      <c r="B1115" s="139" t="s">
        <v>450</v>
      </c>
      <c r="C1115" s="15">
        <v>5</v>
      </c>
      <c r="D1115" s="14">
        <v>2002</v>
      </c>
      <c r="F1115" s="133">
        <f>0.00205*500</f>
        <v>1.0250000000000001</v>
      </c>
      <c r="J1115" s="134">
        <f>IF(Tabela8[[#This Row],[Tipo]]="jcp",Tabela8[[#This Row],[Provento p/Ação]]*85%,Tabela8[[#This Row],[Provento p/Ação]])</f>
        <v>0</v>
      </c>
      <c r="K1115" s="133">
        <f>IF([Lucro p/Ação]&lt;&gt;0,SUMPRODUCT(N([Papel]=Tabela8[[#This Row],[Papel]]),N([Exercício]=Tabela8[[#This Row],[Exercício]]),[Líquido p/Ação]),"")</f>
        <v>0</v>
      </c>
      <c r="L1115" s="42">
        <f>IF(Tabela8[[#This Row],[Lucro p/Ação]]="","",IF(Tabela8[[#This Row],[Lucro p/Ação]]&gt;0,Tabela8[[#This Row],[Total Exercício]]/Tabela8[[#This Row],[Lucro p/Ação]],0))</f>
        <v>0</v>
      </c>
      <c r="M111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1.9791666666666667</v>
      </c>
      <c r="N111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5" s="19">
        <f>IF(Tabela8[[#This Row],[Média Lucro p/Ação]]&lt;&gt;"",Tabela8[[#This Row],[Média Pago]]/Tabela8[[#This Row],[Média Lucro p/Ação]],"")</f>
        <v>0</v>
      </c>
      <c r="P111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5" s="134">
        <f>SUMPRODUCT(N(Tabela1[Código]=Tabela8[[#This Row],[Papel]]),Tabela1[Fechamento])</f>
        <v>0</v>
      </c>
      <c r="R1115" s="7">
        <f>SUMPRODUCT(N(Tabela17[Código]=Tabela8[[#This Row],[Papel]]),Tabela17[Fechamento])</f>
        <v>23.01</v>
      </c>
      <c r="S1115" s="7">
        <f>SUMPRODUCT(N(Tabela176[Código]=Tabela8[[#This Row],[Papel]]),Tabela176[Fechamento])</f>
        <v>0</v>
      </c>
      <c r="T1115" s="7">
        <f>SUMPRODUCT(N(Tabela1768[Código]=Tabela8[[#This Row],[Papel]]),Tabela1768[Fechamento])</f>
        <v>0</v>
      </c>
      <c r="U1115" s="7">
        <f>SUMPRODUCT(N(Tabela17683[Código]=Tabela8[[#This Row],[Papel]]),Tabela17683[Fechamento])</f>
        <v>0</v>
      </c>
      <c r="V1115" s="7">
        <f>IF(MAX(Tabela8[[#This Row],[Cotação 1]]:Tabela8[[#This Row],[Cotação 5]])=0,"",MAX(Tabela8[[#This Row],[Cotação 1]]:Tabela8[[#This Row],[Cotação 5]]))</f>
        <v>23.01</v>
      </c>
      <c r="W111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5" s="19">
        <f>IF(AND([Ref]=5,[Cotação]&gt;0,[Cotação]&lt;&gt;""),[Total Exercício]/[Cotação],IF([Ref]&lt;4,0,""))</f>
        <v>0</v>
      </c>
      <c r="Y1115" s="14">
        <f>IF([Tipo]="div",1,0)</f>
        <v>0</v>
      </c>
      <c r="Z1115" s="14">
        <f>IF([Tipo]="jcp",1,0)</f>
        <v>0</v>
      </c>
    </row>
    <row r="1116" spans="1:26" hidden="1">
      <c r="A1116" s="4" t="s">
        <v>12</v>
      </c>
      <c r="B1116" s="131" t="s">
        <v>27</v>
      </c>
      <c r="C1116" s="15">
        <v>5</v>
      </c>
      <c r="D1116" s="14">
        <v>2002</v>
      </c>
      <c r="F1116" s="133">
        <f>0.00205*500</f>
        <v>1.0250000000000001</v>
      </c>
      <c r="J1116" s="134">
        <f>IF(Tabela8[[#This Row],[Tipo]]="jcp",Tabela8[[#This Row],[Provento p/Ação]]*85%,Tabela8[[#This Row],[Provento p/Ação]])</f>
        <v>0</v>
      </c>
      <c r="K1116" s="133">
        <f>IF([Lucro p/Ação]&lt;&gt;0,SUMPRODUCT(N([Papel]=Tabela8[[#This Row],[Papel]]),N([Exercício]=Tabela8[[#This Row],[Exercício]]),[Líquido p/Ação]),"")</f>
        <v>0</v>
      </c>
      <c r="L1116" s="42">
        <f>IF(Tabela8[[#This Row],[Lucro p/Ação]]="","",IF(Tabela8[[#This Row],[Lucro p/Ação]]&gt;0,Tabela8[[#This Row],[Total Exercício]]/Tabela8[[#This Row],[Lucro p/Ação]],0))</f>
        <v>0</v>
      </c>
      <c r="M111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1.9791666666666667</v>
      </c>
      <c r="N111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6" s="19">
        <f>IF(Tabela8[[#This Row],[Média Lucro p/Ação]]&lt;&gt;"",Tabela8[[#This Row],[Média Pago]]/Tabela8[[#This Row],[Média Lucro p/Ação]],"")</f>
        <v>0</v>
      </c>
      <c r="P111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6" s="134">
        <f>SUMPRODUCT(N(Tabela1[Código]=Tabela8[[#This Row],[Papel]]),Tabela1[Fechamento])</f>
        <v>9.67</v>
      </c>
      <c r="R1116" s="7">
        <f>SUMPRODUCT(N(Tabela17[Código]=Tabela8[[#This Row],[Papel]]),Tabela17[Fechamento])</f>
        <v>0</v>
      </c>
      <c r="S1116" s="7">
        <f>SUMPRODUCT(N(Tabela176[Código]=Tabela8[[#This Row],[Papel]]),Tabela176[Fechamento])</f>
        <v>0</v>
      </c>
      <c r="T1116" s="7">
        <f>SUMPRODUCT(N(Tabela1768[Código]=Tabela8[[#This Row],[Papel]]),Tabela1768[Fechamento])</f>
        <v>0</v>
      </c>
      <c r="U1116" s="7">
        <f>SUMPRODUCT(N(Tabela17683[Código]=Tabela8[[#This Row],[Papel]]),Tabela17683[Fechamento])</f>
        <v>0</v>
      </c>
      <c r="V1116" s="7">
        <f>IF(MAX(Tabela8[[#This Row],[Cotação 1]]:Tabela8[[#This Row],[Cotação 5]])=0,"",MAX(Tabela8[[#This Row],[Cotação 1]]:Tabela8[[#This Row],[Cotação 5]]))</f>
        <v>9.67</v>
      </c>
      <c r="W111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6" s="19">
        <f>IF(AND([Ref]=5,[Cotação]&gt;0,[Cotação]&lt;&gt;""),[Total Exercício]/[Cotação],IF([Ref]&lt;4,0,""))</f>
        <v>0</v>
      </c>
      <c r="Y1116" s="14">
        <f>IF([Tipo]="div",1,0)</f>
        <v>0</v>
      </c>
      <c r="Z1116" s="14">
        <f>IF([Tipo]="jcp",1,0)</f>
        <v>0</v>
      </c>
    </row>
    <row r="1117" spans="1:26" hidden="1">
      <c r="A1117" s="4" t="s">
        <v>12</v>
      </c>
      <c r="B1117" s="139" t="s">
        <v>2</v>
      </c>
      <c r="C1117" s="15">
        <v>5</v>
      </c>
      <c r="D1117" s="14">
        <v>2001</v>
      </c>
      <c r="F1117" s="133">
        <f>0.00605*500</f>
        <v>3.0249999999999999</v>
      </c>
      <c r="J1117" s="134">
        <f>IF(Tabela8[[#This Row],[Tipo]]="jcp",Tabela8[[#This Row],[Provento p/Ação]]*85%,Tabela8[[#This Row],[Provento p/Ação]])</f>
        <v>0</v>
      </c>
      <c r="K1117" s="133">
        <f>IF([Lucro p/Ação]&lt;&gt;0,SUMPRODUCT(N([Papel]=Tabela8[[#This Row],[Papel]]),N([Exercício]=Tabela8[[#This Row],[Exercício]]),[Líquido p/Ação]),"")</f>
        <v>0</v>
      </c>
      <c r="L1117" s="42">
        <f>IF(Tabela8[[#This Row],[Lucro p/Ação]]="","",IF(Tabela8[[#This Row],[Lucro p/Ação]]&gt;0,Tabela8[[#This Row],[Total Exercício]]/Tabela8[[#This Row],[Lucro p/Ação]],0))</f>
        <v>0</v>
      </c>
      <c r="M111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2.1700000000000004</v>
      </c>
      <c r="N111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7" s="19">
        <f>IF(Tabela8[[#This Row],[Média Lucro p/Ação]]&lt;&gt;"",Tabela8[[#This Row],[Média Pago]]/Tabela8[[#This Row],[Média Lucro p/Ação]],"")</f>
        <v>0</v>
      </c>
      <c r="P111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7" s="134">
        <f>SUMPRODUCT(N(Tabela1[Código]=Tabela8[[#This Row],[Papel]]),Tabela1[Fechamento])</f>
        <v>5.35</v>
      </c>
      <c r="R1117" s="7">
        <f>SUMPRODUCT(N(Tabela17[Código]=Tabela8[[#This Row],[Papel]]),Tabela17[Fechamento])</f>
        <v>0</v>
      </c>
      <c r="S1117" s="7">
        <f>SUMPRODUCT(N(Tabela176[Código]=Tabela8[[#This Row],[Papel]]),Tabela176[Fechamento])</f>
        <v>0</v>
      </c>
      <c r="T1117" s="7">
        <f>SUMPRODUCT(N(Tabela1768[Código]=Tabela8[[#This Row],[Papel]]),Tabela1768[Fechamento])</f>
        <v>0</v>
      </c>
      <c r="U1117" s="7">
        <f>SUMPRODUCT(N(Tabela17683[Código]=Tabela8[[#This Row],[Papel]]),Tabela17683[Fechamento])</f>
        <v>0</v>
      </c>
      <c r="V1117" s="7">
        <f>IF(MAX(Tabela8[[#This Row],[Cotação 1]]:Tabela8[[#This Row],[Cotação 5]])=0,"",MAX(Tabela8[[#This Row],[Cotação 1]]:Tabela8[[#This Row],[Cotação 5]]))</f>
        <v>5.35</v>
      </c>
      <c r="W111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7" s="19">
        <f>IF(AND([Ref]=5,[Cotação]&gt;0,[Cotação]&lt;&gt;""),[Total Exercício]/[Cotação],IF([Ref]&lt;4,0,""))</f>
        <v>0</v>
      </c>
      <c r="Y1117" s="14">
        <f>IF([Tipo]="div",1,0)</f>
        <v>0</v>
      </c>
      <c r="Z1117" s="14">
        <f>IF([Tipo]="jcp",1,0)</f>
        <v>0</v>
      </c>
    </row>
    <row r="1118" spans="1:26" hidden="1">
      <c r="A1118" s="4" t="s">
        <v>12</v>
      </c>
      <c r="B1118" s="139" t="s">
        <v>450</v>
      </c>
      <c r="C1118" s="15">
        <v>5</v>
      </c>
      <c r="D1118" s="14">
        <v>2001</v>
      </c>
      <c r="F1118" s="133">
        <f>0.00605*500</f>
        <v>3.0249999999999999</v>
      </c>
      <c r="J1118" s="134">
        <f>IF(Tabela8[[#This Row],[Tipo]]="jcp",Tabela8[[#This Row],[Provento p/Ação]]*85%,Tabela8[[#This Row],[Provento p/Ação]])</f>
        <v>0</v>
      </c>
      <c r="K1118" s="133">
        <f>IF([Lucro p/Ação]&lt;&gt;0,SUMPRODUCT(N([Papel]=Tabela8[[#This Row],[Papel]]),N([Exercício]=Tabela8[[#This Row],[Exercício]]),[Líquido p/Ação]),"")</f>
        <v>0</v>
      </c>
      <c r="L1118" s="42">
        <f>IF(Tabela8[[#This Row],[Lucro p/Ação]]="","",IF(Tabela8[[#This Row],[Lucro p/Ação]]&gt;0,Tabela8[[#This Row],[Total Exercício]]/Tabela8[[#This Row],[Lucro p/Ação]],0))</f>
        <v>0</v>
      </c>
      <c r="M111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2.1700000000000004</v>
      </c>
      <c r="N111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8" s="19">
        <f>IF(Tabela8[[#This Row],[Média Lucro p/Ação]]&lt;&gt;"",Tabela8[[#This Row],[Média Pago]]/Tabela8[[#This Row],[Média Lucro p/Ação]],"")</f>
        <v>0</v>
      </c>
      <c r="P111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8" s="134">
        <f>SUMPRODUCT(N(Tabela1[Código]=Tabela8[[#This Row],[Papel]]),Tabela1[Fechamento])</f>
        <v>0</v>
      </c>
      <c r="R1118" s="7">
        <f>SUMPRODUCT(N(Tabela17[Código]=Tabela8[[#This Row],[Papel]]),Tabela17[Fechamento])</f>
        <v>23.01</v>
      </c>
      <c r="S1118" s="7">
        <f>SUMPRODUCT(N(Tabela176[Código]=Tabela8[[#This Row],[Papel]]),Tabela176[Fechamento])</f>
        <v>0</v>
      </c>
      <c r="T1118" s="7">
        <f>SUMPRODUCT(N(Tabela1768[Código]=Tabela8[[#This Row],[Papel]]),Tabela1768[Fechamento])</f>
        <v>0</v>
      </c>
      <c r="U1118" s="7">
        <f>SUMPRODUCT(N(Tabela17683[Código]=Tabela8[[#This Row],[Papel]]),Tabela17683[Fechamento])</f>
        <v>0</v>
      </c>
      <c r="V1118" s="7">
        <f>IF(MAX(Tabela8[[#This Row],[Cotação 1]]:Tabela8[[#This Row],[Cotação 5]])=0,"",MAX(Tabela8[[#This Row],[Cotação 1]]:Tabela8[[#This Row],[Cotação 5]]))</f>
        <v>23.01</v>
      </c>
      <c r="W111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8" s="19">
        <f>IF(AND([Ref]=5,[Cotação]&gt;0,[Cotação]&lt;&gt;""),[Total Exercício]/[Cotação],IF([Ref]&lt;4,0,""))</f>
        <v>0</v>
      </c>
      <c r="Y1118" s="14">
        <f>IF([Tipo]="div",1,0)</f>
        <v>0</v>
      </c>
      <c r="Z1118" s="14">
        <f>IF([Tipo]="jcp",1,0)</f>
        <v>0</v>
      </c>
    </row>
    <row r="1119" spans="1:26" hidden="1">
      <c r="A1119" s="4" t="s">
        <v>12</v>
      </c>
      <c r="B1119" s="131" t="s">
        <v>27</v>
      </c>
      <c r="C1119" s="15">
        <v>5</v>
      </c>
      <c r="D1119" s="14">
        <v>2001</v>
      </c>
      <c r="F1119" s="133">
        <f>0.00605*500</f>
        <v>3.0249999999999999</v>
      </c>
      <c r="J1119" s="134">
        <f>IF(Tabela8[[#This Row],[Tipo]]="jcp",Tabela8[[#This Row],[Provento p/Ação]]*85%,Tabela8[[#This Row],[Provento p/Ação]])</f>
        <v>0</v>
      </c>
      <c r="K1119" s="133">
        <f>IF([Lucro p/Ação]&lt;&gt;0,SUMPRODUCT(N([Papel]=Tabela8[[#This Row],[Papel]]),N([Exercício]=Tabela8[[#This Row],[Exercício]]),[Líquido p/Ação]),"")</f>
        <v>0</v>
      </c>
      <c r="L1119" s="42">
        <f>IF(Tabela8[[#This Row],[Lucro p/Ação]]="","",IF(Tabela8[[#This Row],[Lucro p/Ação]]&gt;0,Tabela8[[#This Row],[Total Exercício]]/Tabela8[[#This Row],[Lucro p/Ação]],0))</f>
        <v>0</v>
      </c>
      <c r="M111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2.1700000000000004</v>
      </c>
      <c r="N111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19" s="19">
        <f>IF(Tabela8[[#This Row],[Média Lucro p/Ação]]&lt;&gt;"",Tabela8[[#This Row],[Média Pago]]/Tabela8[[#This Row],[Média Lucro p/Ação]],"")</f>
        <v>0</v>
      </c>
      <c r="P111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19" s="134">
        <f>SUMPRODUCT(N(Tabela1[Código]=Tabela8[[#This Row],[Papel]]),Tabela1[Fechamento])</f>
        <v>9.67</v>
      </c>
      <c r="R1119" s="7">
        <f>SUMPRODUCT(N(Tabela17[Código]=Tabela8[[#This Row],[Papel]]),Tabela17[Fechamento])</f>
        <v>0</v>
      </c>
      <c r="S1119" s="7">
        <f>SUMPRODUCT(N(Tabela176[Código]=Tabela8[[#This Row],[Papel]]),Tabela176[Fechamento])</f>
        <v>0</v>
      </c>
      <c r="T1119" s="7">
        <f>SUMPRODUCT(N(Tabela1768[Código]=Tabela8[[#This Row],[Papel]]),Tabela1768[Fechamento])</f>
        <v>0</v>
      </c>
      <c r="U1119" s="7">
        <f>SUMPRODUCT(N(Tabela17683[Código]=Tabela8[[#This Row],[Papel]]),Tabela17683[Fechamento])</f>
        <v>0</v>
      </c>
      <c r="V1119" s="7">
        <f>IF(MAX(Tabela8[[#This Row],[Cotação 1]]:Tabela8[[#This Row],[Cotação 5]])=0,"",MAX(Tabela8[[#This Row],[Cotação 1]]:Tabela8[[#This Row],[Cotação 5]]))</f>
        <v>9.67</v>
      </c>
      <c r="W111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19" s="19">
        <f>IF(AND([Ref]=5,[Cotação]&gt;0,[Cotação]&lt;&gt;""),[Total Exercício]/[Cotação],IF([Ref]&lt;4,0,""))</f>
        <v>0</v>
      </c>
      <c r="Y1119" s="14">
        <f>IF([Tipo]="div",1,0)</f>
        <v>0</v>
      </c>
      <c r="Z1119" s="14">
        <f>IF([Tipo]="jcp",1,0)</f>
        <v>0</v>
      </c>
    </row>
    <row r="1120" spans="1:26" hidden="1">
      <c r="A1120" s="4" t="s">
        <v>12</v>
      </c>
      <c r="B1120" s="139" t="s">
        <v>2</v>
      </c>
      <c r="C1120" s="15">
        <v>5</v>
      </c>
      <c r="D1120" s="14">
        <v>2000</v>
      </c>
      <c r="F1120" s="133">
        <f>0.00457*500</f>
        <v>2.2850000000000001</v>
      </c>
      <c r="J1120" s="134">
        <f>IF(Tabela8[[#This Row],[Tipo]]="jcp",Tabela8[[#This Row],[Provento p/Ação]]*85%,Tabela8[[#This Row],[Provento p/Ação]])</f>
        <v>0</v>
      </c>
      <c r="K1120" s="133">
        <f>IF([Lucro p/Ação]&lt;&gt;0,SUMPRODUCT(N([Papel]=Tabela8[[#This Row],[Papel]]),N([Exercício]=Tabela8[[#This Row],[Exercício]]),[Líquido p/Ação]),"")</f>
        <v>0</v>
      </c>
      <c r="L1120" s="42">
        <f>IF(Tabela8[[#This Row],[Lucro p/Ação]]="","",IF(Tabela8[[#This Row],[Lucro p/Ação]]&gt;0,Tabela8[[#This Row],[Total Exercício]]/Tabela8[[#This Row],[Lucro p/Ação]],0))</f>
        <v>0</v>
      </c>
      <c r="M112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1.95625</v>
      </c>
      <c r="N112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0" s="19">
        <f>IF(Tabela8[[#This Row],[Média Lucro p/Ação]]&lt;&gt;"",Tabela8[[#This Row],[Média Pago]]/Tabela8[[#This Row],[Média Lucro p/Ação]],"")</f>
        <v>0</v>
      </c>
      <c r="P112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0" s="134">
        <f>SUMPRODUCT(N(Tabela1[Código]=Tabela8[[#This Row],[Papel]]),Tabela1[Fechamento])</f>
        <v>5.35</v>
      </c>
      <c r="R1120" s="7">
        <f>SUMPRODUCT(N(Tabela17[Código]=Tabela8[[#This Row],[Papel]]),Tabela17[Fechamento])</f>
        <v>0</v>
      </c>
      <c r="S1120" s="7">
        <f>SUMPRODUCT(N(Tabela176[Código]=Tabela8[[#This Row],[Papel]]),Tabela176[Fechamento])</f>
        <v>0</v>
      </c>
      <c r="T1120" s="7">
        <f>SUMPRODUCT(N(Tabela1768[Código]=Tabela8[[#This Row],[Papel]]),Tabela1768[Fechamento])</f>
        <v>0</v>
      </c>
      <c r="U1120" s="7">
        <f>SUMPRODUCT(N(Tabela17683[Código]=Tabela8[[#This Row],[Papel]]),Tabela17683[Fechamento])</f>
        <v>0</v>
      </c>
      <c r="V1120" s="7">
        <f>IF(MAX(Tabela8[[#This Row],[Cotação 1]]:Tabela8[[#This Row],[Cotação 5]])=0,"",MAX(Tabela8[[#This Row],[Cotação 1]]:Tabela8[[#This Row],[Cotação 5]]))</f>
        <v>5.35</v>
      </c>
      <c r="W112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0" s="19">
        <f>IF(AND([Ref]=5,[Cotação]&gt;0,[Cotação]&lt;&gt;""),[Total Exercício]/[Cotação],IF([Ref]&lt;4,0,""))</f>
        <v>0</v>
      </c>
      <c r="Y1120" s="14">
        <f>IF([Tipo]="div",1,0)</f>
        <v>0</v>
      </c>
      <c r="Z1120" s="14">
        <f>IF([Tipo]="jcp",1,0)</f>
        <v>0</v>
      </c>
    </row>
    <row r="1121" spans="1:26" hidden="1">
      <c r="A1121" s="4" t="s">
        <v>12</v>
      </c>
      <c r="B1121" s="139" t="s">
        <v>450</v>
      </c>
      <c r="C1121" s="15">
        <v>5</v>
      </c>
      <c r="D1121" s="14">
        <v>2000</v>
      </c>
      <c r="F1121" s="133">
        <f>0.00457*500</f>
        <v>2.2850000000000001</v>
      </c>
      <c r="J1121" s="134">
        <f>IF(Tabela8[[#This Row],[Tipo]]="jcp",Tabela8[[#This Row],[Provento p/Ação]]*85%,Tabela8[[#This Row],[Provento p/Ação]])</f>
        <v>0</v>
      </c>
      <c r="K1121" s="133">
        <f>IF([Lucro p/Ação]&lt;&gt;0,SUMPRODUCT(N([Papel]=Tabela8[[#This Row],[Papel]]),N([Exercício]=Tabela8[[#This Row],[Exercício]]),[Líquido p/Ação]),"")</f>
        <v>0</v>
      </c>
      <c r="L1121" s="42">
        <f>IF(Tabela8[[#This Row],[Lucro p/Ação]]="","",IF(Tabela8[[#This Row],[Lucro p/Ação]]&gt;0,Tabela8[[#This Row],[Total Exercício]]/Tabela8[[#This Row],[Lucro p/Ação]],0))</f>
        <v>0</v>
      </c>
      <c r="M112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1.95625</v>
      </c>
      <c r="N112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1" s="19">
        <f>IF(Tabela8[[#This Row],[Média Lucro p/Ação]]&lt;&gt;"",Tabela8[[#This Row],[Média Pago]]/Tabela8[[#This Row],[Média Lucro p/Ação]],"")</f>
        <v>0</v>
      </c>
      <c r="P112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1" s="134">
        <f>SUMPRODUCT(N(Tabela1[Código]=Tabela8[[#This Row],[Papel]]),Tabela1[Fechamento])</f>
        <v>0</v>
      </c>
      <c r="R1121" s="7">
        <f>SUMPRODUCT(N(Tabela17[Código]=Tabela8[[#This Row],[Papel]]),Tabela17[Fechamento])</f>
        <v>23.01</v>
      </c>
      <c r="S1121" s="7">
        <f>SUMPRODUCT(N(Tabela176[Código]=Tabela8[[#This Row],[Papel]]),Tabela176[Fechamento])</f>
        <v>0</v>
      </c>
      <c r="T1121" s="7">
        <f>SUMPRODUCT(N(Tabela1768[Código]=Tabela8[[#This Row],[Papel]]),Tabela1768[Fechamento])</f>
        <v>0</v>
      </c>
      <c r="U1121" s="7">
        <f>SUMPRODUCT(N(Tabela17683[Código]=Tabela8[[#This Row],[Papel]]),Tabela17683[Fechamento])</f>
        <v>0</v>
      </c>
      <c r="V1121" s="7">
        <f>IF(MAX(Tabela8[[#This Row],[Cotação 1]]:Tabela8[[#This Row],[Cotação 5]])=0,"",MAX(Tabela8[[#This Row],[Cotação 1]]:Tabela8[[#This Row],[Cotação 5]]))</f>
        <v>23.01</v>
      </c>
      <c r="W112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1" s="19">
        <f>IF(AND([Ref]=5,[Cotação]&gt;0,[Cotação]&lt;&gt;""),[Total Exercício]/[Cotação],IF([Ref]&lt;4,0,""))</f>
        <v>0</v>
      </c>
      <c r="Y1121" s="14">
        <f>IF([Tipo]="div",1,0)</f>
        <v>0</v>
      </c>
      <c r="Z1121" s="14">
        <f>IF([Tipo]="jcp",1,0)</f>
        <v>0</v>
      </c>
    </row>
    <row r="1122" spans="1:26" hidden="1">
      <c r="A1122" s="4" t="s">
        <v>12</v>
      </c>
      <c r="B1122" s="131" t="s">
        <v>27</v>
      </c>
      <c r="C1122" s="15">
        <v>5</v>
      </c>
      <c r="D1122" s="14">
        <v>2000</v>
      </c>
      <c r="F1122" s="133">
        <f>0.00457*500</f>
        <v>2.2850000000000001</v>
      </c>
      <c r="J1122" s="134">
        <f>IF(Tabela8[[#This Row],[Tipo]]="jcp",Tabela8[[#This Row],[Provento p/Ação]]*85%,Tabela8[[#This Row],[Provento p/Ação]])</f>
        <v>0</v>
      </c>
      <c r="K1122" s="133">
        <f>IF([Lucro p/Ação]&lt;&gt;0,SUMPRODUCT(N([Papel]=Tabela8[[#This Row],[Papel]]),N([Exercício]=Tabela8[[#This Row],[Exercício]]),[Líquido p/Ação]),"")</f>
        <v>0</v>
      </c>
      <c r="L1122" s="42">
        <f>IF(Tabela8[[#This Row],[Lucro p/Ação]]="","",IF(Tabela8[[#This Row],[Lucro p/Ação]]&gt;0,Tabela8[[#This Row],[Total Exercício]]/Tabela8[[#This Row],[Lucro p/Ação]],0))</f>
        <v>0</v>
      </c>
      <c r="M1122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1.95625</v>
      </c>
      <c r="N1122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2" s="19">
        <f>IF(Tabela8[[#This Row],[Média Lucro p/Ação]]&lt;&gt;"",Tabela8[[#This Row],[Média Pago]]/Tabela8[[#This Row],[Média Lucro p/Ação]],"")</f>
        <v>0</v>
      </c>
      <c r="P1122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2" s="134">
        <f>SUMPRODUCT(N(Tabela1[Código]=Tabela8[[#This Row],[Papel]]),Tabela1[Fechamento])</f>
        <v>9.67</v>
      </c>
      <c r="R1122" s="7">
        <f>SUMPRODUCT(N(Tabela17[Código]=Tabela8[[#This Row],[Papel]]),Tabela17[Fechamento])</f>
        <v>0</v>
      </c>
      <c r="S1122" s="7">
        <f>SUMPRODUCT(N(Tabela176[Código]=Tabela8[[#This Row],[Papel]]),Tabela176[Fechamento])</f>
        <v>0</v>
      </c>
      <c r="T1122" s="7">
        <f>SUMPRODUCT(N(Tabela1768[Código]=Tabela8[[#This Row],[Papel]]),Tabela1768[Fechamento])</f>
        <v>0</v>
      </c>
      <c r="U1122" s="7">
        <f>SUMPRODUCT(N(Tabela17683[Código]=Tabela8[[#This Row],[Papel]]),Tabela17683[Fechamento])</f>
        <v>0</v>
      </c>
      <c r="V1122" s="7">
        <f>IF(MAX(Tabela8[[#This Row],[Cotação 1]]:Tabela8[[#This Row],[Cotação 5]])=0,"",MAX(Tabela8[[#This Row],[Cotação 1]]:Tabela8[[#This Row],[Cotação 5]]))</f>
        <v>9.67</v>
      </c>
      <c r="W1122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2" s="19">
        <f>IF(AND([Ref]=5,[Cotação]&gt;0,[Cotação]&lt;&gt;""),[Total Exercício]/[Cotação],IF([Ref]&lt;4,0,""))</f>
        <v>0</v>
      </c>
      <c r="Y1122" s="14">
        <f>IF([Tipo]="div",1,0)</f>
        <v>0</v>
      </c>
      <c r="Z1122" s="14">
        <f>IF([Tipo]="jcp",1,0)</f>
        <v>0</v>
      </c>
    </row>
    <row r="1123" spans="1:26" hidden="1">
      <c r="A1123" s="4" t="s">
        <v>12</v>
      </c>
      <c r="B1123" s="139" t="s">
        <v>2</v>
      </c>
      <c r="C1123" s="15">
        <v>5</v>
      </c>
      <c r="D1123" s="14">
        <v>1999</v>
      </c>
      <c r="F1123" s="133">
        <f>0.00108*500</f>
        <v>0.54</v>
      </c>
      <c r="J1123" s="134">
        <f>IF(Tabela8[[#This Row],[Tipo]]="jcp",Tabela8[[#This Row],[Provento p/Ação]]*85%,Tabela8[[#This Row],[Provento p/Ação]])</f>
        <v>0</v>
      </c>
      <c r="K1123" s="133">
        <f>IF([Lucro p/Ação]&lt;&gt;0,SUMPRODUCT(N([Papel]=Tabela8[[#This Row],[Papel]]),N([Exercício]=Tabela8[[#This Row],[Exercício]]),[Líquido p/Ação]),"")</f>
        <v>0</v>
      </c>
      <c r="L1123" s="42">
        <f>IF(Tabela8[[#This Row],[Lucro p/Ação]]="","",IF(Tabela8[[#This Row],[Lucro p/Ação]]&gt;0,Tabela8[[#This Row],[Total Exercício]]/Tabela8[[#This Row],[Lucro p/Ação]],0))</f>
        <v>0</v>
      </c>
      <c r="M1123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1.8466666666666667</v>
      </c>
      <c r="N1123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3" s="19">
        <f>IF(Tabela8[[#This Row],[Média Lucro p/Ação]]&lt;&gt;"",Tabela8[[#This Row],[Média Pago]]/Tabela8[[#This Row],[Média Lucro p/Ação]],"")</f>
        <v>0</v>
      </c>
      <c r="P1123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3" s="134">
        <f>SUMPRODUCT(N(Tabela1[Código]=Tabela8[[#This Row],[Papel]]),Tabela1[Fechamento])</f>
        <v>5.35</v>
      </c>
      <c r="R1123" s="7">
        <f>SUMPRODUCT(N(Tabela17[Código]=Tabela8[[#This Row],[Papel]]),Tabela17[Fechamento])</f>
        <v>0</v>
      </c>
      <c r="S1123" s="7">
        <f>SUMPRODUCT(N(Tabela176[Código]=Tabela8[[#This Row],[Papel]]),Tabela176[Fechamento])</f>
        <v>0</v>
      </c>
      <c r="T1123" s="7">
        <f>SUMPRODUCT(N(Tabela1768[Código]=Tabela8[[#This Row],[Papel]]),Tabela1768[Fechamento])</f>
        <v>0</v>
      </c>
      <c r="U1123" s="7">
        <f>SUMPRODUCT(N(Tabela17683[Código]=Tabela8[[#This Row],[Papel]]),Tabela17683[Fechamento])</f>
        <v>0</v>
      </c>
      <c r="V1123" s="7">
        <f>IF(MAX(Tabela8[[#This Row],[Cotação 1]]:Tabela8[[#This Row],[Cotação 5]])=0,"",MAX(Tabela8[[#This Row],[Cotação 1]]:Tabela8[[#This Row],[Cotação 5]]))</f>
        <v>5.35</v>
      </c>
      <c r="W1123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3" s="19">
        <f>IF(AND([Ref]=5,[Cotação]&gt;0,[Cotação]&lt;&gt;""),[Total Exercício]/[Cotação],IF([Ref]&lt;4,0,""))</f>
        <v>0</v>
      </c>
      <c r="Y1123" s="14">
        <f>IF([Tipo]="div",1,0)</f>
        <v>0</v>
      </c>
      <c r="Z1123" s="14">
        <f>IF([Tipo]="jcp",1,0)</f>
        <v>0</v>
      </c>
    </row>
    <row r="1124" spans="1:26" hidden="1">
      <c r="A1124" s="4" t="s">
        <v>12</v>
      </c>
      <c r="B1124" s="139" t="s">
        <v>450</v>
      </c>
      <c r="C1124" s="15">
        <v>5</v>
      </c>
      <c r="D1124" s="14">
        <v>1999</v>
      </c>
      <c r="F1124" s="133">
        <f>0.00108*500</f>
        <v>0.54</v>
      </c>
      <c r="J1124" s="134">
        <f>IF(Tabela8[[#This Row],[Tipo]]="jcp",Tabela8[[#This Row],[Provento p/Ação]]*85%,Tabela8[[#This Row],[Provento p/Ação]])</f>
        <v>0</v>
      </c>
      <c r="K1124" s="133">
        <f>IF([Lucro p/Ação]&lt;&gt;0,SUMPRODUCT(N([Papel]=Tabela8[[#This Row],[Papel]]),N([Exercício]=Tabela8[[#This Row],[Exercício]]),[Líquido p/Ação]),"")</f>
        <v>0</v>
      </c>
      <c r="L1124" s="42">
        <f>IF(Tabela8[[#This Row],[Lucro p/Ação]]="","",IF(Tabela8[[#This Row],[Lucro p/Ação]]&gt;0,Tabela8[[#This Row],[Total Exercício]]/Tabela8[[#This Row],[Lucro p/Ação]],0))</f>
        <v>0</v>
      </c>
      <c r="M1124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1.8466666666666667</v>
      </c>
      <c r="N1124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4" s="19">
        <f>IF(Tabela8[[#This Row],[Média Lucro p/Ação]]&lt;&gt;"",Tabela8[[#This Row],[Média Pago]]/Tabela8[[#This Row],[Média Lucro p/Ação]],"")</f>
        <v>0</v>
      </c>
      <c r="P1124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4" s="134">
        <f>SUMPRODUCT(N(Tabela1[Código]=Tabela8[[#This Row],[Papel]]),Tabela1[Fechamento])</f>
        <v>0</v>
      </c>
      <c r="R1124" s="7">
        <f>SUMPRODUCT(N(Tabela17[Código]=Tabela8[[#This Row],[Papel]]),Tabela17[Fechamento])</f>
        <v>23.01</v>
      </c>
      <c r="S1124" s="7">
        <f>SUMPRODUCT(N(Tabela176[Código]=Tabela8[[#This Row],[Papel]]),Tabela176[Fechamento])</f>
        <v>0</v>
      </c>
      <c r="T1124" s="7">
        <f>SUMPRODUCT(N(Tabela1768[Código]=Tabela8[[#This Row],[Papel]]),Tabela1768[Fechamento])</f>
        <v>0</v>
      </c>
      <c r="U1124" s="7">
        <f>SUMPRODUCT(N(Tabela17683[Código]=Tabela8[[#This Row],[Papel]]),Tabela17683[Fechamento])</f>
        <v>0</v>
      </c>
      <c r="V1124" s="7">
        <f>IF(MAX(Tabela8[[#This Row],[Cotação 1]]:Tabela8[[#This Row],[Cotação 5]])=0,"",MAX(Tabela8[[#This Row],[Cotação 1]]:Tabela8[[#This Row],[Cotação 5]]))</f>
        <v>23.01</v>
      </c>
      <c r="W1124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4" s="19">
        <f>IF(AND([Ref]=5,[Cotação]&gt;0,[Cotação]&lt;&gt;""),[Total Exercício]/[Cotação],IF([Ref]&lt;4,0,""))</f>
        <v>0</v>
      </c>
      <c r="Y1124" s="14">
        <f>IF([Tipo]="div",1,0)</f>
        <v>0</v>
      </c>
      <c r="Z1124" s="14">
        <f>IF([Tipo]="jcp",1,0)</f>
        <v>0</v>
      </c>
    </row>
    <row r="1125" spans="1:26" hidden="1">
      <c r="A1125" s="4" t="s">
        <v>12</v>
      </c>
      <c r="B1125" s="131" t="s">
        <v>27</v>
      </c>
      <c r="C1125" s="15">
        <v>5</v>
      </c>
      <c r="D1125" s="14">
        <v>1999</v>
      </c>
      <c r="F1125" s="133">
        <f>0.00108*500</f>
        <v>0.54</v>
      </c>
      <c r="J1125" s="134">
        <f>IF(Tabela8[[#This Row],[Tipo]]="jcp",Tabela8[[#This Row],[Provento p/Ação]]*85%,Tabela8[[#This Row],[Provento p/Ação]])</f>
        <v>0</v>
      </c>
      <c r="K1125" s="133">
        <f>IF([Lucro p/Ação]&lt;&gt;0,SUMPRODUCT(N([Papel]=Tabela8[[#This Row],[Papel]]),N([Exercício]=Tabela8[[#This Row],[Exercício]]),[Líquido p/Ação]),"")</f>
        <v>0</v>
      </c>
      <c r="L1125" s="42">
        <f>IF(Tabela8[[#This Row],[Lucro p/Ação]]="","",IF(Tabela8[[#This Row],[Lucro p/Ação]]&gt;0,Tabela8[[#This Row],[Total Exercício]]/Tabela8[[#This Row],[Lucro p/Ação]],0))</f>
        <v>0</v>
      </c>
      <c r="M1125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1.8466666666666667</v>
      </c>
      <c r="N1125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5" s="19">
        <f>IF(Tabela8[[#This Row],[Média Lucro p/Ação]]&lt;&gt;"",Tabela8[[#This Row],[Média Pago]]/Tabela8[[#This Row],[Média Lucro p/Ação]],"")</f>
        <v>0</v>
      </c>
      <c r="P1125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5" s="134">
        <f>SUMPRODUCT(N(Tabela1[Código]=Tabela8[[#This Row],[Papel]]),Tabela1[Fechamento])</f>
        <v>9.67</v>
      </c>
      <c r="R1125" s="7">
        <f>SUMPRODUCT(N(Tabela17[Código]=Tabela8[[#This Row],[Papel]]),Tabela17[Fechamento])</f>
        <v>0</v>
      </c>
      <c r="S1125" s="7">
        <f>SUMPRODUCT(N(Tabela176[Código]=Tabela8[[#This Row],[Papel]]),Tabela176[Fechamento])</f>
        <v>0</v>
      </c>
      <c r="T1125" s="7">
        <f>SUMPRODUCT(N(Tabela1768[Código]=Tabela8[[#This Row],[Papel]]),Tabela1768[Fechamento])</f>
        <v>0</v>
      </c>
      <c r="U1125" s="7">
        <f>SUMPRODUCT(N(Tabela17683[Código]=Tabela8[[#This Row],[Papel]]),Tabela17683[Fechamento])</f>
        <v>0</v>
      </c>
      <c r="V1125" s="7">
        <f>IF(MAX(Tabela8[[#This Row],[Cotação 1]]:Tabela8[[#This Row],[Cotação 5]])=0,"",MAX(Tabela8[[#This Row],[Cotação 1]]:Tabela8[[#This Row],[Cotação 5]]))</f>
        <v>9.67</v>
      </c>
      <c r="W1125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5" s="19">
        <f>IF(AND([Ref]=5,[Cotação]&gt;0,[Cotação]&lt;&gt;""),[Total Exercício]/[Cotação],IF([Ref]&lt;4,0,""))</f>
        <v>0</v>
      </c>
      <c r="Y1125" s="14">
        <f>IF([Tipo]="div",1,0)</f>
        <v>0</v>
      </c>
      <c r="Z1125" s="14">
        <f>IF([Tipo]="jcp",1,0)</f>
        <v>0</v>
      </c>
    </row>
    <row r="1126" spans="1:26" hidden="1">
      <c r="A1126" s="4" t="s">
        <v>12</v>
      </c>
      <c r="B1126" s="139" t="s">
        <v>2</v>
      </c>
      <c r="C1126" s="15">
        <v>5</v>
      </c>
      <c r="D1126" s="14">
        <v>1998</v>
      </c>
      <c r="F1126" s="133">
        <f>0.00371*500</f>
        <v>1.8550000000000002</v>
      </c>
      <c r="J1126" s="134">
        <f>IF(Tabela8[[#This Row],[Tipo]]="jcp",Tabela8[[#This Row],[Provento p/Ação]]*85%,Tabela8[[#This Row],[Provento p/Ação]])</f>
        <v>0</v>
      </c>
      <c r="K1126" s="133">
        <f>IF([Lucro p/Ação]&lt;&gt;0,SUMPRODUCT(N([Papel]=Tabela8[[#This Row],[Papel]]),N([Exercício]=Tabela8[[#This Row],[Exercício]]),[Líquido p/Ação]),"")</f>
        <v>0</v>
      </c>
      <c r="L1126" s="42">
        <f>IF(Tabela8[[#This Row],[Lucro p/Ação]]="","",IF(Tabela8[[#This Row],[Lucro p/Ação]]&gt;0,Tabela8[[#This Row],[Total Exercício]]/Tabela8[[#This Row],[Lucro p/Ação]],0))</f>
        <v>0</v>
      </c>
      <c r="M1126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2.5</v>
      </c>
      <c r="N1126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6" s="19">
        <f>IF(Tabela8[[#This Row],[Média Lucro p/Ação]]&lt;&gt;"",Tabela8[[#This Row],[Média Pago]]/Tabela8[[#This Row],[Média Lucro p/Ação]],"")</f>
        <v>0</v>
      </c>
      <c r="P1126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6" s="134">
        <f>SUMPRODUCT(N(Tabela1[Código]=Tabela8[[#This Row],[Papel]]),Tabela1[Fechamento])</f>
        <v>5.35</v>
      </c>
      <c r="R1126" s="7">
        <f>SUMPRODUCT(N(Tabela17[Código]=Tabela8[[#This Row],[Papel]]),Tabela17[Fechamento])</f>
        <v>0</v>
      </c>
      <c r="S1126" s="7">
        <f>SUMPRODUCT(N(Tabela176[Código]=Tabela8[[#This Row],[Papel]]),Tabela176[Fechamento])</f>
        <v>0</v>
      </c>
      <c r="T1126" s="7">
        <f>SUMPRODUCT(N(Tabela1768[Código]=Tabela8[[#This Row],[Papel]]),Tabela1768[Fechamento])</f>
        <v>0</v>
      </c>
      <c r="U1126" s="7">
        <f>SUMPRODUCT(N(Tabela17683[Código]=Tabela8[[#This Row],[Papel]]),Tabela17683[Fechamento])</f>
        <v>0</v>
      </c>
      <c r="V1126" s="7">
        <f>IF(MAX(Tabela8[[#This Row],[Cotação 1]]:Tabela8[[#This Row],[Cotação 5]])=0,"",MAX(Tabela8[[#This Row],[Cotação 1]]:Tabela8[[#This Row],[Cotação 5]]))</f>
        <v>5.35</v>
      </c>
      <c r="W1126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6" s="19">
        <f>IF(AND([Ref]=5,[Cotação]&gt;0,[Cotação]&lt;&gt;""),[Total Exercício]/[Cotação],IF([Ref]&lt;4,0,""))</f>
        <v>0</v>
      </c>
      <c r="Y1126" s="14">
        <f>IF([Tipo]="div",1,0)</f>
        <v>0</v>
      </c>
      <c r="Z1126" s="14">
        <f>IF([Tipo]="jcp",1,0)</f>
        <v>0</v>
      </c>
    </row>
    <row r="1127" spans="1:26" hidden="1">
      <c r="A1127" s="4" t="s">
        <v>12</v>
      </c>
      <c r="B1127" s="139" t="s">
        <v>450</v>
      </c>
      <c r="C1127" s="15">
        <v>5</v>
      </c>
      <c r="D1127" s="14">
        <v>1998</v>
      </c>
      <c r="F1127" s="133">
        <f>0.00371*500</f>
        <v>1.8550000000000002</v>
      </c>
      <c r="J1127" s="134">
        <f>IF(Tabela8[[#This Row],[Tipo]]="jcp",Tabela8[[#This Row],[Provento p/Ação]]*85%,Tabela8[[#This Row],[Provento p/Ação]])</f>
        <v>0</v>
      </c>
      <c r="K1127" s="133">
        <f>IF([Lucro p/Ação]&lt;&gt;0,SUMPRODUCT(N([Papel]=Tabela8[[#This Row],[Papel]]),N([Exercício]=Tabela8[[#This Row],[Exercício]]),[Líquido p/Ação]),"")</f>
        <v>0</v>
      </c>
      <c r="L1127" s="42">
        <f>IF(Tabela8[[#This Row],[Lucro p/Ação]]="","",IF(Tabela8[[#This Row],[Lucro p/Ação]]&gt;0,Tabela8[[#This Row],[Total Exercício]]/Tabela8[[#This Row],[Lucro p/Ação]],0))</f>
        <v>0</v>
      </c>
      <c r="M1127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2.5</v>
      </c>
      <c r="N1127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7" s="19">
        <f>IF(Tabela8[[#This Row],[Média Lucro p/Ação]]&lt;&gt;"",Tabela8[[#This Row],[Média Pago]]/Tabela8[[#This Row],[Média Lucro p/Ação]],"")</f>
        <v>0</v>
      </c>
      <c r="P1127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7" s="134">
        <f>SUMPRODUCT(N(Tabela1[Código]=Tabela8[[#This Row],[Papel]]),Tabela1[Fechamento])</f>
        <v>0</v>
      </c>
      <c r="R1127" s="7">
        <f>SUMPRODUCT(N(Tabela17[Código]=Tabela8[[#This Row],[Papel]]),Tabela17[Fechamento])</f>
        <v>23.01</v>
      </c>
      <c r="S1127" s="7">
        <f>SUMPRODUCT(N(Tabela176[Código]=Tabela8[[#This Row],[Papel]]),Tabela176[Fechamento])</f>
        <v>0</v>
      </c>
      <c r="T1127" s="7">
        <f>SUMPRODUCT(N(Tabela1768[Código]=Tabela8[[#This Row],[Papel]]),Tabela1768[Fechamento])</f>
        <v>0</v>
      </c>
      <c r="U1127" s="7">
        <f>SUMPRODUCT(N(Tabela17683[Código]=Tabela8[[#This Row],[Papel]]),Tabela17683[Fechamento])</f>
        <v>0</v>
      </c>
      <c r="V1127" s="7">
        <f>IF(MAX(Tabela8[[#This Row],[Cotação 1]]:Tabela8[[#This Row],[Cotação 5]])=0,"",MAX(Tabela8[[#This Row],[Cotação 1]]:Tabela8[[#This Row],[Cotação 5]]))</f>
        <v>23.01</v>
      </c>
      <c r="W1127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7" s="19">
        <f>IF(AND([Ref]=5,[Cotação]&gt;0,[Cotação]&lt;&gt;""),[Total Exercício]/[Cotação],IF([Ref]&lt;4,0,""))</f>
        <v>0</v>
      </c>
      <c r="Y1127" s="14">
        <f>IF([Tipo]="div",1,0)</f>
        <v>0</v>
      </c>
      <c r="Z1127" s="14">
        <f>IF([Tipo]="jcp",1,0)</f>
        <v>0</v>
      </c>
    </row>
    <row r="1128" spans="1:26" hidden="1">
      <c r="A1128" s="4" t="s">
        <v>12</v>
      </c>
      <c r="B1128" s="131" t="s">
        <v>27</v>
      </c>
      <c r="C1128" s="15">
        <v>5</v>
      </c>
      <c r="D1128" s="14">
        <v>1998</v>
      </c>
      <c r="F1128" s="133">
        <f>0.00371*500</f>
        <v>1.8550000000000002</v>
      </c>
      <c r="J1128" s="134">
        <f>IF(Tabela8[[#This Row],[Tipo]]="jcp",Tabela8[[#This Row],[Provento p/Ação]]*85%,Tabela8[[#This Row],[Provento p/Ação]])</f>
        <v>0</v>
      </c>
      <c r="K1128" s="133">
        <f>IF([Lucro p/Ação]&lt;&gt;0,SUMPRODUCT(N([Papel]=Tabela8[[#This Row],[Papel]]),N([Exercício]=Tabela8[[#This Row],[Exercício]]),[Líquido p/Ação]),"")</f>
        <v>0</v>
      </c>
      <c r="L1128" s="42">
        <f>IF(Tabela8[[#This Row],[Lucro p/Ação]]="","",IF(Tabela8[[#This Row],[Lucro p/Ação]]&gt;0,Tabela8[[#This Row],[Total Exercício]]/Tabela8[[#This Row],[Lucro p/Ação]],0))</f>
        <v>0</v>
      </c>
      <c r="M1128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2.5</v>
      </c>
      <c r="N1128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8" s="19">
        <f>IF(Tabela8[[#This Row],[Média Lucro p/Ação]]&lt;&gt;"",Tabela8[[#This Row],[Média Pago]]/Tabela8[[#This Row],[Média Lucro p/Ação]],"")</f>
        <v>0</v>
      </c>
      <c r="P1128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8" s="134">
        <f>SUMPRODUCT(N(Tabela1[Código]=Tabela8[[#This Row],[Papel]]),Tabela1[Fechamento])</f>
        <v>9.67</v>
      </c>
      <c r="R1128" s="17">
        <f>SUMPRODUCT(N(Tabela17[Código]=Tabela8[[#This Row],[Papel]]),Tabela17[Fechamento])</f>
        <v>0</v>
      </c>
      <c r="S1128" s="17">
        <f>SUMPRODUCT(N(Tabela176[Código]=Tabela8[[#This Row],[Papel]]),Tabela176[Fechamento])</f>
        <v>0</v>
      </c>
      <c r="T1128" s="17">
        <f>SUMPRODUCT(N(Tabela1768[Código]=Tabela8[[#This Row],[Papel]]),Tabela1768[Fechamento])</f>
        <v>0</v>
      </c>
      <c r="U1128" s="17">
        <f>SUMPRODUCT(N(Tabela17683[Código]=Tabela8[[#This Row],[Papel]]),Tabela17683[Fechamento])</f>
        <v>0</v>
      </c>
      <c r="V1128" s="17">
        <f>IF(MAX(Tabela8[[#This Row],[Cotação 1]]:Tabela8[[#This Row],[Cotação 5]])=0,"",MAX(Tabela8[[#This Row],[Cotação 1]]:Tabela8[[#This Row],[Cotação 5]]))</f>
        <v>9.67</v>
      </c>
      <c r="W1128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8" s="19">
        <f>IF(AND([Ref]=5,[Cotação]&gt;0,[Cotação]&lt;&gt;""),[Total Exercício]/[Cotação],IF([Ref]&lt;4,0,""))</f>
        <v>0</v>
      </c>
      <c r="Y1128" s="14">
        <f>IF([Tipo]="div",1,0)</f>
        <v>0</v>
      </c>
      <c r="Z1128" s="14">
        <f>IF([Tipo]="jcp",1,0)</f>
        <v>0</v>
      </c>
    </row>
    <row r="1129" spans="1:26" hidden="1">
      <c r="A1129" s="4" t="s">
        <v>12</v>
      </c>
      <c r="B1129" s="139" t="s">
        <v>2</v>
      </c>
      <c r="C1129" s="15">
        <v>5</v>
      </c>
      <c r="D1129" s="14">
        <v>1997</v>
      </c>
      <c r="F1129" s="133">
        <f>0.00629*500</f>
        <v>3.1449999999999996</v>
      </c>
      <c r="J1129" s="134">
        <f>IF(Tabela8[[#This Row],[Tipo]]="jcp",Tabela8[[#This Row],[Provento p/Ação]]*85%,Tabela8[[#This Row],[Provento p/Ação]])</f>
        <v>0</v>
      </c>
      <c r="K1129" s="133">
        <f>IF([Lucro p/Ação]&lt;&gt;0,SUMPRODUCT(N([Papel]=Tabela8[[#This Row],[Papel]]),N([Exercício]=Tabela8[[#This Row],[Exercício]]),[Líquido p/Ação]),"")</f>
        <v>0</v>
      </c>
      <c r="L1129" s="42">
        <f>IF(Tabela8[[#This Row],[Lucro p/Ação]]="","",IF(Tabela8[[#This Row],[Lucro p/Ação]]&gt;0,Tabela8[[#This Row],[Total Exercício]]/Tabela8[[#This Row],[Lucro p/Ação]],0))</f>
        <v>0</v>
      </c>
      <c r="M1129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3.1449999999999996</v>
      </c>
      <c r="N1129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29" s="19">
        <f>IF(Tabela8[[#This Row],[Média Lucro p/Ação]]&lt;&gt;"",Tabela8[[#This Row],[Média Pago]]/Tabela8[[#This Row],[Média Lucro p/Ação]],"")</f>
        <v>0</v>
      </c>
      <c r="P1129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29" s="134">
        <f>SUMPRODUCT(N(Tabela1[Código]=Tabela8[[#This Row],[Papel]]),Tabela1[Fechamento])</f>
        <v>5.35</v>
      </c>
      <c r="R1129" s="7">
        <f>SUMPRODUCT(N(Tabela17[Código]=Tabela8[[#This Row],[Papel]]),Tabela17[Fechamento])</f>
        <v>0</v>
      </c>
      <c r="S1129" s="7">
        <f>SUMPRODUCT(N(Tabela176[Código]=Tabela8[[#This Row],[Papel]]),Tabela176[Fechamento])</f>
        <v>0</v>
      </c>
      <c r="T1129" s="7">
        <f>SUMPRODUCT(N(Tabela1768[Código]=Tabela8[[#This Row],[Papel]]),Tabela1768[Fechamento])</f>
        <v>0</v>
      </c>
      <c r="U1129" s="7">
        <f>SUMPRODUCT(N(Tabela17683[Código]=Tabela8[[#This Row],[Papel]]),Tabela17683[Fechamento])</f>
        <v>0</v>
      </c>
      <c r="V1129" s="7">
        <f>IF(MAX(Tabela8[[#This Row],[Cotação 1]]:Tabela8[[#This Row],[Cotação 5]])=0,"",MAX(Tabela8[[#This Row],[Cotação 1]]:Tabela8[[#This Row],[Cotação 5]]))</f>
        <v>5.35</v>
      </c>
      <c r="W1129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29" s="19">
        <f>IF(AND([Ref]=5,[Cotação]&gt;0,[Cotação]&lt;&gt;""),[Total Exercício]/[Cotação],IF([Ref]&lt;4,0,""))</f>
        <v>0</v>
      </c>
      <c r="Y1129" s="14">
        <f>IF([Tipo]="div",1,0)</f>
        <v>0</v>
      </c>
      <c r="Z1129" s="14">
        <f>IF([Tipo]="jcp",1,0)</f>
        <v>0</v>
      </c>
    </row>
    <row r="1130" spans="1:26" hidden="1">
      <c r="A1130" s="4" t="s">
        <v>12</v>
      </c>
      <c r="B1130" s="139" t="s">
        <v>450</v>
      </c>
      <c r="C1130" s="15">
        <v>5</v>
      </c>
      <c r="D1130" s="14">
        <v>1997</v>
      </c>
      <c r="F1130" s="133">
        <f>0.00629*500</f>
        <v>3.1449999999999996</v>
      </c>
      <c r="J1130" s="134">
        <f>IF(Tabela8[[#This Row],[Tipo]]="jcp",Tabela8[[#This Row],[Provento p/Ação]]*85%,Tabela8[[#This Row],[Provento p/Ação]])</f>
        <v>0</v>
      </c>
      <c r="K1130" s="133">
        <f>IF([Lucro p/Ação]&lt;&gt;0,SUMPRODUCT(N([Papel]=Tabela8[[#This Row],[Papel]]),N([Exercício]=Tabela8[[#This Row],[Exercício]]),[Líquido p/Ação]),"")</f>
        <v>0</v>
      </c>
      <c r="L1130" s="42">
        <f>IF(Tabela8[[#This Row],[Lucro p/Ação]]="","",IF(Tabela8[[#This Row],[Lucro p/Ação]]&gt;0,Tabela8[[#This Row],[Total Exercício]]/Tabela8[[#This Row],[Lucro p/Ação]],0))</f>
        <v>0</v>
      </c>
      <c r="M1130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3.1449999999999996</v>
      </c>
      <c r="N1130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30" s="19">
        <f>IF(Tabela8[[#This Row],[Média Lucro p/Ação]]&lt;&gt;"",Tabela8[[#This Row],[Média Pago]]/Tabela8[[#This Row],[Média Lucro p/Ação]],"")</f>
        <v>0</v>
      </c>
      <c r="P1130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30" s="134">
        <f>SUMPRODUCT(N(Tabela1[Código]=Tabela8[[#This Row],[Papel]]),Tabela1[Fechamento])</f>
        <v>0</v>
      </c>
      <c r="R1130" s="7">
        <f>SUMPRODUCT(N(Tabela17[Código]=Tabela8[[#This Row],[Papel]]),Tabela17[Fechamento])</f>
        <v>23.01</v>
      </c>
      <c r="S1130" s="7">
        <f>SUMPRODUCT(N(Tabela176[Código]=Tabela8[[#This Row],[Papel]]),Tabela176[Fechamento])</f>
        <v>0</v>
      </c>
      <c r="T1130" s="7">
        <f>SUMPRODUCT(N(Tabela1768[Código]=Tabela8[[#This Row],[Papel]]),Tabela1768[Fechamento])</f>
        <v>0</v>
      </c>
      <c r="U1130" s="7">
        <f>SUMPRODUCT(N(Tabela17683[Código]=Tabela8[[#This Row],[Papel]]),Tabela17683[Fechamento])</f>
        <v>0</v>
      </c>
      <c r="V1130" s="7">
        <f>IF(MAX(Tabela8[[#This Row],[Cotação 1]]:Tabela8[[#This Row],[Cotação 5]])=0,"",MAX(Tabela8[[#This Row],[Cotação 1]]:Tabela8[[#This Row],[Cotação 5]]))</f>
        <v>23.01</v>
      </c>
      <c r="W1130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30" s="19">
        <f>IF(AND([Ref]=5,[Cotação]&gt;0,[Cotação]&lt;&gt;""),[Total Exercício]/[Cotação],IF([Ref]&lt;4,0,""))</f>
        <v>0</v>
      </c>
      <c r="Y1130" s="14">
        <f>IF([Tipo]="div",1,0)</f>
        <v>0</v>
      </c>
      <c r="Z1130" s="14">
        <f>IF([Tipo]="jcp",1,0)</f>
        <v>0</v>
      </c>
    </row>
    <row r="1131" spans="1:26" hidden="1">
      <c r="A1131" s="4" t="s">
        <v>12</v>
      </c>
      <c r="B1131" s="131" t="s">
        <v>27</v>
      </c>
      <c r="C1131" s="15">
        <v>5</v>
      </c>
      <c r="D1131" s="14">
        <v>1997</v>
      </c>
      <c r="F1131" s="133">
        <f>0.00629*500</f>
        <v>3.1449999999999996</v>
      </c>
      <c r="J1131" s="134">
        <f>IF(Tabela8[[#This Row],[Tipo]]="jcp",Tabela8[[#This Row],[Provento p/Ação]]*85%,Tabela8[[#This Row],[Provento p/Ação]])</f>
        <v>0</v>
      </c>
      <c r="K1131" s="133">
        <f>IF([Lucro p/Ação]&lt;&gt;0,SUMPRODUCT(N([Papel]=Tabela8[[#This Row],[Papel]]),N([Exercício]=Tabela8[[#This Row],[Exercício]]),[Líquido p/Ação]),"")</f>
        <v>0</v>
      </c>
      <c r="L1131" s="42">
        <f>IF(Tabela8[[#This Row],[Lucro p/Ação]]="","",IF(Tabela8[[#This Row],[Lucro p/Ação]]&gt;0,Tabela8[[#This Row],[Total Exercício]]/Tabela8[[#This Row],[Lucro p/Ação]],0))</f>
        <v>0</v>
      </c>
      <c r="M1131" s="144">
        <f>IF(AND([Ref]=5,[Lucro p/Ação]&lt;&gt;""),SUMPRODUCT(N([Papel]=Tabela8[[#This Row],[Papel]]),N([Exercício]&lt;=Tabela8[[#This Row],[Exercício]]),[Lucro p/Ação])/SUMPRODUCT(N([Papel]=Tabela8[[#This Row],[Papel]]),N([Exercício]&lt;=Tabela8[[#This Row],[Exercício]]),N([Lucro p/Ação]&lt;&gt;"")),"")</f>
        <v>3.1449999999999996</v>
      </c>
      <c r="N1131" s="87">
        <f>IF(AND([Ref]=5,[Lucro p/Ação]&lt;&gt;0),SUMPRODUCT(N([Papel]=Tabela8[[#This Row],[Papel]]),N([Exercício]&lt;=Tabela8[[#This Row],[Exercício]]),N([Ref]&gt;=4),[Total Exercício])/SUMPRODUCT(N([Papel]=Tabela8[[#This Row],[Papel]]),N([Exercício]&lt;=Tabela8[[#This Row],[Exercício]]),N([Lucro p/Ação]&lt;&gt;""),N([Ref]&gt;=4)),"")</f>
        <v>0</v>
      </c>
      <c r="O1131" s="19">
        <f>IF(Tabela8[[#This Row],[Média Lucro p/Ação]]&lt;&gt;"",Tabela8[[#This Row],[Média Pago]]/Tabela8[[#This Row],[Média Lucro p/Ação]],"")</f>
        <v>0</v>
      </c>
      <c r="P1131" s="144" t="str">
        <f>IF(AND(Tabela8[[#This Row],[Ref]]&lt;4,[Lucro p/Ação]&lt;&gt;"",[Lucro p/Ação]&gt;0),([Lucro p/Ação]*SUMPRODUCT(N([Papel]=Tabela8[[#This Row],[Papel]]),N([Exercício]=Tabela8[[#This Row],[Exercício]]-1),[% Yield Médio]))-SUMPRODUCT(N([Papel]=Tabela8[[#This Row],[Papel]]),N([Exercício]=Tabela8[[#This Row],[Exercício]]),[Provento p/Ação]),"")</f>
        <v/>
      </c>
      <c r="Q1131" s="134">
        <f>SUMPRODUCT(N(Tabela1[Código]=Tabela8[[#This Row],[Papel]]),Tabela1[Fechamento])</f>
        <v>9.67</v>
      </c>
      <c r="R1131" s="17">
        <f>SUMPRODUCT(N(Tabela17[Código]=Tabela8[[#This Row],[Papel]]),Tabela17[Fechamento])</f>
        <v>0</v>
      </c>
      <c r="S1131" s="17">
        <f>SUMPRODUCT(N(Tabela176[Código]=Tabela8[[#This Row],[Papel]]),Tabela176[Fechamento])</f>
        <v>0</v>
      </c>
      <c r="T1131" s="17">
        <f>SUMPRODUCT(N(Tabela1768[Código]=Tabela8[[#This Row],[Papel]]),Tabela1768[Fechamento])</f>
        <v>0</v>
      </c>
      <c r="U1131" s="17">
        <f>SUMPRODUCT(N(Tabela17683[Código]=Tabela8[[#This Row],[Papel]]),Tabela17683[Fechamento])</f>
        <v>0</v>
      </c>
      <c r="V1131" s="17">
        <f>IF(MAX(Tabela8[[#This Row],[Cotação 1]]:Tabela8[[#This Row],[Cotação 5]])=0,"",MAX(Tabela8[[#This Row],[Cotação 1]]:Tabela8[[#This Row],[Cotação 5]]))</f>
        <v>9.67</v>
      </c>
      <c r="W1131" s="19" t="str">
        <f>IF(AND(Tabela8[[#This Row],[Prévia Pagamento]]&lt;&gt;"",Tabela8[[#This Row],[Prévia Pagamento]]&gt;0,Tabela8[[#This Row],[Cotação]]&gt;0,[Ref]&lt;4),(Tabela8[[#This Row],[Prévia Pagamento]]/Tabela8[[#This Row],[Ref]]*4)/Tabela8[[#This Row],[Cotação]],"")</f>
        <v/>
      </c>
      <c r="X1131" s="19">
        <f>IF(AND([Ref]=5,[Cotação]&gt;0,[Cotação]&lt;&gt;""),[Total Exercício]/[Cotação],IF([Ref]&lt;4,0,""))</f>
        <v>0</v>
      </c>
      <c r="Y1131" s="14">
        <f>IF([Tipo]="div",1,0)</f>
        <v>0</v>
      </c>
      <c r="Z1131" s="14">
        <f>IF([Tipo]="jcp",1,0)</f>
        <v>0</v>
      </c>
    </row>
  </sheetData>
  <dataConsolidate/>
  <hyperlinks>
    <hyperlink ref="B21" r:id="rId1"/>
    <hyperlink ref="B369" r:id="rId2" display="PINE4"/>
    <hyperlink ref="B57" r:id="rId3"/>
    <hyperlink ref="B56" r:id="rId4"/>
    <hyperlink ref="B88" r:id="rId5"/>
    <hyperlink ref="B87" r:id="rId6"/>
    <hyperlink ref="B86" r:id="rId7"/>
    <hyperlink ref="B83" r:id="rId8" display="BRKM3"/>
    <hyperlink ref="B82" r:id="rId9" display="BRKM3"/>
    <hyperlink ref="B80" r:id="rId10"/>
    <hyperlink ref="B79" r:id="rId11"/>
    <hyperlink ref="B90" r:id="rId12"/>
    <hyperlink ref="B77" r:id="rId13" display="BRGE3"/>
    <hyperlink ref="B76" r:id="rId14" display="BRGE3"/>
    <hyperlink ref="B75" r:id="rId15" display="BRGE3"/>
    <hyperlink ref="B74" r:id="rId16" display="BRGE3"/>
    <hyperlink ref="B73" r:id="rId17"/>
    <hyperlink ref="B72" r:id="rId18"/>
    <hyperlink ref="B71" r:id="rId19"/>
    <hyperlink ref="B61" r:id="rId20" display="BNBR4"/>
    <hyperlink ref="B62" r:id="rId21"/>
    <hyperlink ref="B306" r:id="rId22"/>
    <hyperlink ref="B211" r:id="rId23"/>
    <hyperlink ref="B113" r:id="rId24" display="CEBR3"/>
    <hyperlink ref="B112" r:id="rId25" display="CEBR3"/>
    <hyperlink ref="B111" r:id="rId26"/>
    <hyperlink ref="B323" r:id="rId27" display="MERC4"/>
    <hyperlink ref="B131" r:id="rId28" display="CESP3"/>
    <hyperlink ref="B130" r:id="rId29" display="CESP3"/>
    <hyperlink ref="B359" r:id="rId30" display="PATI4"/>
    <hyperlink ref="B196" r:id="rId31"/>
    <hyperlink ref="B168" r:id="rId32"/>
    <hyperlink ref="B136" r:id="rId33"/>
    <hyperlink ref="B95" r:id="rId34"/>
    <hyperlink ref="B78" r:id="rId35"/>
    <hyperlink ref="B155" r:id="rId36"/>
    <hyperlink ref="B154" r:id="rId37"/>
    <hyperlink ref="B324" r:id="rId38"/>
    <hyperlink ref="B343" r:id="rId39"/>
    <hyperlink ref="B271" r:id="rId40"/>
    <hyperlink ref="B108" r:id="rId41"/>
    <hyperlink ref="B85" r:id="rId42"/>
    <hyperlink ref="B84" r:id="rId43"/>
    <hyperlink ref="B360" r:id="rId44"/>
    <hyperlink ref="B318" r:id="rId45"/>
    <hyperlink ref="B224" r:id="rId46"/>
    <hyperlink ref="B190" r:id="rId47"/>
    <hyperlink ref="B129" r:id="rId48"/>
    <hyperlink ref="B300" r:id="rId49"/>
    <hyperlink ref="B31" r:id="rId50"/>
    <hyperlink ref="B334" r:id="rId51"/>
    <hyperlink ref="B262" r:id="rId52" display="HBTS5"/>
    <hyperlink ref="B69" r:id="rId53"/>
    <hyperlink ref="B68" r:id="rId54"/>
    <hyperlink ref="B357" r:id="rId55"/>
    <hyperlink ref="B356" r:id="rId56"/>
    <hyperlink ref="B288" r:id="rId57"/>
    <hyperlink ref="B70" r:id="rId58"/>
    <hyperlink ref="B138" r:id="rId59"/>
    <hyperlink ref="B137" r:id="rId60"/>
    <hyperlink ref="B159" r:id="rId61"/>
    <hyperlink ref="B81" r:id="rId62"/>
    <hyperlink ref="B41" r:id="rId63"/>
    <hyperlink ref="B158" r:id="rId64"/>
    <hyperlink ref="B157" r:id="rId65"/>
    <hyperlink ref="B409" r:id="rId66"/>
    <hyperlink ref="B408" r:id="rId67"/>
    <hyperlink ref="B407" r:id="rId68"/>
    <hyperlink ref="B370" r:id="rId69"/>
    <hyperlink ref="B420" r:id="rId70"/>
    <hyperlink ref="B488" r:id="rId71"/>
    <hyperlink ref="B421" r:id="rId72"/>
    <hyperlink ref="B446" r:id="rId73"/>
    <hyperlink ref="B480" r:id="rId74"/>
    <hyperlink ref="B380" r:id="rId75"/>
    <hyperlink ref="B386" r:id="rId76"/>
    <hyperlink ref="B491" r:id="rId77"/>
    <hyperlink ref="B478" r:id="rId78"/>
    <hyperlink ref="B435" r:id="rId79"/>
    <hyperlink ref="B452" r:id="rId80" display="SULA11"/>
    <hyperlink ref="B387" r:id="rId81"/>
    <hyperlink ref="B500" r:id="rId82"/>
    <hyperlink ref="B504" r:id="rId83"/>
    <hyperlink ref="B503" r:id="rId84"/>
    <hyperlink ref="B2" r:id="rId85"/>
    <hyperlink ref="B3" r:id="rId86"/>
    <hyperlink ref="B38" r:id="rId87"/>
    <hyperlink ref="B39" r:id="rId88"/>
    <hyperlink ref="B36" r:id="rId89"/>
    <hyperlink ref="B45" r:id="rId90"/>
    <hyperlink ref="B46" r:id="rId91"/>
    <hyperlink ref="B48" r:id="rId92"/>
    <hyperlink ref="B49" r:id="rId93"/>
    <hyperlink ref="B50" r:id="rId94"/>
    <hyperlink ref="B51" r:id="rId95"/>
    <hyperlink ref="B96:B99" r:id="rId96" display="ENGI11"/>
    <hyperlink ref="B110:B111" r:id="rId97" display="GETI3"/>
    <hyperlink ref="B97:B99" r:id="rId98" display="CSRN3"/>
    <hyperlink ref="B249" r:id="rId99"/>
    <hyperlink ref="B62:B64" r:id="rId100" display="CEEB3"/>
    <hyperlink ref="B69:B71" r:id="rId101" display="CEPE3"/>
    <hyperlink ref="B164:B169" r:id="rId102" display="ENMA3B"/>
    <hyperlink ref="B148" r:id="rId103"/>
    <hyperlink ref="B182:B183" r:id="rId104" display="GEPA3"/>
    <hyperlink ref="B212" r:id="rId105"/>
    <hyperlink ref="B219" r:id="rId106"/>
    <hyperlink ref="B397" r:id="rId107"/>
    <hyperlink ref="B398" r:id="rId108" display="EKTR3"/>
    <hyperlink ref="B101" r:id="rId109"/>
    <hyperlink ref="B102" r:id="rId110" display="CASN3"/>
    <hyperlink ref="B160" r:id="rId111"/>
    <hyperlink ref="B418" r:id="rId112"/>
    <hyperlink ref="B419" r:id="rId113" display="SAPR3"/>
    <hyperlink ref="B132" r:id="rId114"/>
    <hyperlink ref="B133" r:id="rId115" display="CGAS3"/>
    <hyperlink ref="B121" r:id="rId116"/>
    <hyperlink ref="B280" r:id="rId117"/>
    <hyperlink ref="B195" r:id="rId118" display="EBTP4"/>
    <hyperlink ref="B329" r:id="rId119"/>
    <hyperlink ref="B330" r:id="rId120" display="MLFT3"/>
    <hyperlink ref="B302" r:id="rId121"/>
    <hyperlink ref="B303" r:id="rId122" display="LFFE3"/>
    <hyperlink ref="B180" r:id="rId123"/>
    <hyperlink ref="B179" r:id="rId124" display="DAYC4"/>
    <hyperlink ref="B268" r:id="rId125"/>
    <hyperlink ref="B269" r:id="rId126" display="IDVL3"/>
    <hyperlink ref="B54" r:id="rId127"/>
    <hyperlink ref="B55" r:id="rId128" display="BMEB3"/>
    <hyperlink ref="B66" r:id="rId129"/>
    <hyperlink ref="B67" r:id="rId130" display="BPMN3"/>
    <hyperlink ref="B415" r:id="rId131"/>
    <hyperlink ref="B416" r:id="rId132" display="SANB11"/>
    <hyperlink ref="B417" r:id="rId133" display="SANB11"/>
    <hyperlink ref="B423" r:id="rId134"/>
    <hyperlink ref="B422" r:id="rId135" display="SFSA4"/>
    <hyperlink ref="B284" r:id="rId136"/>
    <hyperlink ref="B285" r:id="rId137" display="ITUB3"/>
    <hyperlink ref="B379" r:id="rId138"/>
    <hyperlink ref="B378" r:id="rId139" display="PRBC4"/>
    <hyperlink ref="B282" r:id="rId140"/>
    <hyperlink ref="B283" r:id="rId141" display="ITSA3"/>
    <hyperlink ref="B267" r:id="rId142"/>
    <hyperlink ref="B307" r:id="rId143"/>
    <hyperlink ref="B466" r:id="rId144"/>
    <hyperlink ref="B467" r:id="rId145" display="TELB3"/>
    <hyperlink ref="B436" r:id="rId146"/>
    <hyperlink ref="B481" r:id="rId147"/>
    <hyperlink ref="B47" r:id="rId148"/>
    <hyperlink ref="B281" r:id="rId149"/>
    <hyperlink ref="B377" r:id="rId150"/>
    <hyperlink ref="B355" r:id="rId151"/>
    <hyperlink ref="B410" r:id="rId152"/>
    <hyperlink ref="B411" r:id="rId153"/>
    <hyperlink ref="B358" r:id="rId154"/>
    <hyperlink ref="B229" r:id="rId155"/>
    <hyperlink ref="B230" r:id="rId156" display="FESA3"/>
    <hyperlink ref="B161" r:id="rId157"/>
    <hyperlink ref="B495" r:id="rId158"/>
    <hyperlink ref="B496" r:id="rId159" display="USIM3"/>
    <hyperlink ref="B497" r:id="rId160" display="USIM3"/>
    <hyperlink ref="B243" r:id="rId161"/>
    <hyperlink ref="B244" r:id="rId162" display="GGBR3"/>
    <hyperlink ref="B245" r:id="rId163"/>
    <hyperlink ref="B246" r:id="rId164"/>
    <hyperlink ref="B227" r:id="rId165"/>
    <hyperlink ref="B228" r:id="rId166" display="FBMC3"/>
    <hyperlink ref="B325" r:id="rId167"/>
    <hyperlink ref="B326" r:id="rId168" display="MGEL3"/>
    <hyperlink ref="B191" r:id="rId169"/>
    <hyperlink ref="B192" r:id="rId170"/>
    <hyperlink ref="B479" r:id="rId171" display="TKNO4"/>
    <hyperlink ref="B372" r:id="rId172"/>
    <hyperlink ref="B475" r:id="rId173"/>
    <hyperlink ref="B476" r:id="rId174" display="TIBR3"/>
    <hyperlink ref="B477" r:id="rId175" display="TIBR3"/>
    <hyperlink ref="B204" r:id="rId176"/>
    <hyperlink ref="B205" r:id="rId177" display="ELEK3"/>
    <hyperlink ref="B250" r:id="rId178"/>
    <hyperlink ref="B401" r:id="rId179"/>
    <hyperlink ref="B231" r:id="rId180"/>
    <hyperlink ref="B353" r:id="rId181"/>
    <hyperlink ref="B110" r:id="rId182"/>
    <hyperlink ref="B499" r:id="rId183" display="VALE5"/>
    <hyperlink ref="B331" r:id="rId184"/>
    <hyperlink ref="B437" r:id="rId185"/>
    <hyperlink ref="B438" r:id="rId186" display="SNSY3"/>
    <hyperlink ref="B439" r:id="rId187" display="SNSY3"/>
    <hyperlink ref="B390" r:id="rId188"/>
    <hyperlink ref="B391" r:id="rId189" display="RANI3"/>
    <hyperlink ref="B337" r:id="rId190"/>
    <hyperlink ref="B338" r:id="rId191" display="MSPA3"/>
    <hyperlink ref="B232" r:id="rId192"/>
    <hyperlink ref="B295" r:id="rId193"/>
    <hyperlink ref="B296" r:id="rId194" display="KLBN11"/>
    <hyperlink ref="B297" r:id="rId195" display="KLBN11"/>
    <hyperlink ref="B455" r:id="rId196"/>
    <hyperlink ref="B456" r:id="rId197" display="SUZB3"/>
    <hyperlink ref="B457" r:id="rId198" display="SUZB3"/>
    <hyperlink ref="B223" r:id="rId199" display="EUCA4"/>
    <hyperlink ref="B385" r:id="rId200" display="PTPA4"/>
    <hyperlink ref="B339" r:id="rId201"/>
    <hyperlink ref="B340" r:id="rId202" display="MTIG3"/>
    <hyperlink ref="B364" r:id="rId203"/>
    <hyperlink ref="B365" r:id="rId204" display="PEAB3"/>
    <hyperlink ref="B381" r:id="rId205"/>
    <hyperlink ref="B451" r:id="rId206" display="SULA11"/>
    <hyperlink ref="B450" r:id="rId207"/>
    <hyperlink ref="B93" r:id="rId208"/>
    <hyperlink ref="B94" r:id="rId209" display="BTTL3"/>
    <hyperlink ref="B261" r:id="rId210"/>
    <hyperlink ref="B260" r:id="rId211" display="HBTS5"/>
    <hyperlink ref="B184" r:id="rId212"/>
    <hyperlink ref="B185" r:id="rId213" display="DOCA3"/>
    <hyperlink ref="B286" r:id="rId214"/>
    <hyperlink ref="B287" r:id="rId215" display="JBDU3"/>
    <hyperlink ref="B14" r:id="rId216"/>
    <hyperlink ref="B146" r:id="rId217"/>
    <hyperlink ref="B147" r:id="rId218" display="CORR3"/>
    <hyperlink ref="B252" r:id="rId219"/>
    <hyperlink ref="B344" r:id="rId220" display="MULT3"/>
    <hyperlink ref="B468" r:id="rId221"/>
    <hyperlink ref="B178" r:id="rId222"/>
    <hyperlink ref="B235" r:id="rId223"/>
    <hyperlink ref="B354" r:id="rId224"/>
    <hyperlink ref="B388" r:id="rId225"/>
    <hyperlink ref="B153" r:id="rId226"/>
    <hyperlink ref="B52" r:id="rId227"/>
    <hyperlink ref="B350" r:id="rId228"/>
    <hyperlink ref="B63" r:id="rId229"/>
    <hyperlink ref="B64" r:id="rId230" display="BOBR3"/>
    <hyperlink ref="B156" r:id="rId231"/>
    <hyperlink ref="B298" r:id="rId232"/>
    <hyperlink ref="B299" r:id="rId233" display="LAME3"/>
    <hyperlink ref="B92" r:id="rId234"/>
    <hyperlink ref="B266" r:id="rId235"/>
    <hyperlink ref="B389" r:id="rId236"/>
    <hyperlink ref="B65" r:id="rId237"/>
    <hyperlink ref="B373" r:id="rId238"/>
    <hyperlink ref="B374" r:id="rId239" display="PNVL3"/>
    <hyperlink ref="B368" r:id="rId240" display="PFMR3"/>
    <hyperlink ref="B361" r:id="rId241"/>
    <hyperlink ref="B362" r:id="rId242" display="PCAR3"/>
    <hyperlink ref="B4" r:id="rId243"/>
    <hyperlink ref="B501" r:id="rId244"/>
    <hyperlink ref="B139" r:id="rId245"/>
    <hyperlink ref="B140" r:id="rId246" display="CLAN3"/>
    <hyperlink ref="B333" r:id="rId247"/>
    <hyperlink ref="B34" r:id="rId248"/>
    <hyperlink ref="B35" r:id="rId249" display="BAUH3"/>
    <hyperlink ref="B44" r:id="rId250"/>
    <hyperlink ref="B335" r:id="rId251"/>
    <hyperlink ref="B272" r:id="rId252"/>
    <hyperlink ref="B273" r:id="rId253" display="IGUA3"/>
    <hyperlink ref="B274" r:id="rId254" display="IGUA3"/>
    <hyperlink ref="B473" r:id="rId255"/>
    <hyperlink ref="B291" r:id="rId256"/>
    <hyperlink ref="B292" r:id="rId257" display="JOPA3"/>
    <hyperlink ref="B319" r:id="rId258"/>
    <hyperlink ref="B89" r:id="rId259"/>
    <hyperlink ref="B498" r:id="rId260"/>
    <hyperlink ref="B402" r:id="rId261"/>
    <hyperlink ref="B432" r:id="rId262"/>
    <hyperlink ref="B176" r:id="rId263"/>
    <hyperlink ref="B15" r:id="rId264"/>
    <hyperlink ref="B16" r:id="rId265" display="AHEB3"/>
    <hyperlink ref="B17" r:id="rId266" display="AHEB3"/>
    <hyperlink ref="B429" r:id="rId267"/>
    <hyperlink ref="B58" r:id="rId268"/>
    <hyperlink ref="B490" r:id="rId269"/>
    <hyperlink ref="B513" r:id="rId270"/>
    <hyperlink ref="B514" r:id="rId271" display="WHRL3"/>
    <hyperlink ref="B59" r:id="rId272"/>
    <hyperlink ref="B60" r:id="rId273" display="BMTO3"/>
    <hyperlink ref="B327" r:id="rId274"/>
    <hyperlink ref="B509" r:id="rId275"/>
    <hyperlink ref="B510" r:id="rId276" display="VVAR11"/>
    <hyperlink ref="B511" r:id="rId277" display="VVAR11"/>
    <hyperlink ref="B270" r:id="rId278"/>
    <hyperlink ref="B265" r:id="rId279"/>
    <hyperlink ref="B114" r:id="rId280"/>
    <hyperlink ref="B115" r:id="rId281" display="CEDO3"/>
    <hyperlink ref="B482" r:id="rId282"/>
    <hyperlink ref="B483" r:id="rId283" display="TOYB3"/>
    <hyperlink ref="B220" r:id="rId284"/>
    <hyperlink ref="B221" r:id="rId285" display="ESTR3"/>
    <hyperlink ref="B348" r:id="rId286"/>
    <hyperlink ref="B349" r:id="rId287" display="NAFG3"/>
    <hyperlink ref="B263" r:id="rId288"/>
    <hyperlink ref="B264" r:id="rId289" display="HETA3"/>
    <hyperlink ref="B171" r:id="rId290"/>
    <hyperlink ref="B172" r:id="rId291" display="CTNM3"/>
    <hyperlink ref="B173" r:id="rId292"/>
    <hyperlink ref="B174" r:id="rId293" display="CTSA3"/>
    <hyperlink ref="B175" r:id="rId294" display="CTSA3"/>
    <hyperlink ref="B186" r:id="rId295"/>
    <hyperlink ref="B187" r:id="rId296" display="DOHL3"/>
    <hyperlink ref="B198" r:id="rId297"/>
    <hyperlink ref="B199" r:id="rId298" display="ECPR3"/>
    <hyperlink ref="B169" r:id="rId299"/>
    <hyperlink ref="B170" r:id="rId300" display="CTKA3"/>
    <hyperlink ref="B383" r:id="rId301"/>
    <hyperlink ref="B384" r:id="rId302" display="PTNT3"/>
    <hyperlink ref="B515" r:id="rId303"/>
    <hyperlink ref="B428" r:id="rId304"/>
    <hyperlink ref="B469" r:id="rId305"/>
    <hyperlink ref="B470" r:id="rId306" display="TENE3"/>
    <hyperlink ref="B471" r:id="rId307" display="TENE3"/>
    <hyperlink ref="B472" r:id="rId308" display="TENE3"/>
    <hyperlink ref="B19" r:id="rId309"/>
    <hyperlink ref="B20" r:id="rId310" display="ALPA3"/>
    <hyperlink ref="B98" r:id="rId311"/>
    <hyperlink ref="B99" r:id="rId312" display="CAMB3"/>
    <hyperlink ref="B251" r:id="rId313"/>
    <hyperlink ref="B508" r:id="rId314"/>
    <hyperlink ref="B332" r:id="rId315"/>
    <hyperlink ref="B465" r:id="rId316"/>
    <hyperlink ref="B351" r:id="rId317"/>
    <hyperlink ref="B352" r:id="rId318" display="NETC3"/>
    <hyperlink ref="B5" r:id="rId319"/>
    <hyperlink ref="B6" r:id="rId320" display="ABRE11"/>
    <hyperlink ref="B7" r:id="rId321" display="ABRE11"/>
    <hyperlink ref="B433" r:id="rId322"/>
    <hyperlink ref="B434" r:id="rId323" display="SLED3"/>
    <hyperlink ref="B277" r:id="rId324"/>
    <hyperlink ref="B400" r:id="rId325"/>
    <hyperlink ref="B311" r:id="rId326"/>
    <hyperlink ref="B27" r:id="rId327"/>
    <hyperlink ref="B134" r:id="rId328"/>
    <hyperlink ref="B135" r:id="rId329" display="CGRA3"/>
    <hyperlink ref="B255" r:id="rId330"/>
    <hyperlink ref="B256" r:id="rId331" display="GUAR3"/>
    <hyperlink ref="B304" r:id="rId332"/>
    <hyperlink ref="B305" r:id="rId333" display="LHER3"/>
    <hyperlink ref="B315" r:id="rId334"/>
    <hyperlink ref="B25" r:id="rId335"/>
    <hyperlink ref="B443" r:id="rId336"/>
    <hyperlink ref="B444" r:id="rId337" display="SPRI3"/>
    <hyperlink ref="B445" r:id="rId338" display="SPRI3"/>
    <hyperlink ref="B53" r:id="rId339"/>
    <hyperlink ref="B96" r:id="rId340"/>
    <hyperlink ref="B97" r:id="rId341" display="CALI3"/>
    <hyperlink ref="B152" r:id="rId342"/>
    <hyperlink ref="B177" r:id="rId343"/>
    <hyperlink ref="B183" r:id="rId344"/>
    <hyperlink ref="B225" r:id="rId345"/>
    <hyperlink ref="B226" r:id="rId346"/>
    <hyperlink ref="B242" r:id="rId347"/>
    <hyperlink ref="B259" r:id="rId348"/>
    <hyperlink ref="B290" r:id="rId349"/>
    <hyperlink ref="B289" r:id="rId350"/>
    <hyperlink ref="B336" r:id="rId351"/>
    <hyperlink ref="B363" r:id="rId352"/>
    <hyperlink ref="B396" r:id="rId353"/>
    <hyperlink ref="B412" r:id="rId354"/>
    <hyperlink ref="B426" r:id="rId355"/>
    <hyperlink ref="B427" r:id="rId356" display="SGEN3"/>
    <hyperlink ref="B464" r:id="rId357"/>
    <hyperlink ref="B485" r:id="rId358"/>
    <hyperlink ref="B502" r:id="rId359"/>
    <hyperlink ref="B29" r:id="rId360"/>
    <hyperlink ref="B30" r:id="rId361" display="AZEV3"/>
    <hyperlink ref="B309" r:id="rId362"/>
    <hyperlink ref="B310" r:id="rId363" display="LIXC3"/>
    <hyperlink ref="B453" r:id="rId364"/>
    <hyperlink ref="B454" r:id="rId365" display="SULT3"/>
    <hyperlink ref="B320" r:id="rId366"/>
    <hyperlink ref="B321" r:id="rId367" display="MEND3"/>
    <hyperlink ref="B322" r:id="rId368" display="MEND3"/>
    <hyperlink ref="B440" r:id="rId369"/>
    <hyperlink ref="B441" r:id="rId370" display="SOND3"/>
    <hyperlink ref="B442" r:id="rId371" display="SOND3"/>
    <hyperlink ref="B462" r:id="rId372"/>
    <hyperlink ref="B463" r:id="rId373" display="TCNO3"/>
    <hyperlink ref="B40" r:id="rId374"/>
    <hyperlink ref="B314" r:id="rId375"/>
    <hyperlink ref="B165" r:id="rId376"/>
    <hyperlink ref="B166" r:id="rId377" display="CTAX11"/>
    <hyperlink ref="B167" r:id="rId378" display="CTAX11"/>
    <hyperlink ref="B100" r:id="rId379"/>
    <hyperlink ref="B188" r:id="rId380"/>
    <hyperlink ref="B189" r:id="rId381" display="DTCY3"/>
    <hyperlink ref="B328" r:id="rId382"/>
    <hyperlink ref="B505" r:id="rId383"/>
    <hyperlink ref="B26" r:id="rId384"/>
    <hyperlink ref="B109" r:id="rId385"/>
    <hyperlink ref="B484" r:id="rId386"/>
    <hyperlink ref="B197" r:id="rId387"/>
    <hyperlink ref="B275" r:id="rId388"/>
    <hyperlink ref="B276" r:id="rId389" display="IMBI3"/>
    <hyperlink ref="B312" r:id="rId390"/>
    <hyperlink ref="B447" r:id="rId391"/>
    <hyperlink ref="B448" r:id="rId392" display="STBP11"/>
    <hyperlink ref="B449" r:id="rId393" display="STBP11"/>
    <hyperlink ref="B247" r:id="rId394"/>
    <hyperlink ref="B248" r:id="rId395" display="GOLL3"/>
    <hyperlink ref="B18" r:id="rId396"/>
    <hyperlink ref="B506" r:id="rId397"/>
    <hyperlink ref="B507" r:id="rId398" display="VSPT3"/>
    <hyperlink ref="B313" r:id="rId399"/>
    <hyperlink ref="B316" r:id="rId400"/>
    <hyperlink ref="B317" r:id="rId401" display="LUXM3"/>
    <hyperlink ref="B293" r:id="rId402"/>
    <hyperlink ref="B474" r:id="rId403"/>
    <hyperlink ref="B424" r:id="rId404"/>
    <hyperlink ref="B425" r:id="rId405" display="SGAS3"/>
    <hyperlink ref="B237" r:id="rId406"/>
    <hyperlink ref="B233" r:id="rId407"/>
    <hyperlink ref="B234" r:id="rId408" display="FJTA3"/>
    <hyperlink ref="B193" r:id="rId409"/>
    <hyperlink ref="B194" r:id="rId410" display="EALT3"/>
    <hyperlink ref="B341" r:id="rId411"/>
    <hyperlink ref="B342" r:id="rId412" display="MTSA3"/>
    <hyperlink ref="B33" r:id="rId413" display="BALM3"/>
    <hyperlink ref="B32" r:id="rId414"/>
    <hyperlink ref="B382" r:id="rId415"/>
    <hyperlink ref="B258" r:id="rId416" display="HAGA3"/>
    <hyperlink ref="B257" r:id="rId417"/>
    <hyperlink ref="B107" r:id="rId418" display="CCHI3"/>
    <hyperlink ref="B106" r:id="rId419"/>
    <hyperlink ref="B222" r:id="rId420"/>
    <hyperlink ref="B42" r:id="rId421"/>
    <hyperlink ref="B43" r:id="rId422" display="BDLL3"/>
    <hyperlink ref="B406" r:id="rId423"/>
    <hyperlink ref="B278" r:id="rId424"/>
    <hyperlink ref="B279" r:id="rId425" display="INEP3"/>
    <hyperlink ref="B294" r:id="rId426"/>
    <hyperlink ref="B430" r:id="rId427"/>
    <hyperlink ref="B431" r:id="rId428" display="SHUL3"/>
    <hyperlink ref="B512" r:id="rId429"/>
    <hyperlink ref="B210" r:id="rId430"/>
    <hyperlink ref="B104" r:id="rId431"/>
    <hyperlink ref="B105" r:id="rId432" display="CBMA3"/>
    <hyperlink ref="B28" r:id="rId433"/>
    <hyperlink ref="B181" r:id="rId434"/>
    <hyperlink ref="B182" r:id="rId435" display="DHBI3"/>
    <hyperlink ref="B347" r:id="rId436"/>
    <hyperlink ref="B236" r:id="rId437"/>
    <hyperlink ref="B301" r:id="rId438"/>
    <hyperlink ref="B375" r:id="rId439"/>
    <hyperlink ref="B376" r:id="rId440" display="POMO3"/>
    <hyperlink ref="B413" r:id="rId441"/>
    <hyperlink ref="B414" r:id="rId442" display="RSUL3"/>
    <hyperlink ref="B371" r:id="rId443"/>
    <hyperlink ref="B392" r:id="rId444"/>
    <hyperlink ref="B393" r:id="rId445" display="RAPT3"/>
    <hyperlink ref="B394" r:id="rId446"/>
    <hyperlink ref="B395" r:id="rId447" display="RCSL3"/>
    <hyperlink ref="B489" r:id="rId448"/>
    <hyperlink ref="B345" r:id="rId449"/>
    <hyperlink ref="B346" r:id="rId450" display="MWET3"/>
    <hyperlink ref="B240" r:id="rId451"/>
    <hyperlink ref="B241" r:id="rId452" display="GETI3"/>
    <hyperlink ref="B162" r:id="rId453"/>
    <hyperlink ref="B163" r:id="rId454" display="CSRN3"/>
    <hyperlink ref="B164" r:id="rId455" display="CSRN3"/>
    <hyperlink ref="B202" r:id="rId456"/>
    <hyperlink ref="B203" r:id="rId457" display="EKTR3"/>
    <hyperlink ref="B11" r:id="rId458"/>
    <hyperlink ref="B12" r:id="rId459" display="AFLU3"/>
    <hyperlink ref="B13" r:id="rId460" display="AFLU3"/>
    <hyperlink ref="B122" r:id="rId461"/>
    <hyperlink ref="B123" r:id="rId462" display="CELP3"/>
    <hyperlink ref="B124" r:id="rId463" display="CELP3"/>
    <hyperlink ref="B125" r:id="rId464" display="CELP3"/>
    <hyperlink ref="B91" r:id="rId465" display="BSLI3"/>
    <hyperlink ref="B8" r:id="rId466"/>
  </hyperlinks>
  <pageMargins left="0.7" right="0.7" top="0.75" bottom="0.75" header="0.3" footer="0.3"/>
  <tableParts count="1">
    <tablePart r:id="rId467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A3:H46"/>
  <sheetViews>
    <sheetView tabSelected="1" workbookViewId="0">
      <selection activeCell="G9" sqref="G9"/>
    </sheetView>
  </sheetViews>
  <sheetFormatPr defaultRowHeight="15"/>
  <cols>
    <col min="1" max="1" width="17.85546875" customWidth="1"/>
    <col min="2" max="2" width="11.85546875" customWidth="1"/>
    <col min="3" max="3" width="16.28515625" bestFit="1" customWidth="1"/>
    <col min="4" max="4" width="16.5703125" bestFit="1" customWidth="1"/>
    <col min="5" max="5" width="11.7109375" customWidth="1"/>
    <col min="6" max="6" width="8.7109375" bestFit="1" customWidth="1"/>
    <col min="7" max="7" width="8.5703125" bestFit="1" customWidth="1"/>
    <col min="8" max="8" width="17" customWidth="1"/>
    <col min="9" max="9" width="14.7109375" customWidth="1"/>
    <col min="10" max="10" width="16.7109375" customWidth="1"/>
    <col min="11" max="11" width="20.42578125" customWidth="1"/>
    <col min="12" max="12" width="14.42578125" bestFit="1" customWidth="1"/>
    <col min="13" max="13" width="16.7109375" bestFit="1" customWidth="1"/>
  </cols>
  <sheetData>
    <row r="3" spans="1:8">
      <c r="B3" s="1" t="s">
        <v>11</v>
      </c>
    </row>
    <row r="4" spans="1:8">
      <c r="A4" s="1" t="s">
        <v>1465</v>
      </c>
      <c r="B4" t="s">
        <v>1694</v>
      </c>
      <c r="C4" t="s">
        <v>1695</v>
      </c>
      <c r="D4" t="s">
        <v>1693</v>
      </c>
      <c r="E4" t="s">
        <v>1586</v>
      </c>
      <c r="F4" t="s">
        <v>1640</v>
      </c>
      <c r="G4" t="s">
        <v>1641</v>
      </c>
      <c r="H4" t="s">
        <v>1637</v>
      </c>
    </row>
    <row r="5" spans="1:8">
      <c r="A5" s="2" t="s">
        <v>1</v>
      </c>
      <c r="B5" s="148">
        <v>2.224961764705883</v>
      </c>
      <c r="C5" s="147">
        <v>2.3412767058823527</v>
      </c>
      <c r="D5" s="50">
        <v>0.7998771561415251</v>
      </c>
      <c r="E5" s="50">
        <v>0.29487112164765145</v>
      </c>
      <c r="F5" s="68">
        <v>18</v>
      </c>
      <c r="G5" s="68">
        <v>10</v>
      </c>
      <c r="H5" s="69">
        <v>7.9399999999999995</v>
      </c>
    </row>
    <row r="6" spans="1:8">
      <c r="A6" s="2" t="s">
        <v>2</v>
      </c>
      <c r="B6" s="148">
        <v>0.85962714285714292</v>
      </c>
      <c r="C6" s="147">
        <v>1.2893982142857143</v>
      </c>
      <c r="D6" s="50">
        <v>0.27011868691825808</v>
      </c>
      <c r="E6" s="50">
        <v>0.2410090120160214</v>
      </c>
      <c r="F6" s="68">
        <v>2</v>
      </c>
      <c r="G6" s="68">
        <v>4</v>
      </c>
      <c r="H6" s="69">
        <v>5.3500000000000005</v>
      </c>
    </row>
    <row r="7" spans="1:8">
      <c r="A7" s="2" t="s">
        <v>67</v>
      </c>
      <c r="B7" s="148">
        <v>-0.27147357980507603</v>
      </c>
      <c r="C7" s="147">
        <v>1.262670576923077</v>
      </c>
      <c r="D7" s="50">
        <v>0.34854511550773581</v>
      </c>
      <c r="E7" s="50">
        <v>0.1770926475347934</v>
      </c>
      <c r="F7" s="68">
        <v>11</v>
      </c>
      <c r="G7" s="68">
        <v>4</v>
      </c>
      <c r="H7" s="69">
        <v>7.1299999999999981</v>
      </c>
    </row>
    <row r="8" spans="1:8">
      <c r="A8" s="2" t="s">
        <v>99</v>
      </c>
      <c r="B8" s="148">
        <v>4.3683775000000002</v>
      </c>
      <c r="C8" s="147">
        <v>5.0868841250000001</v>
      </c>
      <c r="D8" s="50">
        <v>1.3985608022432197</v>
      </c>
      <c r="E8" s="50">
        <v>0.16956280416666664</v>
      </c>
      <c r="F8" s="68">
        <v>6</v>
      </c>
      <c r="G8" s="68">
        <v>14</v>
      </c>
      <c r="H8" s="69">
        <v>30</v>
      </c>
    </row>
    <row r="9" spans="1:8">
      <c r="A9" s="2" t="s">
        <v>56</v>
      </c>
      <c r="B9" s="148">
        <v>3.6678899999999999</v>
      </c>
      <c r="C9" s="147">
        <v>2.8805425000000002</v>
      </c>
      <c r="D9" s="50">
        <v>0.6760599074072664</v>
      </c>
      <c r="E9" s="50">
        <v>0.15453554184549356</v>
      </c>
      <c r="F9" s="68">
        <v>6</v>
      </c>
      <c r="G9" s="68">
        <v>0</v>
      </c>
      <c r="H9" s="69">
        <v>18.640000000000004</v>
      </c>
    </row>
    <row r="10" spans="1:8">
      <c r="A10" s="2" t="s">
        <v>162</v>
      </c>
      <c r="B10" s="148">
        <v>2.1180029411764707</v>
      </c>
      <c r="C10" s="147">
        <v>2.1154922941176468</v>
      </c>
      <c r="D10" s="50">
        <v>0.76411521870977595</v>
      </c>
      <c r="E10" s="50">
        <v>0.14103281960784314</v>
      </c>
      <c r="F10" s="68">
        <v>18</v>
      </c>
      <c r="G10" s="68">
        <v>10</v>
      </c>
      <c r="H10" s="69">
        <v>15</v>
      </c>
    </row>
    <row r="11" spans="1:8">
      <c r="A11" s="2" t="s">
        <v>437</v>
      </c>
      <c r="B11" s="148">
        <v>0.28789999999999999</v>
      </c>
      <c r="C11" s="147">
        <v>0.350825</v>
      </c>
      <c r="D11" s="50">
        <v>1.0858438523950693</v>
      </c>
      <c r="E11" s="50">
        <v>0.13866600790513836</v>
      </c>
      <c r="F11" s="68">
        <v>3</v>
      </c>
      <c r="G11" s="68">
        <v>0</v>
      </c>
      <c r="H11" s="69">
        <v>2.5299999999999998</v>
      </c>
    </row>
    <row r="12" spans="1:8">
      <c r="A12" s="2" t="s">
        <v>34</v>
      </c>
      <c r="B12" s="148">
        <v>3.4801700000000002</v>
      </c>
      <c r="C12" s="147">
        <v>2.4508999999999999</v>
      </c>
      <c r="D12" s="50">
        <v>0.73174883897008647</v>
      </c>
      <c r="E12" s="50">
        <v>0.12865616797900262</v>
      </c>
      <c r="F12" s="68">
        <v>8</v>
      </c>
      <c r="G12" s="68">
        <v>14</v>
      </c>
      <c r="H12" s="69">
        <v>19.050000000000008</v>
      </c>
    </row>
    <row r="13" spans="1:8">
      <c r="A13" s="2" t="s">
        <v>39</v>
      </c>
      <c r="B13" s="148">
        <v>0.13059928571428572</v>
      </c>
      <c r="C13" s="147">
        <v>5.2603285714285707E-2</v>
      </c>
      <c r="D13" s="50">
        <v>0.17131395341825786</v>
      </c>
      <c r="E13" s="50">
        <v>0.12830069686411152</v>
      </c>
      <c r="F13" s="68">
        <v>15</v>
      </c>
      <c r="G13" s="68">
        <v>18</v>
      </c>
      <c r="H13" s="69">
        <v>0.41000000000000009</v>
      </c>
    </row>
    <row r="14" spans="1:8">
      <c r="A14" s="2" t="s">
        <v>154</v>
      </c>
      <c r="B14" s="148">
        <v>4.1932725</v>
      </c>
      <c r="C14" s="147">
        <v>2.9791991250000001</v>
      </c>
      <c r="D14" s="50">
        <v>1.8456655692446802</v>
      </c>
      <c r="E14" s="50">
        <v>0.12629076409495549</v>
      </c>
      <c r="F14" s="68">
        <v>9</v>
      </c>
      <c r="G14" s="68">
        <v>11</v>
      </c>
      <c r="H14" s="69">
        <v>23.589999999999989</v>
      </c>
    </row>
    <row r="15" spans="1:8">
      <c r="A15" s="2" t="s">
        <v>73</v>
      </c>
      <c r="B15" s="148">
        <v>0.13059928571428572</v>
      </c>
      <c r="C15" s="147">
        <v>7.467E-2</v>
      </c>
      <c r="D15" s="50">
        <v>0.23121580115366136</v>
      </c>
      <c r="E15" s="50">
        <v>0.11667187499999998</v>
      </c>
      <c r="F15" s="68">
        <v>17</v>
      </c>
      <c r="G15" s="68">
        <v>18</v>
      </c>
      <c r="H15" s="69">
        <v>0.64000000000000035</v>
      </c>
    </row>
    <row r="16" spans="1:8">
      <c r="A16" s="2" t="s">
        <v>30</v>
      </c>
      <c r="B16" s="148">
        <v>3.6442125000000001</v>
      </c>
      <c r="C16" s="147">
        <v>1.533773625</v>
      </c>
      <c r="D16" s="50">
        <v>0.35387960132380419</v>
      </c>
      <c r="E16" s="50">
        <v>0.1136128611111111</v>
      </c>
      <c r="F16" s="68">
        <v>3</v>
      </c>
      <c r="G16" s="68">
        <v>1</v>
      </c>
      <c r="H16" s="69">
        <v>13.5</v>
      </c>
    </row>
    <row r="17" spans="1:8">
      <c r="A17" s="2" t="s">
        <v>31</v>
      </c>
      <c r="B17" s="148">
        <v>3.6442125000000001</v>
      </c>
      <c r="C17" s="147">
        <v>1.533773625</v>
      </c>
      <c r="D17" s="50">
        <v>0.35387960132380419</v>
      </c>
      <c r="E17" s="50">
        <v>0.1117910805393586</v>
      </c>
      <c r="F17" s="68">
        <v>3</v>
      </c>
      <c r="G17" s="68">
        <v>1</v>
      </c>
      <c r="H17" s="69">
        <v>13.720000000000002</v>
      </c>
    </row>
    <row r="18" spans="1:8">
      <c r="A18" s="2" t="s">
        <v>100</v>
      </c>
      <c r="B18" s="148">
        <v>4.1304024999999998</v>
      </c>
      <c r="C18" s="147">
        <v>2.6645146249999998</v>
      </c>
      <c r="D18" s="50">
        <v>0.64325798910759913</v>
      </c>
      <c r="E18" s="50">
        <v>0.10123535809270516</v>
      </c>
      <c r="F18" s="68">
        <v>8</v>
      </c>
      <c r="G18" s="68">
        <v>14</v>
      </c>
      <c r="H18" s="69">
        <v>26.320000000000004</v>
      </c>
    </row>
    <row r="19" spans="1:8">
      <c r="A19" s="2" t="s">
        <v>450</v>
      </c>
      <c r="B19" s="148">
        <v>0.85962714285714292</v>
      </c>
      <c r="C19" s="147">
        <v>2.2807284999999999</v>
      </c>
      <c r="D19" s="50">
        <v>0.49951758609872943</v>
      </c>
      <c r="E19" s="50">
        <v>9.9119013472403289E-2</v>
      </c>
      <c r="F19" s="68">
        <v>2</v>
      </c>
      <c r="G19" s="68">
        <v>4</v>
      </c>
      <c r="H19" s="69">
        <v>23.009999999999998</v>
      </c>
    </row>
    <row r="20" spans="1:8">
      <c r="A20" s="2" t="s">
        <v>413</v>
      </c>
      <c r="B20" s="148">
        <v>0.12753857142857145</v>
      </c>
      <c r="C20" s="147">
        <v>5.6711428571428572E-2</v>
      </c>
      <c r="D20" s="50">
        <v>0.18715683907346797</v>
      </c>
      <c r="E20" s="50">
        <v>9.7778325123152737E-2</v>
      </c>
      <c r="F20" s="68">
        <v>15</v>
      </c>
      <c r="G20" s="68">
        <v>18</v>
      </c>
      <c r="H20" s="69">
        <v>0.57999999999999952</v>
      </c>
    </row>
    <row r="21" spans="1:8">
      <c r="A21" s="2" t="s">
        <v>168</v>
      </c>
      <c r="B21" s="148">
        <v>1.8935E-2</v>
      </c>
      <c r="C21" s="147">
        <v>1.1660250000000002E-2</v>
      </c>
      <c r="D21" s="50">
        <v>0.62947272757067463</v>
      </c>
      <c r="E21" s="50">
        <v>9.7168750000000012E-2</v>
      </c>
      <c r="F21" s="68">
        <v>4</v>
      </c>
      <c r="G21" s="68">
        <v>4</v>
      </c>
      <c r="H21" s="69">
        <v>0.12</v>
      </c>
    </row>
    <row r="22" spans="1:8">
      <c r="A22" s="2" t="s">
        <v>88</v>
      </c>
      <c r="B22" s="148">
        <v>3.7625000000000002</v>
      </c>
      <c r="C22" s="147">
        <v>2.6146853750000005</v>
      </c>
      <c r="D22" s="50">
        <v>0.63493267134116704</v>
      </c>
      <c r="E22" s="50">
        <v>9.5776021062271066E-2</v>
      </c>
      <c r="F22" s="68">
        <v>9</v>
      </c>
      <c r="G22" s="68">
        <v>9</v>
      </c>
      <c r="H22" s="69">
        <v>27.300000000000008</v>
      </c>
    </row>
    <row r="23" spans="1:8">
      <c r="A23" s="2" t="s">
        <v>470</v>
      </c>
      <c r="B23" s="148">
        <v>4.8785425</v>
      </c>
      <c r="C23" s="147">
        <v>3.3255675</v>
      </c>
      <c r="D23" s="50">
        <v>0.79549205776244747</v>
      </c>
      <c r="E23" s="50">
        <v>9.5016214285714287E-2</v>
      </c>
      <c r="F23" s="68">
        <v>4</v>
      </c>
      <c r="G23" s="68">
        <v>0</v>
      </c>
      <c r="H23" s="69">
        <v>35</v>
      </c>
    </row>
    <row r="24" spans="1:8">
      <c r="A24" s="2" t="s">
        <v>81</v>
      </c>
      <c r="B24" s="148">
        <v>4.8785425</v>
      </c>
      <c r="C24" s="147">
        <v>3.3255675</v>
      </c>
      <c r="D24" s="50">
        <v>0.79549205776244747</v>
      </c>
      <c r="E24" s="50">
        <v>9.1663933296582137E-2</v>
      </c>
      <c r="F24" s="68">
        <v>4</v>
      </c>
      <c r="G24" s="68">
        <v>0</v>
      </c>
      <c r="H24" s="69">
        <v>36.28</v>
      </c>
    </row>
    <row r="25" spans="1:8">
      <c r="A25" s="2" t="s">
        <v>24</v>
      </c>
      <c r="B25" s="148">
        <v>4.62418</v>
      </c>
      <c r="C25" s="147">
        <v>1.7482973749999999</v>
      </c>
      <c r="D25" s="50">
        <v>0.37577473926833393</v>
      </c>
      <c r="E25" s="50">
        <v>8.8431834850784014E-2</v>
      </c>
      <c r="F25" s="68">
        <v>17</v>
      </c>
      <c r="G25" s="68">
        <v>17</v>
      </c>
      <c r="H25" s="69">
        <v>19.769999999999992</v>
      </c>
    </row>
    <row r="26" spans="1:8">
      <c r="A26" s="2" t="s">
        <v>167</v>
      </c>
      <c r="B26" s="148">
        <v>1.721E-2</v>
      </c>
      <c r="C26" s="147">
        <v>1.0600874999999999E-2</v>
      </c>
      <c r="D26" s="50">
        <v>0.62964834559552374</v>
      </c>
      <c r="E26" s="50">
        <v>8.8340624999999992E-2</v>
      </c>
      <c r="F26" s="68">
        <v>4</v>
      </c>
      <c r="G26" s="68">
        <v>4</v>
      </c>
      <c r="H26" s="69">
        <v>0.12</v>
      </c>
    </row>
    <row r="27" spans="1:8">
      <c r="A27" s="2" t="s">
        <v>27</v>
      </c>
      <c r="B27" s="148">
        <v>0.85962714285714292</v>
      </c>
      <c r="C27" s="147">
        <v>0.84334842857142855</v>
      </c>
      <c r="D27" s="50">
        <v>0.18181507806647276</v>
      </c>
      <c r="E27" s="50">
        <v>8.7212867484118786E-2</v>
      </c>
      <c r="F27" s="68">
        <v>2</v>
      </c>
      <c r="G27" s="68">
        <v>4</v>
      </c>
      <c r="H27" s="69">
        <v>9.67</v>
      </c>
    </row>
    <row r="28" spans="1:8">
      <c r="A28" s="2" t="s">
        <v>445</v>
      </c>
      <c r="B28" s="148">
        <v>9.5327500000000009E-2</v>
      </c>
      <c r="C28" s="147">
        <v>9.2467499999999994E-2</v>
      </c>
      <c r="D28" s="50">
        <v>1.2794882883470957</v>
      </c>
      <c r="E28" s="50">
        <v>8.6418224299065413E-2</v>
      </c>
      <c r="F28" s="68">
        <v>14</v>
      </c>
      <c r="G28" s="68">
        <v>0</v>
      </c>
      <c r="H28" s="69">
        <v>1.07</v>
      </c>
    </row>
    <row r="29" spans="1:8">
      <c r="A29" s="2" t="s">
        <v>21</v>
      </c>
      <c r="B29" s="148">
        <v>2.37</v>
      </c>
      <c r="C29" s="147">
        <v>1.13303</v>
      </c>
      <c r="D29" s="50">
        <v>0.54555334999594185</v>
      </c>
      <c r="E29" s="50">
        <v>8.3928148148148154E-2</v>
      </c>
      <c r="F29" s="68">
        <v>4</v>
      </c>
      <c r="G29" s="68">
        <v>15</v>
      </c>
      <c r="H29" s="69">
        <v>13.5</v>
      </c>
    </row>
    <row r="30" spans="1:8">
      <c r="A30" s="2" t="s">
        <v>38</v>
      </c>
      <c r="B30" s="148">
        <v>2.8193649999999999</v>
      </c>
      <c r="C30" s="147">
        <v>4.3455624999999998</v>
      </c>
      <c r="D30" s="50">
        <v>1.4682675481560186</v>
      </c>
      <c r="E30" s="50">
        <v>8.1991745283018863E-2</v>
      </c>
      <c r="F30" s="68">
        <v>9</v>
      </c>
      <c r="G30" s="68">
        <v>4</v>
      </c>
      <c r="H30" s="69">
        <v>53</v>
      </c>
    </row>
    <row r="31" spans="1:8">
      <c r="A31" s="2" t="s">
        <v>89</v>
      </c>
      <c r="B31" s="148">
        <v>3.7625000000000002</v>
      </c>
      <c r="C31" s="147">
        <v>2.6146853750000005</v>
      </c>
      <c r="D31" s="50">
        <v>0.63493267134116704</v>
      </c>
      <c r="E31" s="50">
        <v>8.1683391908778519E-2</v>
      </c>
      <c r="F31" s="68">
        <v>9</v>
      </c>
      <c r="G31" s="68">
        <v>9</v>
      </c>
      <c r="H31" s="69">
        <v>32.01</v>
      </c>
    </row>
    <row r="32" spans="1:8">
      <c r="A32" s="2" t="s">
        <v>158</v>
      </c>
      <c r="B32" s="148">
        <v>2.8030599999999994</v>
      </c>
      <c r="C32" s="147">
        <v>4.7639474999999996</v>
      </c>
      <c r="D32" s="50">
        <v>1.5481708446750946</v>
      </c>
      <c r="E32" s="50">
        <v>7.6788322050290139E-2</v>
      </c>
      <c r="F32" s="68">
        <v>8</v>
      </c>
      <c r="G32" s="68">
        <v>4</v>
      </c>
      <c r="H32" s="69">
        <v>62.039999999999985</v>
      </c>
    </row>
    <row r="33" spans="1:8">
      <c r="A33" s="2" t="s">
        <v>93</v>
      </c>
      <c r="B33" s="148">
        <v>4.8785425</v>
      </c>
      <c r="C33" s="147">
        <v>3.3255675</v>
      </c>
      <c r="D33" s="50">
        <v>0.79549205776244747</v>
      </c>
      <c r="E33" s="50">
        <v>6.8007515337423302E-2</v>
      </c>
      <c r="F33" s="68">
        <v>4</v>
      </c>
      <c r="G33" s="68">
        <v>0</v>
      </c>
      <c r="H33" s="69">
        <v>48.9</v>
      </c>
    </row>
    <row r="34" spans="1:8">
      <c r="A34" s="2" t="s">
        <v>153</v>
      </c>
      <c r="B34" s="148">
        <v>4.1932725</v>
      </c>
      <c r="C34" s="147">
        <v>2.9791991250000001</v>
      </c>
      <c r="D34" s="50">
        <v>1.8456655692446802</v>
      </c>
      <c r="E34" s="50">
        <v>6.5190352844638935E-2</v>
      </c>
      <c r="F34" s="68">
        <v>9</v>
      </c>
      <c r="G34" s="68">
        <v>11</v>
      </c>
      <c r="H34" s="69">
        <v>45.700000000000017</v>
      </c>
    </row>
    <row r="35" spans="1:8">
      <c r="A35" s="2" t="s">
        <v>20</v>
      </c>
      <c r="B35" s="148">
        <v>2.37</v>
      </c>
      <c r="C35" s="147">
        <v>0.83011125000000008</v>
      </c>
      <c r="D35" s="50">
        <v>0.36941726410208714</v>
      </c>
      <c r="E35" s="50">
        <v>6.4101254826254839E-2</v>
      </c>
      <c r="F35" s="68">
        <v>4</v>
      </c>
      <c r="G35" s="68">
        <v>15</v>
      </c>
      <c r="H35" s="69">
        <v>12.949999999999994</v>
      </c>
    </row>
    <row r="36" spans="1:8">
      <c r="A36" s="2" t="s">
        <v>171</v>
      </c>
      <c r="B36" s="148">
        <v>2.1428425</v>
      </c>
      <c r="C36" s="147">
        <v>1.9015930000000001</v>
      </c>
      <c r="D36" s="50">
        <v>0.87167132756910815</v>
      </c>
      <c r="E36" s="50">
        <v>5.8241745788667691E-2</v>
      </c>
      <c r="F36" s="68">
        <v>8</v>
      </c>
      <c r="G36" s="68">
        <v>4</v>
      </c>
      <c r="H36" s="69">
        <v>32.649999999999991</v>
      </c>
    </row>
    <row r="37" spans="1:8">
      <c r="A37" s="2" t="s">
        <v>64</v>
      </c>
      <c r="B37" s="148">
        <v>0.200545</v>
      </c>
      <c r="C37" s="147">
        <v>0.10825</v>
      </c>
      <c r="D37" s="50">
        <v>0.53025686687055273</v>
      </c>
      <c r="E37" s="50">
        <v>5.5798969072164951E-2</v>
      </c>
      <c r="F37" s="68">
        <v>9</v>
      </c>
      <c r="G37" s="68">
        <v>0</v>
      </c>
      <c r="H37" s="69">
        <v>1.9399999999999997</v>
      </c>
    </row>
    <row r="38" spans="1:8">
      <c r="A38" s="2" t="s">
        <v>85</v>
      </c>
      <c r="B38" s="148">
        <v>1.0027249999999999</v>
      </c>
      <c r="C38" s="147">
        <v>0.54125000000000001</v>
      </c>
      <c r="D38" s="50">
        <v>0.53025686687055285</v>
      </c>
      <c r="E38" s="50">
        <v>5.0536881419234354E-2</v>
      </c>
      <c r="F38" s="68">
        <v>9</v>
      </c>
      <c r="G38" s="68">
        <v>0</v>
      </c>
      <c r="H38" s="69">
        <v>10.71</v>
      </c>
    </row>
    <row r="39" spans="1:8">
      <c r="A39" s="2" t="s">
        <v>71</v>
      </c>
      <c r="B39" s="148">
        <v>4.5253500000000004</v>
      </c>
      <c r="C39" s="147">
        <v>0.68973899999999999</v>
      </c>
      <c r="D39" s="50">
        <v>9.3714538043478249E-2</v>
      </c>
      <c r="E39" s="50">
        <v>4.4585585003232057E-2</v>
      </c>
      <c r="F39" s="68">
        <v>1</v>
      </c>
      <c r="G39" s="68">
        <v>1</v>
      </c>
      <c r="H39" s="69">
        <v>15.470000000000002</v>
      </c>
    </row>
    <row r="40" spans="1:8">
      <c r="A40" s="2" t="s">
        <v>166</v>
      </c>
      <c r="B40" s="148">
        <v>0.200545</v>
      </c>
      <c r="C40" s="147">
        <v>0.10825</v>
      </c>
      <c r="D40" s="50">
        <v>0.53025686687055273</v>
      </c>
      <c r="E40" s="50">
        <v>4.3825910931174085E-2</v>
      </c>
      <c r="F40" s="68">
        <v>9</v>
      </c>
      <c r="G40" s="68">
        <v>0</v>
      </c>
      <c r="H40" s="69">
        <v>2.4700000000000002</v>
      </c>
    </row>
    <row r="41" spans="1:8">
      <c r="A41" s="2" t="s">
        <v>451</v>
      </c>
      <c r="B41" s="148">
        <v>4.1119000000000003</v>
      </c>
      <c r="C41" s="147">
        <v>0.627034125</v>
      </c>
      <c r="D41" s="50">
        <v>9.372707399103139E-2</v>
      </c>
      <c r="E41" s="50">
        <v>1.5675853125E-2</v>
      </c>
      <c r="F41" s="68">
        <v>1</v>
      </c>
      <c r="G41" s="68">
        <v>1</v>
      </c>
      <c r="H41" s="69">
        <v>40</v>
      </c>
    </row>
    <row r="42" spans="1:8">
      <c r="A42" s="2" t="s">
        <v>160</v>
      </c>
      <c r="B42" s="148">
        <v>1.4168375000000002</v>
      </c>
      <c r="C42" s="147">
        <v>1.6265000000000002E-2</v>
      </c>
      <c r="D42" s="50">
        <v>7.5891544846700479E-3</v>
      </c>
      <c r="E42" s="50">
        <v>3.2673764564081963E-4</v>
      </c>
      <c r="F42" s="68">
        <v>1</v>
      </c>
      <c r="G42" s="68">
        <v>0</v>
      </c>
      <c r="H42" s="69">
        <v>49.78</v>
      </c>
    </row>
    <row r="43" spans="1:8">
      <c r="A43" s="2" t="s">
        <v>500</v>
      </c>
      <c r="B43" s="148">
        <v>1.2226300000000001</v>
      </c>
      <c r="C43" s="147">
        <v>0.95934750000000002</v>
      </c>
      <c r="D43" s="50">
        <v>0.67561666857245251</v>
      </c>
      <c r="E43" s="50" t="e">
        <v>#DIV/0!</v>
      </c>
      <c r="F43" s="68">
        <v>6</v>
      </c>
      <c r="G43" s="68">
        <v>0</v>
      </c>
      <c r="H43" s="69" t="e">
        <v>#DIV/0!</v>
      </c>
    </row>
    <row r="44" spans="1:8">
      <c r="A44" s="2" t="s">
        <v>466</v>
      </c>
      <c r="B44" s="148">
        <v>4.1325000000000003</v>
      </c>
      <c r="C44" s="147">
        <v>2.8761547500000004</v>
      </c>
      <c r="D44" s="50">
        <v>0.63591546749712313</v>
      </c>
      <c r="E44" s="50" t="e">
        <v>#DIV/0!</v>
      </c>
      <c r="F44" s="68">
        <v>9</v>
      </c>
      <c r="G44" s="68">
        <v>9</v>
      </c>
      <c r="H44" s="69" t="e">
        <v>#DIV/0!</v>
      </c>
    </row>
    <row r="45" spans="1:8">
      <c r="A45" s="2" t="s">
        <v>499</v>
      </c>
      <c r="B45" s="148">
        <v>1.2226300000000001</v>
      </c>
      <c r="C45" s="147">
        <v>0.96184749999999997</v>
      </c>
      <c r="D45" s="50">
        <v>0.67694638507689386</v>
      </c>
      <c r="E45" s="50" t="e">
        <v>#DIV/0!</v>
      </c>
      <c r="F45" s="68">
        <v>6</v>
      </c>
      <c r="G45" s="68">
        <v>0</v>
      </c>
      <c r="H45" s="69" t="e">
        <v>#DIV/0!</v>
      </c>
    </row>
    <row r="46" spans="1:8">
      <c r="A46" s="2" t="s">
        <v>1466</v>
      </c>
      <c r="B46" s="148">
        <v>1.8910227456409006</v>
      </c>
      <c r="C46" s="147">
        <v>1.5261103991596643</v>
      </c>
      <c r="D46" s="50">
        <v>0.59817360893210325</v>
      </c>
      <c r="E46" s="50">
        <v>0.12130028599812076</v>
      </c>
      <c r="F46" s="68">
        <v>308</v>
      </c>
      <c r="G46" s="68">
        <v>252</v>
      </c>
      <c r="H46" s="69">
        <v>17.163949152542312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2144</vt:i4>
      </vt:variant>
    </vt:vector>
  </HeadingPairs>
  <TitlesOfParts>
    <vt:vector size="2154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Proventos</vt:lpstr>
      <vt:lpstr>Plan1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4'!DadosExternos_485</vt:lpstr>
      <vt:lpstr>'Cotacao 5'!DadosExternos_485</vt:lpstr>
      <vt:lpstr>'Cotacao 5'!DadosExternos_486</vt:lpstr>
      <vt:lpstr>'Cotacao 5'!DadosExternos_487</vt:lpstr>
      <vt:lpstr>'Cotacao 5'!DadosExternos_488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2014-03-20T15:48:38Z</dcterms:modified>
</cp:coreProperties>
</file>