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 activeTab="1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G31" i="1"/>
  <c r="H31"/>
  <c r="M31"/>
  <c r="N31"/>
  <c r="S31"/>
  <c r="T31"/>
  <c r="Y31"/>
  <c r="Z31"/>
  <c r="AA31"/>
  <c r="I31" s="1"/>
  <c r="AB31"/>
  <c r="A3" i="5"/>
  <c r="A2"/>
  <c r="J31" i="1" l="1"/>
  <c r="K31"/>
  <c r="L31"/>
  <c r="P31"/>
  <c r="Q31"/>
  <c r="R31"/>
  <c r="W31"/>
  <c r="X31" s="1"/>
  <c r="AC31"/>
  <c r="U31" l="1"/>
  <c r="O31"/>
  <c r="V31" l="1"/>
  <c r="Y2" i="4" l="1"/>
  <c r="Y3"/>
  <c r="Y2" i="3"/>
  <c r="Y3"/>
  <c r="G30" i="1"/>
  <c r="G29"/>
  <c r="G28"/>
  <c r="G27"/>
  <c r="G26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G25" l="1"/>
  <c r="M25"/>
  <c r="N25"/>
  <c r="S25"/>
  <c r="T25"/>
  <c r="Z25"/>
  <c r="G24"/>
  <c r="G23"/>
  <c r="M23"/>
  <c r="M24"/>
  <c r="N23"/>
  <c r="N24"/>
  <c r="S23"/>
  <c r="S24"/>
  <c r="T23"/>
  <c r="T24"/>
  <c r="Z23"/>
  <c r="Z24"/>
  <c r="AB25" l="1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AB22" l="1"/>
  <c r="AB21"/>
  <c r="AA21"/>
  <c r="AB20"/>
  <c r="AA20"/>
  <c r="AB17"/>
  <c r="AA16"/>
  <c r="AA18"/>
  <c r="AB18"/>
  <c r="AA19"/>
  <c r="AB19"/>
  <c r="AA15"/>
  <c r="AB15"/>
  <c r="M3" i="4" l="1"/>
  <c r="N3"/>
  <c r="S3"/>
  <c r="T3"/>
  <c r="Z3"/>
  <c r="G2"/>
  <c r="H3" l="1"/>
  <c r="AA3"/>
  <c r="AB3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5" i="1" l="1"/>
  <c r="H26"/>
  <c r="H27"/>
  <c r="H28"/>
  <c r="H29"/>
  <c r="H30"/>
  <c r="H24"/>
  <c r="H23"/>
  <c r="G32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2" i="3"/>
  <c r="AA2"/>
  <c r="AA3"/>
  <c r="I2" i="4" l="1"/>
  <c r="I3"/>
  <c r="I3" i="3"/>
  <c r="H14" i="1"/>
  <c r="H8"/>
  <c r="H10"/>
  <c r="H12"/>
  <c r="H13"/>
  <c r="H11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K3" i="4" l="1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3" i="4" l="1"/>
  <c r="V3" s="1"/>
  <c r="O2" i="3"/>
  <c r="U2"/>
  <c r="V2" i="4"/>
  <c r="V3" i="3"/>
  <c r="V2"/>
  <c r="AB3" i="1"/>
  <c r="Z2"/>
  <c r="B2" i="5" s="1"/>
  <c r="AA2" i="1" l="1"/>
  <c r="I25" l="1"/>
  <c r="I30"/>
  <c r="I29"/>
  <c r="I28"/>
  <c r="I27"/>
  <c r="I26"/>
  <c r="AC25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2"/>
  <c r="AB2"/>
  <c r="AC2" s="1"/>
  <c r="I3"/>
  <c r="AC3" s="1"/>
  <c r="J26" l="1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5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U30" l="1"/>
  <c r="O30"/>
  <c r="U29"/>
  <c r="O29"/>
  <c r="U28"/>
  <c r="O28"/>
  <c r="U27"/>
  <c r="O27"/>
  <c r="U26"/>
  <c r="O26"/>
  <c r="U23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6" l="1"/>
  <c r="V27"/>
  <c r="V28"/>
  <c r="V29"/>
  <c r="V30"/>
  <c r="V23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<sst xmlns="http://schemas.openxmlformats.org/spreadsheetml/2006/main" count="103" uniqueCount="39">
  <si>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</si>
  <si>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</si>
  <si>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</si>
  <si>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</si>
  <si>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</si>
  <si>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</si>
  <si>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</si>
  <si>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</si>
  <si>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</si>
  <si>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</si>
  <si>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</si>
  <si>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</si>
  <si>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</si>
  <si>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</si>
  <si>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</si>
  <si>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</si>
  <si>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</si>
  <si>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</si>
  <si>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</si>
  <si>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</si>
  <si>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</si>
  <si>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</si>
  <si>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</si>
  <si>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</si>
  <si>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</si>
  <si>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</si>
  <si>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</si>
  <si>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</si>
  <si>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</si>
  <si>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</si>
  <si>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</si>
  <si>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</si>
  <si>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</si>
  <si>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</si>
  <si>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</si>
  <si>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</si>
  <si>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</si>
  <si>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</si>
  <si>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TOTAL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</si>
</sst>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70" formatCode="[$-416]m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70" fontId="2" fillId="0" borderId="0" xfId="0" applyNumberFormat="1" applyFont="1"/>
    <xf numFmtId="170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0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0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C32" totalsRowCount="1" headerRowDxfId="176">
  <autoFilter ref="A1:AC31"/>
  <tableColumns count="29">
    <tableColumn id="1" name="TRADE" totalsRowLabel="Total" dataDxfId="175" totalsRowDxfId="30"/>
    <tableColumn id="2" name="DATA" dataDxfId="174" totalsRowDxfId="29"/>
    <tableColumn id="12" name="RENDA FIXA" dataDxfId="173" totalsRowDxfId="28" dataCellStyle="Moeda"/>
    <tableColumn id="26" name="APORTE RF" dataDxfId="172" totalsRowDxfId="27" dataCellStyle="Moeda"/>
    <tableColumn id="9" name="SAQUE" dataDxfId="171" totalsRowDxfId="26" dataCellStyle="Moeda"/>
    <tableColumn id="5" name="LUCRO" dataDxfId="170" totalsRowDxfId="25" dataCellStyle="Moeda"/>
    <tableColumn id="3" name="APORTE" totalsRowFunction="sum" dataDxfId="169" totalsRowDxfId="24" dataCellStyle="Moeda">
      <calculatedColumnFormula>380</calculatedColumnFormula>
    </tableColumn>
    <tableColumn id="4" name="MONTANTE" dataDxfId="168" totalsRowDxfId="23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7" totalsRowDxfId="22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6" totalsRowDxfId="21" dataCellStyle="Moeda">
      <calculatedColumnFormula>TRUNC([APLICAÇÃO]  * SETUP!$A$3, 2)</calculatedColumnFormula>
    </tableColumn>
    <tableColumn id="13" name="LIQD CP" dataDxfId="165" totalsRowDxfId="20" dataCellStyle="Moeda">
      <calculatedColumnFormula>TRUNC([APLICAÇÃO]  * SETUP!$B$3, 2)</calculatedColumnFormula>
    </tableColumn>
    <tableColumn id="14" name="REG CP" dataDxfId="164" totalsRowDxfId="19" dataCellStyle="Moeda">
      <calculatedColumnFormula>TRUNC([APLICAÇÃO]  * SETUP!$C$3, 2)</calculatedColumnFormula>
    </tableColumn>
    <tableColumn id="16" name="ISS CP" dataDxfId="163" totalsRowDxfId="18" dataCellStyle="Moeda">
      <calculatedColumnFormula>TRUNC(SETUP!$G$3  * SETUP!$H$3, 2)</calculatedColumnFormula>
    </tableColumn>
    <tableColumn id="19" name="OUTRAS CP" dataDxfId="162" totalsRowDxfId="17" dataCellStyle="Moeda">
      <calculatedColumnFormula>ROUND(SETUP!$G$3 * SETUP!$I$3, 2)</calculatedColumnFormula>
    </tableColumn>
    <tableColumn id="18" name="TAXA CP" dataDxfId="161" totalsRowDxfId="16" dataCellStyle="Moeda">
      <calculatedColumnFormula>SETUP!$G$3 + SUM(Tabela1[[#This Row],[EMOL CP]]:Tabela1[[#This Row],[OUTRAS CP]])</calculatedColumnFormula>
    </tableColumn>
    <tableColumn id="25" name="EMOL VD" dataDxfId="160" totalsRowDxfId="15" dataCellStyle="Moeda">
      <calculatedColumnFormula>TRUNC([APLICAÇÃO] * 2  * SETUP!$A$3, 2)</calculatedColumnFormula>
    </tableColumn>
    <tableColumn id="24" name="LIQD VD" dataDxfId="159" totalsRowDxfId="14" dataCellStyle="Moeda">
      <calculatedColumnFormula>TRUNC([APLICAÇÃO] * 2  * SETUP!$B$3, 2)</calculatedColumnFormula>
    </tableColumn>
    <tableColumn id="23" name="REG VD" dataDxfId="158" totalsRowDxfId="13" dataCellStyle="Moeda">
      <calculatedColumnFormula>TRUNC([APLICAÇÃO] * 2  * SETUP!$C$3, 2)</calculatedColumnFormula>
    </tableColumn>
    <tableColumn id="22" name="ISS VD" dataDxfId="157" totalsRowDxfId="12" dataCellStyle="Moeda">
      <calculatedColumnFormula>TRUNC(SETUP!$G$3  * SETUP!$H$3, 2)</calculatedColumnFormula>
    </tableColumn>
    <tableColumn id="21" name="OUTRAS VD" dataDxfId="156" totalsRowDxfId="11" dataCellStyle="Moeda">
      <calculatedColumnFormula>ROUND(SETUP!$G$3 * SETUP!$I$3, 2)</calculatedColumnFormula>
    </tableColumn>
    <tableColumn id="20" name="TAXA VD" dataDxfId="155" totalsRowDxfId="10" dataCellStyle="Moeda">
      <calculatedColumnFormula>SETUP!$G$3 + SUM(Tabela1[[#This Row],[EMOL VD]]:Tabela1[[#This Row],[OUTRAS VD]])</calculatedColumnFormula>
    </tableColumn>
    <tableColumn id="17" name="PREV LUCRO" dataDxfId="154" totalsRowDxfId="9" dataCellStyle="Moeda">
      <calculatedColumnFormula>((([APLICAÇÃO] * 2) - [TAXA VD]) - ([APLICAÇÃO] + [TAXA CP])) * 0.85</calculatedColumnFormula>
    </tableColumn>
    <tableColumn id="28" name="PERDA MAX" dataDxfId="153" totalsRowDxfId="8" dataCellStyle="Moeda">
      <calculatedColumnFormula>[APLICAÇÃO] - (ROUND([RENDA FIXA] * 0.1,2))</calculatedColumnFormula>
    </tableColumn>
    <tableColumn id="29" name="% PERDA" dataDxfId="152" totalsRowDxfId="7" dataCellStyle="Porcentagem">
      <calculatedColumnFormula>Tabela1[[#This Row],[PERDA MAX]]/Tabela1[[#This Row],[APLICAÇÃO]]</calculatedColumnFormula>
    </tableColumn>
    <tableColumn id="6" name="NO BOLSO" dataDxfId="151" totalsRowDxfId="6">
      <calculatedColumnFormula>IF([LUCRO] &lt; ([RENDA FIXA]/2), 0.8, 0.8)</calculatedColumnFormula>
    </tableColumn>
    <tableColumn id="7" name="PROTEÇÃO MÊS" dataDxfId="150" totalsRowDxfId="5" dataCellStyle="Moeda">
      <calculatedColumnFormula>IF([LUCRO] &lt; 0, 0, ROUND([LUCRO]*[NO BOLSO], 2))</calculatedColumnFormula>
    </tableColumn>
    <tableColumn id="8" name="REINVESTIR" totalsRowFunction="sum" dataDxfId="149" totalsRowDxfId="4" dataCellStyle="Moeda">
      <calculatedColumnFormula>[LUCRO]-[PROTEÇÃO MÊS]</calculatedColumnFormula>
    </tableColumn>
    <tableColumn id="15" name="TOT RF" dataDxfId="148" totalsRowDxfId="3" dataCellStyle="Moeda">
      <calculatedColumnFormula>[RENDA FIXA] + [PROTEÇÃO MÊS] - [APORTE RF]</calculatedColumnFormula>
    </tableColumn>
    <tableColumn id="27" name="PATRIMÔNIO" dataDxfId="147" totalsRowDxfId="2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4" totalsRowCount="1" headerRowDxfId="146">
  <autoFilter ref="A1:AC3"/>
  <tableColumns count="29">
    <tableColumn id="1" name="TRADE" totalsRowLabel="Total" dataDxfId="145" totalsRowDxfId="87"/>
    <tableColumn id="2" name="DATA" dataDxfId="1" totalsRowDxfId="0"/>
    <tableColumn id="12" name="RENDA FIXA" dataDxfId="144" totalsRowDxfId="86" dataCellStyle="Moeda"/>
    <tableColumn id="26" name="APORTE RF" dataDxfId="143" totalsRowDxfId="85" dataCellStyle="Moeda"/>
    <tableColumn id="9" name="SAQUE" dataDxfId="142" totalsRowDxfId="84" dataCellStyle="Moeda"/>
    <tableColumn id="5" name="LUCRO" dataDxfId="141" totalsRowDxfId="83" dataCellStyle="Moeda"/>
    <tableColumn id="3" name="APORTE" dataDxfId="140" totalsRowDxfId="82" dataCellStyle="Moeda">
      <calculatedColumnFormula>100</calculatedColumnFormula>
    </tableColumn>
    <tableColumn id="4" name="MONTANTE" dataDxfId="139" totalsRowDxfId="8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8" totalsRowDxfId="80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7" totalsRowDxfId="79" dataCellStyle="Moeda">
      <calculatedColumnFormula>TRUNC([APLICAÇÃO]  * SETUP!$A$3, 2)</calculatedColumnFormula>
    </tableColumn>
    <tableColumn id="13" name="LIQD CP" dataDxfId="136" totalsRowDxfId="78" dataCellStyle="Moeda">
      <calculatedColumnFormula>TRUNC([APLICAÇÃO]  * SETUP!$B$3, 2)</calculatedColumnFormula>
    </tableColumn>
    <tableColumn id="14" name="REG CP" dataDxfId="135" totalsRowDxfId="77" dataCellStyle="Moeda">
      <calculatedColumnFormula>TRUNC([APLICAÇÃO]  * SETUP!$C$3, 2)</calculatedColumnFormula>
    </tableColumn>
    <tableColumn id="16" name="ISS CP" dataDxfId="134" totalsRowDxfId="76" dataCellStyle="Moeda">
      <calculatedColumnFormula>TRUNC(SETUP!$G$3  * SETUP!$H$3, 2)</calculatedColumnFormula>
    </tableColumn>
    <tableColumn id="19" name="OUTRAS CP" dataDxfId="133" totalsRowDxfId="75" dataCellStyle="Moeda">
      <calculatedColumnFormula>ROUND(SETUP!$G$3 * SETUP!$I$3, 2)</calculatedColumnFormula>
    </tableColumn>
    <tableColumn id="18" name="TAXA CP" dataDxfId="132" totalsRowDxfId="74" dataCellStyle="Moeda">
      <calculatedColumnFormula>SETUP!$G$3 + SUM(Tabela13[[#This Row],[EMOL CP]]:Tabela13[[#This Row],[OUTRAS CP]])</calculatedColumnFormula>
    </tableColumn>
    <tableColumn id="25" name="EMOL VD" dataDxfId="131" totalsRowDxfId="73" dataCellStyle="Moeda">
      <calculatedColumnFormula>TRUNC([APLICAÇÃO] * 2  * SETUP!$A$3, 2)</calculatedColumnFormula>
    </tableColumn>
    <tableColumn id="24" name="LIQD VD" dataDxfId="130" totalsRowDxfId="72" dataCellStyle="Moeda">
      <calculatedColumnFormula>TRUNC([APLICAÇÃO] * 2  * SETUP!$B$3, 2)</calculatedColumnFormula>
    </tableColumn>
    <tableColumn id="23" name="REG VD" dataDxfId="129" totalsRowDxfId="71" dataCellStyle="Moeda">
      <calculatedColumnFormula>TRUNC([APLICAÇÃO] * 2  * SETUP!$C$3, 2)</calculatedColumnFormula>
    </tableColumn>
    <tableColumn id="22" name="ISS VD" dataDxfId="128" totalsRowDxfId="70" dataCellStyle="Moeda">
      <calculatedColumnFormula>TRUNC(SETUP!$G$3  * SETUP!$H$3, 2)</calculatedColumnFormula>
    </tableColumn>
    <tableColumn id="21" name="OUTRAS VD" dataDxfId="127" totalsRowDxfId="69" dataCellStyle="Moeda">
      <calculatedColumnFormula>ROUND(SETUP!$G$3 * SETUP!$I$3, 2)</calculatedColumnFormula>
    </tableColumn>
    <tableColumn id="20" name="TAXA VD" dataDxfId="126" totalsRowDxfId="68" dataCellStyle="Moeda">
      <calculatedColumnFormula>SETUP!$G$3 + SUM(Tabela13[[#This Row],[EMOL VD]]:Tabela13[[#This Row],[OUTRAS VD]])</calculatedColumnFormula>
    </tableColumn>
    <tableColumn id="17" name="PREV LUCRO" dataDxfId="125" totalsRowDxfId="67" dataCellStyle="Moeda">
      <calculatedColumnFormula>((([APLICAÇÃO] * 2) - [TAXA VD]) - ([APLICAÇÃO] + [TAXA CP])) * 0.85</calculatedColumnFormula>
    </tableColumn>
    <tableColumn id="28" name="PERDA MAX" dataDxfId="124" totalsRowDxfId="66" dataCellStyle="Moeda">
      <calculatedColumnFormula>[APLICAÇÃO] - (ROUND([RENDA FIXA] * 0.1,2))</calculatedColumnFormula>
    </tableColumn>
    <tableColumn id="29" name="% PERDA" dataDxfId="123" totalsRowDxfId="65" dataCellStyle="Porcentagem">
      <calculatedColumnFormula>Tabela13[[#This Row],[PERDA MAX]]/Tabela13[[#This Row],[APLICAÇÃO]]</calculatedColumnFormula>
    </tableColumn>
    <tableColumn id="6" name="NO BOLSO" dataDxfId="122" totalsRowDxfId="64">
      <calculatedColumnFormula>IF([LUCRO] &lt; ([RENDA FIXA]/2), 0.8, 0.8)</calculatedColumnFormula>
    </tableColumn>
    <tableColumn id="7" name="PROTEÇÃO MÊS" dataDxfId="121" totalsRowDxfId="63" dataCellStyle="Moeda">
      <calculatedColumnFormula>IF([LUCRO] &lt; 0, 0, ROUND([LUCRO]*[NO BOLSO], 2))</calculatedColumnFormula>
    </tableColumn>
    <tableColumn id="8" name="REINVESTIR" dataDxfId="120" totalsRowDxfId="62" dataCellStyle="Moeda">
      <calculatedColumnFormula>[LUCRO]-[PROTEÇÃO MÊS]</calculatedColumnFormula>
    </tableColumn>
    <tableColumn id="15" name="TOT RF" dataDxfId="119" totalsRowDxfId="61" dataCellStyle="Moeda">
      <calculatedColumnFormula>[RENDA FIXA] + [PROTEÇÃO MÊS] - [APORTE RF]</calculatedColumnFormula>
    </tableColumn>
    <tableColumn id="27" name="PATRIMÔNIO" dataDxfId="118" totalsRowDxfId="6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4" totalsRowCount="1" headerRowDxfId="117">
  <autoFilter ref="A1:AC3"/>
  <tableColumns count="29">
    <tableColumn id="1" name="TRADE" totalsRowLabel="Total" dataDxfId="116" totalsRowDxfId="59"/>
    <tableColumn id="2" name="DATA" dataDxfId="115" totalsRowDxfId="58"/>
    <tableColumn id="12" name="RENDA FIXA" dataDxfId="114" totalsRowDxfId="57" dataCellStyle="Moeda"/>
    <tableColumn id="26" name="APORTE RF" dataDxfId="113" totalsRowDxfId="56" dataCellStyle="Moeda"/>
    <tableColumn id="9" name="SAQUE" dataDxfId="112" totalsRowDxfId="55" dataCellStyle="Moeda"/>
    <tableColumn id="5" name="LUCRO" dataDxfId="111" totalsRowDxfId="54" dataCellStyle="Moeda"/>
    <tableColumn id="3" name="APORTE" dataDxfId="110" totalsRowDxfId="53" dataCellStyle="Moeda">
      <calculatedColumnFormula>100</calculatedColumnFormula>
    </tableColumn>
    <tableColumn id="4" name="MONTANTE" dataDxfId="109" totalsRowDxfId="5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08" totalsRowDxfId="51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107" totalsRowDxfId="50" dataCellStyle="Moeda">
      <calculatedColumnFormula>TRUNC([APLICAÇÃO]  * SETUP!$A$3, 2)</calculatedColumnFormula>
    </tableColumn>
    <tableColumn id="13" name="LIQD CP" dataDxfId="106" totalsRowDxfId="49" dataCellStyle="Moeda">
      <calculatedColumnFormula>TRUNC([APLICAÇÃO]  * SETUP!$B$3, 2)</calculatedColumnFormula>
    </tableColumn>
    <tableColumn id="14" name="REG CP" dataDxfId="105" totalsRowDxfId="48" dataCellStyle="Moeda">
      <calculatedColumnFormula>TRUNC([APLICAÇÃO]  * SETUP!$C$3, 2)</calculatedColumnFormula>
    </tableColumn>
    <tableColumn id="16" name="ISS CP" dataDxfId="104" totalsRowDxfId="47" dataCellStyle="Moeda">
      <calculatedColumnFormula>TRUNC(SETUP!$G$3  * SETUP!$H$3, 2)</calculatedColumnFormula>
    </tableColumn>
    <tableColumn id="19" name="OUTRAS CP" dataDxfId="103" totalsRowDxfId="46" dataCellStyle="Moeda">
      <calculatedColumnFormula>ROUND(SETUP!$G$3 * SETUP!$I$3, 2)</calculatedColumnFormula>
    </tableColumn>
    <tableColumn id="18" name="TAXA CP" dataDxfId="102" totalsRowDxfId="45" dataCellStyle="Moeda">
      <calculatedColumnFormula>SETUP!$G$3 + SUM(Tabela134[[#This Row],[EMOL CP]]:Tabela134[[#This Row],[OUTRAS CP]])</calculatedColumnFormula>
    </tableColumn>
    <tableColumn id="25" name="EMOL VD" dataDxfId="101" totalsRowDxfId="44" dataCellStyle="Moeda">
      <calculatedColumnFormula>TRUNC([APLICAÇÃO] * 2  * SETUP!$A$3, 2)</calculatedColumnFormula>
    </tableColumn>
    <tableColumn id="24" name="LIQD VD" dataDxfId="100" totalsRowDxfId="43" dataCellStyle="Moeda">
      <calculatedColumnFormula>TRUNC([APLICAÇÃO] * 2  * SETUP!$B$3, 2)</calculatedColumnFormula>
    </tableColumn>
    <tableColumn id="23" name="REG VD" dataDxfId="99" totalsRowDxfId="42" dataCellStyle="Moeda">
      <calculatedColumnFormula>TRUNC([APLICAÇÃO] * 2  * SETUP!$C$3, 2)</calculatedColumnFormula>
    </tableColumn>
    <tableColumn id="22" name="ISS VD" dataDxfId="98" totalsRowDxfId="41" dataCellStyle="Moeda">
      <calculatedColumnFormula>TRUNC(SETUP!$G$3  * SETUP!$H$3, 2)</calculatedColumnFormula>
    </tableColumn>
    <tableColumn id="21" name="OUTRAS VD" dataDxfId="97" totalsRowDxfId="40" dataCellStyle="Moeda">
      <calculatedColumnFormula>ROUND(SETUP!$G$3 * SETUP!$I$3, 2)</calculatedColumnFormula>
    </tableColumn>
    <tableColumn id="20" name="TAXA VD" dataDxfId="96" totalsRowDxfId="39" dataCellStyle="Moeda">
      <calculatedColumnFormula>SETUP!$G$3 + SUM(Tabela134[[#This Row],[EMOL VD]]:Tabela134[[#This Row],[OUTRAS VD]])</calculatedColumnFormula>
    </tableColumn>
    <tableColumn id="17" name="PREV LUCRO" dataDxfId="95" totalsRowDxfId="38" dataCellStyle="Moeda">
      <calculatedColumnFormula>((([APLICAÇÃO] * 2) - [TAXA VD]) - ([APLICAÇÃO] + [TAXA CP])) * 0.85</calculatedColumnFormula>
    </tableColumn>
    <tableColumn id="28" name="PERDA MAX" dataDxfId="94" totalsRowDxfId="37" dataCellStyle="Moeda">
      <calculatedColumnFormula>[APLICAÇÃO] - (ROUND([RENDA FIXA] * 0.1,2))</calculatedColumnFormula>
    </tableColumn>
    <tableColumn id="29" name="% PERDA" dataDxfId="93" totalsRowDxfId="36" dataCellStyle="Porcentagem">
      <calculatedColumnFormula>Tabela134[[#This Row],[PERDA MAX]]/Tabela134[[#This Row],[APLICAÇÃO]]</calculatedColumnFormula>
    </tableColumn>
    <tableColumn id="6" name="NO BOLSO" dataDxfId="92" totalsRowDxfId="35">
      <calculatedColumnFormula>IF([LUCRO] &lt; ([RENDA FIXA]/2), 0.8, 0.8)</calculatedColumnFormula>
    </tableColumn>
    <tableColumn id="7" name="PROTEÇÃO MÊS" dataDxfId="91" totalsRowDxfId="34" dataCellStyle="Moeda">
      <calculatedColumnFormula>IF([LUCRO] &lt; 0, 0, ROUND([LUCRO]*[NO BOLSO], 2))</calculatedColumnFormula>
    </tableColumn>
    <tableColumn id="8" name="REINVESTIR" dataDxfId="90" totalsRowDxfId="33" dataCellStyle="Moeda">
      <calculatedColumnFormula>[LUCRO]-[PROTEÇÃO MÊS]</calculatedColumnFormula>
    </tableColumn>
    <tableColumn id="15" name="TOT RF" dataDxfId="89" totalsRowDxfId="32" dataCellStyle="Moeda">
      <calculatedColumnFormula>[RENDA FIXA] + [PROTEÇÃO MÊS] - [APORTE RF]</calculatedColumnFormula>
    </tableColumn>
    <tableColumn id="27" name="PATRIMÔNIO" dataDxfId="88" totalsRowDxfId="3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32"/>
  <sheetViews>
    <sheetView workbookViewId="0">
      <selection activeCell="I27" sqref="I27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</row>
    <row r="3" spans="1:29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</row>
    <row r="4" spans="1:29">
      <c r="A4" s="1">
        <v>3</v>
      </c>
      <c r="B4" s="20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</row>
    <row r="5" spans="1:29">
      <c r="A5" s="1">
        <v>4</v>
      </c>
      <c r="B5" s="20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</row>
    <row r="6" spans="1:29">
      <c r="A6" s="1">
        <v>5</v>
      </c>
      <c r="B6" s="20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</row>
    <row r="7" spans="1:29">
      <c r="A7" s="1">
        <v>6</v>
      </c>
      <c r="B7" s="20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</row>
    <row r="8" spans="1:29">
      <c r="A8" s="1">
        <v>7</v>
      </c>
      <c r="B8" s="20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</row>
    <row r="9" spans="1:29">
      <c r="A9" s="1">
        <v>8</v>
      </c>
      <c r="B9" s="20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</row>
    <row r="10" spans="1:29">
      <c r="A10" s="1">
        <v>9</v>
      </c>
      <c r="B10" s="20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</row>
    <row r="11" spans="1:29">
      <c r="A11" s="1">
        <v>10</v>
      </c>
      <c r="B11" s="20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</row>
    <row r="12" spans="1:29">
      <c r="A12" s="1">
        <v>11</v>
      </c>
      <c r="B12" s="20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</row>
    <row r="13" spans="1:29">
      <c r="A13" s="1">
        <v>12</v>
      </c>
      <c r="B13" s="20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</row>
    <row r="14" spans="1:29">
      <c r="A14" s="1">
        <v>13</v>
      </c>
      <c r="B14" s="20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</row>
    <row r="15" spans="1:29">
      <c r="A15" s="1">
        <v>14</v>
      </c>
      <c r="B15" s="20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</row>
    <row r="16" spans="1:29">
      <c r="A16" s="1">
        <v>15</v>
      </c>
      <c r="B16" s="20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</row>
    <row r="17" spans="1:29">
      <c r="A17" s="1">
        <v>16</v>
      </c>
      <c r="B17" s="20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</row>
    <row r="18" spans="1:29">
      <c r="A18" s="1">
        <v>17</v>
      </c>
      <c r="B18" s="20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</row>
    <row r="19" spans="1:29">
      <c r="A19" s="1">
        <v>18</v>
      </c>
      <c r="B19" s="20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</row>
    <row r="20" spans="1:29">
      <c r="A20" s="1">
        <v>19</v>
      </c>
      <c r="B20" s="20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</row>
    <row r="21" spans="1:29">
      <c r="A21" s="1">
        <v>20</v>
      </c>
      <c r="B21" s="20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</row>
    <row r="22" spans="1:29">
      <c r="A22" s="1">
        <v>21</v>
      </c>
      <c r="B22" s="20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</row>
    <row r="23" spans="1:29">
      <c r="A23" s="1">
        <v>22</v>
      </c>
      <c r="B23" s="20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</row>
    <row r="24" spans="1:29">
      <c r="A24" s="1">
        <v>23</v>
      </c>
      <c r="B24" s="20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</row>
    <row r="25" spans="1:29">
      <c r="A25" s="1">
        <v>24</v>
      </c>
      <c r="B25" s="20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</row>
    <row r="26" spans="1:29">
      <c r="A26" s="1">
        <v>25</v>
      </c>
      <c r="B26" s="20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</row>
    <row r="27" spans="1:29">
      <c r="A27" s="1">
        <v>26</v>
      </c>
      <c r="B27" s="20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</row>
    <row r="28" spans="1:29">
      <c r="A28" s="1">
        <v>27</v>
      </c>
      <c r="B28" s="20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</row>
    <row r="29" spans="1:29">
      <c r="A29" s="1">
        <v>28</v>
      </c>
      <c r="B29" s="20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</row>
    <row r="30" spans="1:29">
      <c r="A30" s="1">
        <v>29</v>
      </c>
      <c r="B30" s="20">
        <v>41852</v>
      </c>
      <c r="C30" s="21">
        <v>1075783.71</v>
      </c>
      <c r="D30" s="21"/>
      <c r="E30" s="21"/>
      <c r="F30" s="21">
        <v>247620.71</v>
      </c>
      <c r="G30" s="6">
        <f>1000</f>
        <v>1000</v>
      </c>
      <c r="H30" s="22">
        <f>SUMPRODUCT(N([TRADE] &lt;= Tabela1[[#This Row],[TRADE]]), [APORTE]) + SUMPRODUCT(N([TRADE] &lt;= Tabela1[[#This Row],[TRADE]]), [APORTE RF])</f>
        <v>23580</v>
      </c>
      <c r="I30" s="22">
        <f>[MONTANTE] - SUMPRODUCT(N([TRADE] &lt;= Tabela1[[#This Row],[TRADE]]), [SAQUE]) + SUMPRODUCT(N([TRADE] &lt; Tabela1[[#This Row],[TRADE]]), [REINVESTIR])</f>
        <v>292525.94000000006</v>
      </c>
      <c r="J30" s="22">
        <f>TRUNC([APLICAÇÃO]  * SETUP!$A$3, 2)</f>
        <v>108.23</v>
      </c>
      <c r="K30" s="22">
        <f>TRUNC([APLICAÇÃO]  * SETUP!$B$3, 2)</f>
        <v>80.44</v>
      </c>
      <c r="L30" s="22">
        <f>TRUNC([APLICAÇÃO]  * SETUP!$C$3, 2)</f>
        <v>203.3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SUM(Tabela1[[#This Row],[EMOL CP]]:Tabela1[[#This Row],[OUTRAS CP]])</f>
        <v>407.74</v>
      </c>
      <c r="P30" s="22">
        <f>TRUNC([APLICAÇÃO] * 2  * SETUP!$A$3, 2)</f>
        <v>216.46</v>
      </c>
      <c r="Q30" s="22">
        <f>TRUNC([APLICAÇÃO] * 2  * SETUP!$B$3, 2)</f>
        <v>160.88</v>
      </c>
      <c r="R30" s="22">
        <f>TRUNC([APLICAÇÃO] * 2  * SETUP!$C$3, 2)</f>
        <v>406.61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SUM(Tabela1[[#This Row],[EMOL VD]]:Tabela1[[#This Row],[OUTRAS VD]])</f>
        <v>799.72</v>
      </c>
      <c r="V30" s="22">
        <f>((([APLICAÇÃO] * 2) - [TAXA VD]) - ([APLICAÇÃO] + [TAXA CP])) * 0.85</f>
        <v>247620.70800000007</v>
      </c>
      <c r="W30" s="23">
        <f>[APLICAÇÃO] - (ROUND([RENDA FIXA] * 0.1,2))</f>
        <v>184947.57000000007</v>
      </c>
      <c r="X30" s="24">
        <f>Tabela1[[#This Row],[PERDA MAX]]/Tabela1[[#This Row],[APLICAÇÃO]]</f>
        <v>0.63224331490055219</v>
      </c>
      <c r="Y30" s="25">
        <f>IF([LUCRO] &lt; ([RENDA FIXA]/2), 0.8, 0.8)</f>
        <v>0.8</v>
      </c>
      <c r="Z30" s="22">
        <f>IF([LUCRO] &lt; 0, 0, ROUND([LUCRO]*[NO BOLSO], 2))</f>
        <v>198096.57</v>
      </c>
      <c r="AA30" s="22">
        <f>[LUCRO]-[PROTEÇÃO MÊS]</f>
        <v>49524.139999999985</v>
      </c>
      <c r="AB30" s="22">
        <f>[RENDA FIXA] + [PROTEÇÃO MÊS] - [APORTE RF]</f>
        <v>1273880.28</v>
      </c>
      <c r="AC30" s="22">
        <f>[TOT RF] + [REINVESTIR] + [APLICAÇÃO]</f>
        <v>1615930.3599999999</v>
      </c>
    </row>
    <row r="31" spans="1:29">
      <c r="A31" s="1">
        <v>30</v>
      </c>
      <c r="B31" s="20">
        <v>41883</v>
      </c>
      <c r="C31" s="21">
        <v>1273880.28</v>
      </c>
      <c r="D31" s="21"/>
      <c r="E31" s="21"/>
      <c r="F31" s="21">
        <v>290393.59999999998</v>
      </c>
      <c r="G31" s="6">
        <f>1000</f>
        <v>1000</v>
      </c>
      <c r="H31" s="22">
        <f>SUMPRODUCT(N([TRADE] &lt;= Tabela1[[#This Row],[TRADE]]), [APORTE]) + SUMPRODUCT(N([TRADE] &lt;= Tabela1[[#This Row],[TRADE]]), [APORTE RF])</f>
        <v>24580</v>
      </c>
      <c r="I31" s="22">
        <f>[MONTANTE] - SUMPRODUCT(N([TRADE] &lt;= Tabela1[[#This Row],[TRADE]]), [SAQUE]) + SUMPRODUCT(N([TRADE] &lt; Tabela1[[#This Row],[TRADE]]), [REINVESTIR])</f>
        <v>343050.08000000007</v>
      </c>
      <c r="J31" s="22">
        <f>TRUNC([APLICAÇÃO]  * SETUP!$A$3, 2)</f>
        <v>126.92</v>
      </c>
      <c r="K31" s="22">
        <f>TRUNC([APLICAÇÃO]  * SETUP!$B$3, 2)</f>
        <v>94.33</v>
      </c>
      <c r="L31" s="22">
        <f>TRUNC([APLICAÇÃO]  * SETUP!$C$3, 2)</f>
        <v>238.41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SUM(Tabela1[[#This Row],[EMOL CP]]:Tabela1[[#This Row],[OUTRAS CP]])</f>
        <v>475.42999999999995</v>
      </c>
      <c r="P31" s="22">
        <f>TRUNC([APLICAÇÃO] * 2  * SETUP!$A$3, 2)</f>
        <v>253.85</v>
      </c>
      <c r="Q31" s="22">
        <f>TRUNC([APLICAÇÃO] * 2  * SETUP!$B$3, 2)</f>
        <v>188.67</v>
      </c>
      <c r="R31" s="22">
        <f>TRUNC([APLICAÇÃO] * 2  * SETUP!$C$3, 2)</f>
        <v>476.83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SUM(Tabela1[[#This Row],[EMOL VD]]:Tabela1[[#This Row],[OUTRAS VD]])</f>
        <v>935.11999999999989</v>
      </c>
      <c r="V31" s="22">
        <f>((([APLICAÇÃO] * 2) - [TAXA VD]) - ([APLICAÇÃO] + [TAXA CP])) * 0.85</f>
        <v>290393.60050000006</v>
      </c>
      <c r="W31" s="23">
        <f>[APLICAÇÃO] - (ROUND([RENDA FIXA] * 0.1,2))</f>
        <v>215662.05000000008</v>
      </c>
      <c r="X31" s="24">
        <f>Tabela1[[#This Row],[PERDA MAX]]/Tabela1[[#This Row],[APLICAÇÃO]]</f>
        <v>0.6286605442563955</v>
      </c>
      <c r="Y31" s="25">
        <f>IF([LUCRO] &lt; ([RENDA FIXA]/2), 0.8, 0.8)</f>
        <v>0.8</v>
      </c>
      <c r="Z31" s="22">
        <f>IF([LUCRO] &lt; 0, 0, ROUND([LUCRO]*[NO BOLSO], 2))</f>
        <v>232314.88</v>
      </c>
      <c r="AA31" s="22">
        <f>[LUCRO]-[PROTEÇÃO MÊS]</f>
        <v>58078.719999999972</v>
      </c>
      <c r="AB31" s="22">
        <f>[RENDA FIXA] + [PROTEÇÃO MÊS] - [APORTE RF]</f>
        <v>1506195.1600000001</v>
      </c>
      <c r="AC31" s="22">
        <f>[TOT RF] + [REINVESTIR] + [APLICAÇÃO]</f>
        <v>1907323.9600000002</v>
      </c>
    </row>
    <row r="32" spans="1:29">
      <c r="A32" s="1" t="s">
        <v>37</v>
      </c>
      <c r="C32" s="17"/>
      <c r="D32" s="17"/>
      <c r="E32" s="17"/>
      <c r="F32" s="17"/>
      <c r="G32" s="16">
        <f>SUBTOTAL(109,[APORTE])</f>
        <v>24580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6">
        <f>SUBTOTAL(109,[REINVESTIR])</f>
        <v>376548.80000000005</v>
      </c>
      <c r="AB32" s="17"/>
      <c r="AC32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4"/>
  <sheetViews>
    <sheetView tabSelected="1" workbookViewId="0">
      <selection activeCell="D10" sqref="D10"/>
    </sheetView>
  </sheetViews>
  <sheetFormatPr defaultRowHeight="11.25"/>
  <cols>
    <col min="1" max="1" width="7.5703125" style="1" bestFit="1" customWidth="1"/>
    <col min="2" max="2" width="6.85546875" style="28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3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8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8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workbookViewId="0">
      <selection activeCell="G12" sqref="G12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14">
        <f>[APLICAÇÃO] - (ROUND([RENDA FIXA] * 0.1,2))</f>
        <v>100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40.21</v>
      </c>
    </row>
    <row r="4" spans="1:29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26" t="s">
        <v>10</v>
      </c>
      <c r="B1" s="26"/>
      <c r="C1" s="26"/>
      <c r="D1" s="26" t="s">
        <v>11</v>
      </c>
      <c r="E1" s="26"/>
      <c r="F1" s="26"/>
      <c r="G1" s="27" t="s">
        <v>22</v>
      </c>
      <c r="H1" s="27" t="s">
        <v>18</v>
      </c>
      <c r="I1" s="27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27"/>
      <c r="H2" s="27"/>
      <c r="I2" s="27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7" sqref="C7"/>
    </sheetView>
  </sheetViews>
  <sheetFormatPr defaultRowHeight="11.25"/>
  <cols>
    <col min="1" max="1" width="9.140625" style="28"/>
    <col min="2" max="2" width="10.5703125" style="3" bestFit="1" customWidth="1"/>
    <col min="3" max="16384" width="9.140625" style="1"/>
  </cols>
  <sheetData>
    <row r="1" spans="1:2" s="31" customFormat="1">
      <c r="A1" s="29" t="s">
        <v>3</v>
      </c>
      <c r="B1" s="30" t="s">
        <v>38</v>
      </c>
    </row>
    <row r="2" spans="1:2">
      <c r="A2" s="28">
        <f>VOLATILIDADE!B2</f>
        <v>41000</v>
      </c>
      <c r="B2" s="3">
        <f>Tabela13[[#This Row],[PROTEÇÃO MÊS]]+Tabela134[[#This Row],[PROTEÇÃO MÊS]]+Tabela1[[#This Row],[PROTEÇÃO MÊS]]</f>
        <v>293.5</v>
      </c>
    </row>
    <row r="3" spans="1:2">
      <c r="A3" s="28">
        <f>VOLATILIDADE!B3</f>
        <v>41030</v>
      </c>
      <c r="B3" s="3">
        <f>Tabela13[[#This Row],[PROTEÇÃO MÊS]]+Tabela134[[#This Row],[PROTEÇÃO MÊS]]+Tabela1[[#This Row],[PROTEÇÃO MÊS]]</f>
        <v>393.25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2012-05-18T17:11:14Z</dcterms:modified>
</cp:coreProperties>
</file>