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120" windowWidth="16380" windowHeight="807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Y20" i="1"/>
  <c r="Z20" i="1"/>
  <c r="AB20" i="1"/>
  <c r="L19" i="1"/>
  <c r="Y19" i="1" s="1"/>
  <c r="Q19" i="1"/>
  <c r="R19" i="1" s="1"/>
  <c r="U19" i="1"/>
  <c r="Z19" i="1"/>
  <c r="AG19" i="1"/>
  <c r="AF19" i="1"/>
  <c r="AH19" i="1" s="1"/>
  <c r="L18" i="1"/>
  <c r="Y18" i="1" s="1"/>
  <c r="Q18" i="1"/>
  <c r="R18" i="1" s="1"/>
  <c r="U18" i="1"/>
  <c r="Z18" i="1"/>
  <c r="S20" i="1" l="1"/>
  <c r="S19" i="1"/>
  <c r="AI19" i="1"/>
  <c r="AJ19" i="1" s="1"/>
  <c r="AK19" i="1" s="1"/>
  <c r="S18" i="1"/>
  <c r="J17" i="1"/>
  <c r="L17" i="1"/>
  <c r="Y17" i="1" s="1"/>
  <c r="Q17" i="1"/>
  <c r="R17" i="1" s="1"/>
  <c r="U17" i="1"/>
  <c r="Z17" i="1"/>
  <c r="S17" i="1" l="1"/>
  <c r="J16" i="1"/>
  <c r="L16" i="1"/>
  <c r="Q16" i="1"/>
  <c r="R16" i="1" s="1"/>
  <c r="U16" i="1"/>
  <c r="Y16" i="1"/>
  <c r="Z16" i="1"/>
  <c r="AB16" i="1"/>
  <c r="S16" i="1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Y11" i="1"/>
  <c r="Z11" i="1"/>
  <c r="AB11" i="1"/>
  <c r="J12" i="1"/>
  <c r="L12" i="1"/>
  <c r="Q12" i="1"/>
  <c r="S12" i="1" s="1"/>
  <c r="Y12" i="1"/>
  <c r="Z12" i="1"/>
  <c r="AB12" i="1"/>
  <c r="J9" i="1"/>
  <c r="L9" i="1"/>
  <c r="Q9" i="1"/>
  <c r="R9" i="1" s="1"/>
  <c r="Y9" i="1"/>
  <c r="Z9" i="1"/>
  <c r="AB9" i="1"/>
  <c r="J10" i="1"/>
  <c r="L10" i="1"/>
  <c r="Y10" i="1" s="1"/>
  <c r="Q10" i="1"/>
  <c r="S10" i="1" s="1"/>
  <c r="Z10" i="1"/>
  <c r="J7" i="1"/>
  <c r="L7" i="1"/>
  <c r="Q7" i="1"/>
  <c r="S7" i="1" s="1"/>
  <c r="Y7" i="1"/>
  <c r="Z7" i="1"/>
  <c r="AB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21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J4" i="1"/>
  <c r="J5" i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20" i="1" l="1"/>
  <c r="M20" i="1"/>
  <c r="N20" i="1"/>
  <c r="P20" i="1"/>
  <c r="O20" i="1"/>
  <c r="M19" i="1"/>
  <c r="N19" i="1"/>
  <c r="P19" i="1"/>
  <c r="O19" i="1"/>
  <c r="K18" i="1"/>
  <c r="K19" i="1"/>
  <c r="M18" i="1"/>
  <c r="P18" i="1"/>
  <c r="N18" i="1"/>
  <c r="O18" i="1"/>
  <c r="K17" i="1"/>
  <c r="N17" i="1"/>
  <c r="P17" i="1"/>
  <c r="M17" i="1"/>
  <c r="O17" i="1"/>
  <c r="K16" i="1"/>
  <c r="M16" i="1"/>
  <c r="P16" i="1"/>
  <c r="N16" i="1"/>
  <c r="O16" i="1"/>
  <c r="K13" i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AF18" i="1" l="1"/>
  <c r="T20" i="1"/>
  <c r="T19" i="1"/>
  <c r="T18" i="1"/>
  <c r="T17" i="1"/>
  <c r="T16" i="1"/>
  <c r="T15" i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AH18" i="1" l="1"/>
  <c r="AG18" i="1"/>
  <c r="V20" i="1"/>
  <c r="V19" i="1"/>
  <c r="V18" i="1"/>
  <c r="V17" i="1"/>
  <c r="V16" i="1"/>
  <c r="M4" i="1"/>
  <c r="M3" i="1"/>
  <c r="T3" i="1" s="1"/>
  <c r="M2" i="1"/>
  <c r="AI18" i="1" l="1"/>
  <c r="AJ18" i="1" s="1"/>
  <c r="AK18" i="1" s="1"/>
  <c r="V13" i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21" i="1"/>
  <c r="W20" i="1" l="1"/>
  <c r="X20" i="1" s="1"/>
  <c r="W19" i="1"/>
  <c r="X19" i="1" s="1"/>
  <c r="AB19" i="1" s="1"/>
  <c r="W18" i="1"/>
  <c r="X18" i="1" s="1"/>
  <c r="AB18" i="1" s="1"/>
  <c r="W17" i="1"/>
  <c r="X17" i="1" s="1"/>
  <c r="AB17" i="1" s="1"/>
  <c r="W16" i="1"/>
  <c r="X16" i="1" s="1"/>
  <c r="W13" i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20" i="1" l="1"/>
  <c r="AC20" i="1" s="1"/>
  <c r="AA19" i="1"/>
  <c r="AC19" i="1" s="1"/>
  <c r="AA18" i="1"/>
  <c r="AC18" i="1" s="1"/>
  <c r="AA17" i="1"/>
  <c r="AC17" i="1" s="1"/>
  <c r="AA16" i="1"/>
  <c r="AC16" i="1" s="1"/>
  <c r="AA13" i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H9" i="1"/>
  <c r="AH13" i="1"/>
  <c r="AH4" i="1"/>
  <c r="AH5" i="1"/>
  <c r="AH2" i="1"/>
  <c r="AH7" i="1"/>
  <c r="AH6" i="1"/>
  <c r="AH11" i="1"/>
  <c r="AH10" i="1"/>
  <c r="AH14" i="1"/>
  <c r="AH3" i="1"/>
  <c r="AG13" i="1"/>
  <c r="AH12" i="1"/>
  <c r="AG3" i="1"/>
  <c r="AD20" i="1" l="1"/>
  <c r="AF20" i="1"/>
  <c r="AH20" i="1" s="1"/>
  <c r="AG17" i="1"/>
  <c r="AF17" i="1"/>
  <c r="AF16" i="1"/>
  <c r="AG16" i="1"/>
  <c r="AC21" i="1"/>
  <c r="AF15" i="1"/>
  <c r="AG15" i="1"/>
  <c r="AH8" i="1"/>
  <c r="AG14" i="1"/>
  <c r="AI14" i="1" s="1"/>
  <c r="AJ14" i="1" s="1"/>
  <c r="AK14" i="1" s="1"/>
  <c r="AG4" i="1"/>
  <c r="AI4" i="1" s="1"/>
  <c r="AJ4" i="1" s="1"/>
  <c r="AK4" i="1" s="1"/>
  <c r="AG7" i="1"/>
  <c r="AI7" i="1" s="1"/>
  <c r="AJ7" i="1" s="1"/>
  <c r="AK7" i="1" s="1"/>
  <c r="AG8" i="1"/>
  <c r="AG5" i="1"/>
  <c r="AI5" i="1" s="1"/>
  <c r="AJ5" i="1" s="1"/>
  <c r="AK5" i="1" s="1"/>
  <c r="AG12" i="1"/>
  <c r="AI12" i="1" s="1"/>
  <c r="AJ12" i="1" s="1"/>
  <c r="AK12" i="1" s="1"/>
  <c r="AG10" i="1"/>
  <c r="AI10" i="1" s="1"/>
  <c r="AJ10" i="1" s="1"/>
  <c r="AK10" i="1" s="1"/>
  <c r="AG2" i="1"/>
  <c r="AI2" i="1" s="1"/>
  <c r="AJ2" i="1" s="1"/>
  <c r="AK2" i="1" s="1"/>
  <c r="AG9" i="1"/>
  <c r="AI9" i="1" s="1"/>
  <c r="AJ9" i="1" s="1"/>
  <c r="AK9" i="1" s="1"/>
  <c r="AG11" i="1"/>
  <c r="AI11" i="1" s="1"/>
  <c r="AJ11" i="1" s="1"/>
  <c r="AK11" i="1" s="1"/>
  <c r="AG6" i="1"/>
  <c r="AI6" i="1" s="1"/>
  <c r="AJ6" i="1" s="1"/>
  <c r="AK6" i="1" s="1"/>
  <c r="AI3" i="1"/>
  <c r="AJ3" i="1" s="1"/>
  <c r="AK3" i="1" s="1"/>
  <c r="AI13" i="1"/>
  <c r="AJ13" i="1" s="1"/>
  <c r="AK13" i="1" s="1"/>
  <c r="AE20" i="1" l="1"/>
  <c r="AG20" i="1" s="1"/>
  <c r="AI20" i="1" s="1"/>
  <c r="AH16" i="1"/>
  <c r="AH15" i="1"/>
  <c r="AI15" i="1" s="1"/>
  <c r="AJ15" i="1" s="1"/>
  <c r="AK15" i="1" s="1"/>
  <c r="AH17" i="1"/>
  <c r="AI8" i="1"/>
  <c r="AJ8" i="1" s="1"/>
  <c r="AK8" i="1" s="1"/>
  <c r="AJ20" i="1" l="1"/>
  <c r="AK20" i="1" s="1"/>
  <c r="AI16" i="1"/>
  <c r="AJ16" i="1" s="1"/>
  <c r="AK16" i="1" s="1"/>
  <c r="AI17" i="1"/>
  <c r="AJ17" i="1" s="1"/>
  <c r="AK17" i="1" s="1"/>
  <c r="AK21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<sst xmlns="http://schemas.openxmlformats.org/spreadsheetml/2006/main" count="130" uniqueCount="74">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</sst>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3" fillId="0" borderId="0" xfId="0" applyNumberFormat="1" applyFont="1" applyAlignment="1">
      <alignment vertical="top"/>
    </xf>
  </cellXfs>
  <cellStyles count="2">
    <cellStyle name="Moeda" xfId="1" builtinId="4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24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21" totalsRowCount="1" headerRowDxfId="75" dataDxfId="74" totalsRowDxfId="73">
  <autoFilter ref="A1:AK20"/>
  <sortState ref="A2:AG8">
    <sortCondition ref="A1:A8"/>
  </sortState>
  <tableColumns count="37">
    <tableColumn id="19" name="ID" totalsRowFunction="max" dataDxfId="72" totalsRowDxfId="36"/>
    <tableColumn id="36" name="U" dataDxfId="71" totalsRowDxfId="35"/>
    <tableColumn id="2" name="ATIVO" dataDxfId="70" totalsRowDxfId="34"/>
    <tableColumn id="3" name="T" dataDxfId="69" totalsRowDxfId="33"/>
    <tableColumn id="4" name="DATA" dataDxfId="68" totalsRowDxfId="32"/>
    <tableColumn id="5" name="QTDE" dataDxfId="67" totalsRowDxfId="31"/>
    <tableColumn id="6" name="PREÇO" dataDxfId="66" totalsRowDxfId="30"/>
    <tableColumn id="7" name="[D/N]" dataDxfId="65" totalsRowDxfId="29"/>
    <tableColumn id="34" name="DATA DE LIQUIDAÇÃO" dataDxfId="41" totalsRowDxfId="28">
      <calculatedColumnFormula>WORKDAY(NC[[#This Row],[DATA]],1,0)</calculatedColumnFormula>
    </tableColumn>
    <tableColumn id="31" name="DATA BASE" dataDxfId="64" totalsRowDxfId="27">
      <calculatedColumnFormula>EOMONTH(NC[[#This Row],[DATA DE LIQUIDAÇÃO]],0)</calculatedColumnFormula>
    </tableColumn>
    <tableColumn id="21" name="PAR" dataDxfId="63" totalsRowDxfId="26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62" totalsRowDxfId="25">
      <calculatedColumnFormula>NC[QTDE]*NC[PREÇO]</calculatedColumnFormula>
    </tableColumn>
    <tableColumn id="9" name="VALOR LÍQUIDO DAS OPERAÇÕES" dataDxfId="61" totalsRowDxfId="2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60" totalsRowDxfId="23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59" totalsRowDxfId="2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58" totalsRowDxfId="2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7" totalsRowDxfId="20">
      <calculatedColumnFormula>SETUP!$E$3*SUMPRODUCT(N(NC[DATA]=NC[[#This Row],[DATA]]),N(NC[ID]&lt;=NC[[#This Row],[ID]]))</calculatedColumnFormula>
    </tableColumn>
    <tableColumn id="13" name="ISS" dataDxfId="56" totalsRowDxfId="19">
      <calculatedColumnFormula>TRUNC(NC[CORRETAGEM]*SETUP!$F$3,2)</calculatedColumnFormula>
    </tableColumn>
    <tableColumn id="15" name="OUTRAS BOVESPA" dataDxfId="55" totalsRowDxfId="18">
      <calculatedColumnFormula>ROUND(NC[CORRETAGEM]*SETUP!$G$3,2)</calculatedColumnFormula>
    </tableColumn>
    <tableColumn id="16" name="LÍQUIDO BASE" dataDxfId="54" totalsRowDxfId="17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53" totalsRowDxfId="16">
      <calculatedColumnFormula>IF(AND(NC['[D/N']]="D",    NC[T]="CV"),    ROUND(NC[LÍQUIDO BASE]*0.01, 2),    0)</calculatedColumnFormula>
    </tableColumn>
    <tableColumn id="35" name="LÍQUIDO" totalsRowDxfId="15">
      <calculatedColumnFormula>NC[LÍQUIDO BASE]-SUMPRODUCT(N(NC[DATA]=NC[[#This Row],[DATA]]),    NC[IRRF FONTE])</calculatedColumnFormula>
    </tableColumn>
    <tableColumn id="17" name="VALOR P/ OP" dataDxfId="52" totalsRowDxfId="14" dataCellStyle="Moeda">
      <calculatedColumnFormula>NC[LÍQUIDO]-SUMPRODUCT(N(NC[DATA]=NC[[#This Row],[DATA]]),N(NC[ID]=(NC[[#This Row],[ID]]-1)),NC[LÍQUIDO])</calculatedColumnFormula>
    </tableColumn>
    <tableColumn id="18" name="MEDIO P/ OP" dataDxfId="51" totalsRowDxfId="13">
      <calculatedColumnFormula>ABS(W2)/F2</calculatedColumnFormula>
    </tableColumn>
    <tableColumn id="20" name="IRRF" totalsRowFunction="sum" dataDxfId="50" totalsRowDxfId="12">
      <calculatedColumnFormula>TRUNC(IF(OR(NC[T]="CV",NC[T]="VV"),     L2*SETUP!$H$3,     0),2)</calculatedColumnFormula>
    </tableColumn>
    <tableColumn id="24" name="SALDO" dataDxfId="49" totalsRowDxfId="11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48" totalsRowDxfId="1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7" totalsRowDxfId="9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6" totalsRowDxfId="8">
      <calculatedColumnFormula>IF(AND(NC[MED CP] &gt; 0, NC[MED VD] &gt; 0), (NC[MED VD] - NC[MED CP]) * NC[QTDE], 0) + NC[IRRF FONTE]</calculatedColumnFormula>
    </tableColumn>
    <tableColumn id="1" name="LUCRO [N]" dataDxfId="40" totalsRowDxfId="7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39" totalsRowDxfId="6">
      <calculatedColumnFormula>IF(NC[U] = "U",NC[LUCRO '[N']] + SUMPRODUCT(N(MONTH(NC[DATA BASE])=MONTH(NC[[#This Row],[DATA BASE]]) - 1), NC[LUCRO '[N']]),0)</calculatedColumnFormula>
    </tableColumn>
    <tableColumn id="39" name="LUCRO TRIB. DT" dataDxfId="45" totalsRowDxfId="5">
      <calculatedColumnFormula>IF(NC[U] = "U", SUMPRODUCT(N(NC[DATA BASE]=NC[[#This Row],[DATA BASE]]), N(NC['[D/N']] = "D"),    NC[LUCRO P/ OP]), 0)</calculatedColumnFormula>
    </tableColumn>
    <tableColumn id="32" name="IR [N]" dataDxfId="44" totalsRowDxfId="4" dataCellStyle="Moeda">
      <calculatedColumnFormula>IF(NC[ TRIB. '[N']] &gt; 0,     ROUND(NC[ TRIB. '[N']]*0.15,    2),    0)</calculatedColumnFormula>
    </tableColumn>
    <tableColumn id="38" name="IR DEVIDO DT" dataDxfId="43" totalsRowDxfId="3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42" totalsRowDxfId="2" dataCellStyle="Moeda">
      <calculatedColumnFormula>NC[IR '[N']] + NC[IR DEVIDO DT]</calculatedColumnFormula>
    </tableColumn>
    <tableColumn id="26" name="RESGATE" dataDxfId="37" totalsRowDxfId="1" dataCellStyle="Moeda">
      <calculatedColumnFormula>IF(AND(NC[U] = "U",NC[IR DEVIDO] &gt; 0), NC[IR DEVIDO] + 8.9, 0)</calculatedColumnFormula>
    </tableColumn>
    <tableColumn id="27" name="LUCRO LÍQUIDO" totalsRowFunction="sum" dataDxfId="38" totalsRowDxfId="0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K22"/>
  <sheetViews>
    <sheetView tabSelected="1" workbookViewId="0">
      <pane xSplit="8" ySplit="1" topLeftCell="U2" activePane="bottomRight" state="frozen"/>
      <selection pane="topRight" activeCell="I1" sqref="I1"/>
      <selection pane="bottomLeft" activeCell="A2" sqref="A2"/>
      <selection pane="bottomRight" activeCell="U26" sqref="U26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4" style="15" bestFit="1" customWidth="1"/>
    <col min="5" max="6" width="6.85546875" style="15" bestFit="1" customWidth="1"/>
    <col min="7" max="7" width="7.7109375" style="15" bestFit="1" customWidth="1"/>
    <col min="8" max="8" width="7.140625" style="15" bestFit="1" customWidth="1"/>
    <col min="9" max="9" width="10.5703125" style="15" hidden="1" customWidth="1"/>
    <col min="10" max="10" width="10.570312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.85546875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1.7109375" style="15" bestFit="1" customWidth="1"/>
    <col min="30" max="30" width="10.140625" style="15" bestFit="1" customWidth="1"/>
    <col min="31" max="31" width="9.28515625" style="15" bestFit="1" customWidth="1"/>
    <col min="32" max="32" width="13.28515625" style="15" bestFit="1" customWidth="1"/>
    <col min="33" max="33" width="7.7109375" style="15" bestFit="1" customWidth="1"/>
    <col min="34" max="34" width="12" style="15" bestFit="1" customWidth="1"/>
    <col min="35" max="35" width="10" style="15" bestFit="1" customWidth="1"/>
    <col min="36" max="36" width="9" style="15" bestFit="1" customWidth="1"/>
    <col min="37" max="37" width="13.7109375" style="15" bestFit="1" customWidth="1"/>
    <col min="38" max="16384" width="11.5703125" style="15"/>
  </cols>
  <sheetData>
    <row r="1" spans="1:37" s="18" customFormat="1" x14ac:dyDescent="0.2">
      <c r="A1" s="18" t="s">
        <v>30</v>
      </c>
      <c r="B1" s="18" t="s">
        <v>67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71</v>
      </c>
      <c r="AE1" s="18" t="s">
        <v>72</v>
      </c>
      <c r="AF1" s="18" t="s">
        <v>65</v>
      </c>
      <c r="AG1" s="18" t="s">
        <v>73</v>
      </c>
      <c r="AH1" s="18" t="s">
        <v>61</v>
      </c>
      <c r="AI1" s="18" t="s">
        <v>63</v>
      </c>
      <c r="AJ1" s="18" t="s">
        <v>64</v>
      </c>
      <c r="AK1" s="18" t="s">
        <v>66</v>
      </c>
    </row>
    <row r="2" spans="1:37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Row],[DATA]],1,0)</f>
        <v>40981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SUMPRODUCT(N(NC[ID]&lt;=NC[[#This Row],[ID]]),N(NC[DATA BASE]=NC[[#This Row],[DATA BASE]]), N(NC['[D/N']] = "N"),    NC[LUCRO P/ OP]), 0)</f>
        <v>0</v>
      </c>
      <c r="AE2" s="23">
        <f>IF(NC[U] = "U",NC[LUCRO '[N']] + SUMPRODUCT(N(MONTH(NC[DATA BASE])=MONTH(NC[[#This Row],[DATA BASE]]) - 1), NC[LUCRO '[N']]),0)</f>
        <v>0</v>
      </c>
      <c r="AF2" s="23">
        <f>IF(NC[U] = "U", SUMPRODUCT(N(NC[DATA BASE]=NC[[#This Row],[DATA BASE]]), N(NC['[D/N']] = "D"),    NC[LUCRO P/ OP]), 0)</f>
        <v>0</v>
      </c>
      <c r="AG2" s="27">
        <f>IF(NC[ TRIB. '[N']] &gt; 0,     ROUND(NC[ TRIB. '[N']]*0.15,    2),    0)</f>
        <v>0</v>
      </c>
      <c r="AH2" s="27">
        <f>IF(NC[LUCRO TRIB. DT] &gt; 0,     ROUND(NC[LUCRO TRIB. DT]*0.2,    2)  -  SUMPRODUCT(N(NC[DATA BASE]=NC[[#This Row],[DATA BASE]]),    NC[IRRF FONTE]),    0)</f>
        <v>0</v>
      </c>
      <c r="AI2" s="27">
        <f>NC[IR '[N']] + NC[IR DEVIDO DT]</f>
        <v>0</v>
      </c>
      <c r="AJ2" s="27">
        <f>IF(AND(NC[U] = "U",NC[IR DEVIDO] &gt; 0), NC[IR DEVIDO] + 8.9, 0)</f>
        <v>0</v>
      </c>
      <c r="AK2" s="27">
        <f>NC[LUCRO '[N']]  + NC[LUCRO TRIB. DT] - NC[RESGATE]</f>
        <v>0</v>
      </c>
    </row>
    <row r="3" spans="1:37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Row],[DATA]],1,0)</f>
        <v>40981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SUMPRODUCT(N(NC[ID]&lt;=NC[[#This Row],[ID]]),N(NC[DATA BASE]=NC[[#This Row],[DATA BASE]]), N(NC['[D/N']] = "N"),    NC[LUCRO P/ OP]), 0)</f>
        <v>0</v>
      </c>
      <c r="AE3" s="23">
        <f>IF(NC[U] = "U",NC[LUCRO '[N']] + SUMPRODUCT(N(MONTH(NC[DATA BASE])=MONTH(NC[[#This Row],[DATA BASE]]) - 1), NC[LUCRO '[N']]),0)</f>
        <v>0</v>
      </c>
      <c r="AF3" s="23">
        <f>IF(NC[U] = "U", SUMPRODUCT(N(NC[DATA BASE]=NC[[#This Row],[DATA BASE]]), N(NC['[D/N']] = "D"),    NC[LUCRO P/ OP]), 0)</f>
        <v>0</v>
      </c>
      <c r="AG3" s="27">
        <f>IF(NC[ TRIB. '[N']] &gt; 0,     ROUND(NC[ TRIB. '[N']]*0.15,    2),    0)</f>
        <v>0</v>
      </c>
      <c r="AH3" s="27">
        <f>IF(NC[LUCRO TRIB. DT] &gt; 0,     ROUND(NC[LUCRO TRIB. DT]*0.2,    2)  -  SUMPRODUCT(N(NC[DATA BASE]=NC[[#This Row],[DATA BASE]]),    NC[IRRF FONTE]),    0)</f>
        <v>0</v>
      </c>
      <c r="AI3" s="27">
        <f>NC[IR '[N']] + NC[IR DEVIDO DT]</f>
        <v>0</v>
      </c>
      <c r="AJ3" s="27">
        <f>IF(AND(NC[U] = "U",NC[IR DEVIDO] &gt; 0), NC[IR DEVIDO] + 8.9, 0)</f>
        <v>0</v>
      </c>
      <c r="AK3" s="27">
        <f>NC[LUCRO '[N']]  + NC[LUCRO TRIB. DT] - NC[RESGATE]</f>
        <v>0</v>
      </c>
    </row>
    <row r="4" spans="1:37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Row],[DATA]],1,0)</f>
        <v>40982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SUMPRODUCT(N(NC[ID]&lt;=NC[[#This Row],[ID]]),N(NC[DATA BASE]=NC[[#This Row],[DATA BASE]]), N(NC['[D/N']] = "N"),    NC[LUCRO P/ OP]), 0)</f>
        <v>0</v>
      </c>
      <c r="AE4" s="23">
        <f>IF(NC[U] = "U",NC[LUCRO '[N']] + SUMPRODUCT(N(MONTH(NC[DATA BASE])=MONTH(NC[[#This Row],[DATA BASE]]) - 1), NC[LUCRO '[N']]),0)</f>
        <v>0</v>
      </c>
      <c r="AF4" s="23">
        <f>IF(NC[U] = "U", SUMPRODUCT(N(NC[DATA BASE]=NC[[#This Row],[DATA BASE]]), N(NC['[D/N']] = "D"),    NC[LUCRO P/ OP]), 0)</f>
        <v>0</v>
      </c>
      <c r="AG4" s="28">
        <f>IF(NC[ TRIB. '[N']] &gt; 0,     ROUND(NC[ TRIB. '[N']]*0.15,    2),    0)</f>
        <v>0</v>
      </c>
      <c r="AH4" s="28">
        <f>IF(NC[LUCRO TRIB. DT] &gt; 0,     ROUND(NC[LUCRO TRIB. DT]*0.2,    2)  -  SUMPRODUCT(N(NC[DATA BASE]=NC[[#This Row],[DATA BASE]]),    NC[IRRF FONTE]),    0)</f>
        <v>0</v>
      </c>
      <c r="AI4" s="27">
        <f>NC[IR '[N']] + NC[IR DEVIDO DT]</f>
        <v>0</v>
      </c>
      <c r="AJ4" s="27">
        <f>IF(AND(NC[U] = "U",NC[IR DEVIDO] &gt; 0), NC[IR DEVIDO] + 8.9, 0)</f>
        <v>0</v>
      </c>
      <c r="AK4" s="27">
        <f>NC[LUCRO '[N']]  + NC[LUCRO TRIB. DT] - NC[RESGATE]</f>
        <v>0</v>
      </c>
    </row>
    <row r="5" spans="1:37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Row],[DATA]],1,0)</f>
        <v>40982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SUMPRODUCT(N(NC[ID]&lt;=NC[[#This Row],[ID]]),N(NC[DATA BASE]=NC[[#This Row],[DATA BASE]]), N(NC['[D/N']] = "N"),    NC[LUCRO P/ OP]), 0)</f>
        <v>0</v>
      </c>
      <c r="AE5" s="23">
        <f>IF(NC[U] = "U",NC[LUCRO '[N']] + SUMPRODUCT(N(MONTH(NC[DATA BASE])=MONTH(NC[[#This Row],[DATA BASE]]) - 1), NC[LUCRO '[N']]),0)</f>
        <v>0</v>
      </c>
      <c r="AF5" s="23">
        <f>IF(NC[U] = "U", SUMPRODUCT(N(NC[DATA BASE]=NC[[#This Row],[DATA BASE]]), N(NC['[D/N']] = "D"),    NC[LUCRO P/ OP]), 0)</f>
        <v>0</v>
      </c>
      <c r="AG5" s="28">
        <f>IF(NC[ TRIB. '[N']] &gt; 0,     ROUND(NC[ TRIB. '[N']]*0.15,    2),    0)</f>
        <v>0</v>
      </c>
      <c r="AH5" s="28">
        <f>IF(NC[LUCRO TRIB. DT] &gt; 0,     ROUND(NC[LUCRO TRIB. DT]*0.2,    2)  -  SUMPRODUCT(N(NC[DATA BASE]=NC[[#This Row],[DATA BASE]]),    NC[IRRF FONTE]),    0)</f>
        <v>0</v>
      </c>
      <c r="AI5" s="27">
        <f>NC[IR '[N']] + NC[IR DEVIDO DT]</f>
        <v>0</v>
      </c>
      <c r="AJ5" s="27">
        <f>IF(AND(NC[U] = "U",NC[IR DEVIDO] &gt; 0), NC[IR DEVIDO] + 8.9, 0)</f>
        <v>0</v>
      </c>
      <c r="AK5" s="27">
        <f>NC[LUCRO '[N']]  + NC[LUCRO TRIB. DT] - NC[RESGATE]</f>
        <v>0</v>
      </c>
    </row>
    <row r="6" spans="1:37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Row],[DATA]],1,0)</f>
        <v>40982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SUMPRODUCT(N(NC[ID]&lt;=NC[[#This Row],[ID]]),N(NC[DATA BASE]=NC[[#This Row],[DATA BASE]]), N(NC['[D/N']] = "N"),    NC[LUCRO P/ OP]), 0)</f>
        <v>0</v>
      </c>
      <c r="AE6" s="23">
        <f>IF(NC[U] = "U",NC[LUCRO '[N']] + SUMPRODUCT(N(MONTH(NC[DATA BASE])=MONTH(NC[[#This Row],[DATA BASE]]) - 1), NC[LUCRO '[N']]),0)</f>
        <v>0</v>
      </c>
      <c r="AF6" s="23">
        <f>IF(NC[U] = "U", SUMPRODUCT(N(NC[DATA BASE]=NC[[#This Row],[DATA BASE]]), N(NC['[D/N']] = "D"),    NC[LUCRO P/ OP]), 0)</f>
        <v>0</v>
      </c>
      <c r="AG6" s="28">
        <f>IF(NC[ TRIB. '[N']] &gt; 0,     ROUND(NC[ TRIB. '[N']]*0.15,    2),    0)</f>
        <v>0</v>
      </c>
      <c r="AH6" s="28">
        <f>IF(NC[LUCRO TRIB. DT] &gt; 0,     ROUND(NC[LUCRO TRIB. DT]*0.2,    2)  -  SUMPRODUCT(N(NC[DATA BASE]=NC[[#This Row],[DATA BASE]]),    NC[IRRF FONTE]),    0)</f>
        <v>0</v>
      </c>
      <c r="AI6" s="27">
        <f>NC[IR '[N']] + NC[IR DEVIDO DT]</f>
        <v>0</v>
      </c>
      <c r="AJ6" s="27">
        <f>IF(AND(NC[U] = "U",NC[IR DEVIDO] &gt; 0), NC[IR DEVIDO] + 8.9, 0)</f>
        <v>0</v>
      </c>
      <c r="AK6" s="27">
        <f>NC[LUCRO '[N']]  + NC[LUCRO TRIB. DT] - NC[RESGATE]</f>
        <v>0</v>
      </c>
    </row>
    <row r="7" spans="1:37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Row],[DATA]],1,0)</f>
        <v>40982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SUMPRODUCT(N(NC[ID]&lt;=NC[[#This Row],[ID]]),N(NC[DATA BASE]=NC[[#This Row],[DATA BASE]]), N(NC['[D/N']] = "N"),    NC[LUCRO P/ OP]), 0)</f>
        <v>0</v>
      </c>
      <c r="AE7" s="23">
        <f>IF(NC[U] = "U",NC[LUCRO '[N']] + SUMPRODUCT(N(MONTH(NC[DATA BASE])=MONTH(NC[[#This Row],[DATA BASE]]) - 1), NC[LUCRO '[N']]),0)</f>
        <v>0</v>
      </c>
      <c r="AF7" s="23">
        <f>IF(NC[U] = "U", SUMPRODUCT(N(NC[DATA BASE]=NC[[#This Row],[DATA BASE]]), N(NC['[D/N']] = "D"),    NC[LUCRO P/ OP]), 0)</f>
        <v>0</v>
      </c>
      <c r="AG7" s="28">
        <f>IF(NC[ TRIB. '[N']] &gt; 0,     ROUND(NC[ TRIB. '[N']]*0.15,    2),    0)</f>
        <v>0</v>
      </c>
      <c r="AH7" s="28">
        <f>IF(NC[LUCRO TRIB. DT] &gt; 0,     ROUND(NC[LUCRO TRIB. DT]*0.2,    2)  -  SUMPRODUCT(N(NC[DATA BASE]=NC[[#This Row],[DATA BASE]]),    NC[IRRF FONTE]),    0)</f>
        <v>0</v>
      </c>
      <c r="AI7" s="27">
        <f>NC[IR '[N']] + NC[IR DEVIDO DT]</f>
        <v>0</v>
      </c>
      <c r="AJ7" s="27">
        <f>IF(AND(NC[U] = "U",NC[IR DEVIDO] &gt; 0), NC[IR DEVIDO] + 8.9, 0)</f>
        <v>0</v>
      </c>
      <c r="AK7" s="27">
        <f>NC[LUCRO '[N']]  + NC[LUCRO TRIB. DT] - NC[RESGATE]</f>
        <v>0</v>
      </c>
    </row>
    <row r="8" spans="1:37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Row],[DATA]],1,0)</f>
        <v>40982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SUMPRODUCT(N(NC[ID]&lt;=NC[[#This Row],[ID]]),N(NC[DATA BASE]=NC[[#This Row],[DATA BASE]]), N(NC['[D/N']] = "N"),    NC[LUCRO P/ OP]), 0)</f>
        <v>0</v>
      </c>
      <c r="AE8" s="23">
        <f>IF(NC[U] = "U",NC[LUCRO '[N']] + SUMPRODUCT(N(MONTH(NC[DATA BASE])=MONTH(NC[[#This Row],[DATA BASE]]) - 1), NC[LUCRO '[N']]),0)</f>
        <v>0</v>
      </c>
      <c r="AF8" s="23">
        <f>IF(NC[U] = "U", SUMPRODUCT(N(NC[DATA BASE]=NC[[#This Row],[DATA BASE]]), N(NC['[D/N']] = "D"),    NC[LUCRO P/ OP]), 0)</f>
        <v>0</v>
      </c>
      <c r="AG8" s="28">
        <f>IF(NC[ TRIB. '[N']] &gt; 0,     ROUND(NC[ TRIB. '[N']]*0.15,    2),    0)</f>
        <v>0</v>
      </c>
      <c r="AH8" s="28">
        <f>IF(NC[LUCRO TRIB. DT] &gt; 0,     ROUND(NC[LUCRO TRIB. DT]*0.2,    2)  -  SUMPRODUCT(N(NC[DATA BASE]=NC[[#This Row],[DATA BASE]]),    NC[IRRF FONTE]),    0)</f>
        <v>0</v>
      </c>
      <c r="AI8" s="27">
        <f>NC[IR '[N']] + NC[IR DEVIDO DT]</f>
        <v>0</v>
      </c>
      <c r="AJ8" s="27">
        <f>IF(AND(NC[U] = "U",NC[IR DEVIDO] &gt; 0), NC[IR DEVIDO] + 8.9, 0)</f>
        <v>0</v>
      </c>
      <c r="AK8" s="27">
        <f>NC[LUCRO '[N']]  + NC[LUCRO TRIB. DT] - NC[RESGATE]</f>
        <v>0</v>
      </c>
    </row>
    <row r="9" spans="1:37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Row],[DATA]],1,0)</f>
        <v>40983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SUMPRODUCT(N(NC[ID]&lt;=NC[[#This Row],[ID]]),N(NC[DATA BASE]=NC[[#This Row],[DATA BASE]]), N(NC['[D/N']] = "N"),    NC[LUCRO P/ OP]), 0)</f>
        <v>0</v>
      </c>
      <c r="AE9" s="23">
        <f>IF(NC[U] = "U",NC[LUCRO '[N']] + SUMPRODUCT(N(MONTH(NC[DATA BASE])=MONTH(NC[[#This Row],[DATA BASE]]) - 1), NC[LUCRO '[N']]),0)</f>
        <v>0</v>
      </c>
      <c r="AF9" s="23">
        <f>IF(NC[U] = "U", SUMPRODUCT(N(NC[DATA BASE]=NC[[#This Row],[DATA BASE]]), N(NC['[D/N']] = "D"),    NC[LUCRO P/ OP]), 0)</f>
        <v>0</v>
      </c>
      <c r="AG9" s="28">
        <f>IF(NC[ TRIB. '[N']] &gt; 0,     ROUND(NC[ TRIB. '[N']]*0.15,    2),    0)</f>
        <v>0</v>
      </c>
      <c r="AH9" s="27">
        <f>IF(NC[LUCRO TRIB. DT] &gt; 0,     ROUND(NC[LUCRO TRIB. DT]*0.2,    2)  -  SUMPRODUCT(N(NC[DATA BASE]=NC[[#This Row],[DATA BASE]]),    NC[IRRF FONTE]),    0)</f>
        <v>0</v>
      </c>
      <c r="AI9" s="27">
        <f>NC[IR '[N']] + NC[IR DEVIDO DT]</f>
        <v>0</v>
      </c>
      <c r="AJ9" s="27">
        <f>IF(AND(NC[U] = "U",NC[IR DEVIDO] &gt; 0), NC[IR DEVIDO] + 8.9, 0)</f>
        <v>0</v>
      </c>
      <c r="AK9" s="27">
        <f>NC[LUCRO '[N']]  + NC[LUCRO TRIB. DT] - NC[RESGATE]</f>
        <v>0</v>
      </c>
    </row>
    <row r="10" spans="1:37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Row],[DATA]],1,0)</f>
        <v>40983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SUMPRODUCT(N(NC[ID]&lt;=NC[[#This Row],[ID]]),N(NC[DATA BASE]=NC[[#This Row],[DATA BASE]]), N(NC['[D/N']] = "N"),    NC[LUCRO P/ OP]), 0)</f>
        <v>0</v>
      </c>
      <c r="AE10" s="23">
        <f>IF(NC[U] = "U",NC[LUCRO '[N']] + SUMPRODUCT(N(MONTH(NC[DATA BASE])=MONTH(NC[[#This Row],[DATA BASE]]) - 1), NC[LUCRO '[N']]),0)</f>
        <v>0</v>
      </c>
      <c r="AF10" s="23">
        <f>IF(NC[U] = "U", SUMPRODUCT(N(NC[DATA BASE]=NC[[#This Row],[DATA BASE]]), N(NC['[D/N']] = "D"),    NC[LUCRO P/ OP]), 0)</f>
        <v>0</v>
      </c>
      <c r="AG10" s="28">
        <f>IF(NC[ TRIB. '[N']] &gt; 0,     ROUND(NC[ TRIB. '[N']]*0.15,    2),    0)</f>
        <v>0</v>
      </c>
      <c r="AH10" s="27">
        <f>IF(NC[LUCRO TRIB. DT] &gt; 0,     ROUND(NC[LUCRO TRIB. DT]*0.2,    2)  -  SUMPRODUCT(N(NC[DATA BASE]=NC[[#This Row],[DATA BASE]]),    NC[IRRF FONTE]),    0)</f>
        <v>0</v>
      </c>
      <c r="AI10" s="27">
        <f>NC[IR '[N']] + NC[IR DEVIDO DT]</f>
        <v>0</v>
      </c>
      <c r="AJ10" s="27">
        <f>IF(AND(NC[U] = "U",NC[IR DEVIDO] &gt; 0), NC[IR DEVIDO] + 8.9, 0)</f>
        <v>0</v>
      </c>
      <c r="AK10" s="27">
        <f>NC[LUCRO '[N']]  + NC[LUCRO TRIB. DT] - NC[RESGATE]</f>
        <v>0</v>
      </c>
    </row>
    <row r="11" spans="1:37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Row],[DATA]],1,0)</f>
        <v>40983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SUMPRODUCT(N(NC[ID]&lt;=NC[[#This Row],[ID]]),N(NC[DATA BASE]=NC[[#This Row],[DATA BASE]]), N(NC['[D/N']] = "N"),    NC[LUCRO P/ OP]), 0)</f>
        <v>0</v>
      </c>
      <c r="AE11" s="23">
        <f>IF(NC[U] = "U",NC[LUCRO '[N']] + SUMPRODUCT(N(MONTH(NC[DATA BASE])=MONTH(NC[[#This Row],[DATA BASE]]) - 1), NC[LUCRO '[N']]),0)</f>
        <v>0</v>
      </c>
      <c r="AF11" s="23">
        <f>IF(NC[U] = "U", SUMPRODUCT(N(NC[DATA BASE]=NC[[#This Row],[DATA BASE]]), N(NC['[D/N']] = "D"),    NC[LUCRO P/ OP]), 0)</f>
        <v>0</v>
      </c>
      <c r="AG11" s="27">
        <f>IF(NC[ TRIB. '[N']] &gt; 0,     ROUND(NC[ TRIB. '[N']]*0.15,    2),    0)</f>
        <v>0</v>
      </c>
      <c r="AH11" s="27">
        <f>IF(NC[LUCRO TRIB. DT] &gt; 0,     ROUND(NC[LUCRO TRIB. DT]*0.2,    2)  -  SUMPRODUCT(N(NC[DATA BASE]=NC[[#This Row],[DATA BASE]]),    NC[IRRF FONTE]),    0)</f>
        <v>0</v>
      </c>
      <c r="AI11" s="27">
        <f>NC[IR '[N']] + NC[IR DEVIDO DT]</f>
        <v>0</v>
      </c>
      <c r="AJ11" s="27">
        <f>IF(AND(NC[U] = "U",NC[IR DEVIDO] &gt; 0), NC[IR DEVIDO] + 8.9, 0)</f>
        <v>0</v>
      </c>
      <c r="AK11" s="27">
        <f>NC[LUCRO '[N']]  + NC[LUCRO TRIB. DT] - NC[RESGATE]</f>
        <v>0</v>
      </c>
    </row>
    <row r="12" spans="1:37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Row],[DATA]],1,0)</f>
        <v>40984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SUMPRODUCT(N(NC[ID]&lt;=NC[[#This Row],[ID]]),N(NC[DATA BASE]=NC[[#This Row],[DATA BASE]]), N(NC['[D/N']] = "N"),    NC[LUCRO P/ OP]), 0)</f>
        <v>0</v>
      </c>
      <c r="AE12" s="23">
        <f>IF(NC[U] = "U",NC[LUCRO '[N']] + SUMPRODUCT(N(MONTH(NC[DATA BASE])=MONTH(NC[[#This Row],[DATA BASE]]) - 1), NC[LUCRO '[N']]),0)</f>
        <v>0</v>
      </c>
      <c r="AF12" s="23">
        <f>IF(NC[U] = "U", SUMPRODUCT(N(NC[DATA BASE]=NC[[#This Row],[DATA BASE]]), N(NC['[D/N']] = "D"),    NC[LUCRO P/ OP]), 0)</f>
        <v>0</v>
      </c>
      <c r="AG12" s="28">
        <f>IF(NC[ TRIB. '[N']] &gt; 0,     ROUND(NC[ TRIB. '[N']]*0.15,    2),    0)</f>
        <v>0</v>
      </c>
      <c r="AH12" s="28">
        <f>IF(NC[LUCRO TRIB. DT] &gt; 0,     ROUND(NC[LUCRO TRIB. DT]*0.2,    2)  -  SUMPRODUCT(N(NC[DATA BASE]=NC[[#This Row],[DATA BASE]]),    NC[IRRF FONTE]),    0)</f>
        <v>0</v>
      </c>
      <c r="AI12" s="27">
        <f>NC[IR '[N']] + NC[IR DEVIDO DT]</f>
        <v>0</v>
      </c>
      <c r="AJ12" s="27">
        <f>IF(AND(NC[U] = "U",NC[IR DEVIDO] &gt; 0), NC[IR DEVIDO] + 8.9, 0)</f>
        <v>0</v>
      </c>
      <c r="AK12" s="27">
        <f>NC[LUCRO '[N']]  + NC[LUCRO TRIB. DT] - NC[RESGATE]</f>
        <v>0</v>
      </c>
    </row>
    <row r="13" spans="1:37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Row],[DATA]],1,0)</f>
        <v>40987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SUMPRODUCT(N(NC[ID]&lt;=NC[[#This Row],[ID]]),N(NC[DATA BASE]=NC[[#This Row],[DATA BASE]]), N(NC['[D/N']] = "N"),    NC[LUCRO P/ OP]), 0)</f>
        <v>0</v>
      </c>
      <c r="AE13" s="23">
        <f>IF(NC[U] = "U",NC[LUCRO '[N']] + SUMPRODUCT(N(MONTH(NC[DATA BASE])=MONTH(NC[[#This Row],[DATA BASE]]) - 1), NC[LUCRO '[N']]),0)</f>
        <v>0</v>
      </c>
      <c r="AF13" s="23">
        <f>IF(NC[U] = "U", SUMPRODUCT(N(NC[DATA BASE]=NC[[#This Row],[DATA BASE]]), N(NC['[D/N']] = "D"),    NC[LUCRO P/ OP]), 0)</f>
        <v>0</v>
      </c>
      <c r="AG13" s="28">
        <f>IF(NC[ TRIB. '[N']] &gt; 0,     ROUND(NC[ TRIB. '[N']]*0.15,    2),    0)</f>
        <v>0</v>
      </c>
      <c r="AH13" s="28">
        <f>IF(NC[LUCRO TRIB. DT] &gt; 0,     ROUND(NC[LUCRO TRIB. DT]*0.2,    2)  -  SUMPRODUCT(N(NC[DATA BASE]=NC[[#This Row],[DATA BASE]]),    NC[IRRF FONTE]),    0)</f>
        <v>0</v>
      </c>
      <c r="AI13" s="27">
        <f>NC[IR '[N']] + NC[IR DEVIDO DT]</f>
        <v>0</v>
      </c>
      <c r="AJ13" s="27">
        <f>IF(AND(NC[U] = "U",NC[IR DEVIDO] &gt; 0), NC[IR DEVIDO] + 8.9, 0)</f>
        <v>0</v>
      </c>
      <c r="AK13" s="27">
        <f>NC[LUCRO '[N']]  + NC[LUCRO TRIB. DT] - NC[RESGATE]</f>
        <v>0</v>
      </c>
    </row>
    <row r="14" spans="1:37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Row],[DATA]],1,0)</f>
        <v>40987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SUMPRODUCT(N(NC[ID]&lt;=NC[[#This Row],[ID]]),N(NC[DATA BASE]=NC[[#This Row],[DATA BASE]]), N(NC['[D/N']] = "N"),    NC[LUCRO P/ OP]), 0)</f>
        <v>0</v>
      </c>
      <c r="AE14" s="23">
        <f>IF(NC[U] = "U",NC[LUCRO '[N']] + SUMPRODUCT(N(MONTH(NC[DATA BASE])=MONTH(NC[[#This Row],[DATA BASE]]) - 1), NC[LUCRO '[N']]),0)</f>
        <v>0</v>
      </c>
      <c r="AF14" s="23">
        <f>IF(NC[U] = "U", SUMPRODUCT(N(NC[DATA BASE]=NC[[#This Row],[DATA BASE]]), N(NC['[D/N']] = "D"),    NC[LUCRO P/ OP]), 0)</f>
        <v>0</v>
      </c>
      <c r="AG14" s="28">
        <f>IF(NC[ TRIB. '[N']] &gt; 0,     ROUND(NC[ TRIB. '[N']]*0.15,    2),    0)</f>
        <v>0</v>
      </c>
      <c r="AH14" s="28">
        <f>IF(NC[LUCRO TRIB. DT] &gt; 0,     ROUND(NC[LUCRO TRIB. DT]*0.2,    2)  -  SUMPRODUCT(N(NC[DATA BASE]=NC[[#This Row],[DATA BASE]]),    NC[IRRF FONTE]),    0)</f>
        <v>0</v>
      </c>
      <c r="AI14" s="27">
        <f>NC[IR '[N']] + NC[IR DEVIDO DT]</f>
        <v>0</v>
      </c>
      <c r="AJ14" s="27">
        <f>IF(AND(NC[U] = "U",NC[IR DEVIDO] &gt; 0), NC[IR DEVIDO] + 8.9, 0)</f>
        <v>0</v>
      </c>
      <c r="AK14" s="27">
        <f>NC[LUCRO '[N']]  + NC[LUCRO TRIB. DT] - NC[RESGATE]</f>
        <v>0</v>
      </c>
    </row>
    <row r="15" spans="1:37" x14ac:dyDescent="0.2">
      <c r="A15" s="21">
        <v>14</v>
      </c>
      <c r="B15" s="21"/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Row],[DATA]],1,0)</f>
        <v>40987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SUMPRODUCT(N(NC[ID]&lt;=NC[[#This Row],[ID]]),N(NC[DATA BASE]=NC[[#This Row],[DATA BASE]]), N(NC['[D/N']] = "N"),    NC[LUCRO P/ OP]), 0)</f>
        <v>0</v>
      </c>
      <c r="AE15" s="23">
        <f>IF(NC[U] = "U",NC[LUCRO '[N']] + SUMPRODUCT(N(MONTH(NC[DATA BASE])=MONTH(NC[[#This Row],[DATA BASE]]) - 1), NC[LUCRO '[N']]),0)</f>
        <v>0</v>
      </c>
      <c r="AF15" s="23">
        <f>IF(NC[U] = "U", SUMPRODUCT(N(NC[DATA BASE]=NC[[#This Row],[DATA BASE]]), N(NC['[D/N']] = "D"),    NC[LUCRO P/ OP]), 0)</f>
        <v>0</v>
      </c>
      <c r="AG15" s="28">
        <f>IF(NC[ TRIB. '[N']] &gt; 0,     ROUND(NC[ TRIB. '[N']]*0.15,    2),    0)</f>
        <v>0</v>
      </c>
      <c r="AH15" s="28">
        <f>IF(NC[LUCRO TRIB. DT] &gt; 0,     ROUND(NC[LUCRO TRIB. DT]*0.2,    2)  -  SUMPRODUCT(N(NC[DATA BASE]=NC[[#This Row],[DATA BASE]]),    NC[IRRF FONTE]),    0)</f>
        <v>0</v>
      </c>
      <c r="AI15" s="27">
        <f>NC[IR '[N']] + NC[IR DEVIDO DT]</f>
        <v>0</v>
      </c>
      <c r="AJ15" s="27">
        <f>IF(AND(NC[U] = "U",NC[IR DEVIDO] &gt; 0), NC[IR DEVIDO] + 8.9, 0)</f>
        <v>0</v>
      </c>
      <c r="AK15" s="27">
        <f>NC[LUCRO '[N']]  + NC[LUCRO TRIB. DT] - NC[RESGATE]</f>
        <v>0</v>
      </c>
    </row>
    <row r="16" spans="1:37" x14ac:dyDescent="0.2">
      <c r="A16" s="21">
        <v>15</v>
      </c>
      <c r="B16" s="21"/>
      <c r="C16" s="21" t="s">
        <v>68</v>
      </c>
      <c r="D16" s="21" t="s">
        <v>38</v>
      </c>
      <c r="E16" s="22">
        <v>40990</v>
      </c>
      <c r="F16" s="21">
        <v>700</v>
      </c>
      <c r="G16" s="23">
        <v>0.6</v>
      </c>
      <c r="H16" s="21" t="s">
        <v>7</v>
      </c>
      <c r="I16" s="22">
        <f>WORKDAY(NC[[#This Row],[DATA]],1,0)</f>
        <v>40991</v>
      </c>
      <c r="J16" s="30">
        <f>EOMONTH(NC[[#This Row],[DATA DE LIQUIDAÇÃO]],0)</f>
        <v>40999</v>
      </c>
      <c r="K1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23">
        <f>NC[QTDE]*NC[PREÇO]</f>
        <v>420</v>
      </c>
      <c r="M1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1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23">
        <f>SETUP!$E$3*SUMPRODUCT(N(NC[DATA]=NC[[#This Row],[DATA]]),N(NC[ID]&lt;=NC[[#This Row],[ID]]))</f>
        <v>14.9</v>
      </c>
      <c r="R16" s="23">
        <f>TRUNC(NC[CORRETAGEM]*SETUP!$F$3,2)</f>
        <v>0.28999999999999998</v>
      </c>
      <c r="S16" s="23">
        <f>ROUND(NC[CORRETAGEM]*SETUP!$G$3,2)</f>
        <v>0.57999999999999996</v>
      </c>
      <c r="T16" s="23">
        <f>NC[VALOR LÍQUIDO DAS OPERAÇÕES]-NC[TAXA DE LIQUIDAÇÃO]-NC[EMOLUMENTOS]-NC[TAXA DE REGISTRO]-NC[CORRETAGEM]-NC[ISS]-IF(NC['[D/N']]="D",    0,    NC[OUTRAS BOVESPA])</f>
        <v>-436.32</v>
      </c>
      <c r="U16" s="23">
        <f>IF(AND(NC['[D/N']]="D",    NC[T]="CV"),    ROUND(NC[LÍQUIDO BASE]*0.01, 2),    0)</f>
        <v>0</v>
      </c>
      <c r="V16" s="23">
        <f>NC[LÍQUIDO BASE]-SUMPRODUCT(N(NC[DATA]=NC[[#This Row],[DATA]]),    NC[IRRF FONTE])</f>
        <v>-436.32</v>
      </c>
      <c r="W16" s="28">
        <f>NC[LÍQUIDO]-SUMPRODUCT(N(NC[DATA]=NC[[#This Row],[DATA]]),N(NC[ID]=(NC[[#This Row],[ID]]-1)),NC[LÍQUIDO])</f>
        <v>-436.32</v>
      </c>
      <c r="X16" s="23">
        <f>ABS(W16)/F16</f>
        <v>0.62331428571428571</v>
      </c>
      <c r="Y16" s="23">
        <f>TRUNC(IF(OR(NC[T]="CV",NC[T]="VV"),     L16*SETUP!$H$3,     0),2)</f>
        <v>0</v>
      </c>
      <c r="Z1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23">
        <f>IF(AND(NC[MED CP] &gt; 0, NC[MED VD] &gt; 0), (NC[MED VD] - NC[MED CP]) * NC[QTDE], 0) + NC[IRRF FONTE]</f>
        <v>0</v>
      </c>
      <c r="AD16" s="23">
        <f>IF(NC[U] = "U", SUMPRODUCT(N(NC[ID]&lt;=NC[[#This Row],[ID]]),N(NC[DATA BASE]=NC[[#This Row],[DATA BASE]]), N(NC['[D/N']] = "N"),    NC[LUCRO P/ OP]), 0)</f>
        <v>0</v>
      </c>
      <c r="AE16" s="23">
        <f>IF(NC[U] = "U",NC[LUCRO '[N']] + SUMPRODUCT(N(MONTH(NC[DATA BASE])=MONTH(NC[[#This Row],[DATA BASE]]) - 1), NC[LUCRO '[N']]),0)</f>
        <v>0</v>
      </c>
      <c r="AF16" s="23">
        <f>IF(NC[U] = "U", SUMPRODUCT(N(NC[DATA BASE]=NC[[#This Row],[DATA BASE]]), N(NC['[D/N']] = "D"),    NC[LUCRO P/ OP]), 0)</f>
        <v>0</v>
      </c>
      <c r="AG16" s="28">
        <f>IF(NC[ TRIB. '[N']] &gt; 0,     ROUND(NC[ TRIB. '[N']]*0.15,    2),    0)</f>
        <v>0</v>
      </c>
      <c r="AH16" s="28">
        <f>IF(NC[LUCRO TRIB. DT] &gt; 0,     ROUND(NC[LUCRO TRIB. DT]*0.2,    2)  -  SUMPRODUCT(N(NC[DATA BASE]=NC[[#This Row],[DATA BASE]]),    NC[IRRF FONTE]),    0)</f>
        <v>0</v>
      </c>
      <c r="AI16" s="27">
        <f>NC[IR '[N']] + NC[IR DEVIDO DT]</f>
        <v>0</v>
      </c>
      <c r="AJ16" s="28">
        <f>IF(AND(NC[U] = "U",NC[IR DEVIDO] &gt; 0), NC[IR DEVIDO] + 8.9, 0)</f>
        <v>0</v>
      </c>
      <c r="AK16" s="27">
        <f>NC[LUCRO '[N']]  + NC[LUCRO TRIB. DT] - NC[RESGATE]</f>
        <v>0</v>
      </c>
    </row>
    <row r="17" spans="1:37" x14ac:dyDescent="0.2">
      <c r="A17" s="21">
        <v>16</v>
      </c>
      <c r="B17" s="21"/>
      <c r="C17" s="21" t="s">
        <v>69</v>
      </c>
      <c r="D17" s="21" t="s">
        <v>38</v>
      </c>
      <c r="E17" s="22">
        <v>40991</v>
      </c>
      <c r="F17" s="21">
        <v>1700</v>
      </c>
      <c r="G17" s="23">
        <v>0.26</v>
      </c>
      <c r="H17" s="21" t="s">
        <v>7</v>
      </c>
      <c r="I17" s="22">
        <f>WORKDAY(NC[[#This Row],[DATA]],1,0)</f>
        <v>40994</v>
      </c>
      <c r="J17" s="30">
        <f>EOMONTH(NC[[#This Row],[DATA DE LIQUIDAÇÃO]],0)</f>
        <v>40999</v>
      </c>
      <c r="K1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7" s="23">
        <f>NC[QTDE]*NC[PREÇO]</f>
        <v>442</v>
      </c>
      <c r="M1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1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23">
        <f>SETUP!$E$3*SUMPRODUCT(N(NC[DATA]=NC[[#This Row],[DATA]]),N(NC[ID]&lt;=NC[[#This Row],[ID]]))</f>
        <v>14.9</v>
      </c>
      <c r="R17" s="23">
        <f>TRUNC(NC[CORRETAGEM]*SETUP!$F$3,2)</f>
        <v>0.28999999999999998</v>
      </c>
      <c r="S17" s="23">
        <f>ROUND(NC[CORRETAGEM]*SETUP!$G$3,2)</f>
        <v>0.57999999999999996</v>
      </c>
      <c r="T17" s="23">
        <f>NC[VALOR LÍQUIDO DAS OPERAÇÕES]-NC[TAXA DE LIQUIDAÇÃO]-NC[EMOLUMENTOS]-NC[TAXA DE REGISTRO]-NC[CORRETAGEM]-NC[ISS]-IF(NC['[D/N']]="D",    0,    NC[OUTRAS BOVESPA])</f>
        <v>-458.35</v>
      </c>
      <c r="U17" s="23">
        <f>IF(AND(NC['[D/N']]="D",    NC[T]="CV"),    ROUND(NC[LÍQUIDO BASE]*0.01, 2),    0)</f>
        <v>0</v>
      </c>
      <c r="V17" s="23">
        <f>NC[LÍQUIDO BASE]-SUMPRODUCT(N(NC[DATA]=NC[[#This Row],[DATA]]),    NC[IRRF FONTE])</f>
        <v>-458.35</v>
      </c>
      <c r="W17" s="28">
        <f>NC[LÍQUIDO]-SUMPRODUCT(N(NC[DATA]=NC[[#This Row],[DATA]]),N(NC[ID]=(NC[[#This Row],[ID]]-1)),NC[LÍQUIDO])</f>
        <v>-458.35</v>
      </c>
      <c r="X17" s="23">
        <f>ABS(W17)/F17</f>
        <v>0.26961764705882352</v>
      </c>
      <c r="Y17" s="23">
        <f>TRUNC(IF(OR(NC[T]="CV",NC[T]="VV"),     L17*SETUP!$H$3,     0),2)</f>
        <v>0</v>
      </c>
      <c r="Z1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23">
        <f>IF(AND(NC[MED CP] &gt; 0, NC[MED VD] &gt; 0), (NC[MED VD] - NC[MED CP]) * NC[QTDE], 0) + NC[IRRF FONTE]</f>
        <v>0</v>
      </c>
      <c r="AD17" s="23">
        <f>IF(NC[U] = "U", SUMPRODUCT(N(NC[ID]&lt;=NC[[#This Row],[ID]]),N(NC[DATA BASE]=NC[[#This Row],[DATA BASE]]), N(NC['[D/N']] = "N"),    NC[LUCRO P/ OP]), 0)</f>
        <v>0</v>
      </c>
      <c r="AE17" s="23">
        <f>IF(NC[U] = "U",NC[LUCRO '[N']] + SUMPRODUCT(N(MONTH(NC[DATA BASE])=MONTH(NC[[#This Row],[DATA BASE]]) - 1), NC[LUCRO '[N']]),0)</f>
        <v>0</v>
      </c>
      <c r="AF17" s="23">
        <f>IF(NC[U] = "U", SUMPRODUCT(N(NC[DATA BASE]=NC[[#This Row],[DATA BASE]]), N(NC['[D/N']] = "D"),    NC[LUCRO P/ OP]), 0)</f>
        <v>0</v>
      </c>
      <c r="AG17" s="28">
        <f>IF(NC[ TRIB. '[N']] &gt; 0,     ROUND(NC[ TRIB. '[N']]*0.15,    2),    0)</f>
        <v>0</v>
      </c>
      <c r="AH17" s="28">
        <f>IF(NC[LUCRO TRIB. DT] &gt; 0,     ROUND(NC[LUCRO TRIB. DT]*0.2,    2)  -  SUMPRODUCT(N(NC[DATA BASE]=NC[[#This Row],[DATA BASE]]),    NC[IRRF FONTE]),    0)</f>
        <v>0</v>
      </c>
      <c r="AI17" s="27">
        <f>NC[IR '[N']] + NC[IR DEVIDO DT]</f>
        <v>0</v>
      </c>
      <c r="AJ17" s="28">
        <f>IF(AND(NC[U] = "U",NC[IR DEVIDO] &gt; 0), NC[IR DEVIDO] + 8.9, 0)</f>
        <v>0</v>
      </c>
      <c r="AK17" s="27">
        <f>NC[LUCRO '[N']]  + NC[LUCRO TRIB. DT] - NC[RESGATE]</f>
        <v>0</v>
      </c>
    </row>
    <row r="18" spans="1:37" x14ac:dyDescent="0.2">
      <c r="A18" s="21">
        <v>17</v>
      </c>
      <c r="B18" s="21"/>
      <c r="C18" s="21" t="s">
        <v>68</v>
      </c>
      <c r="D18" s="21" t="s">
        <v>39</v>
      </c>
      <c r="E18" s="22">
        <v>40994</v>
      </c>
      <c r="F18" s="21">
        <v>700</v>
      </c>
      <c r="G18" s="23">
        <v>0.17</v>
      </c>
      <c r="H18" s="21" t="s">
        <v>7</v>
      </c>
      <c r="I18" s="22">
        <f>WORKDAY(NC[[#This Row],[DATA]],1,0)</f>
        <v>40995</v>
      </c>
      <c r="J18" s="30">
        <f>EOMONTH(NC[[#This Row],[DATA DE LIQUIDAÇÃO]],0)</f>
        <v>40999</v>
      </c>
      <c r="K1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23">
        <f>NC[QTDE]*NC[PREÇO]</f>
        <v>119.00000000000001</v>
      </c>
      <c r="M1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23">
        <f>SETUP!$E$3*SUMPRODUCT(N(NC[DATA]=NC[[#This Row],[DATA]]),N(NC[ID]&lt;=NC[[#This Row],[ID]]))</f>
        <v>14.9</v>
      </c>
      <c r="R18" s="23">
        <f>TRUNC(NC[CORRETAGEM]*SETUP!$F$3,2)</f>
        <v>0.28999999999999998</v>
      </c>
      <c r="S18" s="23">
        <f>ROUND(NC[CORRETAGEM]*SETUP!$G$3,2)</f>
        <v>0.57999999999999996</v>
      </c>
      <c r="T18" s="23">
        <f>NC[VALOR LÍQUIDO DAS OPERAÇÕES]-NC[TAXA DE LIQUIDAÇÃO]-NC[EMOLUMENTOS]-NC[TAXA DE REGISTRO]-NC[CORRETAGEM]-NC[ISS]-IF(NC['[D/N']]="D",    0,    NC[OUTRAS BOVESPA])</f>
        <v>103.08</v>
      </c>
      <c r="U18" s="23">
        <f>IF(AND(NC['[D/N']]="D",    NC[T]="CV"),    ROUND(NC[LÍQUIDO BASE]*0.01, 2),    0)</f>
        <v>0</v>
      </c>
      <c r="V18" s="23">
        <f>NC[LÍQUIDO BASE]-SUMPRODUCT(N(NC[DATA]=NC[[#This Row],[DATA]]),    NC[IRRF FONTE])</f>
        <v>103.08</v>
      </c>
      <c r="W18" s="28">
        <f>NC[LÍQUIDO]-SUMPRODUCT(N(NC[DATA]=NC[[#This Row],[DATA]]),N(NC[ID]=(NC[[#This Row],[ID]]-1)),NC[LÍQUIDO])</f>
        <v>103.08</v>
      </c>
      <c r="X18" s="23">
        <f>ABS(W18)/F18</f>
        <v>0.14725714285714286</v>
      </c>
      <c r="Y18" s="23">
        <f>TRUNC(IF(OR(NC[T]="CV",NC[T]="VV"),     L18*SETUP!$H$3,     0),2)</f>
        <v>0</v>
      </c>
      <c r="Z1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23">
        <f>IF(AND(NC[MED CP] &gt; 0, NC[MED VD] &gt; 0), (NC[MED VD] - NC[MED CP]) * NC[QTDE], 0) + NC[IRRF FONTE]</f>
        <v>-333.24</v>
      </c>
      <c r="AD18" s="23">
        <f>IF(NC[U] = "U", SUMPRODUCT(N(NC[ID]&lt;=NC[[#This Row],[ID]]),N(NC[DATA BASE]=NC[[#This Row],[DATA BASE]]), N(NC['[D/N']] = "N"),    NC[LUCRO P/ OP]), 0)</f>
        <v>0</v>
      </c>
      <c r="AE18" s="23">
        <f>IF(NC[U] = "U",NC[LUCRO '[N']] + SUMPRODUCT(N(MONTH(NC[DATA BASE])=MONTH(NC[[#This Row],[DATA BASE]]) - 1), NC[LUCRO '[N']]),0)</f>
        <v>0</v>
      </c>
      <c r="AF18" s="23">
        <f>IF(NC[U] = "U", SUMPRODUCT(N(NC[DATA BASE]=NC[[#This Row],[DATA BASE]]), N(NC['[D/N']] = "D"),    NC[LUCRO P/ OP]), 0)</f>
        <v>0</v>
      </c>
      <c r="AG18" s="28">
        <f>IF(NC[ TRIB. '[N']] &gt; 0,     ROUND(NC[ TRIB. '[N']]*0.15,    2),    0)</f>
        <v>0</v>
      </c>
      <c r="AH18" s="28">
        <f>IF(NC[LUCRO TRIB. DT] &gt; 0,     ROUND(NC[LUCRO TRIB. DT]*0.2,    2)  -  SUMPRODUCT(N(NC[DATA BASE]=NC[[#This Row],[DATA BASE]]),    NC[IRRF FONTE]),    0)</f>
        <v>0</v>
      </c>
      <c r="AI18" s="27">
        <f>NC[IR '[N']] + NC[IR DEVIDO DT]</f>
        <v>0</v>
      </c>
      <c r="AJ18" s="28">
        <f>IF(AND(NC[U] = "U",NC[IR DEVIDO] &gt; 0), NC[IR DEVIDO] + 8.9, 0)</f>
        <v>0</v>
      </c>
      <c r="AK18" s="27">
        <f>NC[LUCRO '[N']]  + NC[LUCRO TRIB. DT] - NC[RESGATE]</f>
        <v>0</v>
      </c>
    </row>
    <row r="19" spans="1:37" x14ac:dyDescent="0.2">
      <c r="A19" s="21">
        <v>18</v>
      </c>
      <c r="B19" s="21"/>
      <c r="C19" s="21" t="s">
        <v>69</v>
      </c>
      <c r="D19" s="21" t="s">
        <v>39</v>
      </c>
      <c r="E19" s="22">
        <v>40997</v>
      </c>
      <c r="F19" s="21">
        <v>1700</v>
      </c>
      <c r="G19" s="23">
        <v>0.08</v>
      </c>
      <c r="H19" s="21" t="s">
        <v>7</v>
      </c>
      <c r="I19" s="22">
        <f>WORKDAY(NC[[#This Row],[DATA]],1,0)</f>
        <v>40998</v>
      </c>
      <c r="J19" s="30">
        <f>EOMONTH(NC[[#This Row],[DATA DE LIQUIDAÇÃO]],0)</f>
        <v>40999</v>
      </c>
      <c r="K1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9" s="23">
        <f>NC[QTDE]*NC[PREÇO]</f>
        <v>136</v>
      </c>
      <c r="M1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23">
        <f>SETUP!$E$3*SUMPRODUCT(N(NC[DATA]=NC[[#This Row],[DATA]]),N(NC[ID]&lt;=NC[[#This Row],[ID]]))</f>
        <v>14.9</v>
      </c>
      <c r="R19" s="23">
        <f>TRUNC(NC[CORRETAGEM]*SETUP!$F$3,2)</f>
        <v>0.28999999999999998</v>
      </c>
      <c r="S19" s="23">
        <f>ROUND(NC[CORRETAGEM]*SETUP!$G$3,2)</f>
        <v>0.57999999999999996</v>
      </c>
      <c r="T19" s="23">
        <f>NC[VALOR LÍQUIDO DAS OPERAÇÕES]-NC[TAXA DE LIQUIDAÇÃO]-NC[EMOLUMENTOS]-NC[TAXA DE REGISTRO]-NC[CORRETAGEM]-NC[ISS]-IF(NC['[D/N']]="D",    0,    NC[OUTRAS BOVESPA])</f>
        <v>120.05999999999997</v>
      </c>
      <c r="U19" s="23">
        <f>IF(AND(NC['[D/N']]="D",    NC[T]="CV"),    ROUND(NC[LÍQUIDO BASE]*0.01, 2),    0)</f>
        <v>0</v>
      </c>
      <c r="V19" s="23">
        <f>NC[LÍQUIDO BASE]-SUMPRODUCT(N(NC[DATA]=NC[[#This Row],[DATA]]),    NC[IRRF FONTE])</f>
        <v>120.05999999999997</v>
      </c>
      <c r="W19" s="28">
        <f>NC[LÍQUIDO]-SUMPRODUCT(N(NC[DATA]=NC[[#This Row],[DATA]]),N(NC[ID]=(NC[[#This Row],[ID]]-1)),NC[LÍQUIDO])</f>
        <v>120.05999999999997</v>
      </c>
      <c r="X19" s="23">
        <f>ABS(W19)/F19</f>
        <v>7.0623529411764696E-2</v>
      </c>
      <c r="Y19" s="23">
        <f>TRUNC(IF(OR(NC[T]="CV",NC[T]="VV"),     L19*SETUP!$H$3,     0),2)</f>
        <v>0</v>
      </c>
      <c r="Z1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23">
        <f>IF(AND(NC[MED CP] &gt; 0, NC[MED VD] &gt; 0), (NC[MED VD] - NC[MED CP]) * NC[QTDE], 0) + NC[IRRF FONTE]</f>
        <v>-338.29</v>
      </c>
      <c r="AD19" s="23">
        <f>IF(NC[U] = "U", SUMPRODUCT(N(NC[ID]&lt;=NC[[#This Row],[ID]]),N(NC[DATA BASE]=NC[[#This Row],[DATA BASE]]), N(NC['[D/N']] = "N"),    NC[LUCRO P/ OP]), 0)</f>
        <v>0</v>
      </c>
      <c r="AE19" s="23">
        <f>IF(NC[U] = "U",NC[LUCRO '[N']] + SUMPRODUCT(N(MONTH(NC[DATA BASE])=MONTH(NC[[#This Row],[DATA BASE]]) - 1), NC[LUCRO '[N']]),0)</f>
        <v>0</v>
      </c>
      <c r="AF19" s="23">
        <f>IF(NC[U] = "U", SUMPRODUCT(N(NC[DATA BASE]=NC[[#This Row],[DATA BASE]]), N(NC['[D/N']] = "D"),    NC[LUCRO P/ OP]), 0)</f>
        <v>0</v>
      </c>
      <c r="AG19" s="28">
        <f>IF(NC[ TRIB. '[N']] &gt; 0,     ROUND(NC[ TRIB. '[N']]*0.15,    2),    0)</f>
        <v>0</v>
      </c>
      <c r="AH19" s="28">
        <f>IF(NC[LUCRO TRIB. DT] &gt; 0,     ROUND(NC[LUCRO TRIB. DT]*0.2,    2)  -  SUMPRODUCT(N(NC[DATA BASE]=NC[[#This Row],[DATA BASE]]),    NC[IRRF FONTE]),    0)</f>
        <v>0</v>
      </c>
      <c r="AI19" s="27">
        <f>NC[IR '[N']] + NC[IR DEVIDO DT]</f>
        <v>0</v>
      </c>
      <c r="AJ19" s="28">
        <f>IF(AND(NC[U] = "U",NC[IR DEVIDO] &gt; 0), NC[IR DEVIDO] + 8.9, 0)</f>
        <v>0</v>
      </c>
      <c r="AK19" s="27">
        <f>NC[LUCRO '[N']]  + NC[LUCRO TRIB. DT] - NC[RESGATE]</f>
        <v>0</v>
      </c>
    </row>
    <row r="20" spans="1:37" x14ac:dyDescent="0.2">
      <c r="A20" s="21">
        <v>19</v>
      </c>
      <c r="B20" s="21" t="s">
        <v>67</v>
      </c>
      <c r="C20" s="21" t="s">
        <v>70</v>
      </c>
      <c r="D20" s="21" t="s">
        <v>38</v>
      </c>
      <c r="E20" s="22">
        <v>40997</v>
      </c>
      <c r="F20" s="21">
        <v>1900</v>
      </c>
      <c r="G20" s="23">
        <v>0.24</v>
      </c>
      <c r="H20" s="21" t="s">
        <v>7</v>
      </c>
      <c r="I20" s="22">
        <f>WORKDAY(NC[[#This Row],[DATA]],1,0)</f>
        <v>40998</v>
      </c>
      <c r="J20" s="30">
        <f>EOMONTH(NC[[#This Row],[DATA DE LIQUIDAÇÃO]],0)</f>
        <v>40999</v>
      </c>
      <c r="K2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23">
        <f>NC[QTDE]*NC[PREÇO]</f>
        <v>456</v>
      </c>
      <c r="M2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2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23">
        <f>SETUP!$E$3*SUMPRODUCT(N(NC[DATA]=NC[[#This Row],[DATA]]),N(NC[ID]&lt;=NC[[#This Row],[ID]]))</f>
        <v>29.8</v>
      </c>
      <c r="R20" s="23">
        <f>TRUNC(NC[CORRETAGEM]*SETUP!$F$3,2)</f>
        <v>0.59</v>
      </c>
      <c r="S20" s="23">
        <f>ROUND(NC[CORRETAGEM]*SETUP!$G$3,2)</f>
        <v>1.1599999999999999</v>
      </c>
      <c r="T20" s="23">
        <f>NC[VALOR LÍQUIDO DAS OPERAÇÕES]-NC[TAXA DE LIQUIDAÇÃO]-NC[EMOLUMENTOS]-NC[TAXA DE REGISTRO]-NC[CORRETAGEM]-NC[ISS]-IF(NC['[D/N']]="D",    0,    NC[OUTRAS BOVESPA])</f>
        <v>-352.33000000000004</v>
      </c>
      <c r="U20" s="23">
        <f>IF(AND(NC['[D/N']]="D",    NC[T]="CV"),    ROUND(NC[LÍQUIDO BASE]*0.01, 2),    0)</f>
        <v>0</v>
      </c>
      <c r="V20" s="23">
        <f>NC[LÍQUIDO BASE]-SUMPRODUCT(N(NC[DATA]=NC[[#This Row],[DATA]]),    NC[IRRF FONTE])</f>
        <v>-352.33000000000004</v>
      </c>
      <c r="W20" s="28">
        <f>NC[LÍQUIDO]-SUMPRODUCT(N(NC[DATA]=NC[[#This Row],[DATA]]),N(NC[ID]=(NC[[#This Row],[ID]]-1)),NC[LÍQUIDO])</f>
        <v>-472.39</v>
      </c>
      <c r="X20" s="23">
        <f>ABS(W20)/F20</f>
        <v>0.24862631578947367</v>
      </c>
      <c r="Y20" s="23">
        <f>TRUNC(IF(OR(NC[T]="CV",NC[T]="VV"),     L20*SETUP!$H$3,     0),2)</f>
        <v>0</v>
      </c>
      <c r="Z2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0" s="23">
        <f>IF(AND(NC[MED CP] &gt; 0, NC[MED VD] &gt; 0), (NC[MED VD] - NC[MED CP]) * NC[QTDE], 0) + NC[IRRF FONTE]</f>
        <v>0</v>
      </c>
      <c r="AD20" s="23">
        <f>IF(NC[U] = "U", SUMPRODUCT(N(NC[ID]&lt;=NC[[#This Row],[ID]]),N(NC[DATA BASE]=NC[[#This Row],[DATA BASE]]), N(NC['[D/N']] = "N"),    NC[LUCRO P/ OP]), 0)</f>
        <v>-656.81000000000017</v>
      </c>
      <c r="AE20" s="23">
        <f>IF(NC[U] = "U",NC[LUCRO '[N']] + SUMPRODUCT(N(MONTH(NC[DATA BASE])=MONTH(NC[[#This Row],[DATA BASE]]) - 1), NC[LUCRO '[N']]),0)</f>
        <v>-656.81000000000017</v>
      </c>
      <c r="AF20" s="23">
        <f>IF(NC[U] = "U", SUMPRODUCT(N(NC[DATA BASE]=NC[[#This Row],[DATA BASE]]), N(NC['[D/N']] = "D"),    NC[LUCRO P/ OP]), 0)</f>
        <v>478.50999999999988</v>
      </c>
      <c r="AG20" s="28">
        <f>IF(NC[ TRIB. '[N']] &gt; 0,     ROUND(NC[ TRIB. '[N']]*0.15,    2),    0)</f>
        <v>0</v>
      </c>
      <c r="AH20" s="28">
        <f>IF(NC[LUCRO TRIB. DT] &gt; 0,     ROUND(NC[LUCRO TRIB. DT]*0.2,    2)  -  SUMPRODUCT(N(NC[DATA BASE]=NC[[#This Row],[DATA BASE]]),    NC[IRRF FONTE]),    0)</f>
        <v>90.92</v>
      </c>
      <c r="AI20" s="27">
        <f>NC[IR '[N']] + NC[IR DEVIDO DT]</f>
        <v>90.92</v>
      </c>
      <c r="AJ20" s="28">
        <f>IF(AND(NC[U] = "U",NC[IR DEVIDO] &gt; 0), NC[IR DEVIDO] + 8.9, 0)</f>
        <v>99.820000000000007</v>
      </c>
      <c r="AK20" s="27">
        <f>NC[LUCRO '[N']]  + NC[LUCRO TRIB. DT] - NC[RESGATE]</f>
        <v>-278.12000000000029</v>
      </c>
    </row>
    <row r="21" spans="1:37" x14ac:dyDescent="0.2">
      <c r="A21" s="31">
        <f>SUBTOTAL(104,NC[ID])</f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23"/>
      <c r="U21" s="31"/>
      <c r="V21" s="23"/>
      <c r="W21" s="23"/>
      <c r="X21" s="31"/>
      <c r="Y21" s="23">
        <f>SUBTOTAL(109,NC[IRRF])</f>
        <v>0.08</v>
      </c>
      <c r="Z21" s="23"/>
      <c r="AA21" s="31"/>
      <c r="AB21" s="31"/>
      <c r="AC21" s="23">
        <f>SUBTOTAL(109,NC[LUCRO P/ OP])</f>
        <v>-178.30000000000024</v>
      </c>
      <c r="AD21" s="23"/>
      <c r="AE21" s="23"/>
      <c r="AF21" s="32"/>
      <c r="AG21" s="23"/>
      <c r="AH21" s="23"/>
      <c r="AI21" s="33"/>
      <c r="AJ21" s="33"/>
      <c r="AK21" s="38">
        <f>SUBTOTAL(109,NC[LUCRO LÍQUIDO])</f>
        <v>-278.12000000000029</v>
      </c>
    </row>
    <row r="22" spans="1:37" x14ac:dyDescent="0.2">
      <c r="AE22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7" t="s">
        <v>9</v>
      </c>
      <c r="B1" s="37"/>
      <c r="C1" s="37" t="s">
        <v>10</v>
      </c>
      <c r="D1" s="37"/>
      <c r="E1" s="36" t="s">
        <v>11</v>
      </c>
      <c r="F1" s="36" t="s">
        <v>4</v>
      </c>
      <c r="G1" s="36" t="s">
        <v>12</v>
      </c>
      <c r="H1" s="36" t="s">
        <v>13</v>
      </c>
      <c r="I1" s="36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6"/>
      <c r="F2" s="36"/>
      <c r="G2" s="36"/>
      <c r="H2" s="36"/>
      <c r="I2" s="36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5" t="s">
        <v>40</v>
      </c>
      <c r="B4" s="35"/>
      <c r="C4" s="35"/>
      <c r="D4" s="35"/>
      <c r="E4" s="35"/>
      <c r="F4" s="35"/>
    </row>
    <row r="5" spans="1:9" x14ac:dyDescent="0.2">
      <c r="A5" s="35" t="s">
        <v>9</v>
      </c>
      <c r="B5" s="35"/>
      <c r="C5" s="35"/>
      <c r="D5" s="35" t="s">
        <v>10</v>
      </c>
      <c r="E5" s="35"/>
      <c r="F5" s="35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2012-03-30T00:37:18Z</dcterms:modified>
</cp:coreProperties>
</file>