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cioni494\Documents\SEGUNDO PARCIAL\"/>
    </mc:Choice>
  </mc:AlternateContent>
  <xr:revisionPtr revIDLastSave="0" documentId="8_{D3C1F466-6F9A-41DE-8E55-C56267BCEED3}" xr6:coauthVersionLast="36" xr6:coauthVersionMax="36" xr10:uidLastSave="{00000000-0000-0000-0000-000000000000}"/>
  <bookViews>
    <workbookView xWindow="0" yWindow="0" windowWidth="24720" windowHeight="12105" activeTab="3" xr2:uid="{1D6437BC-2B3C-423E-A489-DEE29B7C387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chart.v1.0" hidden="1">Hoja4!$A$15:$A$24</definedName>
    <definedName name="_xlchart.v1.1" hidden="1">Hoja4!$A$3:$A$12</definedName>
    <definedName name="_xlchart.v1.2" hidden="1">Hoja4!$B$3:$B$12</definedName>
    <definedName name="solver_adj" localSheetId="0" hidden="1">Hoja1!$B$14,Hoja1!$C$14</definedName>
    <definedName name="solver_adj" localSheetId="1" hidden="1">Hoja2!$H$18</definedName>
    <definedName name="solver_adj" localSheetId="2" hidden="1">Hoja3!$B$20,Hoja3!$A$20</definedName>
    <definedName name="solver_adj" localSheetId="3" hidden="1">Hoja4!$B$40,Hoja4!$C$40,Hoja4!$D$40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2</definedName>
    <definedName name="solver_neg" localSheetId="1" hidden="1">1</definedName>
    <definedName name="solver_neg" localSheetId="2" hidden="1">1</definedName>
    <definedName name="solver_neg" localSheetId="3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Hoja1!$E$14</definedName>
    <definedName name="solver_opt" localSheetId="1" hidden="1">Hoja2!$G$18</definedName>
    <definedName name="solver_opt" localSheetId="2" hidden="1">Hoja3!$E$20</definedName>
    <definedName name="solver_opt" localSheetId="3" hidden="1">Hoja4!$F$40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3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4" l="1"/>
  <c r="E41" i="4" s="1"/>
  <c r="A42" i="4"/>
  <c r="E42" i="4" s="1"/>
  <c r="A43" i="4"/>
  <c r="E43" i="4" s="1"/>
  <c r="A44" i="4"/>
  <c r="E44" i="4" s="1"/>
  <c r="A45" i="4"/>
  <c r="E45" i="4" s="1"/>
  <c r="A46" i="4"/>
  <c r="E46" i="4" s="1"/>
  <c r="A47" i="4"/>
  <c r="E47" i="4" s="1"/>
  <c r="A48" i="4"/>
  <c r="E48" i="4" s="1"/>
  <c r="A49" i="4"/>
  <c r="E49" i="4" s="1"/>
  <c r="A40" i="4"/>
  <c r="E40" i="4" s="1"/>
  <c r="A28" i="4"/>
  <c r="D28" i="4" s="1"/>
  <c r="A29" i="4"/>
  <c r="D29" i="4" s="1"/>
  <c r="A30" i="4"/>
  <c r="D30" i="4" s="1"/>
  <c r="A31" i="4"/>
  <c r="D31" i="4" s="1"/>
  <c r="A32" i="4"/>
  <c r="D32" i="4" s="1"/>
  <c r="A33" i="4"/>
  <c r="D33" i="4" s="1"/>
  <c r="A34" i="4"/>
  <c r="A35" i="4"/>
  <c r="A36" i="4"/>
  <c r="A27" i="4"/>
  <c r="D27" i="4" s="1"/>
  <c r="D34" i="4"/>
  <c r="D35" i="4"/>
  <c r="D36" i="4"/>
  <c r="A16" i="4"/>
  <c r="F16" i="4" s="1"/>
  <c r="A17" i="4"/>
  <c r="F17" i="4" s="1"/>
  <c r="A18" i="4"/>
  <c r="F18" i="4" s="1"/>
  <c r="A19" i="4"/>
  <c r="F19" i="4" s="1"/>
  <c r="A20" i="4"/>
  <c r="F20" i="4" s="1"/>
  <c r="A21" i="4"/>
  <c r="F21" i="4" s="1"/>
  <c r="A22" i="4"/>
  <c r="F22" i="4" s="1"/>
  <c r="A23" i="4"/>
  <c r="F23" i="4" s="1"/>
  <c r="A24" i="4"/>
  <c r="F24" i="4" s="1"/>
  <c r="A15" i="4"/>
  <c r="F15" i="4" s="1"/>
  <c r="D3" i="4"/>
  <c r="J3" i="4"/>
  <c r="I3" i="4"/>
  <c r="G4" i="4"/>
  <c r="G5" i="4"/>
  <c r="G6" i="4"/>
  <c r="G7" i="4"/>
  <c r="G8" i="4"/>
  <c r="G9" i="4"/>
  <c r="G10" i="4"/>
  <c r="G11" i="4"/>
  <c r="G12" i="4"/>
  <c r="F4" i="4"/>
  <c r="F5" i="4"/>
  <c r="F6" i="4"/>
  <c r="F7" i="4"/>
  <c r="F8" i="4"/>
  <c r="F9" i="4"/>
  <c r="F10" i="4"/>
  <c r="F11" i="4"/>
  <c r="F12" i="4"/>
  <c r="G3" i="4"/>
  <c r="F3" i="4"/>
  <c r="K21" i="3"/>
  <c r="K20" i="3"/>
  <c r="C21" i="3"/>
  <c r="D21" i="3" s="1"/>
  <c r="C22" i="3"/>
  <c r="D22" i="3" s="1"/>
  <c r="C23" i="3"/>
  <c r="D23" i="3" s="1"/>
  <c r="C24" i="3"/>
  <c r="D24" i="3" s="1"/>
  <c r="C20" i="3"/>
  <c r="D20" i="3" s="1"/>
  <c r="F6" i="3"/>
  <c r="E6" i="3"/>
  <c r="F3" i="3"/>
  <c r="G3" i="3" s="1"/>
  <c r="L3" i="3"/>
  <c r="K3" i="3"/>
  <c r="J4" i="3"/>
  <c r="J5" i="3"/>
  <c r="J6" i="3"/>
  <c r="J7" i="3"/>
  <c r="J3" i="3"/>
  <c r="I4" i="3"/>
  <c r="I5" i="3"/>
  <c r="I6" i="3"/>
  <c r="I7" i="3"/>
  <c r="I3" i="3"/>
  <c r="B11" i="3"/>
  <c r="B12" i="3"/>
  <c r="B13" i="3"/>
  <c r="B14" i="3"/>
  <c r="B10" i="3"/>
  <c r="A11" i="3"/>
  <c r="A12" i="3"/>
  <c r="A13" i="3"/>
  <c r="A14" i="3"/>
  <c r="A10" i="3"/>
  <c r="G18" i="2"/>
  <c r="K26" i="2"/>
  <c r="N26" i="2" s="1"/>
  <c r="L26" i="2"/>
  <c r="G17" i="2"/>
  <c r="B2" i="2"/>
  <c r="I2" i="2"/>
  <c r="J2" i="2" s="1"/>
  <c r="B3" i="2"/>
  <c r="B4" i="2"/>
  <c r="B5" i="2"/>
  <c r="B6" i="2"/>
  <c r="B7" i="2"/>
  <c r="B8" i="2"/>
  <c r="B9" i="2"/>
  <c r="B10" i="2"/>
  <c r="B11" i="2"/>
  <c r="B12" i="2"/>
  <c r="B13" i="2"/>
  <c r="I13" i="2" s="1"/>
  <c r="J13" i="2" s="1"/>
  <c r="B14" i="2"/>
  <c r="I14" i="2" s="1"/>
  <c r="J14" i="2" s="1"/>
  <c r="F18" i="2"/>
  <c r="F17" i="2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A15" i="1"/>
  <c r="D15" i="1" s="1"/>
  <c r="A16" i="1"/>
  <c r="D16" i="1" s="1"/>
  <c r="A17" i="1"/>
  <c r="D17" i="1" s="1"/>
  <c r="A18" i="1"/>
  <c r="D18" i="1" s="1"/>
  <c r="A19" i="1"/>
  <c r="D19" i="1" s="1"/>
  <c r="A14" i="1"/>
  <c r="D14" i="1" s="1"/>
  <c r="H2" i="1"/>
  <c r="G2" i="1"/>
  <c r="F3" i="1"/>
  <c r="F4" i="1"/>
  <c r="F5" i="1"/>
  <c r="F6" i="1"/>
  <c r="F7" i="1"/>
  <c r="F2" i="1"/>
  <c r="F40" i="4" l="1"/>
  <c r="E27" i="4"/>
  <c r="E3" i="4"/>
  <c r="D5" i="4" s="1"/>
  <c r="G15" i="4"/>
  <c r="E20" i="3"/>
  <c r="K2" i="2"/>
  <c r="E14" i="1"/>
  <c r="J2" i="1"/>
  <c r="L2" i="1"/>
  <c r="K2" i="1"/>
  <c r="J3" i="1"/>
  <c r="J4" i="1"/>
  <c r="J5" i="1"/>
  <c r="J6" i="1"/>
  <c r="J7" i="1"/>
  <c r="E3" i="1"/>
  <c r="E4" i="1"/>
  <c r="E5" i="1"/>
  <c r="E6" i="1"/>
  <c r="E7" i="1"/>
  <c r="E2" i="1"/>
  <c r="D3" i="1"/>
  <c r="D4" i="1"/>
  <c r="D5" i="1"/>
  <c r="D6" i="1"/>
  <c r="D7" i="1"/>
  <c r="D2" i="1"/>
  <c r="A3" i="1"/>
  <c r="A4" i="1"/>
  <c r="A5" i="1"/>
  <c r="A6" i="1"/>
  <c r="A7" i="1"/>
  <c r="A2" i="1"/>
  <c r="D14" i="4" l="1"/>
  <c r="D10" i="4"/>
  <c r="D8" i="4"/>
  <c r="D9" i="4"/>
  <c r="D11" i="4"/>
  <c r="D12" i="4"/>
  <c r="D13" i="4"/>
  <c r="D6" i="4"/>
  <c r="D7" i="4"/>
</calcChain>
</file>

<file path=xl/sharedStrings.xml><?xml version="1.0" encoding="utf-8"?>
<sst xmlns="http://schemas.openxmlformats.org/spreadsheetml/2006/main" count="81" uniqueCount="62">
  <si>
    <t>T/ºC</t>
  </si>
  <si>
    <t>P/mmHg</t>
  </si>
  <si>
    <t>T/K</t>
  </si>
  <si>
    <t>ln P</t>
  </si>
  <si>
    <t>1/T K</t>
  </si>
  <si>
    <t>a1</t>
  </si>
  <si>
    <t>a0</t>
  </si>
  <si>
    <t>x^2</t>
  </si>
  <si>
    <t>Yraya</t>
  </si>
  <si>
    <t>Xraya</t>
  </si>
  <si>
    <t>xiyi</t>
  </si>
  <si>
    <t>a0=A</t>
  </si>
  <si>
    <t>Sin linealizar</t>
  </si>
  <si>
    <t>modelo</t>
  </si>
  <si>
    <t>a1=B´=-B</t>
  </si>
  <si>
    <t>A</t>
  </si>
  <si>
    <t>B</t>
  </si>
  <si>
    <t>ei</t>
  </si>
  <si>
    <t>suma ei</t>
  </si>
  <si>
    <t>inciso c</t>
  </si>
  <si>
    <t>Problema 3</t>
  </si>
  <si>
    <t>C</t>
  </si>
  <si>
    <t>Pmod</t>
  </si>
  <si>
    <t>C)</t>
  </si>
  <si>
    <t>T con abc</t>
  </si>
  <si>
    <t>T con cubico</t>
  </si>
  <si>
    <t>P</t>
  </si>
  <si>
    <t>Punto 4</t>
  </si>
  <si>
    <t>c (mg/L)</t>
  </si>
  <si>
    <t>Tasa de crecimiento (k)</t>
  </si>
  <si>
    <t>linealizacion</t>
  </si>
  <si>
    <t>cs</t>
  </si>
  <si>
    <t>kmax</t>
  </si>
  <si>
    <t>1/kmax=a´0</t>
  </si>
  <si>
    <t>cs/kmaxc^2=a´1</t>
  </si>
  <si>
    <t>k.c</t>
  </si>
  <si>
    <t>c^2</t>
  </si>
  <si>
    <t>n</t>
  </si>
  <si>
    <t>1/c^2</t>
  </si>
  <si>
    <t>1/k</t>
  </si>
  <si>
    <t>kmedia</t>
  </si>
  <si>
    <t>km</t>
  </si>
  <si>
    <t>Kmod</t>
  </si>
  <si>
    <t>inciso d</t>
  </si>
  <si>
    <t>lineal</t>
  </si>
  <si>
    <t>no lineal</t>
  </si>
  <si>
    <t>Problema 5</t>
  </si>
  <si>
    <t>x</t>
  </si>
  <si>
    <t>y</t>
  </si>
  <si>
    <t>x.y</t>
  </si>
  <si>
    <t>xmedia</t>
  </si>
  <si>
    <t>ymedia</t>
  </si>
  <si>
    <t>y lieal</t>
  </si>
  <si>
    <t>y potencial</t>
  </si>
  <si>
    <t>A0</t>
  </si>
  <si>
    <t>A1</t>
  </si>
  <si>
    <t>suma e</t>
  </si>
  <si>
    <t>y func vel</t>
  </si>
  <si>
    <t>a</t>
  </si>
  <si>
    <t>b</t>
  </si>
  <si>
    <t>y parabola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</si>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</sst>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11889925961398E-2"/>
          <c:y val="9.9456026438074427E-2"/>
          <c:w val="0.77804186414623167"/>
          <c:h val="0.7874235113654940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079092725349627E-2"/>
                  <c:y val="6.04575406604763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xVal>
            <c:numRef>
              <c:f>Hoja1!$E$2:$E$7</c:f>
              <c:numCache>
                <c:formatCode>General</c:formatCode>
                <c:ptCount val="6"/>
                <c:pt idx="0">
                  <c:v>3.4704147145583901E-3</c:v>
                </c:pt>
                <c:pt idx="1">
                  <c:v>3.3350008337502089E-3</c:v>
                </c:pt>
                <c:pt idx="2">
                  <c:v>3.2653061224489797E-3</c:v>
                </c:pt>
                <c:pt idx="3">
                  <c:v>3.2076984763432237E-3</c:v>
                </c:pt>
                <c:pt idx="4">
                  <c:v>3.1264655307175243E-3</c:v>
                </c:pt>
                <c:pt idx="5">
                  <c:v>3.0698388334612432E-3</c:v>
                </c:pt>
              </c:numCache>
            </c:numRef>
          </c:xVal>
          <c:yVal>
            <c:numRef>
              <c:f>Hoja1!$D$2:$D$7</c:f>
              <c:numCache>
                <c:formatCode>General</c:formatCode>
                <c:ptCount val="6"/>
                <c:pt idx="0">
                  <c:v>1.6094379124341003</c:v>
                </c:pt>
                <c:pt idx="1">
                  <c:v>2.341805806147327</c:v>
                </c:pt>
                <c:pt idx="2">
                  <c:v>2.7080502011022101</c:v>
                </c:pt>
                <c:pt idx="3">
                  <c:v>3.0007198150650303</c:v>
                </c:pt>
                <c:pt idx="4">
                  <c:v>3.4045251717548299</c:v>
                </c:pt>
                <c:pt idx="5">
                  <c:v>3.6863763238958178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5B-49CC-9405-1D5E1C282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77327"/>
        <c:axId val="609098479"/>
      </c:scatterChart>
      <c:valAx>
        <c:axId val="61297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09098479"/>
        <c:crosses val="autoZero"/>
        <c:crossBetween val="midCat"/>
      </c:valAx>
      <c:valAx>
        <c:axId val="6090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1297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7144616182236481E-2"/>
                  <c:y val="4.455050594140380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xVal>
            <c:numRef>
              <c:f>Hoja2!$B$2:$B$14</c:f>
              <c:numCache>
                <c:formatCode>General</c:formatCode>
                <c:ptCount val="13"/>
                <c:pt idx="0">
                  <c:v>292.45</c:v>
                </c:pt>
                <c:pt idx="1">
                  <c:v>292.95</c:v>
                </c:pt>
                <c:pt idx="2">
                  <c:v>297.64999999999998</c:v>
                </c:pt>
                <c:pt idx="3">
                  <c:v>303.45</c:v>
                </c:pt>
                <c:pt idx="4">
                  <c:v>303.45</c:v>
                </c:pt>
                <c:pt idx="5">
                  <c:v>308.34999999999997</c:v>
                </c:pt>
                <c:pt idx="6">
                  <c:v>314.45</c:v>
                </c:pt>
                <c:pt idx="7">
                  <c:v>321.25</c:v>
                </c:pt>
                <c:pt idx="8">
                  <c:v>328.54999999999995</c:v>
                </c:pt>
                <c:pt idx="9">
                  <c:v>338.84999999999997</c:v>
                </c:pt>
                <c:pt idx="10">
                  <c:v>347.75</c:v>
                </c:pt>
                <c:pt idx="11">
                  <c:v>359.75</c:v>
                </c:pt>
                <c:pt idx="12">
                  <c:v>370.45</c:v>
                </c:pt>
              </c:numCache>
            </c:numRef>
          </c:xVal>
          <c:yVal>
            <c:numRef>
              <c:f>Hoja2!$D$2:$D$14</c:f>
              <c:numCache>
                <c:formatCode>General</c:formatCode>
                <c:ptCount val="13"/>
                <c:pt idx="0">
                  <c:v>14.7</c:v>
                </c:pt>
                <c:pt idx="1">
                  <c:v>14.9</c:v>
                </c:pt>
                <c:pt idx="2">
                  <c:v>20.399999999999999</c:v>
                </c:pt>
                <c:pt idx="3">
                  <c:v>29.4</c:v>
                </c:pt>
                <c:pt idx="4">
                  <c:v>29.5</c:v>
                </c:pt>
                <c:pt idx="5">
                  <c:v>39.700000000000003</c:v>
                </c:pt>
                <c:pt idx="6">
                  <c:v>56.4</c:v>
                </c:pt>
                <c:pt idx="7">
                  <c:v>81.3</c:v>
                </c:pt>
                <c:pt idx="8">
                  <c:v>120.4</c:v>
                </c:pt>
                <c:pt idx="9">
                  <c:v>199.4</c:v>
                </c:pt>
                <c:pt idx="10">
                  <c:v>300</c:v>
                </c:pt>
                <c:pt idx="11">
                  <c:v>499.5</c:v>
                </c:pt>
                <c:pt idx="12">
                  <c:v>758.5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39-41C2-833F-E544B2B10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219919"/>
        <c:axId val="756241871"/>
      </c:scatterChart>
      <c:valAx>
        <c:axId val="76021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56241871"/>
        <c:crosses val="autoZero"/>
        <c:crossBetween val="midCat"/>
      </c:valAx>
      <c:valAx>
        <c:axId val="7562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6021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Hoja2!$B$2:$B$14</c:f>
              <c:numCache>
                <c:formatCode>General</c:formatCode>
                <c:ptCount val="13"/>
                <c:pt idx="0">
                  <c:v>292.45</c:v>
                </c:pt>
                <c:pt idx="1">
                  <c:v>292.95</c:v>
                </c:pt>
                <c:pt idx="2">
                  <c:v>297.64999999999998</c:v>
                </c:pt>
                <c:pt idx="3">
                  <c:v>303.45</c:v>
                </c:pt>
                <c:pt idx="4">
                  <c:v>303.45</c:v>
                </c:pt>
                <c:pt idx="5">
                  <c:v>308.34999999999997</c:v>
                </c:pt>
                <c:pt idx="6">
                  <c:v>314.45</c:v>
                </c:pt>
                <c:pt idx="7">
                  <c:v>321.25</c:v>
                </c:pt>
                <c:pt idx="8">
                  <c:v>328.54999999999995</c:v>
                </c:pt>
                <c:pt idx="9">
                  <c:v>338.84999999999997</c:v>
                </c:pt>
                <c:pt idx="10">
                  <c:v>347.75</c:v>
                </c:pt>
                <c:pt idx="11">
                  <c:v>359.75</c:v>
                </c:pt>
                <c:pt idx="12">
                  <c:v>370.45</c:v>
                </c:pt>
              </c:numCache>
            </c:numRef>
          </c:xVal>
          <c:yVal>
            <c:numRef>
              <c:f>Hoja2!$D$2:$D$14</c:f>
              <c:numCache>
                <c:formatCode>General</c:formatCode>
                <c:ptCount val="13"/>
                <c:pt idx="0">
                  <c:v>14.7</c:v>
                </c:pt>
                <c:pt idx="1">
                  <c:v>14.9</c:v>
                </c:pt>
                <c:pt idx="2">
                  <c:v>20.399999999999999</c:v>
                </c:pt>
                <c:pt idx="3">
                  <c:v>29.4</c:v>
                </c:pt>
                <c:pt idx="4">
                  <c:v>29.5</c:v>
                </c:pt>
                <c:pt idx="5">
                  <c:v>39.700000000000003</c:v>
                </c:pt>
                <c:pt idx="6">
                  <c:v>56.4</c:v>
                </c:pt>
                <c:pt idx="7">
                  <c:v>81.3</c:v>
                </c:pt>
                <c:pt idx="8">
                  <c:v>120.4</c:v>
                </c:pt>
                <c:pt idx="9">
                  <c:v>199.4</c:v>
                </c:pt>
                <c:pt idx="10">
                  <c:v>300</c:v>
                </c:pt>
                <c:pt idx="11">
                  <c:v>499.5</c:v>
                </c:pt>
                <c:pt idx="12">
                  <c:v>758.5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C6-4103-9514-B5CE5D3EC13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Hoja2!$H$17:$H$18</c:f>
              <c:numCache>
                <c:formatCode>General</c:formatCode>
                <c:ptCount val="2"/>
                <c:pt idx="0">
                  <c:v>357.35119109835426</c:v>
                </c:pt>
                <c:pt idx="1">
                  <c:v>374.75165847359324</c:v>
                </c:pt>
              </c:numCache>
            </c:numRef>
          </c:xVal>
          <c:yVal>
            <c:numRef>
              <c:f>Hoja2!$I$17:$I$18</c:f>
              <c:numCache>
                <c:formatCode>General</c:formatCode>
                <c:ptCount val="2"/>
                <c:pt idx="0">
                  <c:v>350</c:v>
                </c:pt>
                <c:pt idx="1">
                  <c:v>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C6-4103-9514-B5CE5D3EC13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Hoja2!$F$17:$F$18</c:f>
              <c:numCache>
                <c:formatCode>General</c:formatCode>
                <c:ptCount val="2"/>
                <c:pt idx="0">
                  <c:v>351.2888171122334</c:v>
                </c:pt>
                <c:pt idx="1">
                  <c:v>370.42261350085158</c:v>
                </c:pt>
              </c:numCache>
            </c:numRef>
          </c:xVal>
          <c:yVal>
            <c:numRef>
              <c:f>Hoja2!$I$17:$I$18</c:f>
              <c:numCache>
                <c:formatCode>General</c:formatCode>
                <c:ptCount val="2"/>
                <c:pt idx="0">
                  <c:v>350</c:v>
                </c:pt>
                <c:pt idx="1">
                  <c:v>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C6-4103-9514-B5CE5D3EC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21023"/>
        <c:axId val="636138095"/>
      </c:scatterChart>
      <c:valAx>
        <c:axId val="62802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36138095"/>
        <c:crosses val="autoZero"/>
        <c:crossBetween val="midCat"/>
      </c:valAx>
      <c:valAx>
        <c:axId val="63613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2802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0.18560185185185185"/>
          <c:w val="0.88073862642169731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072375328083991"/>
                  <c:y val="1.290573053368328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xVal>
            <c:numRef>
              <c:f>Hoja3!$A$10:$A$14</c:f>
              <c:numCache>
                <c:formatCode>General</c:formatCode>
                <c:ptCount val="5"/>
                <c:pt idx="0">
                  <c:v>4</c:v>
                </c:pt>
                <c:pt idx="1">
                  <c:v>1.5624999999999998</c:v>
                </c:pt>
                <c:pt idx="2">
                  <c:v>0.44444444444444442</c:v>
                </c:pt>
                <c:pt idx="3">
                  <c:v>0.16</c:v>
                </c:pt>
                <c:pt idx="4">
                  <c:v>6.25E-2</c:v>
                </c:pt>
              </c:numCache>
            </c:numRef>
          </c:xVal>
          <c:yVal>
            <c:numRef>
              <c:f>Hoja3!$B$10:$B$14</c:f>
              <c:numCache>
                <c:formatCode>General</c:formatCode>
                <c:ptCount val="5"/>
                <c:pt idx="0">
                  <c:v>0.90909090909090906</c:v>
                </c:pt>
                <c:pt idx="1">
                  <c:v>0.41666666666666669</c:v>
                </c:pt>
                <c:pt idx="2">
                  <c:v>0.18867924528301888</c:v>
                </c:pt>
                <c:pt idx="3">
                  <c:v>0.13157894736842105</c:v>
                </c:pt>
                <c:pt idx="4">
                  <c:v>0.11235955056179775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25-4043-A4CE-D4D56DC2C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16623"/>
        <c:axId val="765507103"/>
      </c:scatterChart>
      <c:valAx>
        <c:axId val="62801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65507103"/>
        <c:crosses val="autoZero"/>
        <c:crossBetween val="midCat"/>
      </c:valAx>
      <c:valAx>
        <c:axId val="76550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2801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69816272965886E-2"/>
          <c:y val="0.19486111111111112"/>
          <c:w val="0.8870441819772528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Hoja3!$A$3:$A$7</c:f>
              <c:numCache>
                <c:formatCode>General</c:formatCode>
                <c:ptCount val="5"/>
                <c:pt idx="0">
                  <c:v>0.5</c:v>
                </c:pt>
                <c:pt idx="1">
                  <c:v>0.8</c:v>
                </c:pt>
                <c:pt idx="2">
                  <c:v>1.5</c:v>
                </c:pt>
                <c:pt idx="3">
                  <c:v>2.5</c:v>
                </c:pt>
                <c:pt idx="4">
                  <c:v>4</c:v>
                </c:pt>
              </c:numCache>
            </c:numRef>
          </c:xVal>
          <c:yVal>
            <c:numRef>
              <c:f>Hoja3!$B$3:$B$7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2.4</c:v>
                </c:pt>
                <c:pt idx="2">
                  <c:v>5.3</c:v>
                </c:pt>
                <c:pt idx="3">
                  <c:v>7.6</c:v>
                </c:pt>
                <c:pt idx="4">
                  <c:v>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BA-403A-A031-239A66FB511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Hoja3!$A$3:$A$7</c:f>
              <c:numCache>
                <c:formatCode>General</c:formatCode>
                <c:ptCount val="5"/>
                <c:pt idx="0">
                  <c:v>0.5</c:v>
                </c:pt>
                <c:pt idx="1">
                  <c:v>0.8</c:v>
                </c:pt>
                <c:pt idx="2">
                  <c:v>1.5</c:v>
                </c:pt>
                <c:pt idx="3">
                  <c:v>2.5</c:v>
                </c:pt>
                <c:pt idx="4">
                  <c:v>4</c:v>
                </c:pt>
              </c:numCache>
            </c:numRef>
          </c:xVal>
          <c:yVal>
            <c:numRef>
              <c:f>Hoja3!$C$20:$C$24</c:f>
              <c:numCache>
                <c:formatCode>General</c:formatCode>
                <c:ptCount val="5"/>
                <c:pt idx="0">
                  <c:v>1.1062905117432316</c:v>
                </c:pt>
                <c:pt idx="1">
                  <c:v>2.4165394391717538</c:v>
                </c:pt>
                <c:pt idx="2">
                  <c:v>5.2907796260772573</c:v>
                </c:pt>
                <c:pt idx="3">
                  <c:v>7.58639172959567</c:v>
                </c:pt>
                <c:pt idx="4">
                  <c:v>8.9118062682897907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BA-403A-A031-239A66FB5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69039"/>
        <c:axId val="762897823"/>
      </c:scatterChart>
      <c:valAx>
        <c:axId val="64866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62897823"/>
        <c:crosses val="autoZero"/>
        <c:crossBetween val="midCat"/>
      </c:valAx>
      <c:valAx>
        <c:axId val="7628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4866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comparacion de todas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D18-4B47-BB4B-49C388E1FF8F}"/>
              </c:ext>
            </c:extLst>
          </c:dPt>
          <c:xVal>
            <c:numRef>
              <c:f>Hoja4!$A$3:$A$12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Hoja4!$B$3:$B$12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31</c:v>
                </c:pt>
                <c:pt idx="3">
                  <c:v>33</c:v>
                </c:pt>
                <c:pt idx="4">
                  <c:v>37</c:v>
                </c:pt>
                <c:pt idx="5">
                  <c:v>37</c:v>
                </c:pt>
                <c:pt idx="6">
                  <c:v>40</c:v>
                </c:pt>
                <c:pt idx="7">
                  <c:v>40</c:v>
                </c:pt>
                <c:pt idx="8">
                  <c:v>42</c:v>
                </c:pt>
                <c:pt idx="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8-4B47-BB4B-49C388E1FF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Hoja4!$A$3:$A$12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Hoja4!$A$15:$A$24</c:f>
              <c:numCache>
                <c:formatCode>General</c:formatCode>
                <c:ptCount val="10"/>
                <c:pt idx="0">
                  <c:v>19.855723878236926</c:v>
                </c:pt>
                <c:pt idx="1">
                  <c:v>25.189197385629583</c:v>
                </c:pt>
                <c:pt idx="2">
                  <c:v>28.950607987393493</c:v>
                </c:pt>
                <c:pt idx="3">
                  <c:v>31.955302603077271</c:v>
                </c:pt>
                <c:pt idx="4">
                  <c:v>34.499064245421991</c:v>
                </c:pt>
                <c:pt idx="5">
                  <c:v>36.727070919219052</c:v>
                </c:pt>
                <c:pt idx="6">
                  <c:v>38.722714326983407</c:v>
                </c:pt>
                <c:pt idx="7">
                  <c:v>40.538860719587568</c:v>
                </c:pt>
                <c:pt idx="8">
                  <c:v>42.211389923606923</c:v>
                </c:pt>
                <c:pt idx="9">
                  <c:v>43.765905701878289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8-4B47-BB4B-49C388E1FF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Hoja4!$A$3:$A$12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Hoja4!$A$27:$A$36</c:f>
              <c:numCache>
                <c:formatCode>General</c:formatCode>
                <c:ptCount val="10"/>
                <c:pt idx="0">
                  <c:v>16.699002524629439</c:v>
                </c:pt>
                <c:pt idx="1">
                  <c:v>25.102187100631181</c:v>
                </c:pt>
                <c:pt idx="2">
                  <c:v>30.161409217984776</c:v>
                </c:pt>
                <c:pt idx="3">
                  <c:v>33.541468018596738</c:v>
                </c:pt>
                <c:pt idx="4">
                  <c:v>35.959353646102883</c:v>
                </c:pt>
                <c:pt idx="5">
                  <c:v>37.774717365431734</c:v>
                </c:pt>
                <c:pt idx="6">
                  <c:v>39.187823839928889</c:v>
                </c:pt>
                <c:pt idx="7">
                  <c:v>40.319038682448287</c:v>
                </c:pt>
                <c:pt idx="8">
                  <c:v>41.24506094552396</c:v>
                </c:pt>
                <c:pt idx="9">
                  <c:v>42.017078359869146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8-4B47-BB4B-49C388E1FF8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Hoja4!$A$3:$A$12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Hoja4!$A$40:$A$49</c:f>
              <c:numCache>
                <c:formatCode>General</c:formatCode>
                <c:ptCount val="10"/>
                <c:pt idx="0">
                  <c:v>18.248390335912148</c:v>
                </c:pt>
                <c:pt idx="1">
                  <c:v>23.937681376722207</c:v>
                </c:pt>
                <c:pt idx="2">
                  <c:v>28.822837521157364</c:v>
                </c:pt>
                <c:pt idx="3">
                  <c:v>32.903858769217635</c:v>
                </c:pt>
                <c:pt idx="4">
                  <c:v>36.180745120903012</c:v>
                </c:pt>
                <c:pt idx="5">
                  <c:v>38.653496576213499</c:v>
                </c:pt>
                <c:pt idx="6">
                  <c:v>40.322113135149081</c:v>
                </c:pt>
                <c:pt idx="7">
                  <c:v>41.186594797709787</c:v>
                </c:pt>
                <c:pt idx="8">
                  <c:v>41.246941563895589</c:v>
                </c:pt>
                <c:pt idx="9">
                  <c:v>40.503153433706501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18-4B47-BB4B-49C388E1F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32927"/>
        <c:axId val="636066959"/>
      </c:scatterChart>
      <c:valAx>
        <c:axId val="63743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36066959"/>
        <c:crosses val="autoZero"/>
        <c:crossBetween val="midCat"/>
      </c:valAx>
      <c:valAx>
        <c:axId val="6360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3743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247594050743659E-2"/>
          <c:y val="0.17171296296296298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Hoja4!$B$3:$B$12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31</c:v>
                </c:pt>
                <c:pt idx="3">
                  <c:v>33</c:v>
                </c:pt>
                <c:pt idx="4">
                  <c:v>37</c:v>
                </c:pt>
                <c:pt idx="5">
                  <c:v>37</c:v>
                </c:pt>
                <c:pt idx="6">
                  <c:v>40</c:v>
                </c:pt>
                <c:pt idx="7">
                  <c:v>40</c:v>
                </c:pt>
                <c:pt idx="8">
                  <c:v>42</c:v>
                </c:pt>
                <c:pt idx="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A-4392-BBAB-278739965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32031"/>
        <c:axId val="636148495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Hoja4!$A$3:$A$12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Hoja4!$D$5:$D$14</c:f>
              <c:numCache>
                <c:formatCode>General</c:formatCode>
                <c:ptCount val="10"/>
                <c:pt idx="0">
                  <c:v>23.072727272727274</c:v>
                </c:pt>
                <c:pt idx="1">
                  <c:v>25.545454545454547</c:v>
                </c:pt>
                <c:pt idx="2">
                  <c:v>28.018181818181819</c:v>
                </c:pt>
                <c:pt idx="3">
                  <c:v>30.490909090909092</c:v>
                </c:pt>
                <c:pt idx="4">
                  <c:v>32.963636363636368</c:v>
                </c:pt>
                <c:pt idx="5">
                  <c:v>35.436363636363637</c:v>
                </c:pt>
                <c:pt idx="6">
                  <c:v>37.909090909090907</c:v>
                </c:pt>
                <c:pt idx="7">
                  <c:v>40.381818181818183</c:v>
                </c:pt>
                <c:pt idx="8">
                  <c:v>42.854545454545459</c:v>
                </c:pt>
                <c:pt idx="9">
                  <c:v>45.327272727272728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EA-4392-BBAB-278739965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32031"/>
        <c:axId val="636148495"/>
      </c:scatterChart>
      <c:valAx>
        <c:axId val="62693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36148495"/>
        <c:crosses val="autoZero"/>
        <c:crossBetween val="midCat"/>
      </c:valAx>
      <c:valAx>
        <c:axId val="6361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2693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Hoja4!$B$3:$B$12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31</c:v>
                </c:pt>
                <c:pt idx="3">
                  <c:v>33</c:v>
                </c:pt>
                <c:pt idx="4">
                  <c:v>37</c:v>
                </c:pt>
                <c:pt idx="5">
                  <c:v>37</c:v>
                </c:pt>
                <c:pt idx="6">
                  <c:v>40</c:v>
                </c:pt>
                <c:pt idx="7">
                  <c:v>40</c:v>
                </c:pt>
                <c:pt idx="8">
                  <c:v>42</c:v>
                </c:pt>
                <c:pt idx="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0-41DE-BDBE-33856C5BCF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Hoja4!$A$3:$A$12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Hoja4!$A$15:$A$24</c:f>
              <c:numCache>
                <c:formatCode>General</c:formatCode>
                <c:ptCount val="10"/>
                <c:pt idx="0">
                  <c:v>19.855723878236926</c:v>
                </c:pt>
                <c:pt idx="1">
                  <c:v>25.189197385629583</c:v>
                </c:pt>
                <c:pt idx="2">
                  <c:v>28.950607987393493</c:v>
                </c:pt>
                <c:pt idx="3">
                  <c:v>31.955302603077271</c:v>
                </c:pt>
                <c:pt idx="4">
                  <c:v>34.499064245421991</c:v>
                </c:pt>
                <c:pt idx="5">
                  <c:v>36.727070919219052</c:v>
                </c:pt>
                <c:pt idx="6">
                  <c:v>38.722714326983407</c:v>
                </c:pt>
                <c:pt idx="7">
                  <c:v>40.538860719587568</c:v>
                </c:pt>
                <c:pt idx="8">
                  <c:v>42.211389923606923</c:v>
                </c:pt>
                <c:pt idx="9">
                  <c:v>43.765905701878289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30-41DE-BDBE-33856C5B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61647"/>
        <c:axId val="765698879"/>
      </c:scatterChart>
      <c:valAx>
        <c:axId val="65666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65698879"/>
        <c:crosses val="autoZero"/>
        <c:crossBetween val="midCat"/>
      </c:valAx>
      <c:valAx>
        <c:axId val="7656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666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295276</xdr:colOff>
      <xdr:row>1</xdr:row>
      <xdr:rowOff>14286</xdr:rowOff>
    </xdr:from>
    <xdr:to>
      <xdr:col>8</xdr:col>
      <xdr:colOff>95250</xdr:colOff>
      <xdr:row>11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000744-BDF7-441A-912B-C006F073D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14</xdr:row>
      <xdr:rowOff>109537</xdr:rowOff>
    </xdr:from>
    <xdr:to>
      <xdr:col>4</xdr:col>
      <xdr:colOff>85725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C36624-7847-44BD-B73F-2E86A0859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19</xdr:row>
      <xdr:rowOff>119062</xdr:rowOff>
    </xdr:from>
    <xdr:to>
      <xdr:col>9</xdr:col>
      <xdr:colOff>704850</xdr:colOff>
      <xdr:row>34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37633D-335D-4878-9EBB-6E5E95ECB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6</xdr:row>
      <xdr:rowOff>142875</xdr:rowOff>
    </xdr:from>
    <xdr:to>
      <xdr:col>7</xdr:col>
      <xdr:colOff>400049</xdr:colOff>
      <xdr:row>17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607994-76EC-420B-89C5-7B91F674B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17</xdr:row>
      <xdr:rowOff>23813</xdr:rowOff>
    </xdr:from>
    <xdr:to>
      <xdr:col>9</xdr:col>
      <xdr:colOff>28575</xdr:colOff>
      <xdr:row>26</xdr:row>
      <xdr:rowOff>76201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BDE474-DC79-4366-9BB1-BFE981E67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41</xdr:row>
      <xdr:rowOff>61912</xdr:rowOff>
    </xdr:from>
    <xdr:to>
      <xdr:col>11</xdr:col>
      <xdr:colOff>209550</xdr:colOff>
      <xdr:row>55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CF031B-D14A-4004-9A8F-F8E99A7DB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4</xdr:row>
      <xdr:rowOff>14287</xdr:rowOff>
    </xdr:from>
    <xdr:to>
      <xdr:col>10</xdr:col>
      <xdr:colOff>542925</xdr:colOff>
      <xdr:row>13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853368-D4A7-4456-983E-120EA5AB6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390525</xdr:colOff>
      <xdr:row>15</xdr:row>
      <xdr:rowOff>119062</xdr:rowOff>
    </xdr:from>
    <xdr:to>
      <xdr:col>11</xdr:col>
      <xdr:colOff>219075</xdr:colOff>
      <xdr:row>27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BA1F9FE-7B22-4C5D-B4BE-9E5F5BEB2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F406F-12B6-4682-9822-03E8FBCDB196}">
  <dimension ref="A1:L19"/>
  <sheetViews>
    <sheetView topLeftCell="A13" workbookViewId="0">
      <selection activeCell="I13" sqref="I13"/>
    </sheetView>
  </sheetViews>
  <sheetFormatPr baseColWidth="10" defaultRowHeight="15" x14ac:dyDescent="0.25"/>
  <cols>
    <col min="10" max="10" width="12" bestFit="1" customWidth="1"/>
  </cols>
  <sheetData>
    <row r="1" spans="1:12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10</v>
      </c>
      <c r="G1" t="s">
        <v>14</v>
      </c>
      <c r="H1" t="s">
        <v>11</v>
      </c>
      <c r="J1" t="s">
        <v>7</v>
      </c>
      <c r="K1" t="s">
        <v>9</v>
      </c>
      <c r="L1" t="s">
        <v>8</v>
      </c>
    </row>
    <row r="2" spans="1:12" x14ac:dyDescent="0.25">
      <c r="A2">
        <f>B2+273.15</f>
        <v>288.14999999999998</v>
      </c>
      <c r="B2">
        <v>15</v>
      </c>
      <c r="C2">
        <v>5</v>
      </c>
      <c r="D2">
        <f>LN(C2)</f>
        <v>1.6094379124341003</v>
      </c>
      <c r="E2">
        <f>1/A2</f>
        <v>3.4704147145583901E-3</v>
      </c>
      <c r="F2">
        <f>SUM(E2)*SUM(D2)</f>
        <v>5.5854170134794394E-3</v>
      </c>
      <c r="G2">
        <f>((6*SUM(F2:F7)-SUM(D2:D7)*SUM(E2:E7))/(6*SUM(J2:J7)-SUM(E2:E7)^2))</f>
        <v>-5176.5907228253354</v>
      </c>
      <c r="H2">
        <f>L2-G2*K2</f>
        <v>19.593932244178049</v>
      </c>
      <c r="J2">
        <f>E2^2</f>
        <v>1.2043778291023392E-5</v>
      </c>
      <c r="K2">
        <f>AVERAGE(E2:E7)</f>
        <v>3.2457874185465949E-3</v>
      </c>
      <c r="L2">
        <f>AVERAGE(D2:D7)</f>
        <v>2.7918192050665525</v>
      </c>
    </row>
    <row r="3" spans="1:12" x14ac:dyDescent="0.25">
      <c r="A3">
        <f t="shared" ref="A3:A7" si="0">B3+273.15</f>
        <v>299.84999999999997</v>
      </c>
      <c r="B3">
        <v>26.7</v>
      </c>
      <c r="C3">
        <v>10.4</v>
      </c>
      <c r="D3">
        <f t="shared" ref="D3:D7" si="1">LN(C3)</f>
        <v>2.341805806147327</v>
      </c>
      <c r="E3">
        <f t="shared" ref="E3:E7" si="2">1/A3</f>
        <v>3.3350008337502089E-3</v>
      </c>
      <c r="F3">
        <f t="shared" ref="F3:F7" si="3">SUM(E3)*SUM(D3)</f>
        <v>7.8099243159824158E-3</v>
      </c>
      <c r="J3">
        <f t="shared" ref="J3:J7" si="4">E3^2</f>
        <v>1.1122230561114589E-5</v>
      </c>
    </row>
    <row r="4" spans="1:12" x14ac:dyDescent="0.25">
      <c r="A4">
        <f t="shared" si="0"/>
        <v>306.25</v>
      </c>
      <c r="B4">
        <v>33.1</v>
      </c>
      <c r="C4">
        <v>15</v>
      </c>
      <c r="D4">
        <f t="shared" si="1"/>
        <v>2.7080502011022101</v>
      </c>
      <c r="E4">
        <f t="shared" si="2"/>
        <v>3.2653061224489797E-3</v>
      </c>
      <c r="F4">
        <f t="shared" si="3"/>
        <v>8.8426129015582375E-3</v>
      </c>
      <c r="J4">
        <f t="shared" si="4"/>
        <v>1.0662224073302792E-5</v>
      </c>
    </row>
    <row r="5" spans="1:12" x14ac:dyDescent="0.25">
      <c r="A5">
        <f t="shared" si="0"/>
        <v>311.75</v>
      </c>
      <c r="B5">
        <v>38.6</v>
      </c>
      <c r="C5">
        <v>20.100000000000001</v>
      </c>
      <c r="D5">
        <f t="shared" si="1"/>
        <v>3.0007198150650303</v>
      </c>
      <c r="E5">
        <f t="shared" si="2"/>
        <v>3.2076984763432237E-3</v>
      </c>
      <c r="F5">
        <f t="shared" si="3"/>
        <v>9.6254043787170184E-3</v>
      </c>
      <c r="J5">
        <f t="shared" si="4"/>
        <v>1.028932951513464E-5</v>
      </c>
    </row>
    <row r="6" spans="1:12" x14ac:dyDescent="0.25">
      <c r="A6">
        <f t="shared" si="0"/>
        <v>319.84999999999997</v>
      </c>
      <c r="B6">
        <v>46.7</v>
      </c>
      <c r="C6">
        <v>30.1</v>
      </c>
      <c r="D6">
        <f t="shared" si="1"/>
        <v>3.4045251717548299</v>
      </c>
      <c r="E6">
        <f t="shared" si="2"/>
        <v>3.1264655307175243E-3</v>
      </c>
      <c r="F6">
        <f t="shared" si="3"/>
        <v>1.0644130597951634E-2</v>
      </c>
      <c r="J6">
        <f t="shared" si="4"/>
        <v>9.7747867147648105E-6</v>
      </c>
    </row>
    <row r="7" spans="1:12" x14ac:dyDescent="0.25">
      <c r="A7">
        <f t="shared" si="0"/>
        <v>325.75</v>
      </c>
      <c r="B7">
        <v>52.6</v>
      </c>
      <c r="C7">
        <v>39.9</v>
      </c>
      <c r="D7">
        <f t="shared" si="1"/>
        <v>3.6863763238958178</v>
      </c>
      <c r="E7">
        <f t="shared" si="2"/>
        <v>3.0698388334612432E-3</v>
      </c>
      <c r="F7">
        <f t="shared" si="3"/>
        <v>1.1316581193847484E-2</v>
      </c>
      <c r="J7">
        <f t="shared" si="4"/>
        <v>9.4239104634266861E-6</v>
      </c>
    </row>
    <row r="12" spans="1:12" x14ac:dyDescent="0.25">
      <c r="A12" t="s">
        <v>12</v>
      </c>
    </row>
    <row r="13" spans="1:12" x14ac:dyDescent="0.25">
      <c r="A13" t="s">
        <v>13</v>
      </c>
      <c r="B13" t="s">
        <v>15</v>
      </c>
      <c r="C13" t="s">
        <v>16</v>
      </c>
      <c r="D13" t="s">
        <v>17</v>
      </c>
      <c r="E13" t="s">
        <v>18</v>
      </c>
      <c r="G13" t="s">
        <v>19</v>
      </c>
    </row>
    <row r="14" spans="1:12" x14ac:dyDescent="0.25">
      <c r="A14">
        <f>EXP($B$14-$C$14/A2)</f>
        <v>5.2875497391884201</v>
      </c>
      <c r="B14">
        <v>19.196097205683049</v>
      </c>
      <c r="C14">
        <v>5051.4833806100241</v>
      </c>
      <c r="D14">
        <f>(A14-C2)^2</f>
        <v>8.2684852507328419E-2</v>
      </c>
      <c r="E14">
        <f>SUM(D14:D19)</f>
        <v>0.13849342100945763</v>
      </c>
    </row>
    <row r="15" spans="1:12" x14ac:dyDescent="0.25">
      <c r="A15">
        <f t="shared" ref="A15:A20" si="5">EXP($B$14-$C$14/A3)</f>
        <v>10.479237511117967</v>
      </c>
      <c r="D15">
        <f t="shared" ref="D15:D19" si="6">(A15-C3)^2</f>
        <v>6.2785831681698833E-3</v>
      </c>
    </row>
    <row r="16" spans="1:12" x14ac:dyDescent="0.25">
      <c r="A16">
        <f t="shared" si="5"/>
        <v>14.901436169598956</v>
      </c>
      <c r="D16">
        <f t="shared" si="6"/>
        <v>9.71482866332583E-3</v>
      </c>
    </row>
    <row r="17" spans="1:4" x14ac:dyDescent="0.25">
      <c r="A17">
        <f t="shared" si="5"/>
        <v>19.934694629912073</v>
      </c>
      <c r="D17">
        <f t="shared" si="6"/>
        <v>2.7325865379906954E-2</v>
      </c>
    </row>
    <row r="18" spans="1:4" x14ac:dyDescent="0.25">
      <c r="A18">
        <f t="shared" si="5"/>
        <v>30.048373624789573</v>
      </c>
      <c r="D18">
        <f t="shared" si="6"/>
        <v>2.6652826173679646E-3</v>
      </c>
    </row>
    <row r="19" spans="1:4" x14ac:dyDescent="0.25">
      <c r="A19">
        <f t="shared" si="5"/>
        <v>39.999116137300433</v>
      </c>
      <c r="D19">
        <f t="shared" si="6"/>
        <v>9.824008673358595E-3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3614-8BCE-41EC-9695-D32A2C8480CE}">
  <dimension ref="A1:N26"/>
  <sheetViews>
    <sheetView workbookViewId="0">
      <selection activeCell="G18" sqref="G18"/>
    </sheetView>
  </sheetViews>
  <sheetFormatPr baseColWidth="10" defaultRowHeight="15" x14ac:dyDescent="0.25"/>
  <cols>
    <col min="7" max="7" width="12.7109375" bestFit="1" customWidth="1"/>
  </cols>
  <sheetData>
    <row r="1" spans="1:11" x14ac:dyDescent="0.25">
      <c r="A1" t="s">
        <v>20</v>
      </c>
      <c r="B1" t="s">
        <v>2</v>
      </c>
      <c r="C1" t="s">
        <v>0</v>
      </c>
      <c r="D1" t="s">
        <v>1</v>
      </c>
      <c r="F1" t="s">
        <v>15</v>
      </c>
      <c r="G1" t="s">
        <v>16</v>
      </c>
      <c r="H1" t="s">
        <v>21</v>
      </c>
      <c r="I1" t="s">
        <v>22</v>
      </c>
      <c r="J1" t="s">
        <v>17</v>
      </c>
      <c r="K1" t="s">
        <v>18</v>
      </c>
    </row>
    <row r="2" spans="1:11" x14ac:dyDescent="0.25">
      <c r="B2">
        <f>C2+273.15</f>
        <v>292.45</v>
      </c>
      <c r="C2">
        <v>19.3</v>
      </c>
      <c r="D2">
        <v>14.7</v>
      </c>
      <c r="F2">
        <v>18.132703511633288</v>
      </c>
      <c r="G2">
        <v>3495.8235484646539</v>
      </c>
      <c r="H2">
        <v>-66.491346630156258</v>
      </c>
      <c r="I2">
        <f>EXP($F$2-$G$2/($H$2+B2))</f>
        <v>14.319572294068035</v>
      </c>
      <c r="J2">
        <f>(D2-I2)^2</f>
        <v>0.14472523944065727</v>
      </c>
      <c r="K2">
        <f>SUM(J2:J14)</f>
        <v>2.132848540921243</v>
      </c>
    </row>
    <row r="3" spans="1:11" x14ac:dyDescent="0.25">
      <c r="B3">
        <f t="shared" ref="B3:B14" si="0">C3+273.15</f>
        <v>292.95</v>
      </c>
      <c r="C3">
        <v>19.8</v>
      </c>
      <c r="D3">
        <v>14.9</v>
      </c>
      <c r="I3">
        <f t="shared" ref="I3:I14" si="1">EXP($F$2-$G$2/($H$2+B3))</f>
        <v>14.817160688160122</v>
      </c>
      <c r="J3">
        <f t="shared" ref="J3:J14" si="2">(D3-I3)^2</f>
        <v>6.8623515861045929E-3</v>
      </c>
    </row>
    <row r="4" spans="1:11" x14ac:dyDescent="0.25">
      <c r="B4">
        <f t="shared" si="0"/>
        <v>297.64999999999998</v>
      </c>
      <c r="C4">
        <v>24.5</v>
      </c>
      <c r="D4">
        <v>20.399999999999999</v>
      </c>
      <c r="I4">
        <f t="shared" si="1"/>
        <v>20.280400253875612</v>
      </c>
      <c r="J4">
        <f t="shared" si="2"/>
        <v>1.4304099273017653E-2</v>
      </c>
    </row>
    <row r="5" spans="1:11" x14ac:dyDescent="0.25">
      <c r="B5">
        <f t="shared" si="0"/>
        <v>303.45</v>
      </c>
      <c r="C5">
        <v>30.3</v>
      </c>
      <c r="D5">
        <v>29.4</v>
      </c>
      <c r="I5">
        <f t="shared" si="1"/>
        <v>29.365467720408592</v>
      </c>
      <c r="J5">
        <f t="shared" si="2"/>
        <v>1.1924783337790685E-3</v>
      </c>
    </row>
    <row r="6" spans="1:11" x14ac:dyDescent="0.25">
      <c r="B6">
        <f t="shared" si="0"/>
        <v>303.45</v>
      </c>
      <c r="C6">
        <v>30.3</v>
      </c>
      <c r="D6">
        <v>29.5</v>
      </c>
      <c r="I6">
        <f t="shared" si="1"/>
        <v>29.365467720408592</v>
      </c>
      <c r="J6">
        <f t="shared" si="2"/>
        <v>1.8098934252060748E-2</v>
      </c>
    </row>
    <row r="7" spans="1:11" x14ac:dyDescent="0.25">
      <c r="B7">
        <f t="shared" si="0"/>
        <v>308.34999999999997</v>
      </c>
      <c r="C7">
        <v>35.200000000000003</v>
      </c>
      <c r="D7">
        <v>39.700000000000003</v>
      </c>
      <c r="I7">
        <f t="shared" si="1"/>
        <v>39.595259963002775</v>
      </c>
      <c r="J7">
        <f t="shared" si="2"/>
        <v>1.097047535018069E-2</v>
      </c>
    </row>
    <row r="8" spans="1:11" x14ac:dyDescent="0.25">
      <c r="B8">
        <f t="shared" si="0"/>
        <v>314.45</v>
      </c>
      <c r="C8">
        <v>41.3</v>
      </c>
      <c r="D8">
        <v>56.4</v>
      </c>
      <c r="I8">
        <f t="shared" si="1"/>
        <v>56.502807364006031</v>
      </c>
      <c r="J8">
        <f t="shared" si="2"/>
        <v>1.0569354093868917E-2</v>
      </c>
    </row>
    <row r="9" spans="1:11" x14ac:dyDescent="0.25">
      <c r="B9">
        <f t="shared" si="0"/>
        <v>321.25</v>
      </c>
      <c r="C9">
        <v>48.1</v>
      </c>
      <c r="D9">
        <v>81.3</v>
      </c>
      <c r="I9">
        <f t="shared" si="1"/>
        <v>82.319183657312678</v>
      </c>
      <c r="J9">
        <f t="shared" si="2"/>
        <v>1.0387353273332518</v>
      </c>
    </row>
    <row r="10" spans="1:11" x14ac:dyDescent="0.25">
      <c r="B10">
        <f t="shared" si="0"/>
        <v>328.54999999999995</v>
      </c>
      <c r="C10">
        <v>55.4</v>
      </c>
      <c r="D10">
        <v>120.4</v>
      </c>
      <c r="I10">
        <f t="shared" si="1"/>
        <v>120.64494630329307</v>
      </c>
      <c r="J10">
        <f t="shared" si="2"/>
        <v>5.999869149693688E-2</v>
      </c>
    </row>
    <row r="11" spans="1:11" x14ac:dyDescent="0.25">
      <c r="B11">
        <f t="shared" si="0"/>
        <v>338.84999999999997</v>
      </c>
      <c r="C11">
        <v>65.7</v>
      </c>
      <c r="D11">
        <v>199.4</v>
      </c>
      <c r="I11">
        <f t="shared" si="1"/>
        <v>199.80372210413157</v>
      </c>
      <c r="J11">
        <f t="shared" si="2"/>
        <v>0.16299153736441449</v>
      </c>
    </row>
    <row r="12" spans="1:11" x14ac:dyDescent="0.25">
      <c r="B12">
        <f t="shared" si="0"/>
        <v>347.75</v>
      </c>
      <c r="C12">
        <v>74.599999999999994</v>
      </c>
      <c r="D12">
        <v>300</v>
      </c>
      <c r="I12">
        <f t="shared" si="1"/>
        <v>299.91259700886451</v>
      </c>
      <c r="J12">
        <f t="shared" si="2"/>
        <v>7.6392828594307174E-3</v>
      </c>
    </row>
    <row r="13" spans="1:11" x14ac:dyDescent="0.25">
      <c r="B13">
        <f t="shared" si="0"/>
        <v>359.75</v>
      </c>
      <c r="C13">
        <v>86.6</v>
      </c>
      <c r="D13">
        <v>499.5</v>
      </c>
      <c r="I13">
        <f t="shared" si="1"/>
        <v>498.7417137397091</v>
      </c>
      <c r="J13">
        <f t="shared" si="2"/>
        <v>0.57499805254596115</v>
      </c>
    </row>
    <row r="14" spans="1:11" x14ac:dyDescent="0.25">
      <c r="B14">
        <f t="shared" si="0"/>
        <v>370.45</v>
      </c>
      <c r="C14">
        <v>97.3</v>
      </c>
      <c r="D14">
        <v>758.5</v>
      </c>
      <c r="I14">
        <f t="shared" si="1"/>
        <v>758.78594180700202</v>
      </c>
      <c r="J14">
        <f t="shared" si="2"/>
        <v>8.1762716991579498E-2</v>
      </c>
    </row>
    <row r="15" spans="1:11" x14ac:dyDescent="0.25">
      <c r="F15" t="s">
        <v>23</v>
      </c>
    </row>
    <row r="16" spans="1:11" x14ac:dyDescent="0.25">
      <c r="F16" t="s">
        <v>24</v>
      </c>
      <c r="H16" t="s">
        <v>25</v>
      </c>
      <c r="I16" t="s">
        <v>26</v>
      </c>
    </row>
    <row r="17" spans="6:14" x14ac:dyDescent="0.25">
      <c r="F17">
        <f>-$G$2/(LN(350)-$F$2)-$H$2</f>
        <v>351.2888171122334</v>
      </c>
      <c r="G17">
        <f>0.00165*H17^3-1.4798*H17^2+443.42*H17-44432-350</f>
        <v>2.3505886201746762E-4</v>
      </c>
      <c r="H17">
        <v>357.35119109835426</v>
      </c>
      <c r="I17">
        <v>350</v>
      </c>
    </row>
    <row r="18" spans="6:14" x14ac:dyDescent="0.25">
      <c r="F18">
        <f>-$G$2/(LN(758)-$F$2)-$H$2</f>
        <v>370.42261350085158</v>
      </c>
      <c r="G18">
        <f>0.00165*H18^3-1.4798*H18^2+443.42*H18-44432-758</f>
        <v>2.0076871442142874E-4</v>
      </c>
      <c r="H18">
        <v>374.75165847359324</v>
      </c>
      <c r="I18">
        <v>758</v>
      </c>
    </row>
    <row r="26" spans="6:14" x14ac:dyDescent="0.25">
      <c r="K26">
        <f>0.00016</f>
        <v>1.6000000000000001E-4</v>
      </c>
      <c r="L26">
        <f>350^3</f>
        <v>42875000</v>
      </c>
      <c r="N26">
        <f>K26*L26</f>
        <v>6860.0000000000009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1B5E-0A83-4399-9036-8DF9BE118C08}">
  <dimension ref="A1:L24"/>
  <sheetViews>
    <sheetView workbookViewId="0">
      <selection activeCell="K22" sqref="K22"/>
    </sheetView>
  </sheetViews>
  <sheetFormatPr baseColWidth="10" defaultRowHeight="15" x14ac:dyDescent="0.25"/>
  <sheetData>
    <row r="1" spans="1:12" x14ac:dyDescent="0.25">
      <c r="A1" t="s">
        <v>27</v>
      </c>
    </row>
    <row r="2" spans="1:12" x14ac:dyDescent="0.25">
      <c r="A2" t="s">
        <v>28</v>
      </c>
      <c r="B2" t="s">
        <v>29</v>
      </c>
      <c r="D2" t="s">
        <v>37</v>
      </c>
      <c r="E2" t="s">
        <v>30</v>
      </c>
      <c r="F2" t="s">
        <v>34</v>
      </c>
      <c r="G2" t="s">
        <v>33</v>
      </c>
      <c r="I2" t="s">
        <v>35</v>
      </c>
      <c r="J2" t="s">
        <v>36</v>
      </c>
      <c r="K2" t="s">
        <v>40</v>
      </c>
      <c r="L2" t="s">
        <v>31</v>
      </c>
    </row>
    <row r="3" spans="1:12" x14ac:dyDescent="0.25">
      <c r="A3">
        <v>0.5</v>
      </c>
      <c r="B3">
        <v>1.1000000000000001</v>
      </c>
      <c r="D3">
        <v>5</v>
      </c>
      <c r="F3">
        <f>(5*SUM(I3:I7)-SUM(A10:A14)*SUM(B10:B14))/(5*SUM(J3:J7)-SUM(A10:A14)^2)</f>
        <v>0.20248898968029247</v>
      </c>
      <c r="G3">
        <f>K3-F3*L3</f>
        <v>9.9396281429149358E-2</v>
      </c>
      <c r="I3">
        <f>A10*B10</f>
        <v>3.6363636363636362</v>
      </c>
      <c r="J3">
        <f>A10^2</f>
        <v>16</v>
      </c>
      <c r="K3">
        <f>AVERAGE(B10:B14)</f>
        <v>0.35167506379416269</v>
      </c>
      <c r="L3">
        <f>AVERAGE(A10:A14)</f>
        <v>1.245888888888889</v>
      </c>
    </row>
    <row r="4" spans="1:12" x14ac:dyDescent="0.25">
      <c r="A4">
        <v>0.8</v>
      </c>
      <c r="B4">
        <v>2.4</v>
      </c>
      <c r="I4">
        <f t="shared" ref="I4:I7" si="0">A11*B11</f>
        <v>0.65104166666666663</v>
      </c>
      <c r="J4">
        <f t="shared" ref="J4:J7" si="1">A11^2</f>
        <v>2.4414062499999991</v>
      </c>
    </row>
    <row r="5" spans="1:12" x14ac:dyDescent="0.25">
      <c r="A5">
        <v>1.5</v>
      </c>
      <c r="B5">
        <v>5.3</v>
      </c>
      <c r="E5" t="s">
        <v>32</v>
      </c>
      <c r="F5" t="s">
        <v>31</v>
      </c>
      <c r="I5">
        <f t="shared" si="0"/>
        <v>8.385744234800839E-2</v>
      </c>
      <c r="J5">
        <f t="shared" si="1"/>
        <v>0.19753086419753085</v>
      </c>
    </row>
    <row r="6" spans="1:12" x14ac:dyDescent="0.25">
      <c r="A6">
        <v>2.5</v>
      </c>
      <c r="B6">
        <v>7.6</v>
      </c>
      <c r="E6">
        <f>1/G3</f>
        <v>10.060738546972804</v>
      </c>
      <c r="F6">
        <f>F3*E6</f>
        <v>2.0371887838140967</v>
      </c>
      <c r="I6">
        <f t="shared" si="0"/>
        <v>2.1052631578947368E-2</v>
      </c>
      <c r="J6">
        <f t="shared" si="1"/>
        <v>2.5600000000000001E-2</v>
      </c>
    </row>
    <row r="7" spans="1:12" x14ac:dyDescent="0.25">
      <c r="A7">
        <v>4</v>
      </c>
      <c r="B7">
        <v>8.9</v>
      </c>
      <c r="I7">
        <f t="shared" si="0"/>
        <v>7.0224719101123594E-3</v>
      </c>
      <c r="J7">
        <f t="shared" si="1"/>
        <v>3.90625E-3</v>
      </c>
    </row>
    <row r="9" spans="1:12" x14ac:dyDescent="0.25">
      <c r="A9" t="s">
        <v>38</v>
      </c>
      <c r="B9" t="s">
        <v>39</v>
      </c>
    </row>
    <row r="10" spans="1:12" x14ac:dyDescent="0.25">
      <c r="A10">
        <f>1/A3^2</f>
        <v>4</v>
      </c>
      <c r="B10">
        <f>1/B3</f>
        <v>0.90909090909090906</v>
      </c>
    </row>
    <row r="11" spans="1:12" x14ac:dyDescent="0.25">
      <c r="A11">
        <f t="shared" ref="A11:A14" si="2">1/A4^2</f>
        <v>1.5624999999999998</v>
      </c>
      <c r="B11">
        <f t="shared" ref="B11:B14" si="3">1/B4</f>
        <v>0.41666666666666669</v>
      </c>
    </row>
    <row r="12" spans="1:12" x14ac:dyDescent="0.25">
      <c r="A12">
        <f t="shared" si="2"/>
        <v>0.44444444444444442</v>
      </c>
      <c r="B12">
        <f t="shared" si="3"/>
        <v>0.18867924528301888</v>
      </c>
    </row>
    <row r="13" spans="1:12" x14ac:dyDescent="0.25">
      <c r="A13">
        <f t="shared" si="2"/>
        <v>0.16</v>
      </c>
      <c r="B13">
        <f t="shared" si="3"/>
        <v>0.13157894736842105</v>
      </c>
    </row>
    <row r="14" spans="1:12" x14ac:dyDescent="0.25">
      <c r="A14">
        <f t="shared" si="2"/>
        <v>6.25E-2</v>
      </c>
      <c r="B14">
        <f t="shared" si="3"/>
        <v>0.11235955056179775</v>
      </c>
    </row>
    <row r="19" spans="1:11" x14ac:dyDescent="0.25">
      <c r="A19" t="s">
        <v>41</v>
      </c>
      <c r="B19" t="s">
        <v>31</v>
      </c>
      <c r="C19" t="s">
        <v>42</v>
      </c>
      <c r="D19" t="s">
        <v>17</v>
      </c>
      <c r="E19" t="s">
        <v>18</v>
      </c>
      <c r="K19" t="s">
        <v>43</v>
      </c>
    </row>
    <row r="20" spans="1:11" x14ac:dyDescent="0.25">
      <c r="A20">
        <v>10.035741642179763</v>
      </c>
      <c r="B20">
        <v>2.0178811613339236</v>
      </c>
      <c r="C20">
        <f>$A$20*A3^2/($B$20+A3^2)</f>
        <v>1.1062905117432316</v>
      </c>
      <c r="D20">
        <f>(B3-C20)^2</f>
        <v>3.9570537991733088E-5</v>
      </c>
      <c r="E20">
        <f>SUM(D20:D24)</f>
        <v>7.227118757109364E-4</v>
      </c>
      <c r="J20" t="s">
        <v>45</v>
      </c>
      <c r="K20">
        <f>A20*2^2/(4+B20)</f>
        <v>6.6706147051632652</v>
      </c>
    </row>
    <row r="21" spans="1:11" x14ac:dyDescent="0.25">
      <c r="C21">
        <f t="shared" ref="C21:C24" si="4">$A$20*A4^2/($B$20+A4^2)</f>
        <v>2.4165394391717538</v>
      </c>
      <c r="D21">
        <f t="shared" ref="D21:D24" si="5">(B4-C21)^2</f>
        <v>2.7355304811614844E-4</v>
      </c>
      <c r="J21" t="s">
        <v>44</v>
      </c>
      <c r="K21">
        <f>E6*4/(4+F6)</f>
        <v>6.6658432639681413</v>
      </c>
    </row>
    <row r="22" spans="1:11" x14ac:dyDescent="0.25">
      <c r="C22">
        <f t="shared" si="4"/>
        <v>5.2907796260772573</v>
      </c>
      <c r="D22">
        <f t="shared" si="5"/>
        <v>8.5015295275190893E-5</v>
      </c>
    </row>
    <row r="23" spans="1:11" x14ac:dyDescent="0.25">
      <c r="C23">
        <f t="shared" si="4"/>
        <v>7.58639172959567</v>
      </c>
      <c r="D23">
        <f t="shared" si="5"/>
        <v>1.8518502339735448E-4</v>
      </c>
    </row>
    <row r="24" spans="1:11" x14ac:dyDescent="0.25">
      <c r="C24">
        <f t="shared" si="4"/>
        <v>8.9118062682897907</v>
      </c>
      <c r="D24">
        <f t="shared" si="5"/>
        <v>1.3938797093050956E-4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D887-92CE-4C89-87E2-1F484BAFD48E}">
  <dimension ref="A1:J49"/>
  <sheetViews>
    <sheetView tabSelected="1" topLeftCell="A19" workbookViewId="0">
      <selection activeCell="I49" sqref="I49"/>
    </sheetView>
  </sheetViews>
  <sheetFormatPr baseColWidth="10" defaultRowHeight="15" x14ac:dyDescent="0.25"/>
  <sheetData>
    <row r="1" spans="1:10" x14ac:dyDescent="0.25">
      <c r="A1" t="s">
        <v>46</v>
      </c>
    </row>
    <row r="2" spans="1:10" x14ac:dyDescent="0.25">
      <c r="A2" t="s">
        <v>47</v>
      </c>
      <c r="B2" t="s">
        <v>48</v>
      </c>
      <c r="D2" t="s">
        <v>5</v>
      </c>
      <c r="E2" t="s">
        <v>6</v>
      </c>
      <c r="F2" t="s">
        <v>49</v>
      </c>
      <c r="G2" t="s">
        <v>7</v>
      </c>
      <c r="I2" t="s">
        <v>50</v>
      </c>
      <c r="J2" t="s">
        <v>51</v>
      </c>
    </row>
    <row r="3" spans="1:10" x14ac:dyDescent="0.25">
      <c r="A3">
        <v>5</v>
      </c>
      <c r="B3">
        <v>17</v>
      </c>
      <c r="D3">
        <f>(10*SUM(F3:F12)-SUM(A3:A12)*SUM(B3:B12))/(10*SUM(G3:G12)-SUM(A3:A12)^2)</f>
        <v>0.49454545454545457</v>
      </c>
      <c r="E3">
        <f>J3-I3*D3</f>
        <v>20.6</v>
      </c>
      <c r="F3">
        <f>A3*B3</f>
        <v>85</v>
      </c>
      <c r="G3">
        <f>A3^2</f>
        <v>25</v>
      </c>
      <c r="I3">
        <f>AVERAGE(A3:A12)</f>
        <v>27.5</v>
      </c>
      <c r="J3">
        <f>AVERAGE(B3:B12)</f>
        <v>34.200000000000003</v>
      </c>
    </row>
    <row r="4" spans="1:10" x14ac:dyDescent="0.25">
      <c r="A4">
        <v>10</v>
      </c>
      <c r="B4">
        <v>24</v>
      </c>
      <c r="D4" t="s">
        <v>52</v>
      </c>
      <c r="F4">
        <f t="shared" ref="F4:F12" si="0">A4*B4</f>
        <v>240</v>
      </c>
      <c r="G4">
        <f t="shared" ref="G4:G12" si="1">A4^2</f>
        <v>100</v>
      </c>
    </row>
    <row r="5" spans="1:10" x14ac:dyDescent="0.25">
      <c r="A5">
        <v>15</v>
      </c>
      <c r="B5">
        <v>31</v>
      </c>
      <c r="D5">
        <f>$D$3*A3+$E$3</f>
        <v>23.072727272727274</v>
      </c>
      <c r="F5">
        <f t="shared" si="0"/>
        <v>465</v>
      </c>
      <c r="G5">
        <f t="shared" si="1"/>
        <v>225</v>
      </c>
    </row>
    <row r="6" spans="1:10" x14ac:dyDescent="0.25">
      <c r="A6">
        <v>20</v>
      </c>
      <c r="B6">
        <v>33</v>
      </c>
      <c r="D6">
        <f>$D$3*A4+$E$3</f>
        <v>25.545454545454547</v>
      </c>
      <c r="F6">
        <f t="shared" si="0"/>
        <v>660</v>
      </c>
      <c r="G6">
        <f t="shared" si="1"/>
        <v>400</v>
      </c>
    </row>
    <row r="7" spans="1:10" x14ac:dyDescent="0.25">
      <c r="A7">
        <v>25</v>
      </c>
      <c r="B7">
        <v>37</v>
      </c>
      <c r="D7">
        <f>$D$3*A5+$E$3</f>
        <v>28.018181818181819</v>
      </c>
      <c r="F7">
        <f t="shared" si="0"/>
        <v>925</v>
      </c>
      <c r="G7">
        <f t="shared" si="1"/>
        <v>625</v>
      </c>
    </row>
    <row r="8" spans="1:10" x14ac:dyDescent="0.25">
      <c r="A8">
        <v>30</v>
      </c>
      <c r="B8">
        <v>37</v>
      </c>
      <c r="D8">
        <f>$D$3*A6+$E$3</f>
        <v>30.490909090909092</v>
      </c>
      <c r="F8">
        <f t="shared" si="0"/>
        <v>1110</v>
      </c>
      <c r="G8">
        <f t="shared" si="1"/>
        <v>900</v>
      </c>
    </row>
    <row r="9" spans="1:10" x14ac:dyDescent="0.25">
      <c r="A9">
        <v>35</v>
      </c>
      <c r="B9">
        <v>40</v>
      </c>
      <c r="D9">
        <f>$D$3*A7+$E$3</f>
        <v>32.963636363636368</v>
      </c>
      <c r="F9">
        <f t="shared" si="0"/>
        <v>1400</v>
      </c>
      <c r="G9">
        <f t="shared" si="1"/>
        <v>1225</v>
      </c>
    </row>
    <row r="10" spans="1:10" x14ac:dyDescent="0.25">
      <c r="A10">
        <v>40</v>
      </c>
      <c r="B10">
        <v>40</v>
      </c>
      <c r="D10">
        <f>$D$3*A8+$E$3</f>
        <v>35.436363636363637</v>
      </c>
      <c r="F10">
        <f t="shared" si="0"/>
        <v>1600</v>
      </c>
      <c r="G10">
        <f t="shared" si="1"/>
        <v>1600</v>
      </c>
    </row>
    <row r="11" spans="1:10" x14ac:dyDescent="0.25">
      <c r="A11">
        <v>45</v>
      </c>
      <c r="B11">
        <v>42</v>
      </c>
      <c r="D11">
        <f>$D$3*A9+$E$3</f>
        <v>37.909090909090907</v>
      </c>
      <c r="F11">
        <f t="shared" si="0"/>
        <v>1890</v>
      </c>
      <c r="G11">
        <f t="shared" si="1"/>
        <v>2025</v>
      </c>
    </row>
    <row r="12" spans="1:10" x14ac:dyDescent="0.25">
      <c r="A12">
        <v>50</v>
      </c>
      <c r="B12">
        <v>41</v>
      </c>
      <c r="D12">
        <f>$D$3*A10+$E$3</f>
        <v>40.381818181818183</v>
      </c>
      <c r="F12">
        <f t="shared" si="0"/>
        <v>2050</v>
      </c>
      <c r="G12">
        <f t="shared" si="1"/>
        <v>2500</v>
      </c>
    </row>
    <row r="13" spans="1:10" x14ac:dyDescent="0.25">
      <c r="D13">
        <f>$D$3*A11+$E$3</f>
        <v>42.854545454545459</v>
      </c>
    </row>
    <row r="14" spans="1:10" x14ac:dyDescent="0.25">
      <c r="A14" t="s">
        <v>53</v>
      </c>
      <c r="B14" t="s">
        <v>54</v>
      </c>
      <c r="C14" t="s">
        <v>55</v>
      </c>
      <c r="D14">
        <f>$D$3*A12+$E$3</f>
        <v>45.327272727272728</v>
      </c>
      <c r="F14" t="s">
        <v>17</v>
      </c>
      <c r="G14" t="s">
        <v>56</v>
      </c>
    </row>
    <row r="15" spans="1:10" x14ac:dyDescent="0.25">
      <c r="A15">
        <f>$B$15*A3^$C$15</f>
        <v>19.855723878236926</v>
      </c>
      <c r="B15">
        <v>11.427839547303225</v>
      </c>
      <c r="C15">
        <v>0.3432501955668425</v>
      </c>
      <c r="F15">
        <f>(B3-A15)^2</f>
        <v>8.1551588687325491</v>
      </c>
      <c r="G15">
        <f>SUM(F15:F24)</f>
        <v>30.80666911194912</v>
      </c>
    </row>
    <row r="16" spans="1:10" x14ac:dyDescent="0.25">
      <c r="A16">
        <f t="shared" ref="A16:A24" si="2">$B$15*A4^$C$15</f>
        <v>25.189197385629583</v>
      </c>
      <c r="F16">
        <f t="shared" ref="F16:F24" si="3">(B4-A16)^2</f>
        <v>1.4141904219882362</v>
      </c>
    </row>
    <row r="17" spans="1:6" x14ac:dyDescent="0.25">
      <c r="A17">
        <f t="shared" si="2"/>
        <v>28.950607987393493</v>
      </c>
      <c r="F17">
        <f t="shared" si="3"/>
        <v>4.2000076213353497</v>
      </c>
    </row>
    <row r="18" spans="1:6" x14ac:dyDescent="0.25">
      <c r="A18">
        <f t="shared" si="2"/>
        <v>31.955302603077271</v>
      </c>
      <c r="F18">
        <f t="shared" si="3"/>
        <v>1.0913926511371252</v>
      </c>
    </row>
    <row r="19" spans="1:6" x14ac:dyDescent="0.25">
      <c r="A19">
        <f t="shared" si="2"/>
        <v>34.499064245421991</v>
      </c>
      <c r="F19">
        <f t="shared" si="3"/>
        <v>6.2546796485266754</v>
      </c>
    </row>
    <row r="20" spans="1:6" x14ac:dyDescent="0.25">
      <c r="A20">
        <f t="shared" si="2"/>
        <v>36.727070919219052</v>
      </c>
      <c r="F20">
        <f t="shared" si="3"/>
        <v>7.4490283135933061E-2</v>
      </c>
    </row>
    <row r="21" spans="1:6" x14ac:dyDescent="0.25">
      <c r="A21">
        <f t="shared" si="2"/>
        <v>38.722714326983407</v>
      </c>
      <c r="F21">
        <f t="shared" si="3"/>
        <v>1.63145869049345</v>
      </c>
    </row>
    <row r="22" spans="1:6" x14ac:dyDescent="0.25">
      <c r="A22">
        <f t="shared" si="2"/>
        <v>40.538860719587568</v>
      </c>
      <c r="F22">
        <f t="shared" si="3"/>
        <v>0.29037087511443144</v>
      </c>
    </row>
    <row r="23" spans="1:6" x14ac:dyDescent="0.25">
      <c r="A23">
        <f t="shared" si="2"/>
        <v>42.211389923606923</v>
      </c>
      <c r="F23">
        <f t="shared" si="3"/>
        <v>4.4685699802540738E-2</v>
      </c>
    </row>
    <row r="24" spans="1:6" x14ac:dyDescent="0.25">
      <c r="A24">
        <f t="shared" si="2"/>
        <v>43.765905701878289</v>
      </c>
      <c r="F24">
        <f t="shared" si="3"/>
        <v>7.6502343516828297</v>
      </c>
    </row>
    <row r="26" spans="1:6" x14ac:dyDescent="0.25">
      <c r="A26" t="s">
        <v>57</v>
      </c>
      <c r="B26" t="s">
        <v>58</v>
      </c>
      <c r="C26" t="s">
        <v>59</v>
      </c>
      <c r="D26" t="s">
        <v>17</v>
      </c>
      <c r="E26" t="s">
        <v>18</v>
      </c>
    </row>
    <row r="27" spans="1:6" x14ac:dyDescent="0.25">
      <c r="A27">
        <f>$B$27*A3/($C$27+A3)</f>
        <v>16.699002524629439</v>
      </c>
      <c r="B27">
        <v>50.529253216857555</v>
      </c>
      <c r="C27">
        <v>10.129422593454825</v>
      </c>
      <c r="D27">
        <f>(B3-A27)^2</f>
        <v>9.0599480179451672E-2</v>
      </c>
      <c r="E27">
        <f>SUM(D27:D36)</f>
        <v>6.3507669919755347</v>
      </c>
    </row>
    <row r="28" spans="1:6" x14ac:dyDescent="0.25">
      <c r="A28">
        <f t="shared" ref="A28:A36" si="4">$B$27*A4/($C$27+A4)</f>
        <v>25.102187100631181</v>
      </c>
      <c r="D28">
        <f t="shared" ref="D28:D36" si="5">(B4-A28)^2</f>
        <v>1.2148164047977681</v>
      </c>
    </row>
    <row r="29" spans="1:6" x14ac:dyDescent="0.25">
      <c r="A29">
        <f t="shared" si="4"/>
        <v>30.161409217984776</v>
      </c>
      <c r="D29">
        <f t="shared" si="5"/>
        <v>0.70323449968090512</v>
      </c>
    </row>
    <row r="30" spans="1:6" x14ac:dyDescent="0.25">
      <c r="A30">
        <f t="shared" si="4"/>
        <v>33.541468018596738</v>
      </c>
      <c r="D30">
        <f t="shared" si="5"/>
        <v>0.2931876151630779</v>
      </c>
    </row>
    <row r="31" spans="1:6" x14ac:dyDescent="0.25">
      <c r="A31">
        <f t="shared" si="4"/>
        <v>35.959353646102883</v>
      </c>
      <c r="D31">
        <f t="shared" si="5"/>
        <v>1.082944833879363</v>
      </c>
    </row>
    <row r="32" spans="1:6" x14ac:dyDescent="0.25">
      <c r="A32">
        <f t="shared" si="4"/>
        <v>37.774717365431734</v>
      </c>
      <c r="D32">
        <f t="shared" si="5"/>
        <v>0.60018699630148631</v>
      </c>
    </row>
    <row r="33" spans="1:6" x14ac:dyDescent="0.25">
      <c r="A33">
        <f t="shared" si="4"/>
        <v>39.187823839928889</v>
      </c>
      <c r="D33">
        <f t="shared" si="5"/>
        <v>0.65963011498785495</v>
      </c>
    </row>
    <row r="34" spans="1:6" x14ac:dyDescent="0.25">
      <c r="A34">
        <f t="shared" si="4"/>
        <v>40.319038682448287</v>
      </c>
      <c r="D34">
        <f t="shared" si="5"/>
        <v>0.101785680898339</v>
      </c>
    </row>
    <row r="35" spans="1:6" x14ac:dyDescent="0.25">
      <c r="A35">
        <f t="shared" si="4"/>
        <v>41.24506094552396</v>
      </c>
      <c r="D35">
        <f t="shared" si="5"/>
        <v>0.56993297597317716</v>
      </c>
    </row>
    <row r="36" spans="1:6" x14ac:dyDescent="0.25">
      <c r="A36">
        <f t="shared" si="4"/>
        <v>42.017078359869146</v>
      </c>
      <c r="D36">
        <f t="shared" si="5"/>
        <v>1.0344483901141115</v>
      </c>
    </row>
    <row r="39" spans="1:6" x14ac:dyDescent="0.25">
      <c r="A39" t="s">
        <v>60</v>
      </c>
      <c r="B39" t="s">
        <v>58</v>
      </c>
      <c r="C39" t="s">
        <v>59</v>
      </c>
      <c r="D39" t="s">
        <v>61</v>
      </c>
      <c r="E39" t="s">
        <v>17</v>
      </c>
      <c r="F39" t="s">
        <v>18</v>
      </c>
    </row>
    <row r="40" spans="1:6" x14ac:dyDescent="0.25">
      <c r="A40">
        <f>$B$40+$C$40*A3+A3^2*$D$40</f>
        <v>18.248390335912148</v>
      </c>
      <c r="B40">
        <v>11.7549643987272</v>
      </c>
      <c r="C40">
        <v>1.3790986770744789</v>
      </c>
      <c r="D40">
        <v>-1.6082697927497856E-2</v>
      </c>
      <c r="E40">
        <f>(B3-A40)^2</f>
        <v>1.5584784307988468</v>
      </c>
      <c r="F40">
        <f>SUM(E40:E49)</f>
        <v>12.042588726029789</v>
      </c>
    </row>
    <row r="41" spans="1:6" x14ac:dyDescent="0.25">
      <c r="A41">
        <f t="shared" ref="A41:A49" si="6">$B$40+$C$40*A4+A4^2*$D$40</f>
        <v>23.937681376722207</v>
      </c>
      <c r="E41">
        <f t="shared" ref="E41:E49" si="7">(B4-A41)^2</f>
        <v>3.8836108072395148E-3</v>
      </c>
    </row>
    <row r="42" spans="1:6" x14ac:dyDescent="0.25">
      <c r="A42">
        <f t="shared" si="6"/>
        <v>28.822837521157364</v>
      </c>
      <c r="E42">
        <f t="shared" si="7"/>
        <v>4.7400364592802102</v>
      </c>
    </row>
    <row r="43" spans="1:6" x14ac:dyDescent="0.25">
      <c r="A43">
        <f t="shared" si="6"/>
        <v>32.903858769217635</v>
      </c>
      <c r="E43">
        <f t="shared" si="7"/>
        <v>9.2431362563479731E-3</v>
      </c>
    </row>
    <row r="44" spans="1:6" x14ac:dyDescent="0.25">
      <c r="A44">
        <f t="shared" si="6"/>
        <v>36.180745120903012</v>
      </c>
      <c r="E44">
        <f t="shared" si="7"/>
        <v>0.67117855692422046</v>
      </c>
    </row>
    <row r="45" spans="1:6" x14ac:dyDescent="0.25">
      <c r="A45">
        <f t="shared" si="6"/>
        <v>38.653496576213499</v>
      </c>
      <c r="E45">
        <f t="shared" si="7"/>
        <v>2.7340509275497626</v>
      </c>
    </row>
    <row r="46" spans="1:6" x14ac:dyDescent="0.25">
      <c r="A46">
        <f t="shared" si="6"/>
        <v>40.322113135149081</v>
      </c>
      <c r="E46">
        <f t="shared" si="7"/>
        <v>0.10375687183557021</v>
      </c>
    </row>
    <row r="47" spans="1:6" x14ac:dyDescent="0.25">
      <c r="A47">
        <f t="shared" si="6"/>
        <v>41.186594797709787</v>
      </c>
      <c r="E47">
        <f t="shared" si="7"/>
        <v>1.4080072139519315</v>
      </c>
    </row>
    <row r="48" spans="1:6" x14ac:dyDescent="0.25">
      <c r="A48">
        <f t="shared" si="6"/>
        <v>41.246941563895589</v>
      </c>
      <c r="E48">
        <f t="shared" si="7"/>
        <v>0.56709700818802067</v>
      </c>
    </row>
    <row r="49" spans="1:5" x14ac:dyDescent="0.25">
      <c r="A49">
        <f t="shared" si="6"/>
        <v>40.503153433706501</v>
      </c>
      <c r="E49">
        <f t="shared" si="7"/>
        <v>0.24685651043764018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78E9-C537-4116-B67B-2256DC6A40B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Falcioni, Benjamín Ignacio</dc:creator>
  <cp:lastModifiedBy>Falcioni, Benjamín Ignacio</cp:lastModifiedBy>
  <dcterms:created xsi:type="dcterms:W3CDTF">2023-10-10T12:01:28Z</dcterms:created>
  <dcterms:modified xsi:type="dcterms:W3CDTF">2023-10-10T14:53:07Z</dcterms:modified>
</cp:coreProperties>
</file>