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stos operacionales anuales" sheetId="1" r:id="rId4"/>
    <sheet state="visible" name="Resumen" sheetId="2" r:id="rId5"/>
  </sheets>
  <definedNames/>
  <calcPr/>
</workbook>
</file>

<file path=xl/sharedStrings.xml><?xml version="1.0" encoding="utf-8"?>
<sst xmlns="http://schemas.openxmlformats.org/spreadsheetml/2006/main" count="136" uniqueCount="96">
  <si>
    <t>Gastos operacionales</t>
  </si>
  <si>
    <t>AÑO 0</t>
  </si>
  <si>
    <t>AÑO 1</t>
  </si>
  <si>
    <t>AÑO 2</t>
  </si>
  <si>
    <t>AÑO 3</t>
  </si>
  <si>
    <t>AÑO 4</t>
  </si>
  <si>
    <t>AÑO 5</t>
  </si>
  <si>
    <t>Casa matriz</t>
  </si>
  <si>
    <t>https://www.nuroa.cl/adform/7960114639486244349?click_type=0&amp;pos=10&amp;siteStrategyKey=https%3A%2F%2Fwww.nuroa.cl&amp;url=http%253A%252F%252Fwww.lifullconnect.com%252FfakeAdUrl%253Fid%253D104aa45a-df36-4567-b11b-d2bcdc9922a8&amp;searchType=2&amp;page=1&amp;seo_link_id=2790088&amp;section=1&amp;t_sec=1&amp;sectionType=1&amp;pageViewId=d5231c2a-03fa-465f-aee4-f7530822ea33&amp;t_pvid=d5231c2a-03fa-465f-aee4-f7530822ea33&amp;userAgent=Mozilla%2F5.0+%28Windows+NT+10.0%3B+Win64%3B+x64%29+AppleWebKit%2F537.36+%28KHTML%2C+like+Gecko%29+Chrome%2F96.0.4664.110+Safari%2F537.36&amp;browser=1&amp;isHuman=true&amp;userIp=143.255.106.132&amp;what=arriendo+oficinas+por+mes+santiago&amp;search_terms=arriendo+oficinas+por+mes+santiago&amp;origin=2&amp;t_or=2&amp;splitTestId=0</t>
  </si>
  <si>
    <t>Internet</t>
  </si>
  <si>
    <t>6067665c/u</t>
  </si>
  <si>
    <t>Mensual</t>
  </si>
  <si>
    <t>Computadores</t>
  </si>
  <si>
    <t>https://ofertas.movistar.cl/empresas/servicios-fijos-moviles/multioferta/?tab=bam&amp;campaign=CL_FIJO_COL-FIBRA-B2B_20-07-17_SEM_LDS-WEB_AON_BRAND-INTERNET_ABT&amp;adgroupid=58700006207911357&amp;keyword=p59016175263&amp;lid=43700059016175263&amp;ds_s_kwgid=58700006207911357&amp;&amp;ds_e_adid=451201186221&amp;ds_e_matchtype=search&amp;ds_e_device=c&amp;ds_e_network=g&amp;&amp;ds_url_v=2&amp;&amp;bidkw=internet%20+empresas&amp;dvc=c&amp;h=https://ofertas.movistar.cl/empresas/servicios-fijos-moviles/multioferta/?tab=bam&amp;campaign=CL_FIJO_COL-FIBRA-B2B_20-07-17_SEM_LDS-WEB_AON_BRAND-INTERNET_ABT&amp;adgroupid=58700006207911357&amp;keyword=p59016175263&amp;lid=43700059016175263&amp;ds_s_kwgid=58700006207911357&amp;&amp;ds_e_adid=451201186221&amp;ds_e_matchtype=search&amp;ds_e_device=c&amp;ds_e_network=g&amp;&amp;ds_url_v=2&amp;gclsrc=aw.ds&amp;http://clickserve.dartsearch.net/link/click&amp;lid=43700059016175263&amp;ds_s_kwgid=58700006207911357&amp;gclid=CjwKCAiArOqOBhBmEiwAsgeLmbX-siOFXewWpkKsrO2DxUfvmfZZQjutAGK9iRvA6Rz_XWEzvsjauxoCgu8QAvD_BwE&amp;gclsrc=aw.ds</t>
  </si>
  <si>
    <t>Servidor</t>
  </si>
  <si>
    <t>36990c/u</t>
  </si>
  <si>
    <t>Mantención</t>
  </si>
  <si>
    <t>Computadores(5 por dpto)</t>
  </si>
  <si>
    <t>https://www.hp.com/cl-es/shop/notebook-hp-pavilion-15-eh0005la-310g5la.html?gclid=CjwKCAiArOqOBhBmEiwAsgeLmT2NsFyfr6eZcd1i38BcpQs3Ro16FIgexYWSId0n4En7MZGxUhoQBhoC8WUQAvD_BwE&amp;gclsrc=aw.ds</t>
  </si>
  <si>
    <t>Encargado TI</t>
  </si>
  <si>
    <t>449990c/u</t>
  </si>
  <si>
    <t>Una vez</t>
  </si>
  <si>
    <t>Desarrollador</t>
  </si>
  <si>
    <t>Servidor(1 por dpto)</t>
  </si>
  <si>
    <t>https://www.hostingplus.cl/servidores-dedicados/servidores-housing-dedicados.htm</t>
  </si>
  <si>
    <t>Electrico Industrial</t>
  </si>
  <si>
    <t>239900c/u</t>
  </si>
  <si>
    <t>Tester</t>
  </si>
  <si>
    <t>Mantención(por equipo)</t>
  </si>
  <si>
    <t>https://pc-tech.cl/servicio-tecnico-informatico-para-empresas/</t>
  </si>
  <si>
    <t>Stakeholders</t>
  </si>
  <si>
    <t>8990c/u</t>
  </si>
  <si>
    <t>Jefe proyecto</t>
  </si>
  <si>
    <t>INV</t>
  </si>
  <si>
    <t>aprox</t>
  </si>
  <si>
    <t>Costo de manufactura (materiales y mano de obra)</t>
  </si>
  <si>
    <t>https://andro4all.com/2019/09/fabricar-movil-coste</t>
  </si>
  <si>
    <t>60% * costo de venta del producto</t>
  </si>
  <si>
    <t>Producto/Servicio</t>
  </si>
  <si>
    <t>Precio de venta</t>
  </si>
  <si>
    <t>inv total</t>
  </si>
  <si>
    <t>año1=año0*1,072</t>
  </si>
  <si>
    <t>Pizarra Smart</t>
  </si>
  <si>
    <t>3M</t>
  </si>
  <si>
    <t>deprec</t>
  </si>
  <si>
    <t>Tablet</t>
  </si>
  <si>
    <t>200k</t>
  </si>
  <si>
    <t>Licencia Software Educacional</t>
  </si>
  <si>
    <t>1 M</t>
  </si>
  <si>
    <t>Anual</t>
  </si>
  <si>
    <t>Set estudio profesional</t>
  </si>
  <si>
    <t>2M</t>
  </si>
  <si>
    <t>Personal</t>
  </si>
  <si>
    <t>https://cl.talent.com/salary?job=encargado+ti#:~:text=El%20salario%20encargado%20ti%20promedio,con%20un%20ingreso%20de%20%247.800.</t>
  </si>
  <si>
    <t xml:space="preserve">Desarrollador </t>
  </si>
  <si>
    <t>https://cl.talent.com/salary?job=desarrollador</t>
  </si>
  <si>
    <t>https://cl.talent.com/salary?job=t%C3%A9cnico+electricista</t>
  </si>
  <si>
    <t>Ayudantía</t>
  </si>
  <si>
    <t>Stakeholers educación profes</t>
  </si>
  <si>
    <t>https://cursando.cl/pedagogia/cuanto-gana-profesor-chile-sueldos-pedagogias/</t>
  </si>
  <si>
    <t>Jefe de proyecto</t>
  </si>
  <si>
    <t>https://cl.talent.com/salary?job=jefe+de+proyecto#:~:text=El%20salario%20jefe%20de%20proyecto,m%C3%A1s%20experimentados%20perciben%20hasta%20%2426.555.</t>
  </si>
  <si>
    <t>Inversión inicial</t>
  </si>
  <si>
    <t>Instalaciones</t>
  </si>
  <si>
    <t>200M</t>
  </si>
  <si>
    <t>Marketing</t>
  </si>
  <si>
    <t>10M</t>
  </si>
  <si>
    <t>Maquinaria</t>
  </si>
  <si>
    <t>500M</t>
  </si>
  <si>
    <t>Otros</t>
  </si>
  <si>
    <t>790M</t>
  </si>
  <si>
    <t>1.500M</t>
  </si>
  <si>
    <t>FLUJO DE CAJA</t>
  </si>
  <si>
    <t>PROYECTO SAMSUNGSCHOOLAR</t>
  </si>
  <si>
    <t>ESCENARIO A</t>
  </si>
  <si>
    <t xml:space="preserve">AÑO 0 </t>
  </si>
  <si>
    <t>INGRESOS OPERACIONALES</t>
  </si>
  <si>
    <t>+</t>
  </si>
  <si>
    <t>GASTOS OPERACIONALES</t>
  </si>
  <si>
    <t>-</t>
  </si>
  <si>
    <t>UTILIDAD OPERACIONAL</t>
  </si>
  <si>
    <t>=</t>
  </si>
  <si>
    <t>DEPRECIACIÓN</t>
  </si>
  <si>
    <t>UTILIDAD ANTES DE
IMPUESTOS</t>
  </si>
  <si>
    <t>IMPUESTOS (27%)</t>
  </si>
  <si>
    <t>UTILIDAD DESPUÉS DE
IMPUESTOS</t>
  </si>
  <si>
    <t>INVERSIÓN</t>
  </si>
  <si>
    <t>FLUJO DE CAJA NETO</t>
  </si>
  <si>
    <t>Tasa de Descuento r</t>
  </si>
  <si>
    <t>VAN</t>
  </si>
  <si>
    <t>Inv. Inicial</t>
  </si>
  <si>
    <t>Suma de todos
los flujos descontados 
a la tasa r=20%</t>
  </si>
  <si>
    <t>VAN&gt;0</t>
  </si>
  <si>
    <t xml:space="preserve">TIR </t>
  </si>
  <si>
    <t>y</t>
  </si>
  <si>
    <t>TIR&gt;tasa dscto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</si>
</sst>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1">
    <font>
      <sz val="11.0"/>
      <color theme="1"/>
      <name val="Arial"/>
    </font>
    <font>
      <color theme="1"/>
      <name val="Calibri"/>
    </font>
    <font>
      <u/>
      <color rgb="FF0000FF"/>
    </font>
    <font/>
    <font>
      <u/>
      <color rgb="FF0563C1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rgb="FFFF0000"/>
      <name val="Calibri"/>
    </font>
    <font>
      <sz val="11.0"/>
      <color theme="1"/>
    </font>
    <font>
      <sz val="11.0"/>
      <color rgb="FFFF0000"/>
      <name val="Calibri"/>
    </font>
    <font>
      <sz val="11.0"/>
      <color rgb="FFFF0000"/>
    </font>
  </fonts>
  <fills count="5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bottom style="thin">
        <color rgb="FF000000"/>
      </bottom>
    </border>
    <border>
      <top style="thin">
        <color rgb="FF000000"/>
      </top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1" numFmtId="0" xfId="0" applyAlignment="1" applyFill="1" applyFont="1">
      <alignment horizontal="center"/>
    </xf>
    <xf borderId="0" fillId="2" fontId="1" numFmtId="0" xfId="0" applyFont="1"/>
    <xf borderId="0" fillId="4" fontId="1" numFmtId="0" xfId="0" applyAlignment="1" applyFill="1" applyFont="1">
      <alignment horizontal="center" readingOrder="0"/>
    </xf>
    <xf borderId="0" fillId="4" fontId="1" numFmtId="0" xfId="0" applyAlignment="1" applyFont="1">
      <alignment horizontal="center"/>
    </xf>
    <xf borderId="0" fillId="0" fontId="5" numFmtId="0" xfId="0" applyAlignment="1" applyFont="1">
      <alignment horizontal="center"/>
    </xf>
    <xf borderId="0" fillId="0" fontId="6" numFmtId="0" xfId="0" applyAlignment="1" applyFont="1">
      <alignment horizontal="center"/>
    </xf>
    <xf borderId="0" fillId="0" fontId="5" numFmtId="0" xfId="0" applyAlignment="1" applyFont="1">
      <alignment horizontal="center" readingOrder="0"/>
    </xf>
    <xf borderId="0" fillId="0" fontId="7" numFmtId="0" xfId="0" applyAlignment="1" applyFont="1">
      <alignment horizontal="center"/>
    </xf>
    <xf borderId="1" fillId="0" fontId="5" numFmtId="0" xfId="0" applyAlignment="1" applyBorder="1" applyFont="1">
      <alignment horizontal="center"/>
    </xf>
    <xf borderId="1" fillId="0" fontId="6" numFmtId="0" xfId="0" applyAlignment="1" applyBorder="1" applyFont="1">
      <alignment horizontal="center"/>
    </xf>
    <xf borderId="0" fillId="0" fontId="6" numFmtId="164" xfId="0" applyAlignment="1" applyFont="1" applyNumberFormat="1">
      <alignment horizontal="center"/>
    </xf>
    <xf borderId="0" fillId="0" fontId="8" numFmtId="164" xfId="0" applyAlignment="1" applyFont="1" applyNumberFormat="1">
      <alignment horizontal="center" readingOrder="0"/>
    </xf>
    <xf borderId="1" fillId="0" fontId="9" numFmtId="0" xfId="0" applyAlignment="1" applyBorder="1" applyFont="1">
      <alignment horizontal="center"/>
    </xf>
    <xf borderId="1" fillId="0" fontId="7" numFmtId="0" xfId="0" applyAlignment="1" applyBorder="1" applyFont="1">
      <alignment horizontal="center"/>
    </xf>
    <xf borderId="1" fillId="0" fontId="9" numFmtId="164" xfId="0" applyAlignment="1" applyBorder="1" applyFont="1" applyNumberFormat="1">
      <alignment horizontal="center"/>
    </xf>
    <xf borderId="0" fillId="0" fontId="6" numFmtId="0" xfId="0" applyAlignment="1" applyFont="1">
      <alignment horizontal="center" shrinkToFit="0" wrapText="1"/>
    </xf>
    <xf borderId="1" fillId="0" fontId="10" numFmtId="164" xfId="0" applyAlignment="1" applyBorder="1" applyFont="1" applyNumberFormat="1">
      <alignment horizontal="center" readingOrder="0"/>
    </xf>
    <xf borderId="2" fillId="0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2" fillId="0" fontId="6" numFmtId="164" xfId="0" applyAlignment="1" applyBorder="1" applyFont="1" applyNumberFormat="1">
      <alignment horizontal="center"/>
    </xf>
    <xf borderId="0" fillId="0" fontId="6" numFmtId="1" xfId="0" applyAlignment="1" applyFont="1" applyNumberFormat="1">
      <alignment horizontal="center"/>
    </xf>
    <xf borderId="1" fillId="0" fontId="6" numFmtId="164" xfId="0" applyAlignment="1" applyBorder="1" applyFont="1" applyNumberFormat="1">
      <alignment horizontal="center"/>
    </xf>
    <xf borderId="0" fillId="0" fontId="6" numFmtId="9" xfId="0" applyAlignment="1" applyFont="1" applyNumberFormat="1">
      <alignment horizontal="center"/>
    </xf>
    <xf borderId="4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/>
    </xf>
    <xf borderId="6" fillId="0" fontId="6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nuroa.cl/adform/7960114639486244349?click_type=0&amp;pos=10&amp;siteStrategyKey=https%3A%2F%2Fwww.nuroa.cl&amp;url=http%253A%252F%252Fwww.lifullconnect.com%252FfakeAdUrl%253Fid%253D104aa45a-df36-4567-b11b-d2bcdc9922a8&amp;searchType=2&amp;page=1&amp;seo_link_id=2790088&amp;section=1&amp;t_sec=1&amp;sectionType=1&amp;pageViewId=d5231c2a-03fa-465f-aee4-f7530822ea33&amp;t_pvid=d5231c2a-03fa-465f-aee4-f7530822ea33&amp;userAgent=Mozilla%2F5.0+%28Windows+NT+10.0%3B+Win64%3B+x64%29+AppleWebKit%2F537.36+%28KHTML%2C+like+Gecko%29+Chrome%2F96.0.4664.110+Safari%2F537.36&amp;browser=1&amp;isHuman=true&amp;userIp=143.255.106.132&amp;what=arriendo+oficinas+por+mes+santiago&amp;search_terms=arriendo+oficinas+por+mes+santiago&amp;origin=2&amp;t_or=2&amp;splitTestId=0" TargetMode="External"/><Relationship Id="rId2" Type="http://schemas.openxmlformats.org/officeDocument/2006/relationships/hyperlink" Target="https://ofertas.movistar.cl/empresas/servicios-fijos-moviles/multioferta/?tab=bam&amp;campaign=CL_FIJO_COL-FIBRA-B2B_20-07-17_SEM_LDS-WEB_AON_BRAND-INTERNET_ABT&amp;adgroupid=58700006207911357&amp;keyword=p59016175263&amp;lid=43700059016175263&amp;ds_s_kwgid=58700006207911357&amp;&amp;ds_e_adid=451201186221&amp;ds_e_matchtype=search&amp;ds_e_device=c&amp;ds_e_network=g&amp;&amp;ds_url_v=2&amp;&amp;bidkw=internet%20+empresas&amp;dvc=c&amp;h=https://ofertas.movistar.cl/empresas/servicios-fijos-moviles/multioferta/?tab=bam&amp;campaign=CL_FIJO_COL-FIBRA-B2B_20-07-17_SEM_LDS-WEB_AON_BRAND-INTERNET_ABT&amp;adgroupid=58700006207911357&amp;keyword=p59016175263&amp;lid=43700059016175263&amp;ds_s_kwgid=58700006207911357&amp;&amp;ds_e_adid=451201186221&amp;ds_e_matchtype=search&amp;ds_e_device=c&amp;ds_e_network=g&amp;&amp;ds_url_v=2&amp;gclsrc=aw.ds&amp;http://clickserve.dartsearch.net/link/click&amp;lid=43700059016175263&amp;ds_s_kwgid=58700006207911357&amp;gclid=CjwKCAiArOqOBhBmEiwAsgeLmbX-siOFXewWpkKsrO2DxUfvmfZZQjutAGK9iRvA6Rz_XWEzvsjauxoCgu8QAvD_BwE&amp;gclsrc=aw.ds" TargetMode="External"/><Relationship Id="rId3" Type="http://schemas.openxmlformats.org/officeDocument/2006/relationships/hyperlink" Target="https://www.hp.com/cl-es/shop/notebook-hp-pavilion-15-eh0005la-310g5la.html?gclid=CjwKCAiArOqOBhBmEiwAsgeLmT2NsFyfr6eZcd1i38BcpQs3Ro16FIgexYWSId0n4En7MZGxUhoQBhoC8WUQAvD_BwE&amp;gclsrc=aw.ds" TargetMode="External"/><Relationship Id="rId4" Type="http://schemas.openxmlformats.org/officeDocument/2006/relationships/hyperlink" Target="https://www.hostingplus.cl/servidores-dedicados/servidores-housing-dedicados.htm" TargetMode="External"/><Relationship Id="rId11" Type="http://schemas.openxmlformats.org/officeDocument/2006/relationships/hyperlink" Target="https://cl.talent.com/salary?job=jefe+de+proyecto" TargetMode="External"/><Relationship Id="rId10" Type="http://schemas.openxmlformats.org/officeDocument/2006/relationships/hyperlink" Target="https://cursando.cl/pedagogia/cuanto-gana-profesor-chile-sueldos-pedagogias/" TargetMode="External"/><Relationship Id="rId12" Type="http://schemas.openxmlformats.org/officeDocument/2006/relationships/drawing" Target="../drawings/drawing1.xml"/><Relationship Id="rId9" Type="http://schemas.openxmlformats.org/officeDocument/2006/relationships/hyperlink" Target="https://cl.talent.com/salary?job=t%C3%A9cnico+electricista" TargetMode="External"/><Relationship Id="rId5" Type="http://schemas.openxmlformats.org/officeDocument/2006/relationships/hyperlink" Target="https://pc-tech.cl/servicio-tecnico-informatico-para-empresas/" TargetMode="External"/><Relationship Id="rId6" Type="http://schemas.openxmlformats.org/officeDocument/2006/relationships/hyperlink" Target="https://andro4all.com/2019/09/fabricar-movil-coste" TargetMode="External"/><Relationship Id="rId7" Type="http://schemas.openxmlformats.org/officeDocument/2006/relationships/hyperlink" Target="https://cl.talent.com/salary?job=encargado+ti" TargetMode="External"/><Relationship Id="rId8" Type="http://schemas.openxmlformats.org/officeDocument/2006/relationships/hyperlink" Target="https://cl.talent.com/salary?job=desarrollado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13"/>
    <col customWidth="1" min="8" max="8" width="2.63"/>
    <col customWidth="1" min="9" max="9" width="2.75"/>
    <col customWidth="1" min="10" max="10" width="27.75"/>
    <col customWidth="1" min="11" max="11" width="23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>
        <v>0.0</v>
      </c>
      <c r="C2" s="2">
        <f>6067665*12</f>
        <v>72811980</v>
      </c>
      <c r="D2" s="3">
        <f t="shared" ref="D2:D12" si="1">C2*1.072^2</f>
        <v>83674362.42</v>
      </c>
      <c r="E2" s="3">
        <f t="shared" ref="E2:E12" si="2">D2*1.072^3</f>
        <v>103080559.7</v>
      </c>
      <c r="F2" s="3">
        <f t="shared" ref="F2:F12" si="3">E2*1.072^4</f>
        <v>136130647.2</v>
      </c>
      <c r="G2" s="3">
        <f t="shared" ref="G2:G12" si="4">F2*1.072^5</f>
        <v>192721353.1</v>
      </c>
      <c r="J2" s="4" t="s">
        <v>7</v>
      </c>
      <c r="K2" s="5" t="s">
        <v>8</v>
      </c>
    </row>
    <row r="3">
      <c r="A3" s="6" t="s">
        <v>9</v>
      </c>
      <c r="B3" s="6">
        <v>0.0</v>
      </c>
      <c r="C3" s="7">
        <f>36990*12</f>
        <v>443880</v>
      </c>
      <c r="D3" s="3">
        <f t="shared" si="1"/>
        <v>510099.7939</v>
      </c>
      <c r="E3" s="3">
        <f t="shared" si="2"/>
        <v>628404.8151</v>
      </c>
      <c r="F3" s="3">
        <f t="shared" si="3"/>
        <v>829886.3963</v>
      </c>
      <c r="G3" s="3">
        <f t="shared" si="4"/>
        <v>1174877.461</v>
      </c>
      <c r="K3" s="8" t="s">
        <v>10</v>
      </c>
      <c r="L3" s="4" t="s">
        <v>11</v>
      </c>
    </row>
    <row r="4">
      <c r="A4" s="2" t="s">
        <v>12</v>
      </c>
      <c r="B4" s="2">
        <v>0.0</v>
      </c>
      <c r="C4" s="2">
        <f>449990*4</f>
        <v>1799960</v>
      </c>
      <c r="D4" s="3">
        <f t="shared" si="1"/>
        <v>2068485.233</v>
      </c>
      <c r="E4" s="3">
        <f t="shared" si="2"/>
        <v>2548219.183</v>
      </c>
      <c r="F4" s="3">
        <f t="shared" si="3"/>
        <v>3365239.069</v>
      </c>
      <c r="G4" s="3">
        <f t="shared" si="4"/>
        <v>4764198.511</v>
      </c>
      <c r="J4" s="4" t="s">
        <v>9</v>
      </c>
      <c r="K4" s="5" t="s">
        <v>13</v>
      </c>
    </row>
    <row r="5">
      <c r="A5" s="6" t="s">
        <v>14</v>
      </c>
      <c r="B5" s="6">
        <v>0.0</v>
      </c>
      <c r="C5" s="7">
        <f>239900*4</f>
        <v>959600</v>
      </c>
      <c r="D5" s="3">
        <f t="shared" si="1"/>
        <v>1102756.966</v>
      </c>
      <c r="E5" s="3">
        <f t="shared" si="2"/>
        <v>1358514.149</v>
      </c>
      <c r="F5" s="3">
        <f t="shared" si="3"/>
        <v>1794086.208</v>
      </c>
      <c r="G5" s="3">
        <f t="shared" si="4"/>
        <v>2539903.604</v>
      </c>
      <c r="K5" s="8" t="s">
        <v>15</v>
      </c>
      <c r="L5" s="4" t="s">
        <v>11</v>
      </c>
    </row>
    <row r="6">
      <c r="A6" s="2" t="s">
        <v>16</v>
      </c>
      <c r="B6" s="2">
        <v>0.0</v>
      </c>
      <c r="C6" s="3">
        <f>8990*5*4*12</f>
        <v>2157600</v>
      </c>
      <c r="D6" s="3">
        <f t="shared" si="1"/>
        <v>2479479.398</v>
      </c>
      <c r="E6" s="3">
        <f t="shared" si="2"/>
        <v>3054533.273</v>
      </c>
      <c r="F6" s="3">
        <f t="shared" si="3"/>
        <v>4033889.539</v>
      </c>
      <c r="G6" s="3">
        <f t="shared" si="4"/>
        <v>5710812.855</v>
      </c>
      <c r="J6" s="4" t="s">
        <v>17</v>
      </c>
      <c r="K6" s="5" t="s">
        <v>18</v>
      </c>
    </row>
    <row r="7">
      <c r="A7" s="6" t="s">
        <v>19</v>
      </c>
      <c r="B7" s="6">
        <v>0.0</v>
      </c>
      <c r="C7" s="6">
        <v>9600000.0</v>
      </c>
      <c r="D7" s="3">
        <f t="shared" si="1"/>
        <v>11032166.4</v>
      </c>
      <c r="E7" s="3">
        <f t="shared" si="2"/>
        <v>13590804.33</v>
      </c>
      <c r="F7" s="3">
        <f t="shared" si="3"/>
        <v>17948340.55</v>
      </c>
      <c r="G7" s="3">
        <f t="shared" si="4"/>
        <v>25409623.38</v>
      </c>
      <c r="K7" s="8" t="s">
        <v>20</v>
      </c>
      <c r="L7" s="4" t="s">
        <v>21</v>
      </c>
    </row>
    <row r="8">
      <c r="A8" s="2" t="s">
        <v>22</v>
      </c>
      <c r="B8" s="2">
        <v>0.0</v>
      </c>
      <c r="C8" s="2">
        <f>1243000*5*12</f>
        <v>74580000</v>
      </c>
      <c r="D8" s="3">
        <f t="shared" si="1"/>
        <v>85706142.72</v>
      </c>
      <c r="E8" s="3">
        <f t="shared" si="2"/>
        <v>105583561.1</v>
      </c>
      <c r="F8" s="3">
        <f t="shared" si="3"/>
        <v>139436170.7</v>
      </c>
      <c r="G8" s="3">
        <f t="shared" si="4"/>
        <v>197401011.6</v>
      </c>
      <c r="J8" s="4" t="s">
        <v>23</v>
      </c>
      <c r="K8" s="5" t="s">
        <v>24</v>
      </c>
    </row>
    <row r="9">
      <c r="A9" s="6" t="s">
        <v>25</v>
      </c>
      <c r="B9" s="6">
        <v>0.0</v>
      </c>
      <c r="C9" s="7">
        <f>6390000*5</f>
        <v>31950000</v>
      </c>
      <c r="D9" s="3">
        <f t="shared" si="1"/>
        <v>36716428.8</v>
      </c>
      <c r="E9" s="3">
        <f t="shared" si="2"/>
        <v>45231895.66</v>
      </c>
      <c r="F9" s="3">
        <f t="shared" si="3"/>
        <v>59734320.9</v>
      </c>
      <c r="G9" s="3">
        <f t="shared" si="4"/>
        <v>84566402.82</v>
      </c>
      <c r="K9" s="8" t="s">
        <v>26</v>
      </c>
      <c r="L9" s="4" t="s">
        <v>21</v>
      </c>
    </row>
    <row r="10">
      <c r="A10" s="2" t="s">
        <v>27</v>
      </c>
      <c r="B10" s="2">
        <v>0.0</v>
      </c>
      <c r="C10" s="2">
        <f>1600000*5*12</f>
        <v>96000000</v>
      </c>
      <c r="D10" s="3">
        <f t="shared" si="1"/>
        <v>110321664</v>
      </c>
      <c r="E10" s="3">
        <f t="shared" si="2"/>
        <v>135908043.3</v>
      </c>
      <c r="F10" s="3">
        <f t="shared" si="3"/>
        <v>179483405.5</v>
      </c>
      <c r="G10" s="3">
        <f t="shared" si="4"/>
        <v>254096233.8</v>
      </c>
      <c r="J10" s="4" t="s">
        <v>28</v>
      </c>
      <c r="K10" s="9" t="s">
        <v>29</v>
      </c>
    </row>
    <row r="11">
      <c r="A11" s="6" t="s">
        <v>30</v>
      </c>
      <c r="B11" s="6">
        <v>0.0</v>
      </c>
      <c r="C11" s="7">
        <f>750000*3*12</f>
        <v>27000000</v>
      </c>
      <c r="D11" s="3">
        <f t="shared" si="1"/>
        <v>31027968</v>
      </c>
      <c r="E11" s="3">
        <f t="shared" si="2"/>
        <v>38224137.17</v>
      </c>
      <c r="F11" s="3">
        <f t="shared" si="3"/>
        <v>50479707.8</v>
      </c>
      <c r="G11" s="3">
        <f t="shared" si="4"/>
        <v>71464565.76</v>
      </c>
      <c r="K11" s="4" t="s">
        <v>31</v>
      </c>
      <c r="L11" s="4" t="s">
        <v>11</v>
      </c>
    </row>
    <row r="12">
      <c r="A12" s="2" t="s">
        <v>32</v>
      </c>
      <c r="B12" s="2">
        <v>0.0</v>
      </c>
      <c r="C12" s="2">
        <f>1300000*12</f>
        <v>15600000</v>
      </c>
      <c r="D12" s="3">
        <f t="shared" si="1"/>
        <v>17927270.4</v>
      </c>
      <c r="E12" s="3">
        <f t="shared" si="2"/>
        <v>22085057.03</v>
      </c>
      <c r="F12" s="3">
        <f t="shared" si="3"/>
        <v>29166053.4</v>
      </c>
      <c r="G12" s="3">
        <f t="shared" si="4"/>
        <v>41290637.99</v>
      </c>
    </row>
    <row r="13">
      <c r="A13" s="7"/>
      <c r="B13" s="6" t="s">
        <v>33</v>
      </c>
      <c r="C13" s="7">
        <f>SUM(C2:C11)</f>
        <v>317303020</v>
      </c>
      <c r="D13" s="6">
        <f>SUM(D2:D12)</f>
        <v>382566824.1</v>
      </c>
      <c r="E13" s="10">
        <f t="shared" ref="E13:G13" si="5">sum(E2:E12)</f>
        <v>471293729.7</v>
      </c>
      <c r="F13" s="10">
        <f t="shared" si="5"/>
        <v>622401747.3</v>
      </c>
      <c r="G13" s="10">
        <f t="shared" si="5"/>
        <v>881139620.9</v>
      </c>
    </row>
    <row r="14">
      <c r="A14" s="11"/>
      <c r="B14" s="11"/>
      <c r="C14" s="2" t="s">
        <v>34</v>
      </c>
      <c r="D14" s="2" t="s">
        <v>34</v>
      </c>
      <c r="E14" s="2" t="s">
        <v>34</v>
      </c>
      <c r="F14" s="2" t="s">
        <v>34</v>
      </c>
      <c r="G14" s="2" t="s">
        <v>34</v>
      </c>
      <c r="J14" s="8" t="s">
        <v>35</v>
      </c>
      <c r="K14" s="5" t="s">
        <v>36</v>
      </c>
    </row>
    <row r="15">
      <c r="A15" s="7"/>
      <c r="B15" s="7"/>
      <c r="C15" s="7"/>
      <c r="D15" s="7"/>
      <c r="E15" s="7"/>
      <c r="F15" s="7"/>
      <c r="G15" s="7"/>
      <c r="J15" s="8" t="s">
        <v>37</v>
      </c>
      <c r="K15" s="8" t="s">
        <v>38</v>
      </c>
      <c r="L15" s="8" t="s">
        <v>39</v>
      </c>
    </row>
    <row r="16">
      <c r="A16" s="2" t="s">
        <v>40</v>
      </c>
      <c r="B16" s="2" t="s">
        <v>41</v>
      </c>
      <c r="C16" s="3"/>
      <c r="D16" s="3"/>
      <c r="E16" s="3"/>
      <c r="F16" s="3"/>
      <c r="G16" s="3"/>
      <c r="K16" s="8" t="s">
        <v>42</v>
      </c>
      <c r="L16" s="8" t="s">
        <v>43</v>
      </c>
    </row>
    <row r="17">
      <c r="A17" s="12" t="s">
        <v>44</v>
      </c>
      <c r="B17" s="13">
        <f>C4/6</f>
        <v>299993.3333</v>
      </c>
      <c r="C17" s="7"/>
      <c r="D17" s="7"/>
      <c r="E17" s="7"/>
      <c r="F17" s="7"/>
      <c r="G17" s="7"/>
      <c r="K17" s="8" t="s">
        <v>45</v>
      </c>
      <c r="L17" s="8" t="s">
        <v>46</v>
      </c>
    </row>
    <row r="18">
      <c r="A18" s="3"/>
      <c r="B18" s="3"/>
      <c r="C18" s="3"/>
      <c r="D18" s="3"/>
      <c r="E18" s="3"/>
      <c r="F18" s="3"/>
      <c r="G18" s="3"/>
      <c r="K18" s="8" t="s">
        <v>47</v>
      </c>
      <c r="L18" s="8" t="s">
        <v>48</v>
      </c>
      <c r="M18" s="4" t="s">
        <v>49</v>
      </c>
    </row>
    <row r="19">
      <c r="K19" s="4" t="s">
        <v>50</v>
      </c>
      <c r="L19" s="4" t="s">
        <v>51</v>
      </c>
    </row>
    <row r="20">
      <c r="J20" s="4" t="s">
        <v>52</v>
      </c>
    </row>
    <row r="21">
      <c r="J21" s="4" t="s">
        <v>19</v>
      </c>
      <c r="K21" s="5" t="s">
        <v>53</v>
      </c>
    </row>
    <row r="22">
      <c r="K22" s="4">
        <v>9600000.0</v>
      </c>
      <c r="L22" s="4" t="s">
        <v>49</v>
      </c>
    </row>
    <row r="23">
      <c r="J23" s="4" t="s">
        <v>54</v>
      </c>
      <c r="K23" s="5" t="s">
        <v>55</v>
      </c>
    </row>
    <row r="24">
      <c r="K24" s="4">
        <v>1243000.0</v>
      </c>
      <c r="L24" s="4" t="s">
        <v>11</v>
      </c>
    </row>
    <row r="25">
      <c r="J25" s="4" t="s">
        <v>25</v>
      </c>
      <c r="K25" s="5" t="s">
        <v>56</v>
      </c>
    </row>
    <row r="26">
      <c r="K26" s="4">
        <v>6390000.0</v>
      </c>
      <c r="L26" s="4" t="s">
        <v>49</v>
      </c>
    </row>
    <row r="27">
      <c r="J27" s="4" t="s">
        <v>27</v>
      </c>
      <c r="K27" s="4" t="s">
        <v>57</v>
      </c>
    </row>
    <row r="28">
      <c r="K28" s="4">
        <v>1600000.0</v>
      </c>
      <c r="L28" s="4" t="s">
        <v>11</v>
      </c>
    </row>
    <row r="29">
      <c r="J29" s="4" t="s">
        <v>58</v>
      </c>
      <c r="K29" s="5" t="s">
        <v>59</v>
      </c>
    </row>
    <row r="30">
      <c r="K30" s="4">
        <v>750000.0</v>
      </c>
      <c r="L30" s="4" t="s">
        <v>11</v>
      </c>
    </row>
    <row r="31">
      <c r="J31" s="4" t="s">
        <v>60</v>
      </c>
      <c r="K31" s="5" t="s">
        <v>61</v>
      </c>
    </row>
    <row r="32">
      <c r="K32" s="4">
        <v>1300000.0</v>
      </c>
      <c r="L32" s="4" t="s">
        <v>11</v>
      </c>
    </row>
    <row r="41">
      <c r="J41" s="4" t="s">
        <v>62</v>
      </c>
      <c r="K41" s="4" t="s">
        <v>63</v>
      </c>
      <c r="L41" s="4" t="s">
        <v>64</v>
      </c>
    </row>
    <row r="42">
      <c r="K42" s="4" t="s">
        <v>65</v>
      </c>
      <c r="L42" s="4" t="s">
        <v>66</v>
      </c>
    </row>
    <row r="43">
      <c r="K43" s="4" t="s">
        <v>67</v>
      </c>
      <c r="L43" s="4" t="s">
        <v>68</v>
      </c>
    </row>
    <row r="44">
      <c r="K44" s="4" t="s">
        <v>69</v>
      </c>
      <c r="L44" s="4" t="s">
        <v>70</v>
      </c>
    </row>
    <row r="45">
      <c r="L45" s="8" t="s">
        <v>71</v>
      </c>
    </row>
  </sheetData>
  <hyperlinks>
    <hyperlink r:id="rId1" ref="K2"/>
    <hyperlink r:id="rId2" ref="K4"/>
    <hyperlink r:id="rId3" ref="K6"/>
    <hyperlink r:id="rId4" ref="K8"/>
    <hyperlink r:id="rId5" ref="K10"/>
    <hyperlink r:id="rId6" ref="K14"/>
    <hyperlink r:id="rId7" location=":~:text=El%20salario%20encargado%20ti%20promedio,con%20un%20ingreso%20de%20%247.800." ref="K21"/>
    <hyperlink r:id="rId8" ref="K23"/>
    <hyperlink r:id="rId9" ref="K25"/>
    <hyperlink r:id="rId10" ref="K29"/>
    <hyperlink r:id="rId11" location=":~:text=El%20salario%20jefe%20de%20proyecto,m%C3%A1s%20experimentados%20perciben%20hasta%20%2426.555." ref="K31"/>
  </hyperlinks>
  <drawing r:id="rId1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2.63"/>
    <col customWidth="1" min="3" max="8" width="12.63"/>
    <col customWidth="1" min="9" max="9" width="30.0"/>
    <col customWidth="1" min="10" max="26" width="7.63"/>
  </cols>
  <sheetData>
    <row r="1" ht="14.25" customHeight="1">
      <c r="A1" s="14" t="s">
        <v>72</v>
      </c>
      <c r="B1" s="14"/>
      <c r="C1" s="14"/>
      <c r="D1" s="14"/>
      <c r="E1" s="14"/>
      <c r="F1" s="14"/>
      <c r="G1" s="14"/>
      <c r="H1" s="15"/>
      <c r="I1" s="15"/>
      <c r="J1" s="15"/>
    </row>
    <row r="2" ht="14.25" customHeight="1">
      <c r="A2" s="14"/>
      <c r="B2" s="14"/>
      <c r="C2" s="14"/>
      <c r="D2" s="14"/>
      <c r="E2" s="14"/>
      <c r="F2" s="14"/>
      <c r="G2" s="14"/>
      <c r="H2" s="15"/>
      <c r="I2" s="15"/>
      <c r="J2" s="15"/>
    </row>
    <row r="3" ht="14.25" customHeight="1">
      <c r="A3" s="16" t="s">
        <v>73</v>
      </c>
      <c r="B3" s="14"/>
      <c r="C3" s="14"/>
      <c r="D3" s="14"/>
      <c r="E3" s="14"/>
      <c r="F3" s="17"/>
      <c r="G3" s="14"/>
      <c r="H3" s="15"/>
      <c r="I3" s="15"/>
      <c r="J3" s="15"/>
    </row>
    <row r="4" ht="14.25" customHeight="1">
      <c r="A4" s="18" t="s">
        <v>74</v>
      </c>
      <c r="B4" s="19"/>
      <c r="C4" s="18" t="s">
        <v>75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5"/>
      <c r="J4" s="15"/>
    </row>
    <row r="5" ht="14.25" customHeight="1">
      <c r="A5" s="15" t="s">
        <v>76</v>
      </c>
      <c r="B5" s="14" t="s">
        <v>77</v>
      </c>
      <c r="C5" s="20">
        <v>0.0</v>
      </c>
      <c r="D5" s="21">
        <v>3.55E9</v>
      </c>
      <c r="E5" s="20">
        <f>D5*1.072</f>
        <v>3805600000</v>
      </c>
      <c r="F5" s="20">
        <f>E5*1.072^2</f>
        <v>4373334630</v>
      </c>
      <c r="G5" s="20">
        <f>F5*1.072^3</f>
        <v>5387621349</v>
      </c>
      <c r="H5" s="20">
        <f>G5*1.072^4</f>
        <v>7115021334</v>
      </c>
      <c r="I5" s="15"/>
      <c r="J5" s="15"/>
    </row>
    <row r="6" ht="14.25" customHeight="1">
      <c r="A6" s="22" t="s">
        <v>78</v>
      </c>
      <c r="B6" s="23" t="s">
        <v>79</v>
      </c>
      <c r="C6" s="24">
        <v>0.0</v>
      </c>
      <c r="D6" s="24">
        <f>-'Gastos operacionales anuales'!C13</f>
        <v>-317303020</v>
      </c>
      <c r="E6" s="24">
        <f>-'Gastos operacionales anuales'!D13</f>
        <v>-382566824.1</v>
      </c>
      <c r="F6" s="24">
        <f>-'Gastos operacionales anuales'!E13</f>
        <v>-471293729.7</v>
      </c>
      <c r="G6" s="24">
        <f>-'Gastos operacionales anuales'!F13</f>
        <v>-622401747.3</v>
      </c>
      <c r="H6" s="24">
        <f>-'Gastos operacionales anuales'!G13</f>
        <v>-881139620.9</v>
      </c>
      <c r="I6" s="15"/>
      <c r="J6" s="15"/>
    </row>
    <row r="7" ht="14.25" customHeight="1">
      <c r="A7" s="15" t="s">
        <v>80</v>
      </c>
      <c r="B7" s="14" t="s">
        <v>81</v>
      </c>
      <c r="C7" s="15">
        <v>0.0</v>
      </c>
      <c r="D7" s="20">
        <f t="shared" ref="D7:H7" si="1">D5+D6</f>
        <v>3232696980</v>
      </c>
      <c r="E7" s="20">
        <f t="shared" si="1"/>
        <v>3423033176</v>
      </c>
      <c r="F7" s="20">
        <f t="shared" si="1"/>
        <v>3902040901</v>
      </c>
      <c r="G7" s="20">
        <f t="shared" si="1"/>
        <v>4765219602</v>
      </c>
      <c r="H7" s="20">
        <f t="shared" si="1"/>
        <v>6233881713</v>
      </c>
      <c r="I7" s="15"/>
      <c r="J7" s="15"/>
    </row>
    <row r="8" ht="14.25" customHeight="1">
      <c r="A8" s="22" t="s">
        <v>82</v>
      </c>
      <c r="B8" s="23" t="s">
        <v>79</v>
      </c>
      <c r="C8" s="24">
        <v>0.0</v>
      </c>
      <c r="D8" s="24">
        <f>-'Gastos operacionales anuales'!B17</f>
        <v>-299993.3333</v>
      </c>
      <c r="E8" s="24">
        <f>-'Gastos operacionales anuales'!B17</f>
        <v>-299993.3333</v>
      </c>
      <c r="F8" s="24">
        <f>-'Gastos operacionales anuales'!B17</f>
        <v>-299993.3333</v>
      </c>
      <c r="G8" s="24">
        <f>-'Gastos operacionales anuales'!B17</f>
        <v>-299993.3333</v>
      </c>
      <c r="H8" s="24">
        <f>-'Gastos operacionales anuales'!B17</f>
        <v>-299993.3333</v>
      </c>
      <c r="I8" s="15"/>
      <c r="J8" s="15"/>
    </row>
    <row r="9" ht="30.0" customHeight="1">
      <c r="A9" s="25" t="s">
        <v>83</v>
      </c>
      <c r="B9" s="14" t="s">
        <v>81</v>
      </c>
      <c r="C9" s="20">
        <v>0.0</v>
      </c>
      <c r="D9" s="20">
        <f t="shared" ref="D9:H9" si="2">D7+D8</f>
        <v>3232396987</v>
      </c>
      <c r="E9" s="20">
        <f t="shared" si="2"/>
        <v>3422733183</v>
      </c>
      <c r="F9" s="20">
        <f t="shared" si="2"/>
        <v>3901740907</v>
      </c>
      <c r="G9" s="20">
        <f t="shared" si="2"/>
        <v>4764919609</v>
      </c>
      <c r="H9" s="20">
        <f t="shared" si="2"/>
        <v>6233581720</v>
      </c>
      <c r="I9" s="15"/>
      <c r="J9" s="15"/>
    </row>
    <row r="10" ht="14.25" customHeight="1">
      <c r="A10" s="22" t="s">
        <v>84</v>
      </c>
      <c r="B10" s="23" t="s">
        <v>79</v>
      </c>
      <c r="C10" s="24">
        <f t="shared" ref="C10:H10" si="3">-(C9*27/100)</f>
        <v>0</v>
      </c>
      <c r="D10" s="24">
        <f t="shared" si="3"/>
        <v>-872747186.4</v>
      </c>
      <c r="E10" s="24">
        <f t="shared" si="3"/>
        <v>-924137959.3</v>
      </c>
      <c r="F10" s="24">
        <f t="shared" si="3"/>
        <v>-1053470045</v>
      </c>
      <c r="G10" s="24">
        <f t="shared" si="3"/>
        <v>-1286528294</v>
      </c>
      <c r="H10" s="24">
        <f t="shared" si="3"/>
        <v>-1683067064</v>
      </c>
      <c r="I10" s="15"/>
      <c r="J10" s="15"/>
    </row>
    <row r="11" ht="14.25" customHeight="1">
      <c r="A11" s="25" t="s">
        <v>85</v>
      </c>
      <c r="B11" s="14" t="s">
        <v>81</v>
      </c>
      <c r="C11" s="20">
        <v>0.0</v>
      </c>
      <c r="D11" s="20">
        <f t="shared" ref="D11:H11" si="4">D9+D10</f>
        <v>2359649800</v>
      </c>
      <c r="E11" s="20">
        <f t="shared" si="4"/>
        <v>2498595223</v>
      </c>
      <c r="F11" s="20">
        <f t="shared" si="4"/>
        <v>2848270862</v>
      </c>
      <c r="G11" s="20">
        <f t="shared" si="4"/>
        <v>3478391314</v>
      </c>
      <c r="H11" s="20">
        <f t="shared" si="4"/>
        <v>4550514655</v>
      </c>
      <c r="I11" s="15"/>
      <c r="J11" s="15"/>
    </row>
    <row r="12" ht="14.25" customHeight="1">
      <c r="A12" s="15" t="s">
        <v>82</v>
      </c>
      <c r="B12" s="14" t="s">
        <v>77</v>
      </c>
      <c r="C12" s="20">
        <v>0.0</v>
      </c>
      <c r="D12" s="20">
        <f t="shared" ref="D12:H12" si="5">-D8</f>
        <v>299993.3333</v>
      </c>
      <c r="E12" s="20">
        <f t="shared" si="5"/>
        <v>299993.3333</v>
      </c>
      <c r="F12" s="20">
        <f t="shared" si="5"/>
        <v>299993.3333</v>
      </c>
      <c r="G12" s="20">
        <f t="shared" si="5"/>
        <v>299993.3333</v>
      </c>
      <c r="H12" s="20">
        <f t="shared" si="5"/>
        <v>299993.3333</v>
      </c>
      <c r="I12" s="15"/>
      <c r="J12" s="15"/>
    </row>
    <row r="13" ht="14.25" customHeight="1">
      <c r="A13" s="22" t="s">
        <v>86</v>
      </c>
      <c r="B13" s="23" t="s">
        <v>79</v>
      </c>
      <c r="C13" s="26">
        <v>-1.5E9</v>
      </c>
      <c r="D13" s="24">
        <v>0.0</v>
      </c>
      <c r="E13" s="24">
        <v>0.0</v>
      </c>
      <c r="F13" s="24">
        <v>0.0</v>
      </c>
      <c r="G13" s="24">
        <v>0.0</v>
      </c>
      <c r="H13" s="24">
        <v>0.0</v>
      </c>
      <c r="I13" s="15"/>
      <c r="J13" s="15"/>
    </row>
    <row r="14" ht="14.25" customHeight="1">
      <c r="A14" s="27" t="s">
        <v>87</v>
      </c>
      <c r="B14" s="28" t="s">
        <v>81</v>
      </c>
      <c r="C14" s="29">
        <f t="shared" ref="C14:H14" si="6">C11+C12+C13</f>
        <v>-1500000000</v>
      </c>
      <c r="D14" s="29">
        <f t="shared" si="6"/>
        <v>2359949794</v>
      </c>
      <c r="E14" s="29">
        <f t="shared" si="6"/>
        <v>2498895217</v>
      </c>
      <c r="F14" s="29">
        <f t="shared" si="6"/>
        <v>2848570856</v>
      </c>
      <c r="G14" s="29">
        <f t="shared" si="6"/>
        <v>3478691308</v>
      </c>
      <c r="H14" s="29">
        <f t="shared" si="6"/>
        <v>4550814649</v>
      </c>
      <c r="I14" s="15"/>
      <c r="J14" s="15"/>
    </row>
    <row r="15" ht="14.25" customHeight="1">
      <c r="A15" s="15"/>
      <c r="B15" s="20"/>
      <c r="C15" s="20"/>
      <c r="D15" s="20"/>
      <c r="E15" s="20"/>
      <c r="F15" s="20"/>
      <c r="G15" s="20"/>
      <c r="H15" s="15"/>
      <c r="I15" s="15"/>
      <c r="J15" s="15"/>
    </row>
    <row r="16" ht="14.25" customHeight="1">
      <c r="A16" s="15" t="s">
        <v>88</v>
      </c>
      <c r="B16" s="20" t="s">
        <v>81</v>
      </c>
      <c r="C16" s="30">
        <v>20.0</v>
      </c>
      <c r="D16" s="20"/>
      <c r="E16" s="20"/>
      <c r="F16" s="20"/>
      <c r="G16" s="20"/>
      <c r="H16" s="15"/>
      <c r="I16" s="15"/>
      <c r="J16" s="15"/>
    </row>
    <row r="17" ht="14.25" customHeight="1">
      <c r="A17" s="15" t="s">
        <v>89</v>
      </c>
      <c r="B17" s="15" t="s">
        <v>81</v>
      </c>
      <c r="C17" s="20">
        <f t="shared" ref="C17:H17" si="7">C14</f>
        <v>-1500000000</v>
      </c>
      <c r="D17" s="31">
        <f t="shared" si="7"/>
        <v>2359949794</v>
      </c>
      <c r="E17" s="31">
        <f t="shared" si="7"/>
        <v>2498895217</v>
      </c>
      <c r="F17" s="31">
        <f t="shared" si="7"/>
        <v>2848570856</v>
      </c>
      <c r="G17" s="31">
        <f t="shared" si="7"/>
        <v>3478691308</v>
      </c>
      <c r="H17" s="31">
        <f t="shared" si="7"/>
        <v>4550814649</v>
      </c>
      <c r="I17" s="15"/>
      <c r="J17" s="15"/>
    </row>
    <row r="18" ht="14.25" customHeight="1">
      <c r="A18" s="15"/>
      <c r="B18" s="15"/>
      <c r="C18" s="15"/>
      <c r="D18" s="15">
        <v>1.2</v>
      </c>
      <c r="E18" s="15">
        <f>(1.2)^2</f>
        <v>1.44</v>
      </c>
      <c r="F18" s="15">
        <f>(1.2)^3</f>
        <v>1.728</v>
      </c>
      <c r="G18" s="15">
        <f>(1.2)^4</f>
        <v>2.0736</v>
      </c>
      <c r="H18" s="15">
        <f>(1.2)^5</f>
        <v>2.48832</v>
      </c>
      <c r="I18" s="15"/>
      <c r="J18" s="15"/>
    </row>
    <row r="19" ht="14.25" customHeight="1">
      <c r="A19" s="15" t="s">
        <v>89</v>
      </c>
      <c r="B19" s="15" t="s">
        <v>81</v>
      </c>
      <c r="C19" s="20">
        <f>C17</f>
        <v>-1500000000</v>
      </c>
      <c r="D19" s="20">
        <f t="shared" ref="D19:H19" si="8">D17/D18</f>
        <v>1966624828</v>
      </c>
      <c r="E19" s="20">
        <f t="shared" si="8"/>
        <v>1735343900</v>
      </c>
      <c r="F19" s="20">
        <f t="shared" si="8"/>
        <v>1648478504</v>
      </c>
      <c r="G19" s="20">
        <f t="shared" si="8"/>
        <v>1677609620</v>
      </c>
      <c r="H19" s="20">
        <f t="shared" si="8"/>
        <v>1828870342</v>
      </c>
      <c r="I19" s="15"/>
      <c r="J19" s="15"/>
    </row>
    <row r="20" ht="14.25" customHeight="1">
      <c r="A20" s="15"/>
      <c r="B20" s="15" t="s">
        <v>81</v>
      </c>
      <c r="C20" s="20">
        <f>C19</f>
        <v>-1500000000</v>
      </c>
      <c r="D20" s="15" t="s">
        <v>77</v>
      </c>
      <c r="E20" s="20">
        <f>D19+E19+F19+G19+H19</f>
        <v>8856927194</v>
      </c>
      <c r="F20" s="15" t="s">
        <v>81</v>
      </c>
      <c r="G20" s="20">
        <f>C20+E20</f>
        <v>7356927194</v>
      </c>
      <c r="H20" s="15"/>
      <c r="I20" s="15"/>
      <c r="J20" s="15"/>
    </row>
    <row r="21" ht="14.25" customHeight="1">
      <c r="A21" s="15"/>
      <c r="B21" s="15"/>
      <c r="C21" s="15" t="s">
        <v>90</v>
      </c>
      <c r="D21" s="15"/>
      <c r="E21" s="25" t="s">
        <v>91</v>
      </c>
      <c r="F21" s="15"/>
      <c r="G21" s="15" t="s">
        <v>92</v>
      </c>
      <c r="H21" s="15"/>
      <c r="I21" s="15"/>
      <c r="J21" s="15"/>
    </row>
    <row r="22" ht="14.2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</row>
    <row r="23" ht="14.25" customHeight="1">
      <c r="A23" s="15"/>
      <c r="B23" s="15"/>
      <c r="C23" s="30"/>
      <c r="D23" s="30"/>
      <c r="E23" s="30"/>
      <c r="F23" s="30"/>
      <c r="G23" s="30"/>
      <c r="H23" s="30"/>
      <c r="I23" s="15"/>
      <c r="J23" s="15"/>
    </row>
    <row r="24" ht="14.25" customHeight="1">
      <c r="A24" s="15" t="s">
        <v>93</v>
      </c>
      <c r="B24" s="15" t="s">
        <v>81</v>
      </c>
      <c r="C24" s="32">
        <f>IRR(C14:H14)</f>
        <v>1.65508925</v>
      </c>
      <c r="D24" s="32"/>
      <c r="E24" s="33" t="s">
        <v>92</v>
      </c>
      <c r="F24" s="34" t="s">
        <v>94</v>
      </c>
      <c r="G24" s="35" t="s">
        <v>95</v>
      </c>
      <c r="H24" s="15"/>
      <c r="I24" s="15"/>
      <c r="J24" s="15"/>
    </row>
    <row r="25" ht="14.2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</row>
    <row r="26" ht="14.2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</row>
    <row r="27" ht="14.2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</sheetData>
  <printOptions/>
  <pageMargins bottom="0.75" footer="0.0" header="0.0" left="0.7" right="0.7" top="0.75"/>
  <pageSetup orientation="landscape"/>
  <drawing r:id="rId1"/>
</worksheet>
</file>