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5e6cff246ab7a692/Documents/"/>
    </mc:Choice>
  </mc:AlternateContent>
  <xr:revisionPtr revIDLastSave="459" documentId="8_{DD036624-CCA6-47C8-AE7F-2455216A5B17}" xr6:coauthVersionLast="47" xr6:coauthVersionMax="47" xr10:uidLastSave="{91C91B9C-B9A2-43A6-B578-9CE7C77FFCAC}"/>
  <bookViews>
    <workbookView xWindow="-108" yWindow="-108" windowWidth="23256" windowHeight="12456" activeTab="3" xr2:uid="{9008A1EB-D05B-4BB7-9E20-FE7BFE31F7DF}"/>
  </bookViews>
  <sheets>
    <sheet name="Base" sheetId="1" r:id="rId1"/>
    <sheet name="DAWN NPV" sheetId="2" r:id="rId2"/>
    <sheet name="Sheet1" sheetId="5" state="hidden" r:id="rId3"/>
    <sheet name="DAWN rNPV + DCF" sheetId="4" r:id="rId4"/>
    <sheet name="Comps" sheetId="6" r:id="rId5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0" i="4" l="1"/>
  <c r="AJ29" i="4"/>
  <c r="AF28" i="4"/>
  <c r="AG28" i="4"/>
  <c r="AH28" i="4"/>
  <c r="AI28" i="4"/>
  <c r="AJ28" i="4"/>
  <c r="AE28" i="4"/>
  <c r="AF16" i="4"/>
  <c r="AJ6" i="4"/>
  <c r="AF27" i="4"/>
  <c r="AG27" i="4"/>
  <c r="AH27" i="4"/>
  <c r="AI27" i="4"/>
  <c r="AE27" i="4"/>
  <c r="AJ10" i="4" l="1"/>
  <c r="AI10" i="4"/>
  <c r="AH10" i="4"/>
  <c r="AG10" i="4"/>
  <c r="AE19" i="4"/>
  <c r="AI6" i="4"/>
  <c r="AH6" i="4"/>
  <c r="AG6" i="4"/>
  <c r="AG11" i="4" s="1"/>
  <c r="AF11" i="4"/>
  <c r="AE22" i="4"/>
  <c r="AE17" i="4"/>
  <c r="AE16" i="4"/>
  <c r="P8" i="4"/>
  <c r="H27" i="4"/>
  <c r="K13" i="4"/>
  <c r="K12" i="4"/>
  <c r="K11" i="4"/>
  <c r="P5" i="4"/>
  <c r="AD19" i="4"/>
  <c r="AD6" i="4"/>
  <c r="D5" i="6"/>
  <c r="D4" i="6"/>
  <c r="R55" i="2"/>
  <c r="AD26" i="4"/>
  <c r="AD24" i="4"/>
  <c r="AE26" i="4"/>
  <c r="AF26" i="4"/>
  <c r="AG26" i="4"/>
  <c r="AH26" i="4"/>
  <c r="AI26" i="4"/>
  <c r="AJ26" i="4"/>
  <c r="R48" i="2"/>
  <c r="R47" i="2"/>
  <c r="Q47" i="2"/>
  <c r="S31" i="2"/>
  <c r="S32" i="2"/>
  <c r="R32" i="2"/>
  <c r="H33" i="2"/>
  <c r="H34" i="2"/>
  <c r="H32" i="2"/>
  <c r="I32" i="2"/>
  <c r="J32" i="2"/>
  <c r="K32" i="2"/>
  <c r="L32" i="2"/>
  <c r="M32" i="2"/>
  <c r="N32" i="2"/>
  <c r="R30" i="2"/>
  <c r="S30" i="2"/>
  <c r="T30" i="2"/>
  <c r="U30" i="2"/>
  <c r="V30" i="2"/>
  <c r="W30" i="2"/>
  <c r="K31" i="2"/>
  <c r="L31" i="2"/>
  <c r="M31" i="2"/>
  <c r="N31" i="2"/>
  <c r="Q32" i="2"/>
  <c r="G32" i="2"/>
  <c r="Q31" i="2"/>
  <c r="G31" i="2"/>
  <c r="H31" i="2"/>
  <c r="H38" i="4"/>
  <c r="F37" i="4"/>
  <c r="E36" i="4"/>
  <c r="D37" i="4"/>
  <c r="C34" i="4"/>
  <c r="C35" i="4"/>
  <c r="C36" i="4"/>
  <c r="C37" i="4"/>
  <c r="C38" i="4"/>
  <c r="D39" i="4"/>
  <c r="E39" i="4" s="1"/>
  <c r="F39" i="4" s="1"/>
  <c r="G39" i="4" s="1"/>
  <c r="I4" i="2"/>
  <c r="Q46" i="2"/>
  <c r="R44" i="2"/>
  <c r="S44" i="2" s="1"/>
  <c r="T44" i="2" s="1"/>
  <c r="U44" i="2" s="1"/>
  <c r="I44" i="2"/>
  <c r="J44" i="2" s="1"/>
  <c r="K44" i="2" s="1"/>
  <c r="L44" i="2" s="1"/>
  <c r="M44" i="2" s="1"/>
  <c r="N44" i="2" s="1"/>
  <c r="Q40" i="2"/>
  <c r="Q41" i="2" s="1"/>
  <c r="H45" i="2"/>
  <c r="H40" i="2"/>
  <c r="H42" i="2" s="1"/>
  <c r="G40" i="2"/>
  <c r="D29" i="4"/>
  <c r="E29" i="4" s="1"/>
  <c r="F29" i="4" s="1"/>
  <c r="G29" i="4" s="1"/>
  <c r="H35" i="4" s="1"/>
  <c r="AE4" i="4"/>
  <c r="K26" i="4"/>
  <c r="K28" i="4" s="1"/>
  <c r="F38" i="4" s="1"/>
  <c r="AF3" i="4"/>
  <c r="AG3" i="4" s="1"/>
  <c r="AH3" i="4" s="1"/>
  <c r="AI3" i="4" s="1"/>
  <c r="AJ3" i="4" s="1"/>
  <c r="AE2" i="4"/>
  <c r="AF2" i="4" s="1"/>
  <c r="AG2" i="4" s="1"/>
  <c r="AH2" i="4" s="1"/>
  <c r="AI2" i="4" s="1"/>
  <c r="AJ2" i="4" s="1"/>
  <c r="AK2" i="4" s="1"/>
  <c r="K7" i="4"/>
  <c r="K6" i="4"/>
  <c r="K5" i="4"/>
  <c r="R16" i="1"/>
  <c r="R15" i="2"/>
  <c r="R29" i="2" s="1"/>
  <c r="S15" i="2"/>
  <c r="T15" i="2" s="1"/>
  <c r="U15" i="2" s="1"/>
  <c r="V15" i="2" s="1"/>
  <c r="W15" i="2" s="1"/>
  <c r="W29" i="2" s="1"/>
  <c r="R16" i="2"/>
  <c r="S16" i="2" s="1"/>
  <c r="T16" i="2" s="1"/>
  <c r="U16" i="2" s="1"/>
  <c r="V16" i="2" s="1"/>
  <c r="W16" i="2" s="1"/>
  <c r="Q30" i="2"/>
  <c r="Q17" i="2"/>
  <c r="I10" i="2"/>
  <c r="J10" i="2" s="1"/>
  <c r="I12" i="2"/>
  <c r="J12" i="2" s="1"/>
  <c r="K12" i="2" s="1"/>
  <c r="L12" i="2" s="1"/>
  <c r="M12" i="2" s="1"/>
  <c r="N12" i="2" s="1"/>
  <c r="J13" i="2"/>
  <c r="K13" i="2" s="1"/>
  <c r="L13" i="2" s="1"/>
  <c r="M13" i="2" s="1"/>
  <c r="N13" i="2" s="1"/>
  <c r="I13" i="2"/>
  <c r="E38" i="4" l="1"/>
  <c r="G36" i="4"/>
  <c r="F36" i="4"/>
  <c r="G35" i="4"/>
  <c r="F35" i="4"/>
  <c r="D36" i="4"/>
  <c r="D35" i="4"/>
  <c r="D34" i="4"/>
  <c r="D38" i="4"/>
  <c r="H34" i="4"/>
  <c r="E35" i="4"/>
  <c r="G38" i="4"/>
  <c r="E34" i="4"/>
  <c r="G37" i="4"/>
  <c r="G34" i="4"/>
  <c r="F34" i="4"/>
  <c r="H37" i="4"/>
  <c r="H36" i="4"/>
  <c r="E37" i="4"/>
  <c r="R40" i="2"/>
  <c r="S40" i="2" s="1"/>
  <c r="V44" i="2"/>
  <c r="W44" i="2" s="1"/>
  <c r="V29" i="2"/>
  <c r="U29" i="2"/>
  <c r="T29" i="2"/>
  <c r="S29" i="2"/>
  <c r="R45" i="2"/>
  <c r="K30" i="4"/>
  <c r="K27" i="4"/>
  <c r="K8" i="4"/>
  <c r="K10" i="2"/>
  <c r="L10" i="2" s="1"/>
  <c r="M10" i="2" s="1"/>
  <c r="N10" i="2" s="1"/>
  <c r="R10" i="2"/>
  <c r="C28" i="4" l="1"/>
  <c r="H28" i="4"/>
  <c r="C27" i="4"/>
  <c r="C24" i="4"/>
  <c r="T40" i="2"/>
  <c r="U40" i="2" s="1"/>
  <c r="H24" i="4"/>
  <c r="H25" i="4"/>
  <c r="H26" i="4"/>
  <c r="AE6" i="4"/>
  <c r="G28" i="4"/>
  <c r="E25" i="4"/>
  <c r="E26" i="4"/>
  <c r="E27" i="4"/>
  <c r="D24" i="4"/>
  <c r="D25" i="4"/>
  <c r="D26" i="4"/>
  <c r="D27" i="4"/>
  <c r="D28" i="4"/>
  <c r="C25" i="4"/>
  <c r="G26" i="4"/>
  <c r="G27" i="4"/>
  <c r="G24" i="4"/>
  <c r="E28" i="4"/>
  <c r="C26" i="4"/>
  <c r="G25" i="4"/>
  <c r="F24" i="4"/>
  <c r="F25" i="4"/>
  <c r="F26" i="4"/>
  <c r="F27" i="4"/>
  <c r="F28" i="4"/>
  <c r="E24" i="4"/>
  <c r="V40" i="2"/>
  <c r="K31" i="4"/>
  <c r="K32" i="4"/>
  <c r="AE24" i="4" l="1"/>
  <c r="AE23" i="4"/>
  <c r="AE10" i="4"/>
  <c r="AF6" i="4"/>
  <c r="AE9" i="4"/>
  <c r="AE12" i="4" s="1"/>
  <c r="AE13" i="4" s="1"/>
  <c r="AE11" i="4"/>
  <c r="W40" i="2"/>
  <c r="AF9" i="4" l="1"/>
  <c r="AF23" i="4"/>
  <c r="AF24" i="4"/>
  <c r="AF10" i="4"/>
  <c r="AF12" i="4"/>
  <c r="AF13" i="4" s="1"/>
  <c r="AF22" i="4"/>
  <c r="AE14" i="4"/>
  <c r="I22" i="2"/>
  <c r="H22" i="2"/>
  <c r="S10" i="2"/>
  <c r="T10" i="2"/>
  <c r="U10" i="2"/>
  <c r="V10" i="2" s="1"/>
  <c r="W10" i="2" s="1"/>
  <c r="R17" i="2"/>
  <c r="R25" i="2" s="1"/>
  <c r="Q29" i="2"/>
  <c r="Q25" i="2"/>
  <c r="H25" i="2"/>
  <c r="Q26" i="2"/>
  <c r="H28" i="2"/>
  <c r="H27" i="2"/>
  <c r="H26" i="2"/>
  <c r="Q27" i="2"/>
  <c r="J4" i="2"/>
  <c r="E6" i="2"/>
  <c r="F6" i="2"/>
  <c r="G6" i="2"/>
  <c r="H6" i="2"/>
  <c r="I9" i="2"/>
  <c r="H5" i="2"/>
  <c r="Q4" i="2"/>
  <c r="Q24" i="2"/>
  <c r="P14" i="2"/>
  <c r="H41" i="2"/>
  <c r="H39" i="2"/>
  <c r="R39" i="2" s="1"/>
  <c r="S39" i="2" s="1"/>
  <c r="T39" i="2" s="1"/>
  <c r="U39" i="2" s="1"/>
  <c r="V39" i="2" s="1"/>
  <c r="W39" i="2" s="1"/>
  <c r="G41" i="2"/>
  <c r="I18" i="2"/>
  <c r="J18" i="2" s="1"/>
  <c r="K18" i="2" s="1"/>
  <c r="L18" i="2" s="1"/>
  <c r="M18" i="2" s="1"/>
  <c r="N18" i="2" s="1"/>
  <c r="Q14" i="2"/>
  <c r="Q37" i="2" s="1"/>
  <c r="Q11" i="2"/>
  <c r="H14" i="2"/>
  <c r="H37" i="2" s="1"/>
  <c r="H38" i="2" s="1"/>
  <c r="I38" i="2" s="1"/>
  <c r="J38" i="2" s="1"/>
  <c r="K38" i="2" s="1"/>
  <c r="L38" i="2" s="1"/>
  <c r="M38" i="2" s="1"/>
  <c r="N38" i="2" s="1"/>
  <c r="H11" i="2"/>
  <c r="H24" i="2" s="1"/>
  <c r="G11" i="2"/>
  <c r="G24" i="2" s="1"/>
  <c r="G14" i="2"/>
  <c r="G37" i="2" s="1"/>
  <c r="G38" i="2" s="1"/>
  <c r="R15" i="1"/>
  <c r="R14" i="1"/>
  <c r="R13" i="1"/>
  <c r="R8" i="1"/>
  <c r="R7" i="1"/>
  <c r="R6" i="1"/>
  <c r="AF14" i="4" l="1"/>
  <c r="AF17" i="4" s="1"/>
  <c r="AG24" i="4"/>
  <c r="AG22" i="4"/>
  <c r="AG9" i="4"/>
  <c r="AG12" i="4" s="1"/>
  <c r="AG13" i="4" s="1"/>
  <c r="AH11" i="4"/>
  <c r="AG23" i="4"/>
  <c r="I40" i="2"/>
  <c r="I31" i="2"/>
  <c r="R43" i="2"/>
  <c r="K4" i="2"/>
  <c r="R4" i="2"/>
  <c r="J9" i="2"/>
  <c r="I14" i="2"/>
  <c r="R13" i="2"/>
  <c r="R9" i="1"/>
  <c r="AF19" i="4" l="1"/>
  <c r="AH24" i="4"/>
  <c r="AI11" i="4"/>
  <c r="AH9" i="4"/>
  <c r="AH12" i="4" s="1"/>
  <c r="AH13" i="4" s="1"/>
  <c r="AH22" i="4"/>
  <c r="AH23" i="4"/>
  <c r="AG14" i="4"/>
  <c r="AG16" i="4" s="1"/>
  <c r="J40" i="2"/>
  <c r="J31" i="2"/>
  <c r="R31" i="2"/>
  <c r="R42" i="2"/>
  <c r="S17" i="2"/>
  <c r="S25" i="2" s="1"/>
  <c r="K9" i="2"/>
  <c r="K40" i="2" s="1"/>
  <c r="J22" i="2"/>
  <c r="L9" i="2"/>
  <c r="L40" i="2" s="1"/>
  <c r="J11" i="2"/>
  <c r="J24" i="2" s="1"/>
  <c r="R9" i="2"/>
  <c r="L4" i="2"/>
  <c r="M4" i="2" s="1"/>
  <c r="N4" i="2" s="1"/>
  <c r="S4" i="2"/>
  <c r="S13" i="2"/>
  <c r="J14" i="2"/>
  <c r="R12" i="2"/>
  <c r="R14" i="2" s="1"/>
  <c r="AG20" i="4" l="1"/>
  <c r="AG21" i="4" s="1"/>
  <c r="AI24" i="4"/>
  <c r="AI14" i="4"/>
  <c r="AJ11" i="4"/>
  <c r="AI9" i="4"/>
  <c r="AI12" i="4" s="1"/>
  <c r="AI13" i="4" s="1"/>
  <c r="AI22" i="4"/>
  <c r="AI23" i="4"/>
  <c r="AH14" i="4"/>
  <c r="AH16" i="4" s="1"/>
  <c r="R41" i="2"/>
  <c r="R46" i="2"/>
  <c r="K11" i="2"/>
  <c r="K24" i="2" s="1"/>
  <c r="T17" i="2"/>
  <c r="T25" i="2" s="1"/>
  <c r="R11" i="2"/>
  <c r="S9" i="2"/>
  <c r="S46" i="2" s="1"/>
  <c r="R23" i="2"/>
  <c r="M9" i="2"/>
  <c r="M40" i="2" s="1"/>
  <c r="L23" i="2"/>
  <c r="L22" i="2"/>
  <c r="K22" i="2"/>
  <c r="K23" i="2"/>
  <c r="L11" i="2"/>
  <c r="L24" i="2" s="1"/>
  <c r="K14" i="2"/>
  <c r="J17" i="2"/>
  <c r="J37" i="2"/>
  <c r="AH17" i="4" l="1"/>
  <c r="AH18" i="4"/>
  <c r="AG17" i="4"/>
  <c r="AG18" i="4"/>
  <c r="AH21" i="4"/>
  <c r="AH20" i="4"/>
  <c r="AI16" i="4"/>
  <c r="AI18" i="4" s="1"/>
  <c r="AJ24" i="4"/>
  <c r="AJ14" i="4"/>
  <c r="AJ9" i="4"/>
  <c r="AJ12" i="4" s="1"/>
  <c r="AJ13" i="4" s="1"/>
  <c r="AJ22" i="4"/>
  <c r="AJ23" i="4"/>
  <c r="U17" i="2"/>
  <c r="U25" i="2" s="1"/>
  <c r="T9" i="2"/>
  <c r="T46" i="2" s="1"/>
  <c r="S11" i="2"/>
  <c r="S24" i="2" s="1"/>
  <c r="N9" i="2"/>
  <c r="M22" i="2"/>
  <c r="S23" i="2"/>
  <c r="M11" i="2"/>
  <c r="M24" i="2" s="1"/>
  <c r="L14" i="2"/>
  <c r="K17" i="2"/>
  <c r="K37" i="2"/>
  <c r="AJ16" i="4" l="1"/>
  <c r="AI21" i="4"/>
  <c r="AI17" i="4" s="1"/>
  <c r="N22" i="2"/>
  <c r="N40" i="2"/>
  <c r="W17" i="2"/>
  <c r="V17" i="2"/>
  <c r="V25" i="2" s="1"/>
  <c r="T23" i="2"/>
  <c r="U9" i="2"/>
  <c r="U46" i="2" s="1"/>
  <c r="T11" i="2"/>
  <c r="T24" i="2" s="1"/>
  <c r="N11" i="2"/>
  <c r="N24" i="2" s="1"/>
  <c r="M14" i="2"/>
  <c r="S12" i="2"/>
  <c r="L17" i="2"/>
  <c r="L37" i="2"/>
  <c r="AJ18" i="4" l="1"/>
  <c r="AJ27" i="4" s="1"/>
  <c r="AJ21" i="4"/>
  <c r="W25" i="2"/>
  <c r="V9" i="2"/>
  <c r="V46" i="2" s="1"/>
  <c r="U23" i="2"/>
  <c r="U11" i="2"/>
  <c r="U24" i="2" s="1"/>
  <c r="N14" i="2"/>
  <c r="N37" i="2" s="1"/>
  <c r="S14" i="2"/>
  <c r="M17" i="2"/>
  <c r="M37" i="2"/>
  <c r="N17" i="2"/>
  <c r="I37" i="2"/>
  <c r="I17" i="2"/>
  <c r="I11" i="2"/>
  <c r="I24" i="2" s="1"/>
  <c r="AJ17" i="4" l="1"/>
  <c r="W9" i="2"/>
  <c r="V23" i="2"/>
  <c r="V11" i="2"/>
  <c r="V24" i="2" s="1"/>
  <c r="R37" i="2"/>
  <c r="R24" i="2"/>
  <c r="W23" i="2" l="1"/>
  <c r="W46" i="2"/>
  <c r="W11" i="2"/>
  <c r="W24" i="2" s="1"/>
  <c r="I41" i="2"/>
  <c r="L41" i="2"/>
  <c r="K41" i="2"/>
  <c r="N41" i="2"/>
  <c r="M41" i="2"/>
  <c r="J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tc={4D1B6DA1-E7B7-4224-8F29-CCB48C8C1C92}</author>
    <author>Andrew Phan</author>
  </authors>
  <commentList>
    <comment ref="R9" authorId="0" shapeId="0" xr:uid="{4D1B6DA1-E7B7-4224-8F29-CCB48C8C1C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 Revenue Guidance: 140-150
</t>
      </text>
    </comment>
    <comment ref="V24" authorId="1" shapeId="0" xr:uid="{C0E4AF29-42DA-49C6-B4D4-6206923CD05B}">
      <text/>
    </comment>
  </commentList>
</comments>
</file>

<file path=xl/sharedStrings.xml><?xml version="1.0" encoding="utf-8"?>
<sst xmlns="http://schemas.openxmlformats.org/spreadsheetml/2006/main" count="217" uniqueCount="159">
  <si>
    <t>In Thousands</t>
  </si>
  <si>
    <t>Products</t>
  </si>
  <si>
    <t>Disease</t>
  </si>
  <si>
    <t>Target</t>
  </si>
  <si>
    <t xml:space="preserve"> Approval</t>
  </si>
  <si>
    <t>Drug Price</t>
  </si>
  <si>
    <t>Generic</t>
  </si>
  <si>
    <t>OJEMDA (tovorafenib); type 2 RAFi</t>
  </si>
  <si>
    <t>Ped. Glioma</t>
  </si>
  <si>
    <t>BRAF</t>
  </si>
  <si>
    <t>4/24/2024; Phase 3 as of Q2 2025</t>
  </si>
  <si>
    <t>~$36,000/m</t>
  </si>
  <si>
    <t>Price</t>
  </si>
  <si>
    <t>Q12025</t>
  </si>
  <si>
    <t xml:space="preserve">FIREFLY-2; Frontline RAF plGG </t>
  </si>
  <si>
    <t>13 dosing cycle</t>
  </si>
  <si>
    <t>Shares</t>
  </si>
  <si>
    <t xml:space="preserve">~$400,000 conservative </t>
  </si>
  <si>
    <t>MC</t>
  </si>
  <si>
    <t>DAY301; ADC</t>
  </si>
  <si>
    <t>Solid Tumors</t>
  </si>
  <si>
    <t>PTK-7</t>
  </si>
  <si>
    <t>TBD; Phase 1a/b as of Q2 2025</t>
  </si>
  <si>
    <t>tbd</t>
  </si>
  <si>
    <t>Cash</t>
  </si>
  <si>
    <t>Debt</t>
  </si>
  <si>
    <t>EV</t>
  </si>
  <si>
    <t>Q22025</t>
  </si>
  <si>
    <t>8/5/25 A/M</t>
  </si>
  <si>
    <t>Q1 2024</t>
  </si>
  <si>
    <t>Q2 2024</t>
  </si>
  <si>
    <t>Q3 2024</t>
  </si>
  <si>
    <t xml:space="preserve">Q4 2024 </t>
  </si>
  <si>
    <t xml:space="preserve">Q1 2025 </t>
  </si>
  <si>
    <t>Q2 2025</t>
  </si>
  <si>
    <t>Q3 2025</t>
  </si>
  <si>
    <t>Q4 2025</t>
  </si>
  <si>
    <t>Q1 2026</t>
  </si>
  <si>
    <t>Q2 2026</t>
  </si>
  <si>
    <t>Q3 2026</t>
  </si>
  <si>
    <t>Q4 2026</t>
  </si>
  <si>
    <t>Price (~$400k annual)</t>
  </si>
  <si>
    <t>Prescriptions</t>
  </si>
  <si>
    <t>Prescriptions Growth y/y</t>
  </si>
  <si>
    <t>Prescriptions Growth q/q</t>
  </si>
  <si>
    <t>Patients</t>
  </si>
  <si>
    <t>Revenue</t>
  </si>
  <si>
    <t>COGS</t>
  </si>
  <si>
    <t>Gross Profit</t>
  </si>
  <si>
    <t>SG&amp;A</t>
  </si>
  <si>
    <t>R&amp;D</t>
  </si>
  <si>
    <t>Op Ex</t>
  </si>
  <si>
    <t>Taxes</t>
  </si>
  <si>
    <t>Pre Tax Income</t>
  </si>
  <si>
    <t>Net Income</t>
  </si>
  <si>
    <t>EPS</t>
  </si>
  <si>
    <t>NOI</t>
  </si>
  <si>
    <t>Revenue Growth q/q</t>
  </si>
  <si>
    <t xml:space="preserve">Revenue Growth y/y </t>
  </si>
  <si>
    <t>Gross Margin</t>
  </si>
  <si>
    <t xml:space="preserve">Net Income Growth </t>
  </si>
  <si>
    <t>R&amp;D Growth</t>
  </si>
  <si>
    <t>SG&amp;A Growth</t>
  </si>
  <si>
    <t>COGS Growth</t>
  </si>
  <si>
    <t>Tax Rate</t>
  </si>
  <si>
    <t>Pre-Tax Income Growth</t>
  </si>
  <si>
    <t>% SG&amp;A/Revenue</t>
  </si>
  <si>
    <t>%R&amp;D/Revenue</t>
  </si>
  <si>
    <t>q1+q2 SG&amp;A / Revenue</t>
  </si>
  <si>
    <t>q1+q2 R&amp;D/ Revenue</t>
  </si>
  <si>
    <t>EBIT (Operating Income)</t>
  </si>
  <si>
    <t>EBITDA</t>
  </si>
  <si>
    <t>Cap Ex</t>
  </si>
  <si>
    <t>FCF</t>
  </si>
  <si>
    <t>FCF Margin</t>
  </si>
  <si>
    <t>FCF Growth</t>
  </si>
  <si>
    <t>Cap Ex Growth y/y</t>
  </si>
  <si>
    <t>CFO</t>
  </si>
  <si>
    <t>CFO Growth</t>
  </si>
  <si>
    <t>FCF:Revenue</t>
  </si>
  <si>
    <t>Cap Ex / Revenue</t>
  </si>
  <si>
    <t>Average CapEX/Revenue</t>
  </si>
  <si>
    <t>WACC</t>
  </si>
  <si>
    <t>NPV</t>
  </si>
  <si>
    <t>Projected</t>
  </si>
  <si>
    <t>Ojemda</t>
  </si>
  <si>
    <t>Base</t>
  </si>
  <si>
    <t>Drug</t>
  </si>
  <si>
    <t>OJEMDA (tovorafenib); type 2 RAFi; small molecule</t>
  </si>
  <si>
    <t>inhibits RAF dimers w/o paradoxical activation</t>
  </si>
  <si>
    <t>Product Revenue</t>
  </si>
  <si>
    <t>Ped. Glioma; Chronic</t>
  </si>
  <si>
    <t xml:space="preserve">PR y/y </t>
  </si>
  <si>
    <t>BRAF, BRAF +V600</t>
  </si>
  <si>
    <t>Risk Adjusted PR</t>
  </si>
  <si>
    <t xml:space="preserve">FIREFLY-2; Frontline RAF pLGG </t>
  </si>
  <si>
    <t>RAPR y/y</t>
  </si>
  <si>
    <t xml:space="preserve"> adjusted for rebates, patient assistance programs, gov't programs</t>
  </si>
  <si>
    <t>COGS (10% of Rev)</t>
  </si>
  <si>
    <t>Administration</t>
  </si>
  <si>
    <t>Oral, 380mg/m^2</t>
  </si>
  <si>
    <t>Comps Multiples</t>
  </si>
  <si>
    <t>Economics</t>
  </si>
  <si>
    <t>Day One in US, Ipsen 100% outside of US</t>
  </si>
  <si>
    <t>EV/Revenue</t>
  </si>
  <si>
    <t>Competitors</t>
  </si>
  <si>
    <t>Novartis (Tafinlar + Mekinist); only for BRAF V600</t>
  </si>
  <si>
    <t>P/S (MC/Rev)</t>
  </si>
  <si>
    <t>EV/Peak Sales</t>
  </si>
  <si>
    <t>pLGG Market Sizing</t>
  </si>
  <si>
    <t>EBIT</t>
  </si>
  <si>
    <t xml:space="preserve">% of BRAF V600 Mut. </t>
  </si>
  <si>
    <t xml:space="preserve">Source: https://pmc.ncbi.nlm.nih.gov/articles/PMC9870224/ </t>
  </si>
  <si>
    <t>% of BRAF fusion</t>
  </si>
  <si>
    <t>Source: https://www.rethinkplgg.com/hcp/BRAF-alterations</t>
  </si>
  <si>
    <t>Taxes (21%)</t>
  </si>
  <si>
    <t>% of pLGG BRAF altered</t>
  </si>
  <si>
    <t>NOL  Balance</t>
  </si>
  <si>
    <t>pLGG : CNS Tumors</t>
  </si>
  <si>
    <t>30%-40%</t>
  </si>
  <si>
    <t>Source :https://pmc.ncbi.nlm.nih.gov/articles/PMC10768984/</t>
  </si>
  <si>
    <t>Max NOL Usable</t>
  </si>
  <si>
    <t>pLGG Incidence y/y</t>
  </si>
  <si>
    <t>Source: https://curethekids.org/event/webinars/understanding-pediatric-low-grade-glioma-types-and-treatments/</t>
  </si>
  <si>
    <t>Taxable Income</t>
  </si>
  <si>
    <t>Assuming FIREFLY-2 Data Unsuccessful; only relapsed/refractory BRAF pLGG Patients FDA approved</t>
  </si>
  <si>
    <t>Patient Survival Rate 10yr</t>
  </si>
  <si>
    <t>Source: https://nortonchildrens.com/news/recurrent-low-grade-glioma-treatment/#:~:text=Treatment%20options%20for%20recurrent%20low%2Dgrade%20glioma%20may%20include:,Cancer</t>
  </si>
  <si>
    <t>Cap Ex (2% of Rev)</t>
  </si>
  <si>
    <t>pLGG Relapse Rate</t>
  </si>
  <si>
    <t>Source:https://nortonchildrens.com/news/recurrent-low-grade-glioma-treatment/#:~:text=Treatment%20options%20for%20recurrent%20low%2Dgrade%20glioma%20may%20include:,Cancer</t>
  </si>
  <si>
    <t>D&amp;A (2% of Rev)</t>
  </si>
  <si>
    <t>Avg Duration of pLGG (yr)</t>
  </si>
  <si>
    <r>
      <rPr>
        <sz val="11"/>
        <color theme="1"/>
        <rFont val="Aptos Narrow"/>
        <family val="2"/>
      </rPr>
      <t>∆</t>
    </r>
    <r>
      <rPr>
        <sz val="11"/>
        <color theme="1"/>
        <rFont val="Aptos Narrow"/>
        <family val="2"/>
        <scheme val="minor"/>
      </rPr>
      <t>NWC (8%)</t>
    </r>
  </si>
  <si>
    <t>Access Rate</t>
  </si>
  <si>
    <t>BRAF alt pLGG Patients</t>
  </si>
  <si>
    <t>Relapsed  Patients (Eligible)</t>
  </si>
  <si>
    <t>Assume FIREFLY-2 Approv</t>
  </si>
  <si>
    <t>RNPV</t>
  </si>
  <si>
    <t>Commercial Prob of Success</t>
  </si>
  <si>
    <t>Penetration Rate</t>
  </si>
  <si>
    <t>Total pLGG Population</t>
  </si>
  <si>
    <t>BRAF V600e Mut Population</t>
  </si>
  <si>
    <t>TV (Gordon)</t>
  </si>
  <si>
    <t>cannot do b/c generic (small molecule) in 2031</t>
  </si>
  <si>
    <t>Assuming FIREFLY-2 Data Successful; all BRAF pLGG Patients FDA approved</t>
  </si>
  <si>
    <t>BRAF Fusion Population</t>
  </si>
  <si>
    <t>Efficacy (FIREFLY-1 Results)</t>
  </si>
  <si>
    <t>67% ORR</t>
  </si>
  <si>
    <t>16.6 months DOR</t>
  </si>
  <si>
    <t>3.0 months TTR</t>
  </si>
  <si>
    <t>RAPNO 51% ORR</t>
  </si>
  <si>
    <t>7% patients dropped (SE)</t>
  </si>
  <si>
    <t>Side Effects: change hair color, creatine phosphokinese; all low danger SE's</t>
  </si>
  <si>
    <t>VSTM</t>
  </si>
  <si>
    <t xml:space="preserve">Price </t>
  </si>
  <si>
    <t>EV/Rev</t>
  </si>
  <si>
    <t>Asset FCF</t>
  </si>
  <si>
    <t>Company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</si>
</sst>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&quot;$&quot;#,##0.0_);[Red]\(&quot;$&quot;#,##0.0\)"/>
    <numFmt numFmtId="166" formatCode="&quot;$&quot;#,##0.0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1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0" fontId="2" fillId="0" borderId="0" xfId="0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1" xfId="0" applyBorder="1"/>
    <xf numFmtId="6" fontId="0" fillId="0" borderId="0" xfId="0" applyNumberFormat="1"/>
    <xf numFmtId="6" fontId="0" fillId="0" borderId="0" xfId="0" quotePrefix="1" applyNumberFormat="1"/>
    <xf numFmtId="165" fontId="0" fillId="0" borderId="0" xfId="0" applyNumberFormat="1"/>
    <xf numFmtId="0" fontId="0" fillId="2" borderId="0" xfId="0" applyFill="1"/>
    <xf numFmtId="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7152</xdr:colOff>
      <xdr:row>0</xdr:row>
      <xdr:rowOff>82990</xdr:rowOff>
    </xdr:from>
    <xdr:to>
      <xdr:col>23</xdr:col>
      <xdr:colOff>29786</xdr:colOff>
      <xdr:row>25</xdr:row>
      <xdr:rowOff>113168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9A9498D-5C1C-046C-281E-2B6BC8B7E8EB}"/>
            </a:ext>
          </a:extLst>
        </xdr:cNvPr>
        <xdr:cNvCxnSpPr/>
      </xdr:nvCxnSpPr>
      <xdr:spPr>
        <a:xfrm>
          <a:off x="13643777" y="82990"/>
          <a:ext cx="22634" cy="45942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9407</xdr:colOff>
      <xdr:row>0</xdr:row>
      <xdr:rowOff>47037</xdr:rowOff>
    </xdr:from>
    <xdr:to>
      <xdr:col>8</xdr:col>
      <xdr:colOff>33131</xdr:colOff>
      <xdr:row>38</xdr:row>
      <xdr:rowOff>33130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C3C0E10-9A50-FB82-0B90-57347CD4AFFE}"/>
            </a:ext>
          </a:extLst>
        </xdr:cNvPr>
        <xdr:cNvCxnSpPr/>
      </xdr:nvCxnSpPr>
      <xdr:spPr>
        <a:xfrm>
          <a:off x="5696798" y="47037"/>
          <a:ext cx="23724" cy="71201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0</xdr:row>
      <xdr:rowOff>35859</xdr:rowOff>
    </xdr:from>
    <xdr:to>
      <xdr:col>36</xdr:col>
      <xdr:colOff>35859</xdr:colOff>
      <xdr:row>16</xdr:row>
      <xdr:rowOff>71718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3883082-EC91-7B96-45F7-CDD66E70B267}"/>
            </a:ext>
          </a:extLst>
        </xdr:cNvPr>
        <xdr:cNvCxnSpPr/>
      </xdr:nvCxnSpPr>
      <xdr:spPr>
        <a:xfrm flipH="1">
          <a:off x="18682447" y="35859"/>
          <a:ext cx="35859" cy="290456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w Phan" id="{67761D27-5C83-4141-9F80-03EECF3C064C}" userId="5e6cff246ab7a6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9" dT="2025-08-24T21:55:08.95" personId="{67761D27-5C83-4141-9F80-03EECF3C064C}" id="{4D1B6DA1-E7B7-4224-8F29-CCB48C8C1C92}">
    <text xml:space="preserve">2025 Revenue Guidance: 140-150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DEEE-7F72-4A45-B3A4-606667A717F8}">
  <dimension ref="B2:T16"/>
  <sheetViews>
    <sheetView zoomScale="81" workbookViewId="0">
      <selection activeCell="R7" sqref="R7"/>
    </sheetView>
  </sheetViews>
  <sheetFormatPr defaultRowHeight="14.4" x14ac:dyDescent="0.3"/>
  <cols>
    <col min="2" max="2" width="28.88671875" customWidth="1"/>
    <col min="3" max="3" width="11.6640625" customWidth="1"/>
    <col min="4" max="4" width="7.6640625" customWidth="1"/>
    <col min="5" max="5" width="28.5546875" customWidth="1"/>
    <col min="6" max="6" width="10.5546875" customWidth="1"/>
    <col min="11" max="11" width="11.109375" bestFit="1" customWidth="1"/>
  </cols>
  <sheetData>
    <row r="2" spans="2:20" x14ac:dyDescent="0.3">
      <c r="R2" t="s">
        <v>0</v>
      </c>
    </row>
    <row r="3" spans="2:20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20" x14ac:dyDescent="0.3">
      <c r="B4" t="s">
        <v>7</v>
      </c>
      <c r="C4" t="s">
        <v>8</v>
      </c>
      <c r="D4" t="s">
        <v>9</v>
      </c>
      <c r="E4" s="3" t="s">
        <v>10</v>
      </c>
      <c r="F4" t="s">
        <v>11</v>
      </c>
      <c r="G4">
        <v>2031</v>
      </c>
      <c r="Q4" t="s">
        <v>12</v>
      </c>
      <c r="R4">
        <v>6.73</v>
      </c>
      <c r="S4" t="s">
        <v>13</v>
      </c>
    </row>
    <row r="5" spans="2:20" x14ac:dyDescent="0.3">
      <c r="E5" t="s">
        <v>14</v>
      </c>
      <c r="F5" t="s">
        <v>15</v>
      </c>
      <c r="Q5" t="s">
        <v>16</v>
      </c>
      <c r="R5" s="1">
        <v>101.36246800000001</v>
      </c>
      <c r="S5" t="s">
        <v>13</v>
      </c>
    </row>
    <row r="6" spans="2:20" x14ac:dyDescent="0.3">
      <c r="F6" t="s">
        <v>17</v>
      </c>
      <c r="Q6" t="s">
        <v>18</v>
      </c>
      <c r="R6" s="2">
        <f>R5*R4</f>
        <v>682.16940964000014</v>
      </c>
    </row>
    <row r="7" spans="2:20" x14ac:dyDescent="0.3"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23</v>
      </c>
      <c r="Q7" t="s">
        <v>24</v>
      </c>
      <c r="R7" s="1">
        <f>33.358
+439.662</f>
        <v>473.02</v>
      </c>
      <c r="S7" t="s">
        <v>13</v>
      </c>
    </row>
    <row r="8" spans="2:20" x14ac:dyDescent="0.3">
      <c r="Q8" t="s">
        <v>25</v>
      </c>
      <c r="R8">
        <f>0</f>
        <v>0</v>
      </c>
      <c r="S8" t="s">
        <v>13</v>
      </c>
    </row>
    <row r="9" spans="2:20" x14ac:dyDescent="0.3">
      <c r="Q9" t="s">
        <v>26</v>
      </c>
      <c r="R9" s="1">
        <f>+R6-R7+R8</f>
        <v>209.14940964000016</v>
      </c>
      <c r="S9" t="s">
        <v>13</v>
      </c>
    </row>
    <row r="11" spans="2:20" x14ac:dyDescent="0.3">
      <c r="Q11" t="s">
        <v>12</v>
      </c>
      <c r="R11">
        <v>5.91</v>
      </c>
      <c r="S11" t="s">
        <v>27</v>
      </c>
      <c r="T11" t="s">
        <v>28</v>
      </c>
    </row>
    <row r="12" spans="2:20" x14ac:dyDescent="0.3">
      <c r="Q12" t="s">
        <v>16</v>
      </c>
      <c r="R12" s="1">
        <v>102.431933</v>
      </c>
      <c r="S12" t="s">
        <v>27</v>
      </c>
    </row>
    <row r="13" spans="2:20" x14ac:dyDescent="0.3">
      <c r="Q13" t="s">
        <v>18</v>
      </c>
      <c r="R13" s="2">
        <f>R12*R11</f>
        <v>605.37272402999997</v>
      </c>
    </row>
    <row r="14" spans="2:20" x14ac:dyDescent="0.3">
      <c r="Q14" t="s">
        <v>24</v>
      </c>
      <c r="R14" s="1">
        <f>33.358
+439.662</f>
        <v>473.02</v>
      </c>
      <c r="S14" t="s">
        <v>27</v>
      </c>
    </row>
    <row r="15" spans="2:20" x14ac:dyDescent="0.3">
      <c r="Q15" t="s">
        <v>25</v>
      </c>
      <c r="R15">
        <f>0</f>
        <v>0</v>
      </c>
      <c r="S15" t="s">
        <v>27</v>
      </c>
    </row>
    <row r="16" spans="2:20" x14ac:dyDescent="0.3">
      <c r="Q16" t="s">
        <v>26</v>
      </c>
      <c r="R16" s="1">
        <f>+R13-R14+R15</f>
        <v>132.35272402999999</v>
      </c>
      <c r="S16" t="s">
        <v>27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107E-10A3-4BBA-A924-154464548FA8}">
  <dimension ref="B1:X55"/>
  <sheetViews>
    <sheetView zoomScale="86" zoomScaleNormal="95" workbookViewId="0">
      <selection activeCell="H45" sqref="H45"/>
    </sheetView>
  </sheetViews>
  <sheetFormatPr defaultRowHeight="14.4" x14ac:dyDescent="0.3"/>
  <cols>
    <col min="2" max="2" width="21" customWidth="1"/>
    <col min="16" max="16" width="10.33203125" customWidth="1"/>
    <col min="17" max="17" width="10.6640625" bestFit="1" customWidth="1"/>
    <col min="19" max="19" width="9.109375" bestFit="1" customWidth="1"/>
  </cols>
  <sheetData>
    <row r="1" spans="2:24" x14ac:dyDescent="0.3">
      <c r="X1" t="s">
        <v>6</v>
      </c>
    </row>
    <row r="2" spans="2:24" x14ac:dyDescent="0.3"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</row>
    <row r="3" spans="2:24" x14ac:dyDescent="0.3">
      <c r="B3" t="s">
        <v>41</v>
      </c>
      <c r="C3">
        <v>0.4</v>
      </c>
      <c r="D3">
        <v>0.4</v>
      </c>
      <c r="E3">
        <v>0.4</v>
      </c>
      <c r="F3">
        <v>0.4</v>
      </c>
      <c r="G3">
        <v>0.4</v>
      </c>
      <c r="H3">
        <v>0.4</v>
      </c>
      <c r="I3">
        <v>0.4</v>
      </c>
      <c r="J3">
        <v>0.4</v>
      </c>
      <c r="K3">
        <v>0.4</v>
      </c>
      <c r="L3">
        <v>0.4</v>
      </c>
      <c r="M3">
        <v>0.4</v>
      </c>
      <c r="N3">
        <v>0.4</v>
      </c>
      <c r="O3">
        <v>0.4</v>
      </c>
      <c r="P3">
        <v>0.4</v>
      </c>
      <c r="Q3">
        <v>0.4</v>
      </c>
      <c r="R3">
        <v>0.4</v>
      </c>
      <c r="S3">
        <v>0.4</v>
      </c>
      <c r="T3">
        <v>0.4</v>
      </c>
      <c r="U3">
        <v>0.4</v>
      </c>
      <c r="V3">
        <v>0.4</v>
      </c>
      <c r="W3">
        <v>0.4</v>
      </c>
    </row>
    <row r="4" spans="2:24" x14ac:dyDescent="0.3">
      <c r="B4" t="s">
        <v>42</v>
      </c>
      <c r="C4">
        <v>0</v>
      </c>
      <c r="D4">
        <v>224</v>
      </c>
      <c r="E4">
        <v>619</v>
      </c>
      <c r="F4">
        <v>776</v>
      </c>
      <c r="G4">
        <v>900</v>
      </c>
      <c r="H4">
        <v>1000</v>
      </c>
      <c r="I4">
        <f t="shared" ref="I4:N4" si="0">H4*1.11</f>
        <v>1110</v>
      </c>
      <c r="J4">
        <f t="shared" si="0"/>
        <v>1232.1000000000001</v>
      </c>
      <c r="K4">
        <f t="shared" si="0"/>
        <v>1367.6310000000003</v>
      </c>
      <c r="L4">
        <f t="shared" si="0"/>
        <v>1518.0704100000005</v>
      </c>
      <c r="M4">
        <f t="shared" si="0"/>
        <v>1685.0581551000007</v>
      </c>
      <c r="N4">
        <f t="shared" si="0"/>
        <v>1870.414552161001</v>
      </c>
      <c r="P4">
        <v>0</v>
      </c>
      <c r="Q4">
        <f>SUM(C4:F4)</f>
        <v>1619</v>
      </c>
      <c r="R4">
        <f>SUM(G4:J4)</f>
        <v>4242.1000000000004</v>
      </c>
      <c r="S4">
        <f>SUM(K4:N4)</f>
        <v>6441.1741172610018</v>
      </c>
    </row>
    <row r="5" spans="2:24" x14ac:dyDescent="0.3">
      <c r="B5" s="9" t="s">
        <v>43</v>
      </c>
      <c r="C5" s="9"/>
      <c r="D5" s="9"/>
      <c r="E5" s="9"/>
      <c r="F5" s="9"/>
      <c r="G5" s="9"/>
      <c r="H5" s="6">
        <f>(1000-224)/224</f>
        <v>3.4642857142857144</v>
      </c>
    </row>
    <row r="6" spans="2:24" x14ac:dyDescent="0.3">
      <c r="B6" s="9" t="s">
        <v>44</v>
      </c>
      <c r="C6" s="9"/>
      <c r="D6" s="9"/>
      <c r="E6" s="6">
        <f>(619-224)/224</f>
        <v>1.7633928571428572</v>
      </c>
      <c r="F6" s="6">
        <f>(776-619)/619</f>
        <v>0.25363489499192243</v>
      </c>
      <c r="G6" s="6">
        <f>(900-776)/776</f>
        <v>0.15979381443298968</v>
      </c>
      <c r="H6" s="6">
        <f>(1000-900)/900</f>
        <v>0.1111111111111111</v>
      </c>
    </row>
    <row r="7" spans="2:24" x14ac:dyDescent="0.3">
      <c r="B7" t="s">
        <v>45</v>
      </c>
      <c r="E7" s="6"/>
      <c r="F7" s="6"/>
      <c r="G7" s="6"/>
      <c r="H7" s="6"/>
      <c r="Q7">
        <v>151</v>
      </c>
    </row>
    <row r="9" spans="2:24" x14ac:dyDescent="0.3">
      <c r="B9" s="9" t="s">
        <v>46</v>
      </c>
      <c r="C9" s="9">
        <v>0</v>
      </c>
      <c r="D9" s="9"/>
      <c r="E9" s="9"/>
      <c r="F9" s="9"/>
      <c r="G9" s="9">
        <v>30.760999999999999</v>
      </c>
      <c r="H9" s="9">
        <v>33.908000000000001</v>
      </c>
      <c r="I9" s="9">
        <f t="shared" ref="I9:N9" si="1">+H9*1.1</f>
        <v>37.298800000000007</v>
      </c>
      <c r="J9" s="9">
        <f t="shared" si="1"/>
        <v>41.028680000000008</v>
      </c>
      <c r="K9" s="9">
        <f t="shared" si="1"/>
        <v>45.131548000000016</v>
      </c>
      <c r="L9" s="9">
        <f t="shared" si="1"/>
        <v>49.644702800000019</v>
      </c>
      <c r="M9" s="9">
        <f t="shared" si="1"/>
        <v>54.609173080000026</v>
      </c>
      <c r="N9" s="9">
        <f t="shared" si="1"/>
        <v>60.070090388000033</v>
      </c>
      <c r="O9" s="9"/>
      <c r="P9" s="9">
        <v>0</v>
      </c>
      <c r="Q9" s="9">
        <v>57.2</v>
      </c>
      <c r="R9" s="9">
        <f>SUM(G9:J9)</f>
        <v>142.99648000000002</v>
      </c>
      <c r="S9" s="9">
        <f>R9*1.4</f>
        <v>200.19507200000001</v>
      </c>
      <c r="T9" s="9">
        <f>S9*1.35</f>
        <v>270.26334720000006</v>
      </c>
      <c r="U9" s="9">
        <f>T9*1.3</f>
        <v>351.34235136000007</v>
      </c>
      <c r="V9" s="9">
        <f>U9*1.25</f>
        <v>439.17793920000008</v>
      </c>
      <c r="W9" s="9">
        <f>V9*1.2</f>
        <v>527.0135270400001</v>
      </c>
    </row>
    <row r="10" spans="2:24" x14ac:dyDescent="0.3">
      <c r="B10" t="s">
        <v>47</v>
      </c>
      <c r="C10">
        <v>0</v>
      </c>
      <c r="G10">
        <v>2.8839999999999999</v>
      </c>
      <c r="H10">
        <v>3.7650000000000001</v>
      </c>
      <c r="I10">
        <f>H10*1.3</f>
        <v>4.8945000000000007</v>
      </c>
      <c r="J10">
        <f t="shared" ref="J10:N10" si="2">I10*1.3</f>
        <v>6.3628500000000008</v>
      </c>
      <c r="K10">
        <f t="shared" si="2"/>
        <v>8.2717050000000008</v>
      </c>
      <c r="L10">
        <f t="shared" si="2"/>
        <v>10.753216500000001</v>
      </c>
      <c r="M10">
        <f t="shared" si="2"/>
        <v>13.97918145</v>
      </c>
      <c r="N10">
        <f t="shared" si="2"/>
        <v>18.172935885000001</v>
      </c>
      <c r="P10">
        <v>0</v>
      </c>
      <c r="Q10">
        <v>5.2789999999999999</v>
      </c>
      <c r="R10">
        <f>SUM(G10:J10)</f>
        <v>17.906350000000003</v>
      </c>
      <c r="S10">
        <f t="shared" ref="S10:W10" si="3">R10*1.3</f>
        <v>23.278255000000005</v>
      </c>
      <c r="T10">
        <f t="shared" si="3"/>
        <v>30.261731500000007</v>
      </c>
      <c r="U10">
        <f t="shared" si="3"/>
        <v>39.340250950000012</v>
      </c>
      <c r="V10">
        <f t="shared" si="3"/>
        <v>51.14232623500002</v>
      </c>
      <c r="W10">
        <f t="shared" si="3"/>
        <v>66.485024105500031</v>
      </c>
    </row>
    <row r="11" spans="2:24" x14ac:dyDescent="0.3">
      <c r="B11" t="s">
        <v>48</v>
      </c>
      <c r="C11">
        <v>0</v>
      </c>
      <c r="G11">
        <f t="shared" ref="G11:N11" si="4">G9-G10</f>
        <v>27.876999999999999</v>
      </c>
      <c r="H11">
        <f t="shared" si="4"/>
        <v>30.143000000000001</v>
      </c>
      <c r="I11">
        <f t="shared" si="4"/>
        <v>32.404300000000006</v>
      </c>
      <c r="J11">
        <f t="shared" si="4"/>
        <v>34.665830000000007</v>
      </c>
      <c r="K11">
        <f t="shared" si="4"/>
        <v>36.859843000000012</v>
      </c>
      <c r="L11">
        <f t="shared" si="4"/>
        <v>38.891486300000018</v>
      </c>
      <c r="M11">
        <f t="shared" si="4"/>
        <v>40.629991630000028</v>
      </c>
      <c r="N11">
        <f t="shared" si="4"/>
        <v>41.897154503000031</v>
      </c>
      <c r="P11">
        <v>0</v>
      </c>
      <c r="Q11">
        <f>+Q9-Q10</f>
        <v>51.921000000000006</v>
      </c>
      <c r="R11">
        <f t="shared" ref="R11:W11" si="5">R9*0.89</f>
        <v>127.26686720000002</v>
      </c>
      <c r="S11">
        <f t="shared" si="5"/>
        <v>178.17361408000002</v>
      </c>
      <c r="T11">
        <f t="shared" si="5"/>
        <v>240.53437900800006</v>
      </c>
      <c r="U11">
        <f t="shared" si="5"/>
        <v>312.69469271040009</v>
      </c>
      <c r="V11">
        <f t="shared" si="5"/>
        <v>390.86836588800008</v>
      </c>
      <c r="W11">
        <f t="shared" si="5"/>
        <v>469.04203906560008</v>
      </c>
    </row>
    <row r="12" spans="2:24" x14ac:dyDescent="0.3">
      <c r="B12" t="s">
        <v>49</v>
      </c>
      <c r="G12">
        <v>29.324999999999999</v>
      </c>
      <c r="H12">
        <v>28.968</v>
      </c>
      <c r="I12">
        <f>H12*0.99</f>
        <v>28.678319999999999</v>
      </c>
      <c r="J12">
        <f t="shared" ref="J12:N12" si="6">I12*0.99</f>
        <v>28.391536800000001</v>
      </c>
      <c r="K12">
        <f t="shared" si="6"/>
        <v>28.107621432000002</v>
      </c>
      <c r="L12">
        <f t="shared" si="6"/>
        <v>27.826545217680003</v>
      </c>
      <c r="M12">
        <f t="shared" si="6"/>
        <v>27.548279765503203</v>
      </c>
      <c r="N12">
        <f t="shared" si="6"/>
        <v>27.272796967848169</v>
      </c>
      <c r="P12">
        <v>75.543000000000006</v>
      </c>
      <c r="Q12">
        <v>115.45</v>
      </c>
      <c r="R12">
        <f>SUM(G12:J12)</f>
        <v>115.36285679999999</v>
      </c>
      <c r="S12">
        <f>SUM(K12:N12)</f>
        <v>110.75524338303137</v>
      </c>
    </row>
    <row r="13" spans="2:24" x14ac:dyDescent="0.3">
      <c r="B13" t="s">
        <v>50</v>
      </c>
      <c r="G13">
        <v>39.619</v>
      </c>
      <c r="H13">
        <v>36.149000000000001</v>
      </c>
      <c r="I13">
        <f>H13*0.92</f>
        <v>33.257080000000002</v>
      </c>
      <c r="J13">
        <f t="shared" ref="J13:N13" si="7">I13*0.92</f>
        <v>30.596513600000002</v>
      </c>
      <c r="K13">
        <f t="shared" si="7"/>
        <v>28.148792512000004</v>
      </c>
      <c r="L13">
        <f t="shared" si="7"/>
        <v>25.896889111040004</v>
      </c>
      <c r="M13">
        <f t="shared" si="7"/>
        <v>23.825137982156804</v>
      </c>
      <c r="N13">
        <f t="shared" si="7"/>
        <v>21.91912694358426</v>
      </c>
      <c r="P13">
        <v>130.52099999999999</v>
      </c>
      <c r="Q13">
        <v>227.702</v>
      </c>
      <c r="R13">
        <f>SUM(G13:J13)</f>
        <v>139.62159360000001</v>
      </c>
      <c r="S13">
        <f>SUM(K13:N13)</f>
        <v>99.789946548781074</v>
      </c>
    </row>
    <row r="14" spans="2:24" x14ac:dyDescent="0.3">
      <c r="B14" t="s">
        <v>51</v>
      </c>
      <c r="E14" s="4"/>
      <c r="G14">
        <f>+G13+G12</f>
        <v>68.944000000000003</v>
      </c>
      <c r="H14">
        <f>H12+H13</f>
        <v>65.117000000000004</v>
      </c>
      <c r="I14">
        <f t="shared" ref="I14:N14" si="8">+I12+I13</f>
        <v>61.935400000000001</v>
      </c>
      <c r="J14">
        <f t="shared" si="8"/>
        <v>58.988050400000006</v>
      </c>
      <c r="K14">
        <f t="shared" si="8"/>
        <v>56.256413944000002</v>
      </c>
      <c r="L14">
        <f t="shared" si="8"/>
        <v>53.723434328720003</v>
      </c>
      <c r="M14">
        <f t="shared" si="8"/>
        <v>51.373417747660007</v>
      </c>
      <c r="N14">
        <f t="shared" si="8"/>
        <v>49.191923911432426</v>
      </c>
      <c r="P14">
        <f>P13+P12</f>
        <v>206.06399999999999</v>
      </c>
      <c r="Q14">
        <f>+Q12+Q13</f>
        <v>343.15199999999999</v>
      </c>
      <c r="R14">
        <f>R12+R13</f>
        <v>254.98445040000001</v>
      </c>
      <c r="S14">
        <f>S12+S13</f>
        <v>210.54518993181244</v>
      </c>
    </row>
    <row r="15" spans="2:24" x14ac:dyDescent="0.3">
      <c r="B15" t="s">
        <v>52</v>
      </c>
      <c r="C15">
        <v>0</v>
      </c>
      <c r="G15">
        <v>0</v>
      </c>
      <c r="H15">
        <v>5.3159999999999998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7.1440000000000001</v>
      </c>
      <c r="R15">
        <f>Q15*1.25</f>
        <v>8.93</v>
      </c>
      <c r="S15">
        <f t="shared" ref="S15:W15" si="9">R15*1.25</f>
        <v>11.1625</v>
      </c>
      <c r="T15">
        <f t="shared" si="9"/>
        <v>13.953125</v>
      </c>
      <c r="U15">
        <f t="shared" si="9"/>
        <v>17.44140625</v>
      </c>
      <c r="V15">
        <f t="shared" si="9"/>
        <v>21.8017578125</v>
      </c>
      <c r="W15">
        <f t="shared" si="9"/>
        <v>27.252197265625</v>
      </c>
    </row>
    <row r="16" spans="2:24" x14ac:dyDescent="0.3">
      <c r="B16" t="s">
        <v>53</v>
      </c>
      <c r="P16">
        <v>-188.92</v>
      </c>
      <c r="Q16">
        <v>-88.352000000000004</v>
      </c>
      <c r="R16">
        <f>Q16*0.5</f>
        <v>-44.176000000000002</v>
      </c>
      <c r="S16">
        <f t="shared" ref="S16:W16" si="10">R16*0.5</f>
        <v>-22.088000000000001</v>
      </c>
      <c r="T16">
        <f t="shared" si="10"/>
        <v>-11.044</v>
      </c>
      <c r="U16">
        <f t="shared" si="10"/>
        <v>-5.5220000000000002</v>
      </c>
      <c r="V16">
        <f t="shared" si="10"/>
        <v>-2.7610000000000001</v>
      </c>
      <c r="W16">
        <f t="shared" si="10"/>
        <v>-1.3805000000000001</v>
      </c>
    </row>
    <row r="17" spans="2:23" x14ac:dyDescent="0.3">
      <c r="B17" t="s">
        <v>54</v>
      </c>
      <c r="G17">
        <v>-35.996000000000002</v>
      </c>
      <c r="H17">
        <v>-30.321999999999999</v>
      </c>
      <c r="I17">
        <f t="shared" ref="I17:N17" si="11">I9-I10-I14-I15</f>
        <v>-29.531099999999995</v>
      </c>
      <c r="J17">
        <f t="shared" si="11"/>
        <v>-24.322220399999999</v>
      </c>
      <c r="K17">
        <f t="shared" si="11"/>
        <v>-19.39657094399999</v>
      </c>
      <c r="L17">
        <f t="shared" si="11"/>
        <v>-14.831948028719985</v>
      </c>
      <c r="M17">
        <f t="shared" si="11"/>
        <v>-10.743426117659979</v>
      </c>
      <c r="N17">
        <f t="shared" si="11"/>
        <v>-7.2947694084323942</v>
      </c>
      <c r="P17" s="1">
        <v>-188.9</v>
      </c>
      <c r="Q17">
        <f>Q16-Q15</f>
        <v>-95.496000000000009</v>
      </c>
      <c r="R17">
        <f t="shared" ref="R17:W17" si="12">R16-R15</f>
        <v>-53.106000000000002</v>
      </c>
      <c r="S17">
        <f t="shared" si="12"/>
        <v>-33.250500000000002</v>
      </c>
      <c r="T17">
        <f t="shared" si="12"/>
        <v>-24.997125</v>
      </c>
      <c r="U17">
        <f t="shared" si="12"/>
        <v>-22.963406249999998</v>
      </c>
      <c r="V17">
        <f t="shared" si="12"/>
        <v>-24.562757812499999</v>
      </c>
      <c r="W17">
        <f t="shared" si="12"/>
        <v>-28.632697265625001</v>
      </c>
    </row>
    <row r="18" spans="2:23" x14ac:dyDescent="0.3">
      <c r="B18" t="s">
        <v>55</v>
      </c>
      <c r="G18">
        <v>-0.35</v>
      </c>
      <c r="H18">
        <v>-0.28999999999999998</v>
      </c>
      <c r="I18">
        <f t="shared" ref="I18:N18" si="13">H18+0.06</f>
        <v>-0.22999999999999998</v>
      </c>
      <c r="J18">
        <f t="shared" si="13"/>
        <v>-0.16999999999999998</v>
      </c>
      <c r="K18">
        <f t="shared" si="13"/>
        <v>-0.10999999999999999</v>
      </c>
      <c r="L18">
        <f t="shared" si="13"/>
        <v>-4.9999999999999989E-2</v>
      </c>
      <c r="M18">
        <f t="shared" si="13"/>
        <v>1.0000000000000009E-2</v>
      </c>
      <c r="N18">
        <f t="shared" si="13"/>
        <v>7.0000000000000007E-2</v>
      </c>
    </row>
    <row r="19" spans="2:23" x14ac:dyDescent="0.3">
      <c r="B19" t="s">
        <v>56</v>
      </c>
      <c r="G19">
        <v>5.0709999999999997</v>
      </c>
      <c r="H19">
        <v>4.6520000000000001</v>
      </c>
      <c r="Q19">
        <v>128.91800000000001</v>
      </c>
    </row>
    <row r="20" spans="2:23" x14ac:dyDescent="0.3">
      <c r="B20" t="s">
        <v>16</v>
      </c>
      <c r="G20">
        <v>101</v>
      </c>
      <c r="H20">
        <v>102</v>
      </c>
      <c r="I20">
        <v>102</v>
      </c>
      <c r="J20">
        <v>102</v>
      </c>
      <c r="K20">
        <v>102</v>
      </c>
      <c r="L20">
        <v>102</v>
      </c>
      <c r="M20">
        <v>102</v>
      </c>
      <c r="N20">
        <v>102</v>
      </c>
      <c r="Q20">
        <v>101</v>
      </c>
      <c r="R20">
        <v>102</v>
      </c>
      <c r="S20">
        <v>102</v>
      </c>
      <c r="T20">
        <v>102</v>
      </c>
      <c r="U20">
        <v>102</v>
      </c>
      <c r="V20">
        <v>102</v>
      </c>
      <c r="W20">
        <v>102</v>
      </c>
    </row>
    <row r="22" spans="2:23" x14ac:dyDescent="0.3">
      <c r="B22" t="s">
        <v>57</v>
      </c>
      <c r="H22" s="4">
        <f>(H9-G9)/G9</f>
        <v>0.10230486655180268</v>
      </c>
      <c r="I22" s="4">
        <f t="shared" ref="I22:N22" si="14">(I9-H9)/H9</f>
        <v>0.10000000000000017</v>
      </c>
      <c r="J22" s="4">
        <f t="shared" si="14"/>
        <v>0.10000000000000002</v>
      </c>
      <c r="K22" s="4">
        <f t="shared" si="14"/>
        <v>0.10000000000000017</v>
      </c>
      <c r="L22" s="4">
        <f t="shared" si="14"/>
        <v>0.10000000000000002</v>
      </c>
      <c r="M22" s="4">
        <f t="shared" si="14"/>
        <v>0.10000000000000012</v>
      </c>
      <c r="N22" s="4">
        <f t="shared" si="14"/>
        <v>0.10000000000000006</v>
      </c>
      <c r="R22" s="4"/>
    </row>
    <row r="23" spans="2:23" x14ac:dyDescent="0.3">
      <c r="B23" t="s">
        <v>58</v>
      </c>
      <c r="H23" s="5">
        <v>3.1</v>
      </c>
      <c r="K23" s="4">
        <f>K9/G9-1</f>
        <v>0.4671677773804499</v>
      </c>
      <c r="L23" s="4">
        <f>L9/H9-1</f>
        <v>0.4641000000000004</v>
      </c>
      <c r="Q23" s="4"/>
      <c r="R23" s="4">
        <f>+R9/Q9-1</f>
        <v>1.4999384615384619</v>
      </c>
      <c r="S23" s="4">
        <f>+S9/R9-1</f>
        <v>0.39999999999999991</v>
      </c>
      <c r="T23" s="4">
        <f t="shared" ref="T23:W23" si="15">+T9/S9-1</f>
        <v>0.35000000000000031</v>
      </c>
      <c r="U23" s="4">
        <f t="shared" si="15"/>
        <v>0.30000000000000004</v>
      </c>
      <c r="V23" s="4">
        <f t="shared" si="15"/>
        <v>0.25</v>
      </c>
      <c r="W23" s="4">
        <f t="shared" si="15"/>
        <v>0.19999999999999996</v>
      </c>
    </row>
    <row r="24" spans="2:23" x14ac:dyDescent="0.3">
      <c r="B24" t="s">
        <v>59</v>
      </c>
      <c r="G24" s="4">
        <f t="shared" ref="G24:N24" si="16">G11/G9</f>
        <v>0.90624492051623806</v>
      </c>
      <c r="H24" s="4">
        <f t="shared" si="16"/>
        <v>0.88896425622272024</v>
      </c>
      <c r="I24" s="4">
        <f t="shared" si="16"/>
        <v>0.86877593917230578</v>
      </c>
      <c r="J24" s="4">
        <f t="shared" si="16"/>
        <v>0.84491701902181593</v>
      </c>
      <c r="K24" s="4">
        <f t="shared" si="16"/>
        <v>0.81672011338941886</v>
      </c>
      <c r="L24" s="4">
        <f t="shared" si="16"/>
        <v>0.78339649764204056</v>
      </c>
      <c r="M24" s="4">
        <f t="shared" si="16"/>
        <v>0.74401404266786619</v>
      </c>
      <c r="N24" s="4">
        <f t="shared" si="16"/>
        <v>0.69747114133475085</v>
      </c>
      <c r="O24" s="4"/>
      <c r="Q24" s="4">
        <f t="shared" ref="Q24:W24" si="17">Q11/Q9</f>
        <v>0.90770979020979026</v>
      </c>
      <c r="R24" s="4">
        <f t="shared" si="17"/>
        <v>0.89</v>
      </c>
      <c r="S24" s="4">
        <f t="shared" si="17"/>
        <v>0.89</v>
      </c>
      <c r="T24" s="4">
        <f t="shared" si="17"/>
        <v>0.89</v>
      </c>
      <c r="U24" s="4">
        <f t="shared" si="17"/>
        <v>0.89000000000000012</v>
      </c>
      <c r="V24" s="4">
        <f t="shared" si="17"/>
        <v>0.89</v>
      </c>
      <c r="W24" s="4">
        <f t="shared" si="17"/>
        <v>0.89</v>
      </c>
    </row>
    <row r="25" spans="2:23" x14ac:dyDescent="0.3">
      <c r="B25" t="s">
        <v>60</v>
      </c>
      <c r="H25" s="4">
        <f>+H17/G17-1</f>
        <v>-0.15762862540282263</v>
      </c>
      <c r="Q25" s="4">
        <f>Q17/P17-1</f>
        <v>-0.49446267866596083</v>
      </c>
      <c r="R25" s="4">
        <f>R17/Q17-1</f>
        <v>-0.44389293792410156</v>
      </c>
      <c r="S25" s="4">
        <f t="shared" ref="S25:W25" si="18">S17/R17-1</f>
        <v>-0.37388430685798213</v>
      </c>
      <c r="T25" s="4">
        <f t="shared" si="18"/>
        <v>-0.24821807190869316</v>
      </c>
      <c r="U25" s="4">
        <f t="shared" si="18"/>
        <v>-8.1358106182211065E-2</v>
      </c>
      <c r="V25" s="4">
        <f t="shared" si="18"/>
        <v>6.9647836435415611E-2</v>
      </c>
      <c r="W25" s="4">
        <f t="shared" si="18"/>
        <v>0.16569554136359255</v>
      </c>
    </row>
    <row r="26" spans="2:23" x14ac:dyDescent="0.3">
      <c r="B26" t="s">
        <v>61</v>
      </c>
      <c r="H26" s="4">
        <f>H13/G13-1</f>
        <v>-8.7584239884903714E-2</v>
      </c>
      <c r="Q26" s="4">
        <f>Q13/P13-1</f>
        <v>0.74456217773385136</v>
      </c>
    </row>
    <row r="27" spans="2:23" x14ac:dyDescent="0.3">
      <c r="B27" t="s">
        <v>62</v>
      </c>
      <c r="H27" s="4">
        <f>H12/G12-1</f>
        <v>-1.2173913043478257E-2</v>
      </c>
      <c r="Q27" s="4">
        <f>Q12/P12-1</f>
        <v>0.52826866817574092</v>
      </c>
    </row>
    <row r="28" spans="2:23" x14ac:dyDescent="0.3">
      <c r="B28" t="s">
        <v>63</v>
      </c>
      <c r="H28" s="4">
        <f>H10/G10-1</f>
        <v>0.30547850208044403</v>
      </c>
    </row>
    <row r="29" spans="2:23" x14ac:dyDescent="0.3">
      <c r="B29" t="s">
        <v>64</v>
      </c>
      <c r="Q29" s="4">
        <f>Q15/Q16</f>
        <v>-8.0858384643245199E-2</v>
      </c>
      <c r="R29" s="4">
        <f t="shared" ref="R29:W29" si="19">R15/Q15-1</f>
        <v>0.25</v>
      </c>
      <c r="S29" s="4">
        <f t="shared" si="19"/>
        <v>0.25</v>
      </c>
      <c r="T29" s="4">
        <f t="shared" si="19"/>
        <v>0.25</v>
      </c>
      <c r="U29" s="4">
        <f t="shared" si="19"/>
        <v>0.25</v>
      </c>
      <c r="V29" s="4">
        <f t="shared" si="19"/>
        <v>0.25</v>
      </c>
      <c r="W29" s="4">
        <f t="shared" si="19"/>
        <v>0.25</v>
      </c>
    </row>
    <row r="30" spans="2:23" x14ac:dyDescent="0.3">
      <c r="B30" t="s">
        <v>65</v>
      </c>
      <c r="Q30" s="4">
        <f>Q16/P16-1</f>
        <v>-0.53233114545839499</v>
      </c>
      <c r="R30" s="4">
        <f t="shared" ref="R30:W30" si="20">R16/Q16-1</f>
        <v>-0.5</v>
      </c>
      <c r="S30" s="4">
        <f t="shared" si="20"/>
        <v>-0.5</v>
      </c>
      <c r="T30" s="4">
        <f t="shared" si="20"/>
        <v>-0.5</v>
      </c>
      <c r="U30" s="4">
        <f t="shared" si="20"/>
        <v>-0.5</v>
      </c>
      <c r="V30" s="4">
        <f t="shared" si="20"/>
        <v>-0.5</v>
      </c>
      <c r="W30" s="4">
        <f t="shared" si="20"/>
        <v>-0.5</v>
      </c>
    </row>
    <row r="31" spans="2:23" x14ac:dyDescent="0.3">
      <c r="B31" t="s">
        <v>66</v>
      </c>
      <c r="G31" s="4">
        <f>G12/G9</f>
        <v>0.9533175124345763</v>
      </c>
      <c r="H31" s="4">
        <f>H12/H9</f>
        <v>0.85431166686327709</v>
      </c>
      <c r="I31" s="4">
        <f>I12/I9</f>
        <v>0.7688805001769492</v>
      </c>
      <c r="J31" s="4">
        <f>J12/J9</f>
        <v>0.69199245015925437</v>
      </c>
      <c r="K31" s="4">
        <f t="shared" ref="K31:N31" si="21">K12/K9</f>
        <v>0.62279320514332881</v>
      </c>
      <c r="L31" s="4">
        <f t="shared" si="21"/>
        <v>0.56051388462899598</v>
      </c>
      <c r="M31" s="4">
        <f t="shared" si="21"/>
        <v>0.50446249616609629</v>
      </c>
      <c r="N31" s="4">
        <f t="shared" si="21"/>
        <v>0.45401624654948664</v>
      </c>
      <c r="O31" s="4"/>
      <c r="P31" s="4"/>
      <c r="Q31" s="4">
        <f>Q12/Q9</f>
        <v>2.0183566433566433</v>
      </c>
      <c r="R31" s="4">
        <f>AVERAGE(G31:J31)</f>
        <v>0.81712553240851415</v>
      </c>
      <c r="S31" s="4">
        <f>AVERAGE(K31:N31)</f>
        <v>0.535446458121977</v>
      </c>
    </row>
    <row r="32" spans="2:23" x14ac:dyDescent="0.3">
      <c r="B32" t="s">
        <v>67</v>
      </c>
      <c r="G32" s="4">
        <f>G13/G9</f>
        <v>1.287962029842983</v>
      </c>
      <c r="H32" s="4">
        <f t="shared" ref="H32:N32" si="22">H13/H9</f>
        <v>1.0660905980889466</v>
      </c>
      <c r="I32" s="4">
        <f t="shared" si="22"/>
        <v>0.89163940931075514</v>
      </c>
      <c r="J32" s="4">
        <f t="shared" si="22"/>
        <v>0.74573477869626792</v>
      </c>
      <c r="K32" s="4">
        <f t="shared" si="22"/>
        <v>0.62370545127324228</v>
      </c>
      <c r="L32" s="4">
        <f t="shared" si="22"/>
        <v>0.52164455924671171</v>
      </c>
      <c r="M32" s="4">
        <f t="shared" si="22"/>
        <v>0.43628454046088611</v>
      </c>
      <c r="N32" s="4">
        <f t="shared" si="22"/>
        <v>0.36489252474910472</v>
      </c>
      <c r="O32" s="4"/>
      <c r="P32" s="4"/>
      <c r="Q32" s="4">
        <f>Q13/Q9</f>
        <v>3.9808041958041955</v>
      </c>
      <c r="R32" s="4">
        <f>AVERAGE(G32:J32)</f>
        <v>0.99785670398473825</v>
      </c>
      <c r="S32" s="4">
        <f>AVERAGE(K32:N32)</f>
        <v>0.48663176893248616</v>
      </c>
      <c r="T32" s="4"/>
      <c r="U32" s="4"/>
      <c r="V32" s="4"/>
      <c r="W32" s="4"/>
    </row>
    <row r="33" spans="2:23" x14ac:dyDescent="0.3">
      <c r="B33" t="s">
        <v>68</v>
      </c>
      <c r="H33" s="4">
        <f>(H12+G12)/(G9+H9)</f>
        <v>0.90140561938486763</v>
      </c>
    </row>
    <row r="34" spans="2:23" x14ac:dyDescent="0.3">
      <c r="B34" t="s">
        <v>69</v>
      </c>
      <c r="H34" s="4">
        <f>(G13+H13)/(G9+H9)</f>
        <v>1.1716278278618812</v>
      </c>
    </row>
    <row r="37" spans="2:23" x14ac:dyDescent="0.3">
      <c r="B37" t="s">
        <v>70</v>
      </c>
      <c r="G37">
        <f t="shared" ref="G37:N37" si="23">G9-G10-G14</f>
        <v>-41.067000000000007</v>
      </c>
      <c r="H37">
        <f t="shared" si="23"/>
        <v>-34.974000000000004</v>
      </c>
      <c r="I37">
        <f t="shared" si="23"/>
        <v>-29.531099999999995</v>
      </c>
      <c r="J37">
        <f t="shared" si="23"/>
        <v>-24.322220399999999</v>
      </c>
      <c r="K37">
        <f t="shared" si="23"/>
        <v>-19.39657094399999</v>
      </c>
      <c r="L37">
        <f t="shared" si="23"/>
        <v>-14.831948028719985</v>
      </c>
      <c r="M37">
        <f t="shared" si="23"/>
        <v>-10.743426117659979</v>
      </c>
      <c r="N37">
        <f t="shared" si="23"/>
        <v>-7.2947694084323942</v>
      </c>
      <c r="Q37">
        <f>Q9-Q10-Q14</f>
        <v>-291.23099999999999</v>
      </c>
      <c r="R37">
        <f>R9-R10-R14</f>
        <v>-129.8943204</v>
      </c>
    </row>
    <row r="38" spans="2:23" x14ac:dyDescent="0.3">
      <c r="B38" t="s">
        <v>71</v>
      </c>
      <c r="G38">
        <f>G37+0.094+7.25</f>
        <v>-33.723000000000006</v>
      </c>
      <c r="H38">
        <f>H37+0.091+7.677</f>
        <v>-27.206000000000003</v>
      </c>
      <c r="I38">
        <f t="shared" ref="I38:N38" si="24">H38+6</f>
        <v>-21.206000000000003</v>
      </c>
      <c r="J38">
        <f t="shared" si="24"/>
        <v>-15.206000000000003</v>
      </c>
      <c r="K38">
        <f t="shared" si="24"/>
        <v>-9.2060000000000031</v>
      </c>
      <c r="L38">
        <f t="shared" si="24"/>
        <v>-3.2060000000000031</v>
      </c>
      <c r="M38">
        <f t="shared" si="24"/>
        <v>2.7939999999999969</v>
      </c>
      <c r="N38">
        <f t="shared" si="24"/>
        <v>8.7939999999999969</v>
      </c>
    </row>
    <row r="39" spans="2:23" x14ac:dyDescent="0.3">
      <c r="B39" t="s">
        <v>72</v>
      </c>
      <c r="G39">
        <v>0.317</v>
      </c>
      <c r="H39">
        <f>0.32-0.317</f>
        <v>3.0000000000000027E-3</v>
      </c>
      <c r="Q39">
        <v>2.169</v>
      </c>
      <c r="R39">
        <f>(G39+H39)*2</f>
        <v>0.64</v>
      </c>
      <c r="S39">
        <f>R39*1.3</f>
        <v>0.83200000000000007</v>
      </c>
      <c r="T39">
        <f>S39*1.7</f>
        <v>1.4144000000000001</v>
      </c>
      <c r="U39">
        <f>T39*1.7</f>
        <v>2.40448</v>
      </c>
      <c r="V39">
        <f>U39*1.7</f>
        <v>4.0876159999999997</v>
      </c>
      <c r="W39">
        <f>V39*1.7</f>
        <v>6.9489471999999992</v>
      </c>
    </row>
    <row r="40" spans="2:23" x14ac:dyDescent="0.3">
      <c r="B40" t="s">
        <v>73</v>
      </c>
      <c r="G40">
        <f>-58.997-0.317</f>
        <v>-59.314</v>
      </c>
      <c r="H40">
        <f>-24.809-0.003</f>
        <v>-24.812000000000001</v>
      </c>
      <c r="I40">
        <f t="shared" ref="I40:N40" si="25">I9*0.5</f>
        <v>18.649400000000004</v>
      </c>
      <c r="J40">
        <f t="shared" si="25"/>
        <v>20.514340000000004</v>
      </c>
      <c r="K40">
        <f t="shared" si="25"/>
        <v>22.565774000000008</v>
      </c>
      <c r="L40">
        <f t="shared" si="25"/>
        <v>24.822351400000009</v>
      </c>
      <c r="M40">
        <f t="shared" si="25"/>
        <v>27.304586540000013</v>
      </c>
      <c r="N40">
        <f t="shared" si="25"/>
        <v>30.035045194000016</v>
      </c>
      <c r="Q40">
        <f>-78.113 - 2.169</f>
        <v>-80.281999999999996</v>
      </c>
      <c r="R40">
        <f>(G40+H40)*0.5</f>
        <v>-42.063000000000002</v>
      </c>
      <c r="S40">
        <f>R40*0.6</f>
        <v>-25.2378</v>
      </c>
      <c r="T40">
        <f>S40*0.35</f>
        <v>-8.8332299999999986</v>
      </c>
      <c r="U40">
        <f>T40*-1.3</f>
        <v>11.483198999999999</v>
      </c>
      <c r="V40">
        <f>U40*1.25</f>
        <v>14.353998749999999</v>
      </c>
      <c r="W40">
        <f>V40*1.2</f>
        <v>17.224798499999999</v>
      </c>
    </row>
    <row r="41" spans="2:23" x14ac:dyDescent="0.3">
      <c r="B41" t="s">
        <v>74</v>
      </c>
      <c r="G41" s="7">
        <f t="shared" ref="G41:N41" si="26">G40/G9</f>
        <v>-1.9282207990637497</v>
      </c>
      <c r="H41" s="4">
        <f t="shared" si="26"/>
        <v>-0.73174472100979115</v>
      </c>
      <c r="I41" s="4">
        <f t="shared" si="26"/>
        <v>0.5</v>
      </c>
      <c r="J41" s="4">
        <f t="shared" si="26"/>
        <v>0.5</v>
      </c>
      <c r="K41" s="4">
        <f t="shared" si="26"/>
        <v>0.5</v>
      </c>
      <c r="L41" s="4">
        <f t="shared" si="26"/>
        <v>0.5</v>
      </c>
      <c r="M41" s="4">
        <f t="shared" si="26"/>
        <v>0.5</v>
      </c>
      <c r="N41" s="4">
        <f t="shared" si="26"/>
        <v>0.5</v>
      </c>
      <c r="Q41" s="4">
        <f>Q40/Q9</f>
        <v>-1.4035314685314684</v>
      </c>
      <c r="R41" s="4">
        <f>R40/R9</f>
        <v>-0.29415409386300972</v>
      </c>
    </row>
    <row r="42" spans="2:23" x14ac:dyDescent="0.3">
      <c r="B42" t="s">
        <v>75</v>
      </c>
      <c r="H42" s="4">
        <f>H40/G40-1</f>
        <v>-0.58168391947938092</v>
      </c>
      <c r="Q42" s="4"/>
      <c r="R42" s="4">
        <f>R40/Q40-1</f>
        <v>-0.47605939064796587</v>
      </c>
      <c r="S42" s="4"/>
    </row>
    <row r="43" spans="2:23" x14ac:dyDescent="0.3">
      <c r="B43" t="s">
        <v>76</v>
      </c>
      <c r="R43" s="4">
        <f>R39/Q39-1</f>
        <v>-0.70493314891655134</v>
      </c>
    </row>
    <row r="44" spans="2:23" x14ac:dyDescent="0.3">
      <c r="B44" t="s">
        <v>77</v>
      </c>
      <c r="G44">
        <v>-58.997</v>
      </c>
      <c r="H44">
        <v>-24.809000000000001</v>
      </c>
      <c r="I44">
        <f>H44*0.5</f>
        <v>-12.404500000000001</v>
      </c>
      <c r="J44">
        <f t="shared" ref="J44:N44" si="27">I44*0.5</f>
        <v>-6.2022500000000003</v>
      </c>
      <c r="K44">
        <f t="shared" si="27"/>
        <v>-3.1011250000000001</v>
      </c>
      <c r="L44">
        <f t="shared" si="27"/>
        <v>-1.5505625000000001</v>
      </c>
      <c r="M44">
        <f t="shared" si="27"/>
        <v>-0.77528125000000003</v>
      </c>
      <c r="N44">
        <f t="shared" si="27"/>
        <v>-0.38764062500000002</v>
      </c>
      <c r="Q44">
        <v>-78.113</v>
      </c>
      <c r="R44">
        <f>G44+H44</f>
        <v>-83.805999999999997</v>
      </c>
      <c r="S44">
        <f>R44*0.3</f>
        <v>-25.1418</v>
      </c>
      <c r="T44">
        <f t="shared" ref="T44:W44" si="28">S44*0.3</f>
        <v>-7.5425399999999998</v>
      </c>
      <c r="U44">
        <f t="shared" si="28"/>
        <v>-2.2627619999999999</v>
      </c>
      <c r="V44">
        <f t="shared" si="28"/>
        <v>-0.6788286</v>
      </c>
      <c r="W44">
        <f t="shared" si="28"/>
        <v>-0.20364858</v>
      </c>
    </row>
    <row r="45" spans="2:23" x14ac:dyDescent="0.3">
      <c r="B45" t="s">
        <v>78</v>
      </c>
      <c r="H45" s="4">
        <f>H44/G44-1</f>
        <v>-0.57948709256402864</v>
      </c>
      <c r="R45" s="4">
        <f>R44/Q44-1</f>
        <v>7.2881594612932421E-2</v>
      </c>
    </row>
    <row r="46" spans="2:23" x14ac:dyDescent="0.3">
      <c r="B46" t="s">
        <v>79</v>
      </c>
      <c r="Q46" s="4">
        <f t="shared" ref="Q46:W46" si="29">Q40/Q9</f>
        <v>-1.4035314685314684</v>
      </c>
      <c r="R46" s="4">
        <f t="shared" si="29"/>
        <v>-0.29415409386300972</v>
      </c>
      <c r="S46" s="4">
        <f t="shared" si="29"/>
        <v>-0.12606604022700418</v>
      </c>
      <c r="T46" s="4">
        <f t="shared" si="29"/>
        <v>-3.2683788207001074E-2</v>
      </c>
      <c r="U46" s="4">
        <f t="shared" si="29"/>
        <v>3.2683788207001074E-2</v>
      </c>
      <c r="V46" s="4">
        <f t="shared" si="29"/>
        <v>3.2683788207001074E-2</v>
      </c>
      <c r="W46" s="4">
        <f t="shared" si="29"/>
        <v>3.2683788207001074E-2</v>
      </c>
    </row>
    <row r="47" spans="2:23" x14ac:dyDescent="0.3">
      <c r="B47" t="s">
        <v>80</v>
      </c>
      <c r="Q47">
        <f>Q39/Q9</f>
        <v>3.791958041958042E-2</v>
      </c>
      <c r="R47">
        <f>R39/R9</f>
        <v>4.4756346449926591E-3</v>
      </c>
    </row>
    <row r="48" spans="2:23" x14ac:dyDescent="0.3">
      <c r="B48" t="s">
        <v>81</v>
      </c>
      <c r="R48">
        <f>AVERAGE(Q47:W47)</f>
        <v>2.1197607532286541E-2</v>
      </c>
    </row>
    <row r="54" spans="2:18" x14ac:dyDescent="0.3">
      <c r="B54" t="s">
        <v>82</v>
      </c>
      <c r="R54" s="4">
        <v>9.2200000000000004E-2</v>
      </c>
    </row>
    <row r="55" spans="2:18" x14ac:dyDescent="0.3">
      <c r="B55" t="s">
        <v>83</v>
      </c>
      <c r="R55" s="8">
        <f>NPV(R54,R40:W40)</f>
        <v>-38.996322891510481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2DD4-8C64-440A-A603-B55FCC6583A5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1F58-1165-4DA5-A731-4A5C6C8A36A4}">
  <dimension ref="A1:AL40"/>
  <sheetViews>
    <sheetView tabSelected="1" topLeftCell="V1" zoomScale="79" zoomScaleNormal="85" workbookViewId="0">
      <selection activeCell="AJ30" sqref="AJ30"/>
    </sheetView>
  </sheetViews>
  <sheetFormatPr defaultRowHeight="14.4" x14ac:dyDescent="0.3"/>
  <cols>
    <col min="1" max="1" width="10.33203125" customWidth="1"/>
    <col min="2" max="2" width="15.5546875" customWidth="1"/>
    <col min="3" max="3" width="15.33203125" customWidth="1"/>
    <col min="4" max="4" width="16.5546875" customWidth="1"/>
    <col min="5" max="5" width="17.44140625" customWidth="1"/>
    <col min="6" max="7" width="16.88671875" customWidth="1"/>
    <col min="8" max="8" width="19.44140625" customWidth="1"/>
    <col min="9" max="10" width="23.6640625" customWidth="1"/>
    <col min="11" max="11" width="9" bestFit="1" customWidth="1"/>
    <col min="12" max="12" width="10.5546875" customWidth="1"/>
    <col min="13" max="13" width="6.6640625" customWidth="1"/>
    <col min="14" max="15" width="15.109375" customWidth="1"/>
    <col min="16" max="16" width="12.109375" customWidth="1"/>
    <col min="17" max="17" width="15.6640625" bestFit="1" customWidth="1"/>
    <col min="29" max="29" width="16.109375" customWidth="1"/>
    <col min="30" max="30" width="14.44140625" customWidth="1"/>
    <col min="31" max="31" width="16.6640625" bestFit="1" customWidth="1"/>
    <col min="32" max="32" width="18" customWidth="1"/>
    <col min="33" max="33" width="19.33203125" customWidth="1"/>
    <col min="34" max="34" width="16.44140625" customWidth="1"/>
    <col min="35" max="35" width="15.6640625" bestFit="1" customWidth="1"/>
    <col min="36" max="36" width="18.109375" customWidth="1"/>
    <col min="38" max="38" width="15.33203125" bestFit="1" customWidth="1"/>
  </cols>
  <sheetData>
    <row r="1" spans="2:37" x14ac:dyDescent="0.3">
      <c r="AE1" t="s">
        <v>84</v>
      </c>
      <c r="AK1" t="s">
        <v>6</v>
      </c>
    </row>
    <row r="2" spans="2:37" x14ac:dyDescent="0.3">
      <c r="B2" s="9" t="s">
        <v>85</v>
      </c>
      <c r="J2" s="9" t="s">
        <v>86</v>
      </c>
      <c r="AD2">
        <v>2024</v>
      </c>
      <c r="AE2">
        <f>AD2+1</f>
        <v>2025</v>
      </c>
      <c r="AF2">
        <f t="shared" ref="AF2:AK2" si="0">AE2+1</f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</row>
    <row r="3" spans="2:37" x14ac:dyDescent="0.3">
      <c r="B3" t="s">
        <v>87</v>
      </c>
      <c r="C3" t="s">
        <v>88</v>
      </c>
      <c r="F3" t="s">
        <v>89</v>
      </c>
      <c r="J3" t="s">
        <v>12</v>
      </c>
      <c r="K3">
        <v>5.91</v>
      </c>
      <c r="L3" t="s">
        <v>27</v>
      </c>
      <c r="M3" t="s">
        <v>28</v>
      </c>
      <c r="O3" t="s">
        <v>12</v>
      </c>
      <c r="P3">
        <v>7.51</v>
      </c>
      <c r="Q3" s="3">
        <v>45900</v>
      </c>
      <c r="AC3" t="s">
        <v>90</v>
      </c>
      <c r="AD3" s="1">
        <v>57200000</v>
      </c>
      <c r="AE3">
        <v>142.99600000000001</v>
      </c>
      <c r="AF3">
        <f>AE3*1.4</f>
        <v>200.1944</v>
      </c>
      <c r="AG3">
        <f>AF3*1.35</f>
        <v>270.26244000000003</v>
      </c>
      <c r="AH3">
        <f>AG3*1.3</f>
        <v>351.34117200000003</v>
      </c>
      <c r="AI3">
        <f>AH3*1.25</f>
        <v>439.17646500000001</v>
      </c>
      <c r="AJ3">
        <f>AI3*1.2</f>
        <v>527.01175799999999</v>
      </c>
      <c r="AK3">
        <v>0</v>
      </c>
    </row>
    <row r="4" spans="2:37" x14ac:dyDescent="0.3">
      <c r="B4" t="s">
        <v>2</v>
      </c>
      <c r="C4" t="s">
        <v>91</v>
      </c>
      <c r="J4" t="s">
        <v>16</v>
      </c>
      <c r="K4" s="1">
        <v>102.431933</v>
      </c>
      <c r="L4" t="s">
        <v>27</v>
      </c>
      <c r="O4" t="s">
        <v>16</v>
      </c>
      <c r="P4" s="1">
        <v>102000000</v>
      </c>
      <c r="AC4" t="s">
        <v>92</v>
      </c>
      <c r="AE4" s="4">
        <f>AE3/AD3-1</f>
        <v>-0.99999750006993005</v>
      </c>
      <c r="AF4" s="5">
        <v>0.4</v>
      </c>
      <c r="AG4" s="5">
        <v>0.35</v>
      </c>
      <c r="AH4" s="5">
        <v>0.3</v>
      </c>
      <c r="AI4" s="5">
        <v>0.25</v>
      </c>
      <c r="AJ4" s="5">
        <v>0.2</v>
      </c>
    </row>
    <row r="5" spans="2:37" x14ac:dyDescent="0.3">
      <c r="B5" t="s">
        <v>3</v>
      </c>
      <c r="C5" t="s">
        <v>93</v>
      </c>
      <c r="J5" t="s">
        <v>18</v>
      </c>
      <c r="K5" s="2">
        <f>K4*K3</f>
        <v>605.37272402999997</v>
      </c>
      <c r="O5" t="s">
        <v>18</v>
      </c>
      <c r="P5">
        <f>P3*P4</f>
        <v>766020000</v>
      </c>
      <c r="AG5" s="1"/>
    </row>
    <row r="6" spans="2:37" x14ac:dyDescent="0.3">
      <c r="B6" t="s">
        <v>4</v>
      </c>
      <c r="C6" s="3" t="s">
        <v>10</v>
      </c>
      <c r="J6" t="s">
        <v>24</v>
      </c>
      <c r="K6" s="1">
        <f>33.358
+439.662</f>
        <v>473.02</v>
      </c>
      <c r="L6" t="s">
        <v>27</v>
      </c>
      <c r="O6" t="s">
        <v>24</v>
      </c>
      <c r="P6" s="1">
        <v>473000000</v>
      </c>
      <c r="AC6" t="s">
        <v>94</v>
      </c>
      <c r="AD6" s="16">
        <f>AD3</f>
        <v>57200000</v>
      </c>
      <c r="AE6" s="8">
        <f>H27</f>
        <v>142800000</v>
      </c>
      <c r="AF6" s="8">
        <f>AE6*1.3</f>
        <v>185640000</v>
      </c>
      <c r="AG6" s="8">
        <f>AF6*1.4</f>
        <v>259895999.99999997</v>
      </c>
      <c r="AH6" s="8">
        <f>AG6*1.4</f>
        <v>363854399.99999994</v>
      </c>
      <c r="AI6" s="8">
        <f>AH6*1.35</f>
        <v>491203439.99999994</v>
      </c>
      <c r="AJ6" s="8">
        <f>AI6*1.25</f>
        <v>614004299.99999988</v>
      </c>
      <c r="AK6">
        <v>0</v>
      </c>
    </row>
    <row r="7" spans="2:37" x14ac:dyDescent="0.3">
      <c r="C7" t="s">
        <v>95</v>
      </c>
      <c r="J7" t="s">
        <v>25</v>
      </c>
      <c r="K7">
        <f>0</f>
        <v>0</v>
      </c>
      <c r="L7" t="s">
        <v>27</v>
      </c>
      <c r="O7" t="s">
        <v>25</v>
      </c>
      <c r="P7">
        <v>0</v>
      </c>
      <c r="AC7" t="s">
        <v>96</v>
      </c>
      <c r="AF7" s="5">
        <v>0.3</v>
      </c>
      <c r="AG7" s="5">
        <v>0.4</v>
      </c>
      <c r="AH7" s="5">
        <v>0.4</v>
      </c>
      <c r="AI7" s="5">
        <v>0.35</v>
      </c>
      <c r="AJ7" s="5">
        <v>0.25</v>
      </c>
    </row>
    <row r="8" spans="2:37" x14ac:dyDescent="0.3">
      <c r="B8" t="s">
        <v>5</v>
      </c>
      <c r="C8" s="11">
        <v>400000</v>
      </c>
      <c r="D8" t="s">
        <v>97</v>
      </c>
      <c r="J8" t="s">
        <v>26</v>
      </c>
      <c r="K8" s="1">
        <f>+K5-K6+K7</f>
        <v>132.35272402999999</v>
      </c>
      <c r="L8" t="s">
        <v>27</v>
      </c>
      <c r="O8" t="s">
        <v>26</v>
      </c>
      <c r="P8" s="1">
        <f>P5+P7-P6</f>
        <v>293020000</v>
      </c>
    </row>
    <row r="9" spans="2:37" x14ac:dyDescent="0.3">
      <c r="B9" t="s">
        <v>6</v>
      </c>
      <c r="C9">
        <v>2031</v>
      </c>
      <c r="AC9" t="s">
        <v>98</v>
      </c>
      <c r="AE9" s="8">
        <f>AE6*0.1</f>
        <v>14280000</v>
      </c>
      <c r="AF9" s="8">
        <f t="shared" ref="AF9:AJ9" si="1">AF6*0.1</f>
        <v>18564000</v>
      </c>
      <c r="AG9" s="8">
        <f t="shared" si="1"/>
        <v>25989600</v>
      </c>
      <c r="AH9" s="8">
        <f t="shared" si="1"/>
        <v>36385439.999999993</v>
      </c>
      <c r="AI9" s="8">
        <f t="shared" si="1"/>
        <v>49120344</v>
      </c>
      <c r="AJ9" s="8">
        <f t="shared" si="1"/>
        <v>61400429.999999993</v>
      </c>
    </row>
    <row r="10" spans="2:37" x14ac:dyDescent="0.3">
      <c r="B10" t="s">
        <v>99</v>
      </c>
      <c r="C10" t="s">
        <v>100</v>
      </c>
      <c r="J10" s="9" t="s">
        <v>101</v>
      </c>
      <c r="AC10" t="s">
        <v>49</v>
      </c>
      <c r="AE10" s="8">
        <f>AE6*0.8</f>
        <v>114240000</v>
      </c>
      <c r="AF10" s="8">
        <f>AF6*0.5</f>
        <v>92820000</v>
      </c>
      <c r="AG10" s="8">
        <f>AG6*0.3</f>
        <v>77968799.999999985</v>
      </c>
      <c r="AH10" s="8">
        <f>AH6*0.2</f>
        <v>72770879.999999985</v>
      </c>
      <c r="AI10" s="8">
        <f>AI6*0.12</f>
        <v>58944412.79999999</v>
      </c>
      <c r="AJ10" s="8">
        <f>AJ6*0.05</f>
        <v>30700214.999999996</v>
      </c>
    </row>
    <row r="11" spans="2:37" x14ac:dyDescent="0.3">
      <c r="B11" t="s">
        <v>102</v>
      </c>
      <c r="C11" t="s">
        <v>103</v>
      </c>
      <c r="J11" t="s">
        <v>104</v>
      </c>
      <c r="K11">
        <f xml:space="preserve"> 293 / 416.297</f>
        <v>0.70382443303699038</v>
      </c>
      <c r="AC11" t="s">
        <v>50</v>
      </c>
      <c r="AE11" s="8">
        <f>AE6*0.6</f>
        <v>85680000</v>
      </c>
      <c r="AF11" s="8">
        <f>AF6*0.35</f>
        <v>64973999.999999993</v>
      </c>
      <c r="AG11" s="8">
        <f>AG6*0.25</f>
        <v>64973999.999999993</v>
      </c>
      <c r="AH11" s="8">
        <f>AH6*0.18</f>
        <v>65493791.999999985</v>
      </c>
      <c r="AI11" s="8">
        <f>AI6*0.1</f>
        <v>49120344</v>
      </c>
      <c r="AJ11" s="8">
        <f>AJ6*0.05</f>
        <v>30700214.999999996</v>
      </c>
    </row>
    <row r="12" spans="2:37" x14ac:dyDescent="0.3">
      <c r="B12" t="s">
        <v>105</v>
      </c>
      <c r="C12" t="s">
        <v>106</v>
      </c>
      <c r="J12" t="s">
        <v>107</v>
      </c>
      <c r="K12">
        <f>766/416.297</f>
        <v>1.8400324768134289</v>
      </c>
      <c r="AC12" t="s">
        <v>48</v>
      </c>
      <c r="AE12" s="8">
        <f>AE6-AE9</f>
        <v>128520000</v>
      </c>
      <c r="AF12" s="8">
        <f t="shared" ref="AF12:AI12" si="2">AF6-AF9</f>
        <v>167076000</v>
      </c>
      <c r="AG12" s="8">
        <f t="shared" si="2"/>
        <v>233906399.99999997</v>
      </c>
      <c r="AH12" s="8">
        <f t="shared" si="2"/>
        <v>327468959.99999994</v>
      </c>
      <c r="AI12" s="8">
        <f t="shared" si="2"/>
        <v>442083095.99999994</v>
      </c>
      <c r="AJ12" s="8">
        <f>AJ6-AJ9</f>
        <v>552603869.99999988</v>
      </c>
    </row>
    <row r="13" spans="2:37" x14ac:dyDescent="0.3">
      <c r="J13" t="s">
        <v>108</v>
      </c>
      <c r="K13">
        <f>P8/416.297</f>
        <v>703872.47566040582</v>
      </c>
      <c r="AC13" t="s">
        <v>59</v>
      </c>
      <c r="AE13" s="4">
        <f>AE12/AE6</f>
        <v>0.9</v>
      </c>
      <c r="AF13" s="4">
        <f t="shared" ref="AF13:AJ13" si="3">AF12/AF6</f>
        <v>0.9</v>
      </c>
      <c r="AG13" s="4">
        <f t="shared" si="3"/>
        <v>0.9</v>
      </c>
      <c r="AH13" s="4">
        <f t="shared" si="3"/>
        <v>0.9</v>
      </c>
      <c r="AI13" s="4">
        <f t="shared" si="3"/>
        <v>0.9</v>
      </c>
      <c r="AJ13" s="4">
        <f t="shared" si="3"/>
        <v>0.9</v>
      </c>
    </row>
    <row r="14" spans="2:37" x14ac:dyDescent="0.3">
      <c r="AC14" t="s">
        <v>51</v>
      </c>
      <c r="AE14" s="8">
        <f>AE10+AE11</f>
        <v>199920000</v>
      </c>
      <c r="AF14" s="8">
        <f t="shared" ref="AF14:AJ14" si="4">AF10+AF11</f>
        <v>157794000</v>
      </c>
      <c r="AG14" s="8">
        <f t="shared" si="4"/>
        <v>142942799.99999997</v>
      </c>
      <c r="AH14" s="8">
        <f t="shared" si="4"/>
        <v>138264671.99999997</v>
      </c>
      <c r="AI14" s="8">
        <f t="shared" si="4"/>
        <v>108064756.79999998</v>
      </c>
      <c r="AJ14" s="8">
        <f t="shared" si="4"/>
        <v>61400429.999999993</v>
      </c>
    </row>
    <row r="15" spans="2:37" x14ac:dyDescent="0.3">
      <c r="B15" s="5"/>
      <c r="C15" s="10"/>
      <c r="D15" s="10"/>
      <c r="E15" s="10"/>
      <c r="F15" s="10"/>
      <c r="G15" s="10"/>
    </row>
    <row r="16" spans="2:37" x14ac:dyDescent="0.3">
      <c r="B16" s="5"/>
      <c r="C16" s="10"/>
      <c r="D16" s="10"/>
      <c r="E16" s="10"/>
      <c r="F16" s="10"/>
      <c r="G16" s="10"/>
      <c r="J16" s="9" t="s">
        <v>109</v>
      </c>
      <c r="AC16" t="s">
        <v>110</v>
      </c>
      <c r="AE16" s="8">
        <f>AE6-AE9-AE14</f>
        <v>-71400000</v>
      </c>
      <c r="AF16" s="8">
        <f>AF6-AF9-AF14</f>
        <v>9282000</v>
      </c>
      <c r="AG16" s="8">
        <f t="shared" ref="AF16:AJ16" si="5">AG6-AG9-AG14</f>
        <v>90963600</v>
      </c>
      <c r="AH16" s="8">
        <f t="shared" si="5"/>
        <v>189204287.99999997</v>
      </c>
      <c r="AI16" s="8">
        <f t="shared" si="5"/>
        <v>334018339.19999993</v>
      </c>
      <c r="AJ16" s="8">
        <f>AJ6-AJ9-AJ14</f>
        <v>491203439.99999988</v>
      </c>
    </row>
    <row r="17" spans="1:38" x14ac:dyDescent="0.3">
      <c r="B17" s="5"/>
      <c r="C17" s="10"/>
      <c r="D17" s="10"/>
      <c r="E17" s="10"/>
      <c r="F17" s="10"/>
      <c r="G17" s="10"/>
      <c r="J17" t="s">
        <v>111</v>
      </c>
      <c r="K17" s="5">
        <v>0.2</v>
      </c>
      <c r="L17" t="s">
        <v>112</v>
      </c>
      <c r="AC17" t="s">
        <v>54</v>
      </c>
      <c r="AE17" s="8">
        <f>AE16-AE18</f>
        <v>-71400000</v>
      </c>
      <c r="AF17" s="8">
        <f>AF16-AF18</f>
        <v>9282000</v>
      </c>
      <c r="AG17" s="8">
        <f t="shared" ref="AG17:AJ17" si="6">AG16-AG18</f>
        <v>87143128.799999997</v>
      </c>
      <c r="AH17" s="8">
        <f>AH16-AH18</f>
        <v>149471387.51999998</v>
      </c>
      <c r="AI17" s="8">
        <f t="shared" si="6"/>
        <v>263874487.96799994</v>
      </c>
      <c r="AJ17" s="8">
        <f t="shared" si="6"/>
        <v>388050717.5999999</v>
      </c>
    </row>
    <row r="18" spans="1:38" x14ac:dyDescent="0.3">
      <c r="B18" s="4"/>
      <c r="C18" s="10"/>
      <c r="D18" s="10"/>
      <c r="E18" s="10"/>
      <c r="F18" s="10"/>
      <c r="G18" s="10"/>
      <c r="J18" t="s">
        <v>113</v>
      </c>
      <c r="K18" s="5">
        <v>0.8</v>
      </c>
      <c r="L18" t="s">
        <v>114</v>
      </c>
      <c r="AC18" t="s">
        <v>115</v>
      </c>
      <c r="AE18">
        <v>0</v>
      </c>
      <c r="AF18">
        <v>0</v>
      </c>
      <c r="AG18" s="8">
        <f>AG21*21%</f>
        <v>3820471.1999999997</v>
      </c>
      <c r="AH18" s="8">
        <f>AH16*21%</f>
        <v>39732900.479999989</v>
      </c>
      <c r="AI18" s="8">
        <f t="shared" ref="AI18:AJ18" si="7">AI16*21%</f>
        <v>70143851.231999978</v>
      </c>
      <c r="AJ18" s="8">
        <f t="shared" si="7"/>
        <v>103152722.39999998</v>
      </c>
    </row>
    <row r="19" spans="1:38" x14ac:dyDescent="0.3">
      <c r="B19" s="5"/>
      <c r="C19" s="10"/>
      <c r="D19" s="10"/>
      <c r="E19" s="10"/>
      <c r="F19" s="10"/>
      <c r="G19" s="10"/>
      <c r="J19" t="s">
        <v>116</v>
      </c>
      <c r="K19" s="5">
        <v>0.75</v>
      </c>
      <c r="L19" t="s">
        <v>114</v>
      </c>
      <c r="AC19" t="s">
        <v>117</v>
      </c>
      <c r="AD19" s="11">
        <f>34577000</f>
        <v>34577000</v>
      </c>
      <c r="AE19" s="11">
        <f>34577000</f>
        <v>34577000</v>
      </c>
      <c r="AF19" s="8">
        <f>AE19-AF16</f>
        <v>25295000</v>
      </c>
      <c r="AG19" s="8">
        <v>0</v>
      </c>
      <c r="AH19" s="8">
        <v>0</v>
      </c>
      <c r="AI19" s="8">
        <v>0</v>
      </c>
      <c r="AJ19" s="8">
        <v>0</v>
      </c>
    </row>
    <row r="20" spans="1:38" x14ac:dyDescent="0.3">
      <c r="J20" t="s">
        <v>118</v>
      </c>
      <c r="K20" t="s">
        <v>119</v>
      </c>
      <c r="L20" t="s">
        <v>120</v>
      </c>
      <c r="AC20" t="s">
        <v>121</v>
      </c>
      <c r="AE20">
        <v>0</v>
      </c>
      <c r="AF20">
        <v>0</v>
      </c>
      <c r="AG20" s="8">
        <f>AG16*0.8</f>
        <v>72770880</v>
      </c>
      <c r="AH20" s="8">
        <f>AH16*0.8</f>
        <v>151363430.39999998</v>
      </c>
      <c r="AI20" s="8">
        <v>0</v>
      </c>
      <c r="AJ20" s="8">
        <v>0</v>
      </c>
    </row>
    <row r="21" spans="1:38" x14ac:dyDescent="0.3">
      <c r="J21" t="s">
        <v>122</v>
      </c>
      <c r="K21">
        <v>1700</v>
      </c>
      <c r="L21" t="s">
        <v>123</v>
      </c>
      <c r="AC21" t="s">
        <v>124</v>
      </c>
      <c r="AE21">
        <v>0</v>
      </c>
      <c r="AF21">
        <v>0</v>
      </c>
      <c r="AG21" s="8">
        <f>AG16-AG20</f>
        <v>18192720</v>
      </c>
      <c r="AH21" s="8">
        <f>AH16-AG19</f>
        <v>189204287.99999997</v>
      </c>
      <c r="AI21" s="8">
        <f t="shared" ref="AI21:AJ21" si="8">AI16-AI20</f>
        <v>334018339.19999993</v>
      </c>
      <c r="AJ21" s="8">
        <f t="shared" si="8"/>
        <v>491203439.99999988</v>
      </c>
    </row>
    <row r="22" spans="1:38" x14ac:dyDescent="0.3">
      <c r="D22" t="s">
        <v>125</v>
      </c>
      <c r="J22" t="s">
        <v>126</v>
      </c>
      <c r="K22" s="5">
        <v>0.9</v>
      </c>
      <c r="L22" t="s">
        <v>127</v>
      </c>
      <c r="AC22" t="s">
        <v>128</v>
      </c>
      <c r="AE22" s="8">
        <f>AE6*0.02</f>
        <v>2856000</v>
      </c>
      <c r="AF22" s="8">
        <f t="shared" ref="AE22:AJ22" si="9">AF6*0.02</f>
        <v>3712800</v>
      </c>
      <c r="AG22" s="8">
        <f t="shared" si="9"/>
        <v>5197919.9999999991</v>
      </c>
      <c r="AH22" s="8">
        <f t="shared" si="9"/>
        <v>7277087.9999999991</v>
      </c>
      <c r="AI22" s="8">
        <f t="shared" si="9"/>
        <v>9824068.7999999989</v>
      </c>
      <c r="AJ22" s="8">
        <f t="shared" si="9"/>
        <v>12280085.999999998</v>
      </c>
    </row>
    <row r="23" spans="1:38" x14ac:dyDescent="0.3">
      <c r="J23" t="s">
        <v>129</v>
      </c>
      <c r="K23" s="5">
        <v>0.5</v>
      </c>
      <c r="L23" t="s">
        <v>130</v>
      </c>
      <c r="AC23" t="s">
        <v>131</v>
      </c>
      <c r="AE23" s="8">
        <f t="shared" ref="AE23:AJ23" si="10">AE6*0.02</f>
        <v>2856000</v>
      </c>
      <c r="AF23" s="8">
        <f t="shared" si="10"/>
        <v>3712800</v>
      </c>
      <c r="AG23" s="8">
        <f t="shared" si="10"/>
        <v>5197919.9999999991</v>
      </c>
      <c r="AH23" s="8">
        <f t="shared" si="10"/>
        <v>7277087.9999999991</v>
      </c>
      <c r="AI23" s="8">
        <f t="shared" si="10"/>
        <v>9824068.7999999989</v>
      </c>
      <c r="AJ23" s="8">
        <f t="shared" si="10"/>
        <v>12280085.999999998</v>
      </c>
    </row>
    <row r="24" spans="1:38" x14ac:dyDescent="0.3">
      <c r="B24" s="5">
        <v>0.5</v>
      </c>
      <c r="C24">
        <f>$K$27 *$C$8*$C$29 *$K$29*$B$24</f>
        <v>25500000</v>
      </c>
      <c r="D24" s="13">
        <f>$K$27 *$C$8*$D$29 *$K$29*$B$24</f>
        <v>38250000.000000007</v>
      </c>
      <c r="E24" s="13">
        <f>$K$27 *$C$8*$E$29 *$K$29*$B$24</f>
        <v>51000000</v>
      </c>
      <c r="F24" s="13">
        <f>$K$27 *$C$8*$F$29 *$K$29*$B$24</f>
        <v>63750000</v>
      </c>
      <c r="G24" s="13">
        <f>$K$27 *$C$8*$G$29 *$K$29*$B$24</f>
        <v>76500000</v>
      </c>
      <c r="H24" s="8">
        <f>$K$27 *$C$8*$H$29 *$K$29*$B$24</f>
        <v>89250000</v>
      </c>
      <c r="J24" t="s">
        <v>132</v>
      </c>
      <c r="K24">
        <v>10</v>
      </c>
      <c r="AC24" t="s">
        <v>133</v>
      </c>
      <c r="AD24" s="15">
        <f>AD6*0.08</f>
        <v>4576000</v>
      </c>
      <c r="AE24" s="8">
        <f xml:space="preserve"> (AE6*0.08) - AD24</f>
        <v>6848000</v>
      </c>
      <c r="AF24" s="8">
        <f>(AF6*0.08) - (AE6*0.08)</f>
        <v>3427200</v>
      </c>
      <c r="AG24" s="8">
        <f xml:space="preserve"> (AG6*0.08) - (AF6*0.08)</f>
        <v>5940479.9999999963</v>
      </c>
      <c r="AH24" s="8">
        <f xml:space="preserve"> (AH6*0.08) - (AG6*0.08)</f>
        <v>8316672</v>
      </c>
      <c r="AI24" s="8">
        <f xml:space="preserve"> (AI6*0.08) - (AH6*0.08)</f>
        <v>10187923.199999999</v>
      </c>
      <c r="AJ24" s="8">
        <f xml:space="preserve"> (AJ6*0.08) - (AI6*0.08)</f>
        <v>9824068.799999997</v>
      </c>
    </row>
    <row r="25" spans="1:38" x14ac:dyDescent="0.3">
      <c r="B25" s="5">
        <v>0.6</v>
      </c>
      <c r="C25" s="11">
        <f>$K$27 *$C$8*$C$29 *$K$29*$B$25</f>
        <v>30600000</v>
      </c>
      <c r="D25" s="13">
        <f>$K$27 *$C$8*$D$29 *$K$29*$B$25</f>
        <v>45900000.000000007</v>
      </c>
      <c r="E25" s="13">
        <f>$K$27 *$C$8*$E$29 *$K$29*$B$25</f>
        <v>61200000</v>
      </c>
      <c r="F25" s="13">
        <f>$K$27 *$C$8*$F$29 *$K$29*$B$25</f>
        <v>76500000</v>
      </c>
      <c r="G25" s="13">
        <f>$K$27 *$C$8*$G$29 *$K$29*$B$25</f>
        <v>91800000</v>
      </c>
      <c r="H25" s="8">
        <f>$K$27 *$C$8*$H$29 *$K$29*$B$25</f>
        <v>107100000</v>
      </c>
    </row>
    <row r="26" spans="1:38" x14ac:dyDescent="0.3">
      <c r="A26" t="s">
        <v>134</v>
      </c>
      <c r="B26" s="5">
        <v>0.7</v>
      </c>
      <c r="C26" s="11">
        <f>$K$27 *$C$8*$C$29 *$K$29*$B$26</f>
        <v>35700000</v>
      </c>
      <c r="D26" s="13">
        <f>$K$27 *$C$8*$D$29 *$K$29*$B$26</f>
        <v>53550000.000000007</v>
      </c>
      <c r="E26" s="13">
        <f>$K$27 *$C$8*$E$29 *$K$29*$B$26</f>
        <v>71400000</v>
      </c>
      <c r="F26" s="13">
        <f>$K$27 *$C$8*$F$29 *$K$29*$B$26</f>
        <v>89250000</v>
      </c>
      <c r="G26" s="13">
        <f>$K$27 *$C$8*$G$29 *$K$29*$B$26</f>
        <v>107100000</v>
      </c>
      <c r="H26" s="8">
        <f>$K$27 *$C$8*$H$29 *$K$29*$B$26</f>
        <v>124949999.99999999</v>
      </c>
      <c r="J26" t="s">
        <v>135</v>
      </c>
      <c r="K26">
        <f>1700*0.75</f>
        <v>1275</v>
      </c>
      <c r="AC26" t="s">
        <v>82</v>
      </c>
      <c r="AD26" s="4">
        <f>(4.23% + 1.3 * 3.84%)</f>
        <v>9.2219999999999996E-2</v>
      </c>
      <c r="AE26" s="4">
        <f t="shared" ref="AE26:AJ26" si="11">(4.23% + 1.3 * 3.84%)</f>
        <v>9.2219999999999996E-2</v>
      </c>
      <c r="AF26" s="4">
        <f t="shared" si="11"/>
        <v>9.2219999999999996E-2</v>
      </c>
      <c r="AG26" s="4">
        <f t="shared" si="11"/>
        <v>9.2219999999999996E-2</v>
      </c>
      <c r="AH26" s="4">
        <f t="shared" si="11"/>
        <v>9.2219999999999996E-2</v>
      </c>
      <c r="AI26" s="4">
        <f t="shared" si="11"/>
        <v>9.2219999999999996E-2</v>
      </c>
      <c r="AJ26" s="4">
        <f t="shared" si="11"/>
        <v>9.2219999999999996E-2</v>
      </c>
    </row>
    <row r="27" spans="1:38" x14ac:dyDescent="0.3">
      <c r="B27" s="4">
        <v>0.8</v>
      </c>
      <c r="C27" s="8">
        <f>$K$27 *$C$8*$C$29 *$K$29*$B$27</f>
        <v>40800000</v>
      </c>
      <c r="D27" s="8">
        <f>$K$27 *$C$8*$D$29 *$K$29*$B$27</f>
        <v>61200000.000000015</v>
      </c>
      <c r="E27" s="8">
        <f>$K$27 *$C$8*$E$29 *$K$29*$B$27</f>
        <v>81600000</v>
      </c>
      <c r="F27" s="8">
        <f>$K$27 *$C$8*$F$29 *$K$29*$B$27</f>
        <v>102000000</v>
      </c>
      <c r="G27" s="8">
        <f>$K$27 * $C$8 * $G$29 * $K$29* $B$27</f>
        <v>122400000</v>
      </c>
      <c r="H27" s="8">
        <f>$K$27 *$C$8*$H$29 *$K$29*$B$27</f>
        <v>142800000</v>
      </c>
      <c r="J27" t="s">
        <v>136</v>
      </c>
      <c r="K27">
        <f>K26*0.5</f>
        <v>637.5</v>
      </c>
      <c r="AC27" t="s">
        <v>73</v>
      </c>
      <c r="AE27" s="8">
        <f>(AE16-AE18)+AE23-AE22-AE24</f>
        <v>-78248000</v>
      </c>
      <c r="AF27" s="8">
        <f t="shared" ref="AF27:AJ27" si="12">(AF16-AF18)+AF23-AF22-AF24</f>
        <v>5854800</v>
      </c>
      <c r="AG27" s="8">
        <f t="shared" si="12"/>
        <v>81202648.799999997</v>
      </c>
      <c r="AH27" s="8">
        <f t="shared" si="12"/>
        <v>141154715.51999998</v>
      </c>
      <c r="AI27" s="8">
        <f t="shared" si="12"/>
        <v>253686564.76799995</v>
      </c>
      <c r="AJ27" s="8">
        <f t="shared" si="12"/>
        <v>378226648.79999989</v>
      </c>
    </row>
    <row r="28" spans="1:38" x14ac:dyDescent="0.3">
      <c r="B28" s="5">
        <v>0.9</v>
      </c>
      <c r="C28" s="12">
        <f>$K$27 *$C$8*$C$29 *$K$29*$B$28</f>
        <v>45900000</v>
      </c>
      <c r="D28" s="13">
        <f>$K$27 *$C$8*$D$29 *$K$29*$B$28</f>
        <v>68850000.000000015</v>
      </c>
      <c r="E28" s="13">
        <f>$K$27 *$C$8*$E$29 *$K$29*$B$28</f>
        <v>91800000</v>
      </c>
      <c r="F28" s="13">
        <f>$K$27 *$C$8*$F$29 *$K$29*$B$28</f>
        <v>114750000</v>
      </c>
      <c r="G28" s="13">
        <f>$K$27 *$C$8*$G$29 *$K$29*$B$28</f>
        <v>137700000</v>
      </c>
      <c r="H28" s="8">
        <f>$K$27 *$C$8*$H$29 *$K$29*$B$28</f>
        <v>160650000</v>
      </c>
      <c r="J28" t="s">
        <v>137</v>
      </c>
      <c r="K28">
        <f>K26</f>
        <v>1275</v>
      </c>
      <c r="AC28" t="s">
        <v>157</v>
      </c>
      <c r="AE28" s="8">
        <f>AE6-AE9-(AE10*0.12)-AE18-AE24-AE22</f>
        <v>105107200</v>
      </c>
      <c r="AF28" s="8">
        <f t="shared" ref="AF28:AJ28" si="13">AF6-AF9-(AF10*0.12)-AF18-AF24-AF22</f>
        <v>148797600</v>
      </c>
      <c r="AG28" s="8">
        <f t="shared" si="13"/>
        <v>209591272.79999998</v>
      </c>
      <c r="AH28" s="8">
        <f t="shared" si="13"/>
        <v>263409793.91999996</v>
      </c>
      <c r="AI28" s="8">
        <f t="shared" si="13"/>
        <v>344853923.23199993</v>
      </c>
      <c r="AJ28" s="8">
        <f t="shared" si="13"/>
        <v>423662966.99999994</v>
      </c>
    </row>
    <row r="29" spans="1:38" x14ac:dyDescent="0.3">
      <c r="C29" s="5">
        <v>0.2</v>
      </c>
      <c r="D29" s="7">
        <f>C29+10%</f>
        <v>0.30000000000000004</v>
      </c>
      <c r="E29" s="7">
        <f>D29+10%</f>
        <v>0.4</v>
      </c>
      <c r="F29" s="7">
        <f>E29+10%</f>
        <v>0.5</v>
      </c>
      <c r="G29" s="7">
        <f>F29+10%</f>
        <v>0.6</v>
      </c>
      <c r="H29" s="4">
        <v>0.7</v>
      </c>
      <c r="J29" t="s">
        <v>139</v>
      </c>
      <c r="K29" s="5">
        <v>1</v>
      </c>
      <c r="AC29" t="s">
        <v>138</v>
      </c>
      <c r="AJ29" s="8">
        <f>NPV(AJ26,AE28:AJ28)</f>
        <v>1038329739.999578</v>
      </c>
      <c r="AL29" s="8"/>
    </row>
    <row r="30" spans="1:38" x14ac:dyDescent="0.3">
      <c r="E30" t="s">
        <v>140</v>
      </c>
      <c r="J30" t="s">
        <v>141</v>
      </c>
      <c r="K30">
        <f>K26*K24</f>
        <v>12750</v>
      </c>
      <c r="Q30" s="4"/>
      <c r="AC30" t="s">
        <v>158</v>
      </c>
      <c r="AJ30" s="8">
        <f>NPV(AJ26,AE27:AJ27)</f>
        <v>480773233.86747593</v>
      </c>
    </row>
    <row r="31" spans="1:38" x14ac:dyDescent="0.3">
      <c r="J31" t="s">
        <v>142</v>
      </c>
      <c r="K31">
        <f>K30*0.2</f>
        <v>2550</v>
      </c>
    </row>
    <row r="32" spans="1:38" x14ac:dyDescent="0.3">
      <c r="D32" t="s">
        <v>145</v>
      </c>
      <c r="J32" t="s">
        <v>146</v>
      </c>
      <c r="K32">
        <f>K30*0.8</f>
        <v>10200</v>
      </c>
      <c r="AC32" t="s">
        <v>143</v>
      </c>
      <c r="AJ32" t="s">
        <v>144</v>
      </c>
    </row>
    <row r="34" spans="1:11" x14ac:dyDescent="0.3">
      <c r="B34" s="5">
        <v>0.5</v>
      </c>
      <c r="C34" s="11">
        <f>$K$28 *$C$8*$C$29 *$K$29*$B$24</f>
        <v>51000000</v>
      </c>
      <c r="D34" s="13">
        <f>$K$28 *$C$8*$D$29 *$K$29*$B$24</f>
        <v>76500000.000000015</v>
      </c>
      <c r="E34" s="13">
        <f>$K$28 *$C$8*$E$29 *$K$29*$B$24</f>
        <v>102000000</v>
      </c>
      <c r="F34" s="13">
        <f>$K$28 *$C$8*$F$29 *$K$29*$B$24</f>
        <v>127500000</v>
      </c>
      <c r="G34" s="13">
        <f>$K$28 *$C$8*$G$29 *$K$29*$B$24</f>
        <v>153000000</v>
      </c>
      <c r="H34" s="13">
        <f>$K$28 *$C$8*$G$29 *$K$29*$B$24</f>
        <v>153000000</v>
      </c>
    </row>
    <row r="35" spans="1:11" x14ac:dyDescent="0.3">
      <c r="B35" s="5">
        <v>0.6</v>
      </c>
      <c r="C35" s="11">
        <f>$K$28 *$C$8*$C$29 *$K$29*$B$25</f>
        <v>61200000</v>
      </c>
      <c r="D35" s="13">
        <f>$K$28 *$C$8*$D$29 *$K$29*$B$25</f>
        <v>91800000.000000015</v>
      </c>
      <c r="E35" s="13">
        <f>$K$28 *$C$8*$E$29 *$K$29*$B$25</f>
        <v>122400000</v>
      </c>
      <c r="F35" s="13">
        <f>$K$28 *$C$8*$F$29 *$K$29*$B$25</f>
        <v>153000000</v>
      </c>
      <c r="G35" s="13">
        <f>$K$28 *$C$8*$G$29 *$K$29*$B$25</f>
        <v>183600000</v>
      </c>
      <c r="H35" s="13">
        <f>$K$28 *$C$8*$G$29 *$K$29*$B$25</f>
        <v>183600000</v>
      </c>
      <c r="J35" s="9" t="s">
        <v>147</v>
      </c>
    </row>
    <row r="36" spans="1:11" x14ac:dyDescent="0.3">
      <c r="A36" t="s">
        <v>134</v>
      </c>
      <c r="B36" s="5">
        <v>0.7</v>
      </c>
      <c r="C36" s="11">
        <f>$K$28 *$C$8*$C$29 *$K$29*$B$26</f>
        <v>71400000</v>
      </c>
      <c r="D36" s="13">
        <f>$K$28 *$C$8*$D$29 *$K$29*$B$26</f>
        <v>107100000.00000001</v>
      </c>
      <c r="E36" s="13">
        <f>$K$28 *$C$8*$E$29 *$K$29*$B$26</f>
        <v>142800000</v>
      </c>
      <c r="F36" s="13">
        <f>$K$28 *$C$8*$F$29 *$K$29*$B$26</f>
        <v>178500000</v>
      </c>
      <c r="G36" s="13">
        <f>$K$28 *$C$8*$G$29 *$K$29*$B$26</f>
        <v>214200000</v>
      </c>
      <c r="H36" s="13">
        <f>$K$28 *$C$8*$G$29 *$K$29*$B$26</f>
        <v>214200000</v>
      </c>
      <c r="J36" s="14" t="s">
        <v>148</v>
      </c>
    </row>
    <row r="37" spans="1:11" x14ac:dyDescent="0.3">
      <c r="B37" s="4">
        <v>0.8</v>
      </c>
      <c r="C37" s="8">
        <f>$K$28 *$C$8*$C$29 *$K$29*$B$27</f>
        <v>81600000</v>
      </c>
      <c r="D37" s="8">
        <f>$K$28 *$C$8*$D$29 *$K$29*$B$27</f>
        <v>122400000.00000003</v>
      </c>
      <c r="E37" s="8">
        <f>$K$28 *$C$8*$E$29 *$K$29*$B$27</f>
        <v>163200000</v>
      </c>
      <c r="F37" s="8">
        <f>$K$28 *$C$8*$F$29 *$K$29*$B$27</f>
        <v>204000000</v>
      </c>
      <c r="G37" s="8">
        <f>$K$28 *$C$8*$G$29 *$K$29*$B$27</f>
        <v>244800000</v>
      </c>
      <c r="H37" s="8">
        <f>$K$28 *$C$8*$G$29 *$K$29*$B$27</f>
        <v>244800000</v>
      </c>
      <c r="J37" s="14" t="s">
        <v>149</v>
      </c>
    </row>
    <row r="38" spans="1:11" x14ac:dyDescent="0.3">
      <c r="B38" s="5">
        <v>0.9</v>
      </c>
      <c r="C38" s="11">
        <f>$K$28 *$C$8*$C$29 *$K$29*$B$28</f>
        <v>91800000</v>
      </c>
      <c r="D38" s="13">
        <f>$K$28 *$C$8*$D$29 *$K$29*$B$28</f>
        <v>137700000.00000003</v>
      </c>
      <c r="E38" s="13">
        <f>$K$28 *$C$8*$E$29 *$K$29*$B$28</f>
        <v>183600000</v>
      </c>
      <c r="F38" s="13">
        <f>$K$28 *$C$8*$F$29 *$K$29*$B$28</f>
        <v>229500000</v>
      </c>
      <c r="G38" s="13">
        <f>$K$28 *$C$8*$G$29 *$K$29*$B$28</f>
        <v>275400000</v>
      </c>
      <c r="H38" s="8">
        <f>$K$28 *$C$8*$H$29 *$K$29*$B$28</f>
        <v>321300000</v>
      </c>
      <c r="J38" s="14" t="s">
        <v>150</v>
      </c>
    </row>
    <row r="39" spans="1:11" x14ac:dyDescent="0.3">
      <c r="C39" s="5">
        <v>0.2</v>
      </c>
      <c r="D39" s="7">
        <f>C39+10%</f>
        <v>0.30000000000000004</v>
      </c>
      <c r="E39" s="7">
        <f>D39+10%</f>
        <v>0.4</v>
      </c>
      <c r="F39" s="7">
        <f>E39+10%</f>
        <v>0.5</v>
      </c>
      <c r="G39" s="7">
        <f>F39+10%</f>
        <v>0.6</v>
      </c>
      <c r="H39" s="4">
        <v>0.7</v>
      </c>
      <c r="J39" s="14" t="s">
        <v>151</v>
      </c>
    </row>
    <row r="40" spans="1:11" x14ac:dyDescent="0.3">
      <c r="E40" t="s">
        <v>140</v>
      </c>
      <c r="J40" s="14" t="s">
        <v>152</v>
      </c>
      <c r="K40" t="s">
        <v>153</v>
      </c>
    </row>
  </sheetData>
  <conditionalFormatting sqref="C24: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H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E0E4-7D2C-4BAD-BA56-11D7832A53AA}">
  <dimension ref="B2:D8"/>
  <sheetViews>
    <sheetView workbookViewId="0">
      <selection activeCell="D5" sqref="D5"/>
    </sheetView>
  </sheetViews>
  <sheetFormatPr defaultRowHeight="14.4" x14ac:dyDescent="0.3"/>
  <sheetData>
    <row r="2" spans="2:4" x14ac:dyDescent="0.3">
      <c r="B2" s="9" t="s">
        <v>154</v>
      </c>
      <c r="C2" t="s">
        <v>155</v>
      </c>
      <c r="D2">
        <v>9.25</v>
      </c>
    </row>
    <row r="3" spans="2:4" x14ac:dyDescent="0.3">
      <c r="C3" t="s">
        <v>16</v>
      </c>
      <c r="D3">
        <v>61.545000000000002</v>
      </c>
    </row>
    <row r="4" spans="2:4" x14ac:dyDescent="0.3">
      <c r="C4" t="s">
        <v>18</v>
      </c>
      <c r="D4">
        <f>D2*D3</f>
        <v>569.29124999999999</v>
      </c>
    </row>
    <row r="5" spans="2:4" x14ac:dyDescent="0.3">
      <c r="C5" t="s">
        <v>24</v>
      </c>
      <c r="D5">
        <f>164.322</f>
        <v>164.322</v>
      </c>
    </row>
    <row r="6" spans="2:4" x14ac:dyDescent="0.3">
      <c r="C6" t="s">
        <v>25</v>
      </c>
    </row>
    <row r="7" spans="2:4" x14ac:dyDescent="0.3">
      <c r="C7" t="s">
        <v>26</v>
      </c>
    </row>
    <row r="8" spans="2:4" x14ac:dyDescent="0.3">
      <c r="C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DAWN NPV</vt:lpstr>
      <vt:lpstr>Sheet1</vt:lpstr>
      <vt:lpstr>DAWN rNPV + DCF</vt:lpstr>
      <vt:lpstr>Comps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Phan</dc:creator>
  <cp:keywords/>
  <dc:description/>
  <cp:lastModifiedBy>Andrew Phan</cp:lastModifiedBy>
  <cp:revision/>
  <dcterms:created xsi:type="dcterms:W3CDTF">2025-08-03T21:20:24Z</dcterms:created>
  <dcterms:modified xsi:type="dcterms:W3CDTF">2025-09-07T18:42:16Z</dcterms:modified>
  <cp:category/>
  <cp:contentStatus/>
</cp:coreProperties>
</file>