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cityofnaperville-my.sharepoint.com/personal/hallockb_naperville_il_us/Documents/Attachments/"/>
    </mc:Choice>
  </mc:AlternateContent>
  <xr:revisionPtr revIDLastSave="668" documentId="8_{741E15E9-C8D2-4C1A-AFBB-16D775823E83}" xr6:coauthVersionLast="47" xr6:coauthVersionMax="47" xr10:uidLastSave="{B0C08A4F-E78F-4CE3-A846-FCFD2949B63C}"/>
  <bookViews>
    <workbookView xWindow="9510" yWindow="0" windowWidth="9780" windowHeight="11370" firstSheet="4" activeTab="4" xr2:uid="{9C895DAD-46B9-4889-BE34-B3D7865D2BDB}"/>
  </bookViews>
  <sheets>
    <sheet name="Detail1" sheetId="5" state="hidden" r:id="rId1"/>
    <sheet name="Detail2" sheetId="6" state="hidden" r:id="rId2"/>
    <sheet name="Detail3" sheetId="7" state="hidden" r:id="rId3"/>
    <sheet name="Detail4" sheetId="8" state="hidden" r:id="rId4"/>
    <sheet name="Batch 1" sheetId="1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E12" i="1"/>
  <c r="F12" i="1" s="1"/>
  <c r="E13" i="1"/>
  <c r="F13" i="1" s="1"/>
  <c r="E14" i="1"/>
  <c r="J14" i="1" s="1"/>
  <c r="E15" i="1"/>
  <c r="F15" i="1" s="1"/>
  <c r="E16" i="1"/>
  <c r="Q16" i="1"/>
  <c r="E17" i="1"/>
  <c r="H17" i="1" s="1"/>
  <c r="E10" i="1"/>
  <c r="J10" i="1" s="1"/>
  <c r="E18" i="1"/>
  <c r="J18" i="1" s="1"/>
  <c r="F2" i="1"/>
  <c r="H2" i="1"/>
  <c r="J2" i="1"/>
  <c r="E19" i="1"/>
  <c r="F19" i="1" s="1"/>
  <c r="E20" i="1"/>
  <c r="H20" i="1" s="1"/>
  <c r="E31" i="1"/>
  <c r="F31" i="1" s="1"/>
  <c r="E32" i="1"/>
  <c r="H32" i="1" s="1"/>
  <c r="E21" i="1"/>
  <c r="J21" i="1" s="1"/>
  <c r="F22" i="1"/>
  <c r="H22" i="1"/>
  <c r="J22" i="1"/>
  <c r="E23" i="1"/>
  <c r="F23" i="1" s="1"/>
  <c r="E24" i="1"/>
  <c r="F24" i="1" s="1"/>
  <c r="E25" i="1"/>
  <c r="F25" i="1" s="1"/>
  <c r="H25" i="1"/>
  <c r="E26" i="1"/>
  <c r="F26" i="1" s="1"/>
  <c r="E27" i="1"/>
  <c r="F27" i="1" s="1"/>
  <c r="E28" i="1"/>
  <c r="H28" i="1" s="1"/>
  <c r="E29" i="1"/>
  <c r="J29" i="1" s="1"/>
  <c r="N29" i="1"/>
  <c r="E30" i="1"/>
  <c r="H30" i="1" s="1"/>
  <c r="E3" i="1"/>
  <c r="Q3" i="1"/>
  <c r="F4" i="1"/>
  <c r="H4" i="1"/>
  <c r="J4" i="1"/>
  <c r="E5" i="1"/>
  <c r="F5" i="1" s="1"/>
  <c r="E33" i="1"/>
  <c r="J33" i="1" s="1"/>
  <c r="G34" i="1"/>
  <c r="I34" i="1"/>
  <c r="J34" i="1"/>
  <c r="E6" i="1"/>
  <c r="F6" i="1" s="1"/>
  <c r="F7" i="1"/>
  <c r="H7" i="1"/>
  <c r="J7" i="1"/>
  <c r="E8" i="1"/>
  <c r="H8" i="1" s="1"/>
  <c r="G35" i="1"/>
  <c r="I35" i="1"/>
  <c r="J35" i="1"/>
  <c r="G36" i="1"/>
  <c r="I36" i="1"/>
  <c r="J36" i="1"/>
  <c r="E9" i="1"/>
  <c r="F9" i="1" s="1"/>
  <c r="E37" i="1"/>
  <c r="J37" i="1" s="1"/>
  <c r="N37" i="1"/>
  <c r="H14" i="1" l="1"/>
  <c r="F10" i="1"/>
  <c r="F18" i="1"/>
  <c r="H15" i="1"/>
  <c r="F33" i="1"/>
  <c r="J15" i="1"/>
  <c r="F20" i="1"/>
  <c r="F17" i="1"/>
  <c r="H24" i="1"/>
  <c r="J19" i="1"/>
  <c r="H19" i="1"/>
  <c r="H18" i="1"/>
  <c r="J27" i="1"/>
  <c r="H27" i="1"/>
  <c r="Q2" i="1"/>
  <c r="J25" i="1"/>
  <c r="Q25" i="1" s="1"/>
  <c r="F8" i="1"/>
  <c r="H29" i="1"/>
  <c r="F29" i="1"/>
  <c r="Q29" i="1" s="1"/>
  <c r="F14" i="1"/>
  <c r="H13" i="1"/>
  <c r="I37" i="1"/>
  <c r="G37" i="1"/>
  <c r="J5" i="1"/>
  <c r="F30" i="1"/>
  <c r="J24" i="1"/>
  <c r="H5" i="1"/>
  <c r="J20" i="1"/>
  <c r="J6" i="1"/>
  <c r="H6" i="1"/>
  <c r="Q6" i="1" s="1"/>
  <c r="Q34" i="1"/>
  <c r="H21" i="1"/>
  <c r="F21" i="1"/>
  <c r="H9" i="1"/>
  <c r="Q36" i="1"/>
  <c r="J9" i="1"/>
  <c r="Q35" i="1"/>
  <c r="H33" i="1"/>
  <c r="F28" i="1"/>
  <c r="Q7" i="1"/>
  <c r="J13" i="1"/>
  <c r="F32" i="1"/>
  <c r="H10" i="1"/>
  <c r="Q22" i="1"/>
  <c r="Q4" i="1"/>
  <c r="J11" i="1"/>
  <c r="J23" i="1"/>
  <c r="H23" i="1"/>
  <c r="H11" i="1"/>
  <c r="J28" i="1"/>
  <c r="J26" i="1"/>
  <c r="J8" i="1"/>
  <c r="H26" i="1"/>
  <c r="J32" i="1"/>
  <c r="H12" i="1"/>
  <c r="Q12" i="1" s="1"/>
  <c r="J31" i="1"/>
  <c r="J30" i="1"/>
  <c r="H31" i="1"/>
  <c r="J17" i="1"/>
  <c r="Q27" i="1" l="1"/>
  <c r="Q20" i="1"/>
  <c r="Q17" i="1"/>
  <c r="Q33" i="1"/>
  <c r="Q14" i="1"/>
  <c r="Q10" i="1"/>
  <c r="Q21" i="1"/>
  <c r="Q18" i="1"/>
  <c r="Q15" i="1"/>
  <c r="Q37" i="1"/>
  <c r="Q8" i="1"/>
  <c r="Q5" i="1"/>
  <c r="Q24" i="1"/>
  <c r="Q19" i="1"/>
  <c r="Q13" i="1"/>
  <c r="Q23" i="1"/>
  <c r="Q30" i="1"/>
  <c r="Q9" i="1"/>
  <c r="Q31" i="1"/>
  <c r="Q28" i="1"/>
  <c r="Q11" i="1"/>
  <c r="Q32" i="1"/>
  <c r="Q26" i="1"/>
</calcChain>
</file>

<file path=xl/sharedStrings.xml><?xml version="1.0" encoding="utf-8"?>
<sst xmlns="http://schemas.openxmlformats.org/spreadsheetml/2006/main" count="273" uniqueCount="110">
  <si>
    <t>Details for TOTAL - EU:: (blank), Account:: E O&amp;M</t>
  </si>
  <si>
    <t>Work Order #</t>
  </si>
  <si>
    <t>Account:</t>
  </si>
  <si>
    <t>EU:</t>
  </si>
  <si>
    <t>ADDRESS</t>
  </si>
  <si>
    <t>Square Feet</t>
  </si>
  <si>
    <t>TOP     SOIL EXCAV. - 4"</t>
  </si>
  <si>
    <t>TOP     SOIL EXCAV. - 12"</t>
  </si>
  <si>
    <t>TOP  SOIL 4"</t>
  </si>
  <si>
    <t>TOP  SOIL 12"</t>
  </si>
  <si>
    <t>SEEDING &amp; Blanket</t>
  </si>
  <si>
    <t xml:space="preserve">SOD </t>
  </si>
  <si>
    <t>WATER</t>
  </si>
  <si>
    <t>TRAFFIC</t>
  </si>
  <si>
    <t>EXTRA WORK</t>
  </si>
  <si>
    <t>NOTES</t>
  </si>
  <si>
    <t>MIN CHARGE</t>
  </si>
  <si>
    <t>SUB-TOTAL</t>
  </si>
  <si>
    <t>E O&amp;M</t>
  </si>
  <si>
    <t>1024 Magnolia Ln.</t>
  </si>
  <si>
    <t>568 S. Washington St.</t>
  </si>
  <si>
    <t>1439 Crystal Ct.</t>
  </si>
  <si>
    <t>1769 Winola</t>
  </si>
  <si>
    <t>QUOTED 20 SF</t>
  </si>
  <si>
    <t>1404 Conon Doyle</t>
  </si>
  <si>
    <t>5071 Switch Grass Ln.</t>
  </si>
  <si>
    <t>QUOTED 50 SF</t>
  </si>
  <si>
    <t>95th St. / Cedar Glade Dr.</t>
  </si>
  <si>
    <t>1' DEEP X 2' AROUND TRANSFORMER</t>
  </si>
  <si>
    <t>2056 Yellow Daisy</t>
  </si>
  <si>
    <t>Details for TOTAL - EU:: 65, Account:: ECapital</t>
  </si>
  <si>
    <t>ECapital</t>
  </si>
  <si>
    <t>1051 Lakewood Cir.</t>
  </si>
  <si>
    <t>QUOTED 280 SF</t>
  </si>
  <si>
    <t>Details for TOTAL - EU:: 52, Account:: ECapital</t>
  </si>
  <si>
    <t>1014 Andrews Ct.</t>
  </si>
  <si>
    <t>1008 Liberty Dr.</t>
  </si>
  <si>
    <t>1492 Culpepper Dr.</t>
  </si>
  <si>
    <t>300 SF MULCH</t>
  </si>
  <si>
    <t>1488 Culpepper Dr.</t>
  </si>
  <si>
    <t>1009 Liberty Dr.</t>
  </si>
  <si>
    <t>200 SF MULCH</t>
  </si>
  <si>
    <t>1117 Overton Ct.</t>
  </si>
  <si>
    <t>1126 Overton Ct.</t>
  </si>
  <si>
    <t>MULCH</t>
  </si>
  <si>
    <t>1113 Overton Ct.</t>
  </si>
  <si>
    <t>1121 Overton Ct.</t>
  </si>
  <si>
    <t>1137 Dartmoor Ct.</t>
  </si>
  <si>
    <t>1141 Dartmoor Ct.</t>
  </si>
  <si>
    <t>1107 Compass Ct.</t>
  </si>
  <si>
    <t>1111 Compass Ct.</t>
  </si>
  <si>
    <t>1135 Overton Ct.</t>
  </si>
  <si>
    <t>1591 Culpepper Dr.</t>
  </si>
  <si>
    <t>10 WALL BLOCKS</t>
  </si>
  <si>
    <t>1583 Culpepper Dr.</t>
  </si>
  <si>
    <t>RESET 7? BLOCKS</t>
  </si>
  <si>
    <t>1579 Culpepper Dr.</t>
  </si>
  <si>
    <t>1575 Culpepper Dr.</t>
  </si>
  <si>
    <t>QUOTED 504 SF</t>
  </si>
  <si>
    <t>1571 Culpepper Dr.</t>
  </si>
  <si>
    <t>1563 Culpepper Dr.</t>
  </si>
  <si>
    <t>REMOVE/REPLACE BRUSH/GRASS/BUSH</t>
  </si>
  <si>
    <t>956 Norwood Ct.</t>
  </si>
  <si>
    <t>1023 Andrews Ct.</t>
  </si>
  <si>
    <t>H20 O&amp;M</t>
  </si>
  <si>
    <t>4x4 BRICK PAVERS</t>
  </si>
  <si>
    <t>Account</t>
  </si>
  <si>
    <t>TOTAL</t>
  </si>
  <si>
    <t>E O&amp;M2</t>
  </si>
  <si>
    <t>(blank)</t>
  </si>
  <si>
    <t>ECapital2</t>
  </si>
  <si>
    <t>Grand Total</t>
  </si>
  <si>
    <t>ADDRESS2</t>
  </si>
  <si>
    <t>2056 Yellow Daisy Dr, Naperville, IL 60564</t>
  </si>
  <si>
    <t>95th St &amp; Cedar Glade Dr, Naperville, IL 60564</t>
  </si>
  <si>
    <t>5071 Switch Grass Ln, Naperville, IL 60564</t>
  </si>
  <si>
    <t>1404 Conan Doyle Rd, Naperville, IL 60564</t>
  </si>
  <si>
    <t>1769 Winola Ct, Naperville, IL 60565</t>
  </si>
  <si>
    <t>1439 Crystal Ct, Naperville, IL 60565</t>
  </si>
  <si>
    <t>568 S Washington St, Naperville, IL 60540</t>
  </si>
  <si>
    <t>Address</t>
  </si>
  <si>
    <t>1024 Magnolia Ln, Naperville, IL 60540</t>
  </si>
  <si>
    <t>5680 Rosinwood Ln, Naperville, IL 60564</t>
  </si>
  <si>
    <t>1008 Liberty Dr, Naperville, IL 60540</t>
  </si>
  <si>
    <t>1492 Culpepper Dr, Naperville, IL 60540</t>
  </si>
  <si>
    <t>1488 Culpepper Dr, Naperville, IL 60540</t>
  </si>
  <si>
    <t>1009 Liberty Dr, Naperville, IL 60540</t>
  </si>
  <si>
    <t>1117 Overton Ct, Naperville, IL 60540</t>
  </si>
  <si>
    <t>1126 Overton Ct, Naperville, IL 60540</t>
  </si>
  <si>
    <t>1113 Overton Ct, Naperville, IL 60540</t>
  </si>
  <si>
    <t>1121 Overton Ct, Naperville, IL 60540</t>
  </si>
  <si>
    <t>1137 Dartmoor Ct, Naperville, IL 60540</t>
  </si>
  <si>
    <t>1141 Dartmoor Ct, Naperville, IL 60540</t>
  </si>
  <si>
    <t>1107 Compass Ct, Naperville, IL 60540</t>
  </si>
  <si>
    <t>1111 Compass Ct, Naperville, IL 60540</t>
  </si>
  <si>
    <t>1135 Overton Ct, Naperville, IL 60540</t>
  </si>
  <si>
    <t>1591 Culpepper Dr, Naperville, IL 60565</t>
  </si>
  <si>
    <t>1583 Culpepper Dr, Naperville, IL 60565</t>
  </si>
  <si>
    <t>1579 Culpepper Dr, Naperville, IL 60565</t>
  </si>
  <si>
    <t>1575 Culpepper Dr, Naperville, IL 60565</t>
  </si>
  <si>
    <t>1571 Culpepper Dr, Naperville, IL 60565</t>
  </si>
  <si>
    <t>1563 Culpepper Dr, Naperville, IL 60565</t>
  </si>
  <si>
    <t>956 Norwood Ct, Naperville, IL 60540</t>
  </si>
  <si>
    <t>1023 Andrews Ct, Naperville, IL 60540</t>
  </si>
  <si>
    <t>1014 Andrews Ct, Naperville, IL 60540</t>
  </si>
  <si>
    <t>1051 Lakewood Cir, Naperville, IL 60540</t>
  </si>
  <si>
    <t>1609 Warbler Dr, Naperville, IL 60565</t>
  </si>
  <si>
    <t>1415 Dunrobin Rd, Naperville, IL 60540</t>
  </si>
  <si>
    <t>1588 Naperville Wheaton Rd, Naperville, IL 60563</t>
  </si>
  <si>
    <t>1145 Catherine Ave, Naperville, IL 60540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</si>
</sst>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Malgun Gothic Semilight"/>
      <family val="2"/>
    </font>
    <font>
      <b/>
      <sz val="14"/>
      <color theme="1"/>
      <name val="Aptos Display"/>
      <family val="2"/>
      <scheme val="major"/>
    </font>
    <font>
      <b/>
      <sz val="14"/>
      <color indexed="8"/>
      <name val="Aptos Display"/>
      <family val="2"/>
      <scheme val="major"/>
    </font>
    <font>
      <b/>
      <sz val="14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name val="Aptos Display"/>
      <family val="2"/>
      <scheme val="maj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left"/>
    </xf>
    <xf numFmtId="44" fontId="2" fillId="0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2" fontId="6" fillId="0" borderId="1" xfId="1" applyNumberFormat="1" applyFont="1" applyFill="1" applyBorder="1"/>
    <xf numFmtId="2" fontId="7" fillId="0" borderId="1" xfId="1" applyNumberFormat="1" applyFont="1" applyFill="1" applyBorder="1"/>
    <xf numFmtId="0" fontId="7" fillId="0" borderId="1" xfId="1" applyNumberFormat="1" applyFont="1" applyFill="1" applyBorder="1"/>
    <xf numFmtId="44" fontId="7" fillId="0" borderId="1" xfId="1" applyFont="1" applyFill="1" applyBorder="1"/>
    <xf numFmtId="0" fontId="7" fillId="0" borderId="1" xfId="0" applyFont="1" applyBorder="1" applyAlignment="1">
      <alignment horizontal="center"/>
    </xf>
    <xf numFmtId="44" fontId="6" fillId="0" borderId="1" xfId="1" applyFont="1" applyFill="1" applyBorder="1"/>
    <xf numFmtId="0" fontId="7" fillId="2" borderId="1" xfId="0" applyFont="1" applyFill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44" fontId="5" fillId="0" borderId="3" xfId="0" applyNumberFormat="1" applyFont="1" applyBorder="1" applyAlignment="1">
      <alignment horizontal="center" wrapText="1"/>
    </xf>
    <xf numFmtId="0" fontId="0" fillId="0" borderId="1" xfId="0" applyBorder="1"/>
    <xf numFmtId="44" fontId="7" fillId="0" borderId="1" xfId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Display"/>
        <family val="2"/>
        <scheme val="maj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Display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Display"/>
        <family val="2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Display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Display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Display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Display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Display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Display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Display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Display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Display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Display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Display"/>
        <family val="2"/>
        <scheme val="maj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Display"/>
        <family val="2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Display"/>
        <family val="2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Display"/>
        <family val="2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Aptos Display"/>
        <family val="2"/>
        <scheme val="maj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Display"/>
        <family val="2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lock, Benjamin" refreshedDate="45812.582781712961" createdVersion="8" refreshedVersion="8" minRefreshableVersion="3" recordCount="36" xr:uid="{A968FD87-252E-48C6-8492-D9355DF367FC}">
  <cacheSource type="worksheet">
    <worksheetSource ref="B1:Q37" sheet="Batch 1"/>
  </cacheSource>
  <cacheFields count="17">
    <cacheField name="Work Order #" numFmtId="0">
      <sharedItems containsSemiMixedTypes="0" containsString="0" containsNumber="1" containsInteger="1" minValue="293495" maxValue="301120"/>
    </cacheField>
    <cacheField name="Account:" numFmtId="0">
      <sharedItems count="4">
        <s v="E O&amp;M"/>
        <s v="ECapital"/>
        <s v="H20 O&amp;M"/>
        <s v="H20 Capital" u="1"/>
      </sharedItems>
    </cacheField>
    <cacheField name="EU:" numFmtId="0">
      <sharedItems containsString="0" containsBlank="1" containsNumber="1" containsInteger="1" minValue="2" maxValue="65" count="6">
        <m/>
        <n v="3"/>
        <n v="52"/>
        <n v="65"/>
        <n v="49" u="1"/>
        <n v="2" u="1"/>
      </sharedItems>
    </cacheField>
    <cacheField name="ADDRESS" numFmtId="0">
      <sharedItems/>
    </cacheField>
    <cacheField name="ADDRESS2" numFmtId="0">
      <sharedItems containsSemiMixedTypes="0" containsString="0" containsNumber="1" containsInteger="1" minValue="15" maxValue="866"/>
    </cacheField>
    <cacheField name="TOP     SOIL EXCAV. - 4&quot;" numFmtId="2">
      <sharedItems containsString="0" containsBlank="1" containsNumber="1" minValue="0.18518518518518517" maxValue="10.691358024691356"/>
    </cacheField>
    <cacheField name="TOP     SOIL EXCAV. - 12&quot;" numFmtId="2">
      <sharedItems containsString="0" containsBlank="1" containsNumber="1" minValue="0.7407407407407407" maxValue="2.3703703703703702"/>
    </cacheField>
    <cacheField name="TOP  SOIL 4&quot;" numFmtId="2">
      <sharedItems containsString="0" containsBlank="1" containsNumber="1" minValue="1.6666666666666667" maxValue="96.222222222222229"/>
    </cacheField>
    <cacheField name="TOP  SOIL 12&quot;" numFmtId="2">
      <sharedItems containsString="0" containsBlank="1" containsNumber="1" minValue="2.2222222222222223" maxValue="7.1111111111111107"/>
    </cacheField>
    <cacheField name="SEEDING &amp; Blanket" numFmtId="2">
      <sharedItems containsString="0" containsBlank="1" containsNumber="1" minValue="1.6666666666666667" maxValue="96.222222222222229"/>
    </cacheField>
    <cacheField name="SOD " numFmtId="0">
      <sharedItems containsNonDate="0" containsString="0" containsBlank="1"/>
    </cacheField>
    <cacheField name="WATER" numFmtId="0">
      <sharedItems containsNonDate="0" containsString="0" containsBlank="1"/>
    </cacheField>
    <cacheField name="TRAFFIC" numFmtId="0">
      <sharedItems containsNonDate="0" containsString="0" containsBlank="1"/>
    </cacheField>
    <cacheField name="EXTRA WORK" numFmtId="44">
      <sharedItems containsString="0" containsBlank="1" containsNumber="1" containsInteger="1" minValue="100" maxValue="880"/>
    </cacheField>
    <cacheField name="NOTES" numFmtId="44">
      <sharedItems containsBlank="1"/>
    </cacheField>
    <cacheField name="MIN CHARGE" numFmtId="0">
      <sharedItems containsNonDate="0" containsString="0" containsBlank="1"/>
    </cacheField>
    <cacheField name="SUB-TOTAL" numFmtId="44">
      <sharedItems containsSemiMixedTypes="0" containsString="0" containsNumber="1" minValue="35.611111111111114" maxValue="2055.9481481481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297988"/>
    <x v="0"/>
    <x v="0"/>
    <s v="2056 Yellow Daisy"/>
    <n v="33"/>
    <n v="0.40740740740740738"/>
    <m/>
    <n v="3.6666666666666665"/>
    <m/>
    <n v="3.6666666666666665"/>
    <m/>
    <m/>
    <m/>
    <m/>
    <m/>
    <m/>
    <n v="78.344444444444449"/>
  </r>
  <r>
    <n v="295859"/>
    <x v="0"/>
    <x v="0"/>
    <s v="95th St. / Cedar Glade Dr."/>
    <n v="64"/>
    <n v="5.5"/>
    <m/>
    <m/>
    <m/>
    <m/>
    <m/>
    <m/>
    <m/>
    <n v="850"/>
    <s v="1' DEEP X 2' AROUND TRANSFORMER"/>
    <m/>
    <n v="900.32500000000005"/>
  </r>
  <r>
    <n v="295863"/>
    <x v="0"/>
    <x v="0"/>
    <s v="5071 Switch Grass Ln."/>
    <n v="70"/>
    <n v="0.86419753086419748"/>
    <m/>
    <n v="7.7777777777777777"/>
    <m/>
    <n v="7.7777777777777777"/>
    <m/>
    <m/>
    <m/>
    <m/>
    <s v="QUOTED 50 SF"/>
    <m/>
    <n v="166.18518518518522"/>
  </r>
  <r>
    <n v="299148"/>
    <x v="0"/>
    <x v="0"/>
    <s v="1404 Conon Doyle"/>
    <n v="15"/>
    <n v="0.18518518518518517"/>
    <m/>
    <n v="1.6666666666666667"/>
    <m/>
    <n v="1.6666666666666667"/>
    <m/>
    <m/>
    <m/>
    <m/>
    <m/>
    <m/>
    <n v="35.611111111111114"/>
  </r>
  <r>
    <n v="299884"/>
    <x v="0"/>
    <x v="0"/>
    <s v="1769 Winola"/>
    <n v="122"/>
    <n v="1.5061728395061726"/>
    <m/>
    <n v="13.555555555555555"/>
    <m/>
    <n v="13.555555555555555"/>
    <m/>
    <m/>
    <m/>
    <m/>
    <s v="QUOTED 20 SF"/>
    <m/>
    <n v="289.63703703703703"/>
  </r>
  <r>
    <n v="298440"/>
    <x v="0"/>
    <x v="0"/>
    <s v="1439 Crystal Ct."/>
    <n v="25"/>
    <n v="0.30864197530864196"/>
    <m/>
    <n v="2.7777777777777777"/>
    <m/>
    <n v="2.7777777777777777"/>
    <m/>
    <m/>
    <m/>
    <m/>
    <m/>
    <m/>
    <n v="59.351851851851855"/>
  </r>
  <r>
    <n v="300460"/>
    <x v="0"/>
    <x v="0"/>
    <s v="568 S. Washington St."/>
    <n v="200"/>
    <n v="2.4691358024691357"/>
    <m/>
    <n v="22.222222222222221"/>
    <m/>
    <n v="22.222222222222221"/>
    <m/>
    <m/>
    <m/>
    <m/>
    <m/>
    <m/>
    <n v="474.81481481481484"/>
  </r>
  <r>
    <n v="300907"/>
    <x v="0"/>
    <x v="0"/>
    <s v="1024 Magnolia Ln."/>
    <n v="324"/>
    <n v="4"/>
    <m/>
    <n v="36"/>
    <m/>
    <n v="36"/>
    <m/>
    <m/>
    <m/>
    <m/>
    <m/>
    <m/>
    <n v="769.2"/>
  </r>
  <r>
    <n v="301120"/>
    <x v="1"/>
    <x v="1"/>
    <s v="5680 Rosinwood Ln."/>
    <n v="675"/>
    <n v="8.3333333333333339"/>
    <m/>
    <n v="75"/>
    <m/>
    <n v="75"/>
    <m/>
    <m/>
    <m/>
    <m/>
    <m/>
    <m/>
    <n v="1602.5"/>
  </r>
  <r>
    <n v="294525"/>
    <x v="1"/>
    <x v="2"/>
    <s v="1008 Liberty Dr."/>
    <n v="278"/>
    <n v="3.4320987654320985"/>
    <m/>
    <n v="30.888888888888889"/>
    <m/>
    <n v="30.888888888888889"/>
    <m/>
    <m/>
    <m/>
    <m/>
    <m/>
    <m/>
    <n v="659.99259259259259"/>
  </r>
  <r>
    <n v="295813"/>
    <x v="1"/>
    <x v="2"/>
    <s v="1492 Culpepper Dr."/>
    <n v="296"/>
    <n v="3.6543209876543208"/>
    <m/>
    <n v="32.888888888888886"/>
    <m/>
    <m/>
    <m/>
    <m/>
    <m/>
    <n v="225"/>
    <s v="300 SF MULCH"/>
    <m/>
    <n v="542.26814814814816"/>
  </r>
  <r>
    <n v="295814"/>
    <x v="1"/>
    <x v="2"/>
    <s v="1488 Culpepper Dr."/>
    <n v="475"/>
    <n v="5.8641975308641969"/>
    <m/>
    <n v="52.777777777777779"/>
    <m/>
    <n v="52.777777777777779"/>
    <m/>
    <m/>
    <m/>
    <m/>
    <m/>
    <m/>
    <n v="1127.6851851851852"/>
  </r>
  <r>
    <n v="293495"/>
    <x v="1"/>
    <x v="2"/>
    <s v="1009 Liberty Dr."/>
    <n v="424"/>
    <n v="5.2345679012345672"/>
    <m/>
    <n v="47.111111111111114"/>
    <m/>
    <n v="47.111111111111114"/>
    <m/>
    <m/>
    <m/>
    <n v="200"/>
    <s v="200 SF MULCH"/>
    <m/>
    <n v="1206.6074074074074"/>
  </r>
  <r>
    <n v="295850"/>
    <x v="1"/>
    <x v="2"/>
    <s v="1117 Overton Ct."/>
    <n v="785"/>
    <n v="9.6913580246913558"/>
    <m/>
    <n v="87.222222222222229"/>
    <m/>
    <n v="87.222222222222229"/>
    <m/>
    <m/>
    <m/>
    <m/>
    <m/>
    <m/>
    <n v="1863.6481481481483"/>
  </r>
  <r>
    <n v="295802"/>
    <x v="1"/>
    <x v="2"/>
    <s v="1126 Overton Ct."/>
    <n v="168"/>
    <m/>
    <m/>
    <m/>
    <m/>
    <m/>
    <m/>
    <m/>
    <m/>
    <n v="200"/>
    <s v="MULCH"/>
    <m/>
    <n v="200"/>
  </r>
  <r>
    <n v="294545"/>
    <x v="1"/>
    <x v="2"/>
    <s v="1113 Overton Ct."/>
    <n v="528"/>
    <n v="6.5185185185185182"/>
    <m/>
    <n v="58.666666666666664"/>
    <m/>
    <n v="58.666666666666664"/>
    <m/>
    <m/>
    <m/>
    <m/>
    <m/>
    <m/>
    <n v="1253.5111111111112"/>
  </r>
  <r>
    <n v="295852"/>
    <x v="1"/>
    <x v="2"/>
    <s v="1121 Overton Ct."/>
    <n v="296"/>
    <n v="3.6543209876543208"/>
    <m/>
    <n v="32.888888888888886"/>
    <m/>
    <n v="32.888888888888886"/>
    <m/>
    <m/>
    <m/>
    <m/>
    <m/>
    <m/>
    <n v="702.72592592592594"/>
  </r>
  <r>
    <n v="293807"/>
    <x v="1"/>
    <x v="2"/>
    <s v="1137 Dartmoor Ct."/>
    <n v="580"/>
    <n v="7.1604938271604928"/>
    <m/>
    <n v="64.444444444444443"/>
    <m/>
    <n v="64.444444444444443"/>
    <m/>
    <m/>
    <m/>
    <m/>
    <m/>
    <m/>
    <n v="1376.962962962963"/>
  </r>
  <r>
    <n v="295793"/>
    <x v="1"/>
    <x v="2"/>
    <s v="1141 Dartmoor Ct."/>
    <n v="546"/>
    <n v="6.7407407407407405"/>
    <m/>
    <n v="60.666666666666664"/>
    <m/>
    <n v="60.666666666666664"/>
    <m/>
    <m/>
    <m/>
    <m/>
    <m/>
    <m/>
    <n v="1296.2444444444445"/>
  </r>
  <r>
    <n v="295803"/>
    <x v="1"/>
    <x v="2"/>
    <s v="1107 Compass Ct."/>
    <n v="866"/>
    <n v="10.691358024691356"/>
    <m/>
    <n v="96.222222222222229"/>
    <m/>
    <n v="96.222222222222229"/>
    <m/>
    <m/>
    <m/>
    <m/>
    <m/>
    <m/>
    <n v="2055.9481481481484"/>
  </r>
  <r>
    <n v="295810"/>
    <x v="1"/>
    <x v="2"/>
    <s v="1111 Compass Ct."/>
    <n v="48"/>
    <n v="0.59259259259259256"/>
    <m/>
    <n v="5.333333333333333"/>
    <m/>
    <n v="5.333333333333333"/>
    <m/>
    <m/>
    <m/>
    <m/>
    <m/>
    <m/>
    <n v="113.95555555555556"/>
  </r>
  <r>
    <n v="295795"/>
    <x v="1"/>
    <x v="2"/>
    <s v="1135 Overton Ct."/>
    <n v="28"/>
    <n v="0.34567901234567899"/>
    <m/>
    <n v="3.1111111111111112"/>
    <m/>
    <n v="3.1111111111111112"/>
    <m/>
    <m/>
    <m/>
    <m/>
    <m/>
    <m/>
    <n v="66.474074074074082"/>
  </r>
  <r>
    <n v="293805"/>
    <x v="1"/>
    <x v="2"/>
    <s v="1591 Culpepper Dr."/>
    <n v="456"/>
    <n v="5.6296296296296298"/>
    <m/>
    <n v="50.666666666666664"/>
    <m/>
    <n v="50.666666666666664"/>
    <m/>
    <m/>
    <m/>
    <n v="100"/>
    <s v="10 WALL BLOCKS"/>
    <m/>
    <n v="1182.5777777777778"/>
  </r>
  <r>
    <n v="293810"/>
    <x v="1"/>
    <x v="2"/>
    <s v="1583 Culpepper Dr."/>
    <n v="125"/>
    <n v="1.5432098765432098"/>
    <m/>
    <n v="13.888888888888889"/>
    <m/>
    <n v="13.888888888888889"/>
    <m/>
    <m/>
    <m/>
    <n v="625"/>
    <s v="RESET 7? BLOCKS"/>
    <m/>
    <n v="921.75925925925935"/>
  </r>
  <r>
    <n v="293809"/>
    <x v="1"/>
    <x v="2"/>
    <s v="1579 Culpepper Dr."/>
    <n v="575"/>
    <n v="7.098765432098765"/>
    <m/>
    <n v="63.888888888888886"/>
    <m/>
    <n v="63.888888888888886"/>
    <m/>
    <m/>
    <m/>
    <m/>
    <m/>
    <m/>
    <n v="1365.0925925925926"/>
  </r>
  <r>
    <n v="295823"/>
    <x v="1"/>
    <x v="2"/>
    <s v="1575 Culpepper Dr."/>
    <n v="646"/>
    <n v="7.9753086419753076"/>
    <m/>
    <n v="71.777777777777771"/>
    <m/>
    <n v="71.777777777777771"/>
    <m/>
    <m/>
    <m/>
    <m/>
    <s v="QUOTED 504 SF"/>
    <m/>
    <n v="1533.6518518518519"/>
  </r>
  <r>
    <n v="295822"/>
    <x v="1"/>
    <x v="2"/>
    <s v="1571 Culpepper Dr."/>
    <n v="674"/>
    <n v="8.3209876543209873"/>
    <m/>
    <n v="74.888888888888886"/>
    <m/>
    <n v="74.888888888888886"/>
    <m/>
    <m/>
    <m/>
    <m/>
    <m/>
    <m/>
    <n v="1600.1259259259259"/>
  </r>
  <r>
    <n v="295821"/>
    <x v="1"/>
    <x v="2"/>
    <s v="1563 Culpepper Dr."/>
    <n v="280"/>
    <n v="3.4567901234567899"/>
    <m/>
    <n v="31.111111111111111"/>
    <m/>
    <n v="31.111111111111111"/>
    <m/>
    <m/>
    <m/>
    <n v="400"/>
    <s v="REMOVE/REPLACE BRUSH/GRASS/BUSH"/>
    <m/>
    <n v="1064.7407407407409"/>
  </r>
  <r>
    <n v="298450"/>
    <x v="1"/>
    <x v="2"/>
    <s v="956 Norwood Ct."/>
    <n v="202"/>
    <n v="2.4938271604938271"/>
    <m/>
    <n v="22.444444444444443"/>
    <m/>
    <n v="22.444444444444443"/>
    <m/>
    <m/>
    <m/>
    <m/>
    <m/>
    <m/>
    <n v="479.56296296296296"/>
  </r>
  <r>
    <n v="297990"/>
    <x v="1"/>
    <x v="2"/>
    <s v="1023 Andrews Ct."/>
    <n v="615"/>
    <n v="7.5925925925925926"/>
    <m/>
    <n v="68.333333333333329"/>
    <m/>
    <n v="68.333333333333329"/>
    <m/>
    <m/>
    <m/>
    <m/>
    <m/>
    <m/>
    <n v="1460.0555555555557"/>
  </r>
  <r>
    <n v="297989"/>
    <x v="1"/>
    <x v="2"/>
    <s v="1014 Andrews Ct."/>
    <n v="202"/>
    <n v="2.4938271604938271"/>
    <m/>
    <n v="22.444444444444443"/>
    <m/>
    <n v="22.444444444444443"/>
    <m/>
    <m/>
    <m/>
    <m/>
    <m/>
    <m/>
    <n v="479.56296296296296"/>
  </r>
  <r>
    <n v="300461"/>
    <x v="1"/>
    <x v="3"/>
    <s v="1051 Lakewood Cir."/>
    <n v="322"/>
    <n v="3.9753086419753085"/>
    <m/>
    <n v="35.777777777777779"/>
    <m/>
    <n v="35.777777777777779"/>
    <m/>
    <m/>
    <m/>
    <m/>
    <s v="QUOTED 280 SF"/>
    <m/>
    <n v="764.45185185185187"/>
  </r>
  <r>
    <n v="294424"/>
    <x v="2"/>
    <x v="0"/>
    <s v="1609 Warbler"/>
    <n v="20"/>
    <m/>
    <n v="0.7407407407407407"/>
    <m/>
    <n v="2.2222222222222223"/>
    <n v="2.2222222222222223"/>
    <m/>
    <m/>
    <m/>
    <m/>
    <m/>
    <m/>
    <n v="73.466666666666669"/>
  </r>
  <r>
    <n v="298118"/>
    <x v="2"/>
    <x v="0"/>
    <s v="1415 Dunrobin Rd."/>
    <n v="64"/>
    <m/>
    <n v="2.3703703703703702"/>
    <m/>
    <n v="7.1111111111111107"/>
    <n v="7.1111111111111107"/>
    <m/>
    <m/>
    <m/>
    <m/>
    <m/>
    <m/>
    <n v="235.09333333333331"/>
  </r>
  <r>
    <n v="295207"/>
    <x v="2"/>
    <x v="0"/>
    <s v="Naper Wheaton / Naper Blvd"/>
    <n v="36"/>
    <m/>
    <n v="1.3333333333333333"/>
    <m/>
    <n v="4"/>
    <n v="4"/>
    <m/>
    <m/>
    <m/>
    <m/>
    <m/>
    <m/>
    <n v="132.24"/>
  </r>
  <r>
    <n v="298123"/>
    <x v="2"/>
    <x v="0"/>
    <s v="1145 Catherine"/>
    <n v="28"/>
    <m/>
    <n v="1.037037037037037"/>
    <m/>
    <n v="3.1111111111111112"/>
    <n v="3.1111111111111112"/>
    <m/>
    <m/>
    <m/>
    <n v="880"/>
    <s v="4x4 BRICK PAVERS"/>
    <m/>
    <n v="982.85333333333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16C6A-6A1D-4D07-B874-37C25E00F2B2}" name="PivotTable5" cacheId="0" applyNumberFormats="0" applyBorderFormats="0" applyFontFormats="0" applyPatternFormats="0" applyAlignmentFormats="0" applyWidthHeightFormats="1" dataCaption="Values" errorCaption="err" showError="1" missingCaption="- - -" updatedVersion="8" minRefreshableVersion="3" useAutoFormatting="1" itemPrintTitles="1" createdVersion="8" indent="0" outline="1" outlineData="1" multipleFieldFilters="0" rowHeaderCaption="Account">
  <location ref="B39:C48" firstHeaderRow="1" firstDataRow="1" firstDataCol="1"/>
  <pivotFields count="17">
    <pivotField showAll="0"/>
    <pivotField axis="axisRow" showAll="0" sortType="ascending">
      <items count="5">
        <item n="E O&amp;M2" x="0"/>
        <item n="ECapital2" x="1"/>
        <item m="1" x="3"/>
        <item x="2"/>
        <item t="default"/>
      </items>
    </pivotField>
    <pivotField axis="axisRow" showAll="0" sortType="ascending">
      <items count="7">
        <item m="1" x="5"/>
        <item x="1"/>
        <item m="1" x="4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</pivotFields>
  <rowFields count="2">
    <field x="1"/>
    <field x="2"/>
  </rowFields>
  <rowItems count="9">
    <i>
      <x/>
    </i>
    <i r="1">
      <x v="5"/>
    </i>
    <i>
      <x v="1"/>
    </i>
    <i r="1">
      <x v="1"/>
    </i>
    <i r="1">
      <x v="3"/>
    </i>
    <i r="1">
      <x v="4"/>
    </i>
    <i>
      <x v="3"/>
    </i>
    <i r="1">
      <x v="5"/>
    </i>
    <i t="grand">
      <x/>
    </i>
  </rowItems>
  <colItems count="1">
    <i/>
  </colItems>
  <dataFields count="1">
    <dataField name="TOTAL" fld="16" baseField="1" baseItem="0" numFmtId="44"/>
  </dataFields>
  <pivotTableStyleInfo name="PivotStyleLight8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1B9DFD-6529-46E7-8248-7B3FC54DC2F1}" name="Table1" displayName="Table1" ref="A3:Q11" totalsRowShown="0">
  <autoFilter ref="A3:Q11" xr:uid="{E11B9DFD-6529-46E7-8248-7B3FC54DC2F1}"/>
  <tableColumns count="17">
    <tableColumn id="1" xr3:uid="{259CBD56-9379-49BE-844C-0480AF1350B8}" name="Work Order #"/>
    <tableColumn id="2" xr3:uid="{359E6275-559D-4439-B83B-B7D5FC6AC094}" name="Account:"/>
    <tableColumn id="3" xr3:uid="{513CAAF1-7D1C-4F0C-858E-76FD3D3C8F74}" name="EU:"/>
    <tableColumn id="4" xr3:uid="{1BC17C20-A5FA-4A28-A62D-DB4617B89280}" name="ADDRESS"/>
    <tableColumn id="5" xr3:uid="{46309C96-C422-4529-82C3-A9D27B8730E3}" name="Square Feet"/>
    <tableColumn id="6" xr3:uid="{84ADAE2C-C2D1-4D11-B0F5-9152CEF73A42}" name="TOP     SOIL EXCAV. - 4&quot;"/>
    <tableColumn id="7" xr3:uid="{2D1AA65F-DF47-4B19-8D84-8C01222A4449}" name="TOP     SOIL EXCAV. - 12&quot;"/>
    <tableColumn id="8" xr3:uid="{947FFC2A-F54E-42C8-9780-D6F7C86969FB}" name="TOP  SOIL 4&quot;"/>
    <tableColumn id="9" xr3:uid="{DE8BFDA5-AE2F-499C-96BF-187A4808D9BC}" name="TOP  SOIL 12&quot;"/>
    <tableColumn id="10" xr3:uid="{EA311C14-D382-4025-9B97-E816992E6DAB}" name="SEEDING &amp; Blanket"/>
    <tableColumn id="11" xr3:uid="{B3B78099-1E3B-412E-BEC6-9FFE59FA3D1F}" name="SOD "/>
    <tableColumn id="12" xr3:uid="{A2054C62-69A4-43B8-823C-A7CEC3DACDC5}" name="WATER"/>
    <tableColumn id="13" xr3:uid="{F8F54959-3F38-4335-AA31-64F172FBAD3B}" name="TRAFFIC"/>
    <tableColumn id="14" xr3:uid="{E59D6B25-A8DF-4A34-AF43-2D05573844FB}" name="EXTRA WORK"/>
    <tableColumn id="15" xr3:uid="{9DA62487-DCB9-4D5C-98D1-BC638618023A}" name="NOTES"/>
    <tableColumn id="16" xr3:uid="{911F7325-AC62-4DA6-9799-D3CE98CB1993}" name="MIN CHARGE"/>
    <tableColumn id="17" xr3:uid="{A5DDE064-47A7-4566-9642-56A292AC2977}" name="SUB-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04A74B-4AD7-43A1-982D-9F1CEED707E2}" name="Table2" displayName="Table2" ref="A3:Q4" totalsRowShown="0">
  <autoFilter ref="A3:Q4" xr:uid="{7104A74B-4AD7-43A1-982D-9F1CEED707E2}"/>
  <tableColumns count="17">
    <tableColumn id="1" xr3:uid="{DF5A0347-1A79-4134-AE0D-75C71A993C66}" name="Work Order #"/>
    <tableColumn id="2" xr3:uid="{A158B36C-5861-4302-AF35-141F95ECC638}" name="Account:"/>
    <tableColumn id="3" xr3:uid="{AC0D6C85-A490-4AC5-8652-9CF3C0851C84}" name="EU:"/>
    <tableColumn id="4" xr3:uid="{5E9F9D8D-2D7D-426F-B925-74CE8E47A961}" name="ADDRESS"/>
    <tableColumn id="5" xr3:uid="{032395A3-9B3E-4BC0-A2FF-60DFF3255366}" name="Square Feet"/>
    <tableColumn id="6" xr3:uid="{A619489C-EEEA-4FB1-983A-A102A6D39B0D}" name="TOP     SOIL EXCAV. - 4&quot;"/>
    <tableColumn id="7" xr3:uid="{D37408A9-F657-4DCE-960B-9DF9F0093F2E}" name="TOP     SOIL EXCAV. - 12&quot;"/>
    <tableColumn id="8" xr3:uid="{EEDA272E-0548-4666-A359-FD5BC7C7AF11}" name="TOP  SOIL 4&quot;"/>
    <tableColumn id="9" xr3:uid="{2E23C889-D516-4C17-9BDF-79D6C8211BF7}" name="TOP  SOIL 12&quot;"/>
    <tableColumn id="10" xr3:uid="{5B1211D0-00E7-4982-A642-F18CA92B29F3}" name="SEEDING &amp; Blanket"/>
    <tableColumn id="11" xr3:uid="{C5DB458B-F79C-4E16-9DFD-FBFB4BB505EA}" name="SOD "/>
    <tableColumn id="12" xr3:uid="{002EED83-0FA2-4CFA-BB59-7ABD0054B7D2}" name="WATER"/>
    <tableColumn id="13" xr3:uid="{5F35C368-A55F-4475-8FF1-06186F77BE15}" name="TRAFFIC"/>
    <tableColumn id="14" xr3:uid="{CDCB92C7-72E8-49E8-9D6C-238E8BD737C5}" name="EXTRA WORK"/>
    <tableColumn id="15" xr3:uid="{8E474D6F-341D-46C7-9FF0-C3ABFDE53E3E}" name="NOTES"/>
    <tableColumn id="16" xr3:uid="{8C9C47C9-FB71-48BF-858E-2BDC1ABF4153}" name="MIN CHARGE"/>
    <tableColumn id="17" xr3:uid="{93E26820-8848-4EF7-B2F9-9B0A0E97CD9B}" name="SUB-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608650-4A75-4EDA-B2E6-E50D4D4072BD}" name="Table3" displayName="Table3" ref="A3:Q25" totalsRowShown="0">
  <autoFilter ref="A3:Q25" xr:uid="{00608650-4A75-4EDA-B2E6-E50D4D4072BD}"/>
  <tableColumns count="17">
    <tableColumn id="1" xr3:uid="{7DD1C077-BDC1-4D41-A96E-B9A3C1B7EC49}" name="Work Order #"/>
    <tableColumn id="2" xr3:uid="{E7CE8852-1774-4B22-B711-ED883FA3F883}" name="Account:"/>
    <tableColumn id="3" xr3:uid="{C0034A54-5CEB-4111-9D7F-7DE5D7C4759A}" name="EU:"/>
    <tableColumn id="4" xr3:uid="{7C258B2D-17F4-40B8-BA18-F1D15B4DADC5}" name="ADDRESS"/>
    <tableColumn id="5" xr3:uid="{927683CF-917D-43C8-989C-B8FFD7D8DCFF}" name="Square Feet"/>
    <tableColumn id="6" xr3:uid="{F1338880-C79C-4DBE-B962-A7C8B5187B19}" name="TOP     SOIL EXCAV. - 4&quot;"/>
    <tableColumn id="7" xr3:uid="{110F9C92-131E-4531-8322-DD803B5F84DD}" name="TOP     SOIL EXCAV. - 12&quot;"/>
    <tableColumn id="8" xr3:uid="{9D5F516C-3A22-4ACF-B79E-297A2F6DE1A9}" name="TOP  SOIL 4&quot;"/>
    <tableColumn id="9" xr3:uid="{ECCF328F-8F9C-4A7C-8EC9-6FC17DF8FCD7}" name="TOP  SOIL 12&quot;"/>
    <tableColumn id="10" xr3:uid="{E1463D19-9D6A-40B0-94FA-27C19E7E8079}" name="SEEDING &amp; Blanket"/>
    <tableColumn id="11" xr3:uid="{7DE77D1E-EF4F-4F51-8F87-94940E95CA6C}" name="SOD "/>
    <tableColumn id="12" xr3:uid="{1D6F8209-C129-48C7-A57E-DEAF143D5735}" name="WATER"/>
    <tableColumn id="13" xr3:uid="{BD128E06-8DCB-41D1-AEA9-6788D24CCB68}" name="TRAFFIC"/>
    <tableColumn id="14" xr3:uid="{69BF3C7D-DBA9-4E8D-A648-6121F12B393F}" name="EXTRA WORK"/>
    <tableColumn id="15" xr3:uid="{44C77AA7-BE87-40FA-B64B-94BAD1A1FB90}" name="NOTES"/>
    <tableColumn id="16" xr3:uid="{C042D433-808D-4F0C-A73C-14BB44CFCC45}" name="MIN CHARGE"/>
    <tableColumn id="17" xr3:uid="{BB007F29-F973-44CD-866D-9FAD1DDF9FE0}" name="SUB-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019F41-150B-42F8-9FC9-0A49BBCDEAFE}" name="Table4" displayName="Table4" ref="A3:Q11" totalsRowShown="0">
  <autoFilter ref="A3:Q11" xr:uid="{41019F41-150B-42F8-9FC9-0A49BBCDEAFE}"/>
  <tableColumns count="17">
    <tableColumn id="1" xr3:uid="{3563D89C-2421-42D0-BB60-E8425158EDEB}" name="Work Order #"/>
    <tableColumn id="2" xr3:uid="{436DA49C-EF91-4390-9B18-C6FF1E27B1ED}" name="Account:"/>
    <tableColumn id="3" xr3:uid="{03256043-5A22-4086-9D68-A3A40E18CBDF}" name="EU:"/>
    <tableColumn id="4" xr3:uid="{20D3A71B-1407-49D1-A4EC-A869F670FD0E}" name="ADDRESS"/>
    <tableColumn id="5" xr3:uid="{285622CD-EE0B-410A-B891-E25D185DF074}" name="Square Feet"/>
    <tableColumn id="6" xr3:uid="{F0BE3EA1-C8EE-473D-92A0-9B3B8F6FC227}" name="TOP     SOIL EXCAV. - 4&quot;"/>
    <tableColumn id="7" xr3:uid="{E48BAA05-C482-41C0-9F9F-90611955B4FA}" name="TOP     SOIL EXCAV. - 12&quot;"/>
    <tableColumn id="8" xr3:uid="{A54374D9-FEF8-4839-AD1C-E9678A1A0569}" name="TOP  SOIL 4&quot;"/>
    <tableColumn id="9" xr3:uid="{1F03C4E7-B573-4935-A4FA-955635374FE5}" name="TOP  SOIL 12&quot;"/>
    <tableColumn id="10" xr3:uid="{0CAD37C6-9215-47D3-B2DB-25EB5BAC5F8D}" name="SEEDING &amp; Blanket"/>
    <tableColumn id="11" xr3:uid="{04FB373E-A2D4-4121-9B83-D23BD287EF62}" name="SOD "/>
    <tableColumn id="12" xr3:uid="{9E844371-74F9-4DF3-9708-3203C0C244F0}" name="WATER"/>
    <tableColumn id="13" xr3:uid="{3BF14D4C-300F-45FE-9FD1-1C4A87886DD6}" name="TRAFFIC"/>
    <tableColumn id="14" xr3:uid="{9E8C5A86-1E25-4E5D-9A29-7C4E7900FBA2}" name="EXTRA WORK"/>
    <tableColumn id="15" xr3:uid="{BA05DB26-6CE6-4580-8E75-643C4089C5E5}" name="NOTES"/>
    <tableColumn id="16" xr3:uid="{9B78AA2C-CE87-4E93-BECA-E75E5B877008}" name="MIN CHARGE"/>
    <tableColumn id="17" xr3:uid="{81CB019C-5F01-463B-8077-CE2E67614530}" name="SUB-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64F1C7-E8FB-4566-A4E5-7542D04CC939}" name="Table5" displayName="Table5" ref="A1:Q37" headerRowDxfId="21" dataDxfId="19" headerRowBorderDxfId="20" tableBorderDxfId="18" totalsRowBorderDxfId="17">
  <autoFilter ref="A1:Q37" xr:uid="{E464F1C7-E8FB-4566-A4E5-7542D04CC939}"/>
  <sortState xmlns:xlrd2="http://schemas.microsoft.com/office/spreadsheetml/2017/richdata2" ref="B2:Q37">
    <sortCondition ref="C1:C37"/>
  </sortState>
  <tableColumns count="17">
    <tableColumn id="4" xr3:uid="{5B9A77D3-BE0A-4C1F-A37E-BDCCA6F01FBF}" name="Address" dataDxfId="0"/>
    <tableColumn id="1" xr3:uid="{E4924044-23F0-40BD-8D42-22552B89926C}" name="Work Order #" totalsRowLabel="Total" dataDxfId="16"/>
    <tableColumn id="2" xr3:uid="{E4A4C5A3-2606-48FE-964F-B0B46DDED984}" name="Account:" dataDxfId="15"/>
    <tableColumn id="3" xr3:uid="{2378AA51-3063-4DBD-9783-96A55358E4FD}" name="EU:" dataDxfId="14"/>
    <tableColumn id="5" xr3:uid="{D1C96933-E25F-4DD4-9A25-A453209C7809}" name="ADDRESS2" dataDxfId="13"/>
    <tableColumn id="6" xr3:uid="{39481020-B31B-4D3E-84A8-467567AD039E}" name="TOP     SOIL EXCAV. - 4&quot;" dataDxfId="12" dataCellStyle="Currency"/>
    <tableColumn id="7" xr3:uid="{C83461BE-DA20-4CA8-AF3F-7CAC2A29E5C4}" name="TOP     SOIL EXCAV. - 12&quot;" dataDxfId="11" dataCellStyle="Currency">
      <calculatedColumnFormula>((12/12)*E2)/27</calculatedColumnFormula>
    </tableColumn>
    <tableColumn id="8" xr3:uid="{A2540A06-2028-4CE5-9C6F-A945AA5A5269}" name="TOP  SOIL 4&quot;" dataDxfId="10" dataCellStyle="Currency"/>
    <tableColumn id="9" xr3:uid="{F0517BBA-A770-485B-9927-BDA187AB37FC}" name="TOP  SOIL 12&quot;" dataDxfId="9" dataCellStyle="Currency">
      <calculatedColumnFormula>E2/9</calculatedColumnFormula>
    </tableColumn>
    <tableColumn id="10" xr3:uid="{EA472EC1-2D51-4E5B-9E67-C9FB70C71702}" name="SEEDING &amp; Blanket" dataDxfId="8" dataCellStyle="Currency">
      <calculatedColumnFormula>E2/9</calculatedColumnFormula>
    </tableColumn>
    <tableColumn id="11" xr3:uid="{25F4EC88-A079-43C2-A0AC-85336E1D8E8F}" name="SOD " dataDxfId="7" dataCellStyle="Currency"/>
    <tableColumn id="12" xr3:uid="{4F844D28-A6A5-4706-8942-7F74D3DDBB91}" name="WATER" dataDxfId="6" dataCellStyle="Currency"/>
    <tableColumn id="13" xr3:uid="{0D99E1CF-FD94-4405-A0E2-5407B543BBBF}" name="TRAFFIC" dataDxfId="5" dataCellStyle="Currency"/>
    <tableColumn id="14" xr3:uid="{73B77AB8-74C9-4C78-AEBF-62556CAA0604}" name="EXTRA WORK" dataDxfId="4" dataCellStyle="Currency"/>
    <tableColumn id="15" xr3:uid="{482BA9FA-BDAD-4A28-BBE6-433594E21353}" name="NOTES" dataDxfId="3" dataCellStyle="Currency"/>
    <tableColumn id="16" xr3:uid="{18B4DC6D-3E20-4BE8-8843-14BADB8EF405}" name="MIN CHARGE" dataDxfId="2"/>
    <tableColumn id="17" xr3:uid="{F099C906-C91E-4301-B21E-CDFBA62BF386}" name="SUB-TOTAL" totalsRowFunction="sum" dataDxfId="1" dataCellStyle="Currency">
      <calculatedColumnFormula>(F2*9.15)+(G2*9.15)+(H2*8.63)+(I2*18.29)+(J2*11.72)+(K2*90.64)+(L2*515)+(M2*772.5)+(N2*1)+(P2*0.01)</calculatedColumnFormula>
    </tableColumn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A0C0-0BEC-49CE-9410-46DEC2CB0626}">
  <dimension ref="A1:Q11"/>
  <sheetViews>
    <sheetView workbookViewId="0">
      <selection activeCell="A3" sqref="A3:Q11"/>
    </sheetView>
  </sheetViews>
  <sheetFormatPr defaultRowHeight="14.5" x14ac:dyDescent="0.35"/>
  <cols>
    <col min="1" max="1" width="13.7265625" bestFit="1" customWidth="1"/>
    <col min="2" max="2" width="10.54296875" bestFit="1" customWidth="1"/>
    <col min="3" max="3" width="8.81640625" bestFit="1" customWidth="1"/>
    <col min="4" max="4" width="21.453125" bestFit="1" customWidth="1"/>
    <col min="5" max="5" width="13" bestFit="1" customWidth="1"/>
    <col min="6" max="6" width="21.7265625" bestFit="1" customWidth="1"/>
    <col min="7" max="7" width="22.7265625" bestFit="1" customWidth="1"/>
    <col min="8" max="8" width="13" bestFit="1" customWidth="1"/>
    <col min="9" max="9" width="14" bestFit="1" customWidth="1"/>
    <col min="10" max="10" width="18.81640625" bestFit="1" customWidth="1"/>
    <col min="11" max="12" width="8.81640625" bestFit="1" customWidth="1"/>
    <col min="13" max="13" width="10.1796875" bestFit="1" customWidth="1"/>
    <col min="14" max="14" width="13.81640625" bestFit="1" customWidth="1"/>
    <col min="15" max="15" width="30.81640625" bestFit="1" customWidth="1"/>
    <col min="16" max="16" width="13.81640625" bestFit="1" customWidth="1"/>
    <col min="17" max="17" width="12.26953125" bestFit="1" customWidth="1"/>
  </cols>
  <sheetData>
    <row r="1" spans="1:17" x14ac:dyDescent="0.35">
      <c r="A1" s="18" t="s">
        <v>0</v>
      </c>
    </row>
    <row r="3" spans="1:1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5">
      <c r="A4">
        <v>300907</v>
      </c>
      <c r="B4" t="s">
        <v>18</v>
      </c>
      <c r="D4" t="s">
        <v>19</v>
      </c>
      <c r="E4">
        <v>324</v>
      </c>
      <c r="F4">
        <v>4</v>
      </c>
      <c r="H4">
        <v>36</v>
      </c>
      <c r="J4">
        <v>36</v>
      </c>
      <c r="Q4">
        <v>769.2</v>
      </c>
    </row>
    <row r="5" spans="1:17" x14ac:dyDescent="0.35">
      <c r="A5">
        <v>300460</v>
      </c>
      <c r="B5" t="s">
        <v>18</v>
      </c>
      <c r="D5" t="s">
        <v>20</v>
      </c>
      <c r="E5">
        <v>200</v>
      </c>
      <c r="F5">
        <v>2.4691358024691357</v>
      </c>
      <c r="H5">
        <v>22.222222222222221</v>
      </c>
      <c r="J5">
        <v>22.222222222222221</v>
      </c>
      <c r="N5">
        <v>0</v>
      </c>
      <c r="Q5">
        <v>474.81481481481484</v>
      </c>
    </row>
    <row r="6" spans="1:17" x14ac:dyDescent="0.35">
      <c r="A6">
        <v>298440</v>
      </c>
      <c r="B6" t="s">
        <v>18</v>
      </c>
      <c r="D6" t="s">
        <v>21</v>
      </c>
      <c r="E6">
        <v>25</v>
      </c>
      <c r="F6">
        <v>0.30864197530864196</v>
      </c>
      <c r="H6">
        <v>2.7777777777777777</v>
      </c>
      <c r="J6">
        <v>2.7777777777777777</v>
      </c>
      <c r="Q6">
        <v>59.351851851851855</v>
      </c>
    </row>
    <row r="7" spans="1:17" x14ac:dyDescent="0.35">
      <c r="A7">
        <v>299884</v>
      </c>
      <c r="B7" t="s">
        <v>18</v>
      </c>
      <c r="D7" t="s">
        <v>22</v>
      </c>
      <c r="E7">
        <v>122</v>
      </c>
      <c r="F7">
        <v>1.5061728395061726</v>
      </c>
      <c r="H7">
        <v>13.555555555555555</v>
      </c>
      <c r="J7">
        <v>13.555555555555555</v>
      </c>
      <c r="N7">
        <v>0</v>
      </c>
      <c r="O7" t="s">
        <v>23</v>
      </c>
      <c r="Q7">
        <v>289.63703703703703</v>
      </c>
    </row>
    <row r="8" spans="1:17" x14ac:dyDescent="0.35">
      <c r="A8">
        <v>299148</v>
      </c>
      <c r="B8" t="s">
        <v>18</v>
      </c>
      <c r="D8" t="s">
        <v>24</v>
      </c>
      <c r="E8">
        <v>15</v>
      </c>
      <c r="F8">
        <v>0.18518518518518517</v>
      </c>
      <c r="H8">
        <v>1.6666666666666667</v>
      </c>
      <c r="J8">
        <v>1.6666666666666667</v>
      </c>
      <c r="Q8">
        <v>35.611111111111114</v>
      </c>
    </row>
    <row r="9" spans="1:17" x14ac:dyDescent="0.35">
      <c r="A9">
        <v>295863</v>
      </c>
      <c r="B9" t="s">
        <v>18</v>
      </c>
      <c r="D9" t="s">
        <v>25</v>
      </c>
      <c r="E9">
        <v>70</v>
      </c>
      <c r="F9">
        <v>0.86419753086419748</v>
      </c>
      <c r="H9">
        <v>7.7777777777777777</v>
      </c>
      <c r="J9">
        <v>7.7777777777777777</v>
      </c>
      <c r="N9">
        <v>0</v>
      </c>
      <c r="O9" t="s">
        <v>26</v>
      </c>
      <c r="Q9">
        <v>166.18518518518522</v>
      </c>
    </row>
    <row r="10" spans="1:17" x14ac:dyDescent="0.35">
      <c r="A10">
        <v>295859</v>
      </c>
      <c r="B10" t="s">
        <v>18</v>
      </c>
      <c r="D10" t="s">
        <v>27</v>
      </c>
      <c r="E10">
        <v>64</v>
      </c>
      <c r="F10">
        <v>5.5</v>
      </c>
      <c r="N10">
        <v>850</v>
      </c>
      <c r="O10" t="s">
        <v>28</v>
      </c>
      <c r="Q10">
        <v>900.32500000000005</v>
      </c>
    </row>
    <row r="11" spans="1:17" x14ac:dyDescent="0.35">
      <c r="A11">
        <v>297988</v>
      </c>
      <c r="B11" t="s">
        <v>18</v>
      </c>
      <c r="D11" t="s">
        <v>29</v>
      </c>
      <c r="E11">
        <v>33</v>
      </c>
      <c r="F11">
        <v>0.40740740740740738</v>
      </c>
      <c r="H11">
        <v>3.6666666666666665</v>
      </c>
      <c r="J11">
        <v>3.6666666666666665</v>
      </c>
      <c r="N11">
        <v>0</v>
      </c>
      <c r="Q11">
        <v>78.344444444444449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2378-7417-41E0-915E-E5A0F27FC82F}">
  <dimension ref="A1:Q4"/>
  <sheetViews>
    <sheetView workbookViewId="0">
      <selection activeCell="A3" sqref="A3:Q4"/>
    </sheetView>
  </sheetViews>
  <sheetFormatPr defaultRowHeight="14.5" x14ac:dyDescent="0.35"/>
  <cols>
    <col min="1" max="1" width="13.7265625" bestFit="1" customWidth="1"/>
    <col min="2" max="2" width="10.54296875" bestFit="1" customWidth="1"/>
    <col min="3" max="3" width="8.81640625" bestFit="1" customWidth="1"/>
    <col min="4" max="4" width="16.54296875" bestFit="1" customWidth="1"/>
    <col min="5" max="5" width="13" bestFit="1" customWidth="1"/>
    <col min="6" max="6" width="21.7265625" bestFit="1" customWidth="1"/>
    <col min="7" max="7" width="22.7265625" bestFit="1" customWidth="1"/>
    <col min="8" max="8" width="13" bestFit="1" customWidth="1"/>
    <col min="9" max="9" width="14" bestFit="1" customWidth="1"/>
    <col min="10" max="10" width="18.81640625" bestFit="1" customWidth="1"/>
    <col min="11" max="12" width="8.81640625" bestFit="1" customWidth="1"/>
    <col min="13" max="13" width="10.1796875" bestFit="1" customWidth="1"/>
    <col min="14" max="16" width="13.81640625" bestFit="1" customWidth="1"/>
    <col min="17" max="17" width="12.26953125" bestFit="1" customWidth="1"/>
  </cols>
  <sheetData>
    <row r="1" spans="1:17" x14ac:dyDescent="0.35">
      <c r="A1" s="18" t="s">
        <v>30</v>
      </c>
    </row>
    <row r="3" spans="1:1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5">
      <c r="A4">
        <v>300461</v>
      </c>
      <c r="B4" t="s">
        <v>31</v>
      </c>
      <c r="C4">
        <v>65</v>
      </c>
      <c r="D4" t="s">
        <v>32</v>
      </c>
      <c r="E4">
        <v>322</v>
      </c>
      <c r="F4">
        <v>3.9753086419753085</v>
      </c>
      <c r="H4">
        <v>35.777777777777779</v>
      </c>
      <c r="J4">
        <v>35.777777777777779</v>
      </c>
      <c r="N4">
        <v>0</v>
      </c>
      <c r="O4" t="s">
        <v>33</v>
      </c>
      <c r="Q4">
        <v>764.45185185185187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2747-CC5E-436E-9DC1-2ADE0A43C914}">
  <dimension ref="A1:Q25"/>
  <sheetViews>
    <sheetView workbookViewId="0">
      <selection activeCell="A3" sqref="A3:Q25"/>
    </sheetView>
  </sheetViews>
  <sheetFormatPr defaultRowHeight="14.5" x14ac:dyDescent="0.35"/>
  <cols>
    <col min="1" max="1" width="13.7265625" bestFit="1" customWidth="1"/>
    <col min="2" max="2" width="10.54296875" bestFit="1" customWidth="1"/>
    <col min="3" max="3" width="8.81640625" bestFit="1" customWidth="1"/>
    <col min="4" max="4" width="16.453125" bestFit="1" customWidth="1"/>
    <col min="5" max="5" width="13" bestFit="1" customWidth="1"/>
    <col min="6" max="6" width="21.7265625" bestFit="1" customWidth="1"/>
    <col min="7" max="7" width="22.7265625" bestFit="1" customWidth="1"/>
    <col min="8" max="8" width="13" bestFit="1" customWidth="1"/>
    <col min="9" max="9" width="14" bestFit="1" customWidth="1"/>
    <col min="10" max="10" width="18.81640625" bestFit="1" customWidth="1"/>
    <col min="11" max="12" width="8.81640625" bestFit="1" customWidth="1"/>
    <col min="13" max="13" width="10.1796875" bestFit="1" customWidth="1"/>
    <col min="14" max="14" width="13.81640625" bestFit="1" customWidth="1"/>
    <col min="15" max="15" width="33.81640625" bestFit="1" customWidth="1"/>
    <col min="16" max="16" width="13.81640625" bestFit="1" customWidth="1"/>
    <col min="17" max="17" width="12.26953125" bestFit="1" customWidth="1"/>
  </cols>
  <sheetData>
    <row r="1" spans="1:17" x14ac:dyDescent="0.35">
      <c r="A1" s="18" t="s">
        <v>34</v>
      </c>
    </row>
    <row r="3" spans="1:1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5">
      <c r="A4">
        <v>297989</v>
      </c>
      <c r="B4" t="s">
        <v>31</v>
      </c>
      <c r="C4">
        <v>52</v>
      </c>
      <c r="D4" t="s">
        <v>35</v>
      </c>
      <c r="E4">
        <v>202</v>
      </c>
      <c r="F4">
        <v>2.4938271604938271</v>
      </c>
      <c r="H4">
        <v>22.444444444444443</v>
      </c>
      <c r="J4">
        <v>22.444444444444443</v>
      </c>
      <c r="N4">
        <v>0</v>
      </c>
      <c r="Q4">
        <v>479.56296296296296</v>
      </c>
    </row>
    <row r="5" spans="1:17" x14ac:dyDescent="0.35">
      <c r="A5">
        <v>294525</v>
      </c>
      <c r="B5" t="s">
        <v>31</v>
      </c>
      <c r="C5">
        <v>52</v>
      </c>
      <c r="D5" t="s">
        <v>36</v>
      </c>
      <c r="E5">
        <v>278</v>
      </c>
      <c r="F5">
        <v>3.4320987654320985</v>
      </c>
      <c r="H5">
        <v>30.888888888888889</v>
      </c>
      <c r="J5">
        <v>30.888888888888889</v>
      </c>
      <c r="N5">
        <v>0</v>
      </c>
      <c r="Q5">
        <v>659.99259259259259</v>
      </c>
    </row>
    <row r="6" spans="1:17" x14ac:dyDescent="0.35">
      <c r="A6">
        <v>295813</v>
      </c>
      <c r="B6" t="s">
        <v>31</v>
      </c>
      <c r="C6">
        <v>52</v>
      </c>
      <c r="D6" t="s">
        <v>37</v>
      </c>
      <c r="E6">
        <v>296</v>
      </c>
      <c r="F6">
        <v>3.6543209876543208</v>
      </c>
      <c r="H6">
        <v>32.888888888888886</v>
      </c>
      <c r="N6">
        <v>225</v>
      </c>
      <c r="O6" t="s">
        <v>38</v>
      </c>
      <c r="Q6">
        <v>542.26814814814816</v>
      </c>
    </row>
    <row r="7" spans="1:17" x14ac:dyDescent="0.35">
      <c r="A7">
        <v>295814</v>
      </c>
      <c r="B7" t="s">
        <v>31</v>
      </c>
      <c r="C7">
        <v>52</v>
      </c>
      <c r="D7" t="s">
        <v>39</v>
      </c>
      <c r="E7">
        <v>475</v>
      </c>
      <c r="F7">
        <v>5.8641975308641969</v>
      </c>
      <c r="H7">
        <v>52.777777777777779</v>
      </c>
      <c r="J7">
        <v>52.777777777777779</v>
      </c>
      <c r="Q7">
        <v>1127.6851851851852</v>
      </c>
    </row>
    <row r="8" spans="1:17" x14ac:dyDescent="0.35">
      <c r="A8">
        <v>293495</v>
      </c>
      <c r="B8" t="s">
        <v>31</v>
      </c>
      <c r="C8">
        <v>52</v>
      </c>
      <c r="D8" t="s">
        <v>40</v>
      </c>
      <c r="E8">
        <v>424</v>
      </c>
      <c r="F8">
        <v>5.2345679012345672</v>
      </c>
      <c r="H8">
        <v>47.111111111111114</v>
      </c>
      <c r="J8">
        <v>47.111111111111114</v>
      </c>
      <c r="N8">
        <v>200</v>
      </c>
      <c r="O8" t="s">
        <v>41</v>
      </c>
      <c r="Q8">
        <v>1206.6074074074074</v>
      </c>
    </row>
    <row r="9" spans="1:17" x14ac:dyDescent="0.35">
      <c r="A9">
        <v>295850</v>
      </c>
      <c r="B9" t="s">
        <v>31</v>
      </c>
      <c r="C9">
        <v>52</v>
      </c>
      <c r="D9" t="s">
        <v>42</v>
      </c>
      <c r="E9">
        <v>785</v>
      </c>
      <c r="F9">
        <v>9.6913580246913558</v>
      </c>
      <c r="H9">
        <v>87.222222222222229</v>
      </c>
      <c r="J9">
        <v>87.222222222222229</v>
      </c>
      <c r="Q9">
        <v>1863.6481481481483</v>
      </c>
    </row>
    <row r="10" spans="1:17" x14ac:dyDescent="0.35">
      <c r="A10">
        <v>295802</v>
      </c>
      <c r="B10" t="s">
        <v>31</v>
      </c>
      <c r="C10">
        <v>52</v>
      </c>
      <c r="D10" t="s">
        <v>43</v>
      </c>
      <c r="E10">
        <v>168</v>
      </c>
      <c r="N10">
        <v>200</v>
      </c>
      <c r="O10" t="s">
        <v>44</v>
      </c>
      <c r="Q10">
        <v>200</v>
      </c>
    </row>
    <row r="11" spans="1:17" x14ac:dyDescent="0.35">
      <c r="A11">
        <v>294545</v>
      </c>
      <c r="B11" t="s">
        <v>31</v>
      </c>
      <c r="C11">
        <v>52</v>
      </c>
      <c r="D11" t="s">
        <v>45</v>
      </c>
      <c r="E11">
        <v>528</v>
      </c>
      <c r="F11">
        <v>6.5185185185185182</v>
      </c>
      <c r="H11">
        <v>58.666666666666664</v>
      </c>
      <c r="J11">
        <v>58.666666666666664</v>
      </c>
      <c r="Q11">
        <v>1253.5111111111112</v>
      </c>
    </row>
    <row r="12" spans="1:17" x14ac:dyDescent="0.35">
      <c r="A12">
        <v>295852</v>
      </c>
      <c r="B12" t="s">
        <v>31</v>
      </c>
      <c r="C12">
        <v>52</v>
      </c>
      <c r="D12" t="s">
        <v>46</v>
      </c>
      <c r="E12">
        <v>296</v>
      </c>
      <c r="F12">
        <v>3.6543209876543208</v>
      </c>
      <c r="H12">
        <v>32.888888888888886</v>
      </c>
      <c r="J12">
        <v>32.888888888888886</v>
      </c>
      <c r="Q12">
        <v>702.72592592592594</v>
      </c>
    </row>
    <row r="13" spans="1:17" x14ac:dyDescent="0.35">
      <c r="A13">
        <v>293807</v>
      </c>
      <c r="B13" t="s">
        <v>31</v>
      </c>
      <c r="C13">
        <v>52</v>
      </c>
      <c r="D13" t="s">
        <v>47</v>
      </c>
      <c r="E13">
        <v>580</v>
      </c>
      <c r="F13">
        <v>7.1604938271604928</v>
      </c>
      <c r="H13">
        <v>64.444444444444443</v>
      </c>
      <c r="J13">
        <v>64.444444444444443</v>
      </c>
      <c r="Q13">
        <v>1376.962962962963</v>
      </c>
    </row>
    <row r="14" spans="1:17" x14ac:dyDescent="0.35">
      <c r="A14">
        <v>295793</v>
      </c>
      <c r="B14" t="s">
        <v>31</v>
      </c>
      <c r="C14">
        <v>52</v>
      </c>
      <c r="D14" t="s">
        <v>48</v>
      </c>
      <c r="E14">
        <v>546</v>
      </c>
      <c r="F14">
        <v>6.7407407407407405</v>
      </c>
      <c r="H14">
        <v>60.666666666666664</v>
      </c>
      <c r="J14">
        <v>60.666666666666664</v>
      </c>
      <c r="N14">
        <v>0</v>
      </c>
      <c r="Q14">
        <v>1296.2444444444445</v>
      </c>
    </row>
    <row r="15" spans="1:17" x14ac:dyDescent="0.35">
      <c r="A15">
        <v>295803</v>
      </c>
      <c r="B15" t="s">
        <v>31</v>
      </c>
      <c r="C15">
        <v>52</v>
      </c>
      <c r="D15" t="s">
        <v>49</v>
      </c>
      <c r="E15">
        <v>866</v>
      </c>
      <c r="F15">
        <v>10.691358024691356</v>
      </c>
      <c r="H15">
        <v>96.222222222222229</v>
      </c>
      <c r="J15">
        <v>96.222222222222229</v>
      </c>
      <c r="Q15">
        <v>2055.9481481481484</v>
      </c>
    </row>
    <row r="16" spans="1:17" x14ac:dyDescent="0.35">
      <c r="A16">
        <v>295810</v>
      </c>
      <c r="B16" t="s">
        <v>31</v>
      </c>
      <c r="C16">
        <v>52</v>
      </c>
      <c r="D16" t="s">
        <v>50</v>
      </c>
      <c r="E16">
        <v>48</v>
      </c>
      <c r="F16">
        <v>0.59259259259259256</v>
      </c>
      <c r="H16">
        <v>5.333333333333333</v>
      </c>
      <c r="J16">
        <v>5.333333333333333</v>
      </c>
      <c r="N16">
        <v>0</v>
      </c>
      <c r="Q16">
        <v>113.95555555555556</v>
      </c>
    </row>
    <row r="17" spans="1:17" x14ac:dyDescent="0.35">
      <c r="A17">
        <v>295795</v>
      </c>
      <c r="B17" t="s">
        <v>31</v>
      </c>
      <c r="C17">
        <v>52</v>
      </c>
      <c r="D17" t="s">
        <v>51</v>
      </c>
      <c r="E17">
        <v>28</v>
      </c>
      <c r="F17">
        <v>0.34567901234567899</v>
      </c>
      <c r="H17">
        <v>3.1111111111111112</v>
      </c>
      <c r="J17">
        <v>3.1111111111111112</v>
      </c>
      <c r="Q17">
        <v>66.474074074074082</v>
      </c>
    </row>
    <row r="18" spans="1:17" x14ac:dyDescent="0.35">
      <c r="A18">
        <v>293805</v>
      </c>
      <c r="B18" t="s">
        <v>31</v>
      </c>
      <c r="C18">
        <v>52</v>
      </c>
      <c r="D18" t="s">
        <v>52</v>
      </c>
      <c r="E18">
        <v>456</v>
      </c>
      <c r="F18">
        <v>5.6296296296296298</v>
      </c>
      <c r="H18">
        <v>50.666666666666664</v>
      </c>
      <c r="J18">
        <v>50.666666666666664</v>
      </c>
      <c r="N18">
        <v>100</v>
      </c>
      <c r="O18" t="s">
        <v>53</v>
      </c>
      <c r="Q18">
        <v>1182.5777777777778</v>
      </c>
    </row>
    <row r="19" spans="1:17" x14ac:dyDescent="0.35">
      <c r="A19">
        <v>293810</v>
      </c>
      <c r="B19" t="s">
        <v>31</v>
      </c>
      <c r="C19">
        <v>52</v>
      </c>
      <c r="D19" t="s">
        <v>54</v>
      </c>
      <c r="E19">
        <v>125</v>
      </c>
      <c r="F19">
        <v>1.5432098765432098</v>
      </c>
      <c r="H19">
        <v>13.888888888888889</v>
      </c>
      <c r="J19">
        <v>13.888888888888889</v>
      </c>
      <c r="N19">
        <v>625</v>
      </c>
      <c r="O19" t="s">
        <v>55</v>
      </c>
      <c r="Q19">
        <v>921.75925925925935</v>
      </c>
    </row>
    <row r="20" spans="1:17" x14ac:dyDescent="0.35">
      <c r="A20">
        <v>293809</v>
      </c>
      <c r="B20" t="s">
        <v>31</v>
      </c>
      <c r="C20">
        <v>52</v>
      </c>
      <c r="D20" t="s">
        <v>56</v>
      </c>
      <c r="E20">
        <v>575</v>
      </c>
      <c r="F20">
        <v>7.098765432098765</v>
      </c>
      <c r="H20">
        <v>63.888888888888886</v>
      </c>
      <c r="J20">
        <v>63.888888888888886</v>
      </c>
      <c r="N20">
        <v>0</v>
      </c>
      <c r="Q20">
        <v>1365.0925925925926</v>
      </c>
    </row>
    <row r="21" spans="1:17" x14ac:dyDescent="0.35">
      <c r="A21">
        <v>295823</v>
      </c>
      <c r="B21" t="s">
        <v>31</v>
      </c>
      <c r="C21">
        <v>52</v>
      </c>
      <c r="D21" t="s">
        <v>57</v>
      </c>
      <c r="E21">
        <v>646</v>
      </c>
      <c r="F21">
        <v>7.9753086419753076</v>
      </c>
      <c r="H21">
        <v>71.777777777777771</v>
      </c>
      <c r="J21">
        <v>71.777777777777771</v>
      </c>
      <c r="O21" t="s">
        <v>58</v>
      </c>
      <c r="Q21">
        <v>1533.6518518518519</v>
      </c>
    </row>
    <row r="22" spans="1:17" x14ac:dyDescent="0.35">
      <c r="A22">
        <v>295822</v>
      </c>
      <c r="B22" t="s">
        <v>31</v>
      </c>
      <c r="C22">
        <v>52</v>
      </c>
      <c r="D22" t="s">
        <v>59</v>
      </c>
      <c r="E22">
        <v>674</v>
      </c>
      <c r="F22">
        <v>8.3209876543209873</v>
      </c>
      <c r="H22">
        <v>74.888888888888886</v>
      </c>
      <c r="J22">
        <v>74.888888888888886</v>
      </c>
      <c r="N22">
        <v>0</v>
      </c>
      <c r="Q22">
        <v>1600.1259259259259</v>
      </c>
    </row>
    <row r="23" spans="1:17" x14ac:dyDescent="0.35">
      <c r="A23">
        <v>295821</v>
      </c>
      <c r="B23" t="s">
        <v>31</v>
      </c>
      <c r="C23">
        <v>52</v>
      </c>
      <c r="D23" t="s">
        <v>60</v>
      </c>
      <c r="E23">
        <v>280</v>
      </c>
      <c r="F23">
        <v>3.4567901234567899</v>
      </c>
      <c r="H23">
        <v>31.111111111111111</v>
      </c>
      <c r="J23">
        <v>31.111111111111111</v>
      </c>
      <c r="N23">
        <v>400</v>
      </c>
      <c r="O23" t="s">
        <v>61</v>
      </c>
      <c r="Q23">
        <v>1064.7407407407409</v>
      </c>
    </row>
    <row r="24" spans="1:17" x14ac:dyDescent="0.35">
      <c r="A24">
        <v>298450</v>
      </c>
      <c r="B24" t="s">
        <v>31</v>
      </c>
      <c r="C24">
        <v>52</v>
      </c>
      <c r="D24" t="s">
        <v>62</v>
      </c>
      <c r="E24">
        <v>202</v>
      </c>
      <c r="F24">
        <v>2.4938271604938271</v>
      </c>
      <c r="H24">
        <v>22.444444444444443</v>
      </c>
      <c r="J24">
        <v>22.444444444444443</v>
      </c>
      <c r="N24">
        <v>0</v>
      </c>
      <c r="Q24">
        <v>479.56296296296296</v>
      </c>
    </row>
    <row r="25" spans="1:17" x14ac:dyDescent="0.35">
      <c r="A25">
        <v>297990</v>
      </c>
      <c r="B25" t="s">
        <v>31</v>
      </c>
      <c r="C25">
        <v>52</v>
      </c>
      <c r="D25" t="s">
        <v>63</v>
      </c>
      <c r="E25">
        <v>615</v>
      </c>
      <c r="F25">
        <v>7.5925925925925926</v>
      </c>
      <c r="H25">
        <v>68.333333333333329</v>
      </c>
      <c r="J25">
        <v>68.333333333333329</v>
      </c>
      <c r="Q25">
        <v>1460.0555555555557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812A-0F14-4E96-9DAE-3D9198568FCD}">
  <dimension ref="A1:Q11"/>
  <sheetViews>
    <sheetView workbookViewId="0">
      <selection activeCell="A3" sqref="A3:Q11"/>
    </sheetView>
  </sheetViews>
  <sheetFormatPr defaultRowHeight="14.5" x14ac:dyDescent="0.35"/>
  <cols>
    <col min="1" max="1" width="13.7265625" bestFit="1" customWidth="1"/>
    <col min="2" max="2" width="10.54296875" bestFit="1" customWidth="1"/>
    <col min="3" max="3" width="8.81640625" bestFit="1" customWidth="1"/>
    <col min="4" max="4" width="21.453125" bestFit="1" customWidth="1"/>
    <col min="5" max="5" width="13" bestFit="1" customWidth="1"/>
    <col min="6" max="6" width="21.7265625" bestFit="1" customWidth="1"/>
    <col min="7" max="7" width="22.7265625" bestFit="1" customWidth="1"/>
    <col min="8" max="8" width="13" bestFit="1" customWidth="1"/>
    <col min="9" max="9" width="14" bestFit="1" customWidth="1"/>
    <col min="10" max="10" width="18.81640625" bestFit="1" customWidth="1"/>
    <col min="11" max="12" width="8.81640625" bestFit="1" customWidth="1"/>
    <col min="13" max="13" width="10.1796875" bestFit="1" customWidth="1"/>
    <col min="14" max="14" width="13.81640625" bestFit="1" customWidth="1"/>
    <col min="15" max="15" width="30.81640625" bestFit="1" customWidth="1"/>
    <col min="16" max="16" width="13.81640625" bestFit="1" customWidth="1"/>
    <col min="17" max="17" width="12.26953125" bestFit="1" customWidth="1"/>
  </cols>
  <sheetData>
    <row r="1" spans="1:17" x14ac:dyDescent="0.35">
      <c r="A1" s="18" t="s">
        <v>0</v>
      </c>
    </row>
    <row r="3" spans="1:1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5">
      <c r="A4">
        <v>300907</v>
      </c>
      <c r="B4" t="s">
        <v>18</v>
      </c>
      <c r="D4" t="s">
        <v>19</v>
      </c>
      <c r="E4">
        <v>324</v>
      </c>
      <c r="F4">
        <v>4</v>
      </c>
      <c r="H4">
        <v>36</v>
      </c>
      <c r="J4">
        <v>36</v>
      </c>
      <c r="Q4">
        <v>769.2</v>
      </c>
    </row>
    <row r="5" spans="1:17" x14ac:dyDescent="0.35">
      <c r="A5">
        <v>300460</v>
      </c>
      <c r="B5" t="s">
        <v>18</v>
      </c>
      <c r="D5" t="s">
        <v>20</v>
      </c>
      <c r="E5">
        <v>200</v>
      </c>
      <c r="F5">
        <v>2.4691358024691357</v>
      </c>
      <c r="H5">
        <v>22.222222222222221</v>
      </c>
      <c r="J5">
        <v>22.222222222222221</v>
      </c>
      <c r="N5">
        <v>0</v>
      </c>
      <c r="Q5">
        <v>474.81481481481484</v>
      </c>
    </row>
    <row r="6" spans="1:17" x14ac:dyDescent="0.35">
      <c r="A6">
        <v>298440</v>
      </c>
      <c r="B6" t="s">
        <v>18</v>
      </c>
      <c r="D6" t="s">
        <v>21</v>
      </c>
      <c r="E6">
        <v>25</v>
      </c>
      <c r="F6">
        <v>0.30864197530864196</v>
      </c>
      <c r="H6">
        <v>2.7777777777777777</v>
      </c>
      <c r="J6">
        <v>2.7777777777777777</v>
      </c>
      <c r="Q6">
        <v>59.351851851851855</v>
      </c>
    </row>
    <row r="7" spans="1:17" x14ac:dyDescent="0.35">
      <c r="A7">
        <v>299884</v>
      </c>
      <c r="B7" t="s">
        <v>18</v>
      </c>
      <c r="D7" t="s">
        <v>22</v>
      </c>
      <c r="E7">
        <v>122</v>
      </c>
      <c r="F7">
        <v>1.5061728395061726</v>
      </c>
      <c r="H7">
        <v>13.555555555555555</v>
      </c>
      <c r="J7">
        <v>13.555555555555555</v>
      </c>
      <c r="N7">
        <v>0</v>
      </c>
      <c r="O7" t="s">
        <v>23</v>
      </c>
      <c r="Q7">
        <v>289.63703703703703</v>
      </c>
    </row>
    <row r="8" spans="1:17" x14ac:dyDescent="0.35">
      <c r="A8">
        <v>299148</v>
      </c>
      <c r="B8" t="s">
        <v>18</v>
      </c>
      <c r="D8" t="s">
        <v>24</v>
      </c>
      <c r="E8">
        <v>15</v>
      </c>
      <c r="F8">
        <v>0.18518518518518517</v>
      </c>
      <c r="H8">
        <v>1.6666666666666667</v>
      </c>
      <c r="J8">
        <v>1.6666666666666667</v>
      </c>
      <c r="Q8">
        <v>35.611111111111114</v>
      </c>
    </row>
    <row r="9" spans="1:17" x14ac:dyDescent="0.35">
      <c r="A9">
        <v>295863</v>
      </c>
      <c r="B9" t="s">
        <v>18</v>
      </c>
      <c r="D9" t="s">
        <v>25</v>
      </c>
      <c r="E9">
        <v>70</v>
      </c>
      <c r="F9">
        <v>0.86419753086419748</v>
      </c>
      <c r="H9">
        <v>7.7777777777777777</v>
      </c>
      <c r="J9">
        <v>7.7777777777777777</v>
      </c>
      <c r="N9">
        <v>0</v>
      </c>
      <c r="O9" t="s">
        <v>26</v>
      </c>
      <c r="Q9">
        <v>166.18518518518522</v>
      </c>
    </row>
    <row r="10" spans="1:17" x14ac:dyDescent="0.35">
      <c r="A10">
        <v>295859</v>
      </c>
      <c r="B10" t="s">
        <v>18</v>
      </c>
      <c r="D10" t="s">
        <v>27</v>
      </c>
      <c r="E10">
        <v>64</v>
      </c>
      <c r="F10">
        <v>5.5</v>
      </c>
      <c r="N10">
        <v>850</v>
      </c>
      <c r="O10" t="s">
        <v>28</v>
      </c>
      <c r="Q10">
        <v>900.32500000000005</v>
      </c>
    </row>
    <row r="11" spans="1:17" x14ac:dyDescent="0.35">
      <c r="A11">
        <v>297988</v>
      </c>
      <c r="B11" t="s">
        <v>18</v>
      </c>
      <c r="D11" t="s">
        <v>29</v>
      </c>
      <c r="E11">
        <v>33</v>
      </c>
      <c r="F11">
        <v>0.40740740740740738</v>
      </c>
      <c r="H11">
        <v>3.6666666666666665</v>
      </c>
      <c r="J11">
        <v>3.6666666666666665</v>
      </c>
      <c r="N11">
        <v>0</v>
      </c>
      <c r="Q11">
        <v>78.344444444444449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CD31-ADAC-4EA9-B7ED-5A3AF7385368}">
  <sheetPr>
    <pageSetUpPr fitToPage="1"/>
  </sheetPr>
  <dimension ref="A1:Q86"/>
  <sheetViews>
    <sheetView tabSelected="1" zoomScale="40" zoomScaleNormal="40" workbookViewId="0">
      <selection activeCell="B6" sqref="B6"/>
    </sheetView>
  </sheetViews>
  <sheetFormatPr defaultColWidth="9" defaultRowHeight="17.5" x14ac:dyDescent="0.45"/>
  <cols>
    <col min="1" max="1" width="53.90625" style="3" customWidth="1"/>
    <col min="2" max="2" width="17.36328125" style="1" customWidth="1"/>
    <col min="3" max="3" width="15.54296875" style="1" customWidth="1"/>
    <col min="4" max="4" width="13.6328125" style="1" customWidth="1"/>
    <col min="6" max="6" width="14.90625" style="3" customWidth="1"/>
    <col min="7" max="7" width="10.6328125" style="1" customWidth="1"/>
    <col min="8" max="9" width="16.36328125" style="1" customWidth="1"/>
    <col min="10" max="10" width="11.81640625" style="1" customWidth="1"/>
    <col min="11" max="11" width="11.1796875" style="1" customWidth="1"/>
    <col min="12" max="12" width="4.7265625" style="1" customWidth="1"/>
    <col min="13" max="13" width="4.1796875" style="1" customWidth="1"/>
    <col min="14" max="14" width="4.08984375" style="1" customWidth="1"/>
    <col min="15" max="15" width="18.54296875" style="1" customWidth="1"/>
    <col min="16" max="16" width="27.1796875" style="1" customWidth="1"/>
    <col min="17" max="17" width="17" style="2" customWidth="1"/>
    <col min="18" max="18" width="31" style="1" bestFit="1" customWidth="1"/>
    <col min="19" max="19" width="15.81640625" style="1" customWidth="1"/>
    <col min="20" max="20" width="20.26953125" style="1" customWidth="1"/>
    <col min="21" max="27" width="9" style="1"/>
    <col min="28" max="28" width="10.54296875" style="1" customWidth="1"/>
    <col min="29" max="29" width="9" style="1"/>
    <col min="30" max="30" width="10.1796875" style="1" customWidth="1"/>
    <col min="31" max="31" width="12.1796875" style="1" customWidth="1"/>
    <col min="32" max="33" width="12.7265625" style="1" customWidth="1"/>
    <col min="34" max="34" width="14.81640625" style="1" customWidth="1"/>
    <col min="35" max="35" width="17.453125" style="1" customWidth="1"/>
    <col min="36" max="44" width="9" style="1"/>
    <col min="45" max="45" width="11" style="1" customWidth="1"/>
    <col min="46" max="46" width="10.81640625" style="1" customWidth="1"/>
    <col min="47" max="47" width="12" style="1" customWidth="1"/>
    <col min="48" max="16384" width="9" style="1"/>
  </cols>
  <sheetData>
    <row r="1" spans="1:17" ht="34.9" customHeight="1" x14ac:dyDescent="0.45">
      <c r="A1" s="24" t="s">
        <v>80</v>
      </c>
      <c r="B1" s="20" t="s">
        <v>1</v>
      </c>
      <c r="C1" s="21" t="s">
        <v>2</v>
      </c>
      <c r="D1" s="24" t="s">
        <v>3</v>
      </c>
      <c r="E1" s="24" t="s">
        <v>72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2" t="s">
        <v>13</v>
      </c>
      <c r="N1" s="25" t="s">
        <v>14</v>
      </c>
      <c r="O1" s="25" t="s">
        <v>15</v>
      </c>
      <c r="P1" s="22" t="s">
        <v>16</v>
      </c>
      <c r="Q1" s="23" t="s">
        <v>17</v>
      </c>
    </row>
    <row r="2" spans="1:17" ht="18.5" x14ac:dyDescent="0.45">
      <c r="A2" s="26" t="s">
        <v>73</v>
      </c>
      <c r="B2" s="9">
        <v>297988</v>
      </c>
      <c r="C2" s="9" t="s">
        <v>18</v>
      </c>
      <c r="D2" s="9"/>
      <c r="E2" s="19">
        <v>33</v>
      </c>
      <c r="F2" s="12">
        <f>((4/12)*E2)/27</f>
        <v>0.40740740740740738</v>
      </c>
      <c r="G2" s="12"/>
      <c r="H2" s="12">
        <f>E2/9</f>
        <v>3.6666666666666665</v>
      </c>
      <c r="I2" s="12"/>
      <c r="J2" s="12">
        <f>E2/9</f>
        <v>3.6666666666666665</v>
      </c>
      <c r="K2" s="13"/>
      <c r="L2" s="13"/>
      <c r="M2" s="13"/>
      <c r="N2" s="14"/>
      <c r="O2" s="14"/>
      <c r="P2" s="15"/>
      <c r="Q2" s="27">
        <f t="shared" ref="Q2:Q37" si="0">(F2*9.15)+(G2*9.15)+(H2*8.63)+(I2*18.29)+(J2*11.72)+(K2*90.64)+(L2*515)+(M2*772.5)+(N2*1)+(P2*0.01)</f>
        <v>78.344444444444449</v>
      </c>
    </row>
    <row r="3" spans="1:17" ht="18.5" x14ac:dyDescent="0.45">
      <c r="A3" s="26" t="s">
        <v>74</v>
      </c>
      <c r="B3" s="9">
        <v>295859</v>
      </c>
      <c r="C3" s="9" t="s">
        <v>18</v>
      </c>
      <c r="D3" s="9"/>
      <c r="E3" s="19">
        <f>2*32</f>
        <v>64</v>
      </c>
      <c r="F3" s="12">
        <v>5.5</v>
      </c>
      <c r="G3" s="12"/>
      <c r="H3" s="12"/>
      <c r="I3" s="12"/>
      <c r="J3" s="12"/>
      <c r="K3" s="13"/>
      <c r="L3" s="13"/>
      <c r="M3" s="13"/>
      <c r="N3" s="14">
        <v>850</v>
      </c>
      <c r="O3" s="14" t="s">
        <v>28</v>
      </c>
      <c r="P3" s="15"/>
      <c r="Q3" s="27">
        <f t="shared" si="0"/>
        <v>900.32500000000005</v>
      </c>
    </row>
    <row r="4" spans="1:17" ht="18.5" x14ac:dyDescent="0.45">
      <c r="A4" s="26" t="s">
        <v>75</v>
      </c>
      <c r="B4" s="9">
        <v>295863</v>
      </c>
      <c r="C4" s="9" t="s">
        <v>18</v>
      </c>
      <c r="D4" s="9"/>
      <c r="E4" s="19">
        <v>70</v>
      </c>
      <c r="F4" s="12">
        <f t="shared" ref="F4:F15" si="1">((4/12)*E4)/27</f>
        <v>0.86419753086419748</v>
      </c>
      <c r="G4" s="12"/>
      <c r="H4" s="12">
        <f t="shared" ref="H4:H15" si="2">E4/9</f>
        <v>7.7777777777777777</v>
      </c>
      <c r="I4" s="12"/>
      <c r="J4" s="12">
        <f t="shared" ref="J4:J11" si="3">E4/9</f>
        <v>7.7777777777777777</v>
      </c>
      <c r="K4" s="13"/>
      <c r="L4" s="13"/>
      <c r="M4" s="13"/>
      <c r="N4" s="14"/>
      <c r="O4" s="14" t="s">
        <v>26</v>
      </c>
      <c r="P4" s="15"/>
      <c r="Q4" s="27">
        <f t="shared" si="0"/>
        <v>166.18518518518522</v>
      </c>
    </row>
    <row r="5" spans="1:17" ht="18.5" x14ac:dyDescent="0.45">
      <c r="A5" s="26" t="s">
        <v>76</v>
      </c>
      <c r="B5" s="9">
        <v>299148</v>
      </c>
      <c r="C5" s="9" t="s">
        <v>18</v>
      </c>
      <c r="D5" s="9"/>
      <c r="E5" s="19">
        <f>(9)+(6)</f>
        <v>15</v>
      </c>
      <c r="F5" s="12">
        <f t="shared" si="1"/>
        <v>0.18518518518518517</v>
      </c>
      <c r="G5" s="12"/>
      <c r="H5" s="12">
        <f t="shared" si="2"/>
        <v>1.6666666666666667</v>
      </c>
      <c r="I5" s="12"/>
      <c r="J5" s="12">
        <f t="shared" si="3"/>
        <v>1.6666666666666667</v>
      </c>
      <c r="K5" s="13"/>
      <c r="L5" s="13"/>
      <c r="M5" s="13"/>
      <c r="N5" s="14"/>
      <c r="O5" s="14"/>
      <c r="P5" s="15"/>
      <c r="Q5" s="27">
        <f t="shared" si="0"/>
        <v>35.611111111111114</v>
      </c>
    </row>
    <row r="6" spans="1:17" ht="18.5" x14ac:dyDescent="0.45">
      <c r="A6" s="26" t="s">
        <v>77</v>
      </c>
      <c r="B6" s="9">
        <v>299884</v>
      </c>
      <c r="C6" s="9" t="s">
        <v>18</v>
      </c>
      <c r="D6" s="9"/>
      <c r="E6" s="19">
        <f>(3*5)+(3*25)+(1*11)+(7*3)</f>
        <v>122</v>
      </c>
      <c r="F6" s="12">
        <f t="shared" si="1"/>
        <v>1.5061728395061726</v>
      </c>
      <c r="G6" s="12"/>
      <c r="H6" s="12">
        <f t="shared" si="2"/>
        <v>13.555555555555555</v>
      </c>
      <c r="I6" s="12"/>
      <c r="J6" s="12">
        <f t="shared" si="3"/>
        <v>13.555555555555555</v>
      </c>
      <c r="K6" s="13"/>
      <c r="L6" s="13"/>
      <c r="M6" s="13"/>
      <c r="N6" s="14"/>
      <c r="O6" s="14" t="s">
        <v>23</v>
      </c>
      <c r="P6" s="15"/>
      <c r="Q6" s="27">
        <f t="shared" si="0"/>
        <v>289.63703703703703</v>
      </c>
    </row>
    <row r="7" spans="1:17" ht="18.5" x14ac:dyDescent="0.45">
      <c r="A7" s="26" t="s">
        <v>78</v>
      </c>
      <c r="B7" s="9">
        <v>298440</v>
      </c>
      <c r="C7" s="9" t="s">
        <v>18</v>
      </c>
      <c r="D7" s="9"/>
      <c r="E7" s="10">
        <v>25</v>
      </c>
      <c r="F7" s="11">
        <f t="shared" si="1"/>
        <v>0.30864197530864196</v>
      </c>
      <c r="G7" s="11"/>
      <c r="H7" s="11">
        <f t="shared" si="2"/>
        <v>2.7777777777777777</v>
      </c>
      <c r="I7" s="11"/>
      <c r="J7" s="12">
        <f t="shared" si="3"/>
        <v>2.7777777777777777</v>
      </c>
      <c r="K7" s="13"/>
      <c r="L7" s="13"/>
      <c r="M7" s="13"/>
      <c r="N7" s="16"/>
      <c r="O7" s="16"/>
      <c r="P7" s="15"/>
      <c r="Q7" s="27">
        <f t="shared" si="0"/>
        <v>59.351851851851855</v>
      </c>
    </row>
    <row r="8" spans="1:17" ht="18.5" x14ac:dyDescent="0.45">
      <c r="A8" s="26" t="s">
        <v>79</v>
      </c>
      <c r="B8" s="9">
        <v>300460</v>
      </c>
      <c r="C8" s="9" t="s">
        <v>18</v>
      </c>
      <c r="D8" s="9"/>
      <c r="E8" s="10">
        <f>10*20</f>
        <v>200</v>
      </c>
      <c r="F8" s="11">
        <f t="shared" si="1"/>
        <v>2.4691358024691357</v>
      </c>
      <c r="G8" s="11"/>
      <c r="H8" s="11">
        <f t="shared" si="2"/>
        <v>22.222222222222221</v>
      </c>
      <c r="I8" s="11"/>
      <c r="J8" s="12">
        <f t="shared" si="3"/>
        <v>22.222222222222221</v>
      </c>
      <c r="K8" s="13"/>
      <c r="L8" s="13"/>
      <c r="M8" s="13"/>
      <c r="N8" s="14"/>
      <c r="O8" s="14"/>
      <c r="P8" s="15"/>
      <c r="Q8" s="27">
        <f t="shared" si="0"/>
        <v>474.81481481481484</v>
      </c>
    </row>
    <row r="9" spans="1:17" ht="18.5" x14ac:dyDescent="0.45">
      <c r="A9" s="10" t="s">
        <v>81</v>
      </c>
      <c r="B9" s="9">
        <v>300907</v>
      </c>
      <c r="C9" s="9" t="s">
        <v>18</v>
      </c>
      <c r="D9" s="9"/>
      <c r="E9" s="10">
        <f>(30*9)+(3*18)</f>
        <v>324</v>
      </c>
      <c r="F9" s="11">
        <f t="shared" si="1"/>
        <v>4</v>
      </c>
      <c r="G9" s="11"/>
      <c r="H9" s="11">
        <f t="shared" si="2"/>
        <v>36</v>
      </c>
      <c r="I9" s="11"/>
      <c r="J9" s="12">
        <f t="shared" si="3"/>
        <v>36</v>
      </c>
      <c r="K9" s="13"/>
      <c r="L9" s="13"/>
      <c r="M9" s="13"/>
      <c r="N9" s="16"/>
      <c r="O9" s="16"/>
      <c r="P9" s="15"/>
      <c r="Q9" s="27">
        <f t="shared" si="0"/>
        <v>769.2</v>
      </c>
    </row>
    <row r="10" spans="1:17" ht="18.5" x14ac:dyDescent="0.45">
      <c r="A10" s="10" t="s">
        <v>82</v>
      </c>
      <c r="B10" s="9">
        <v>301120</v>
      </c>
      <c r="C10" s="9" t="s">
        <v>31</v>
      </c>
      <c r="D10" s="9">
        <v>3</v>
      </c>
      <c r="E10" s="10">
        <f>(15*37)+(10*12)</f>
        <v>675</v>
      </c>
      <c r="F10" s="11">
        <f t="shared" si="1"/>
        <v>8.3333333333333339</v>
      </c>
      <c r="G10" s="11"/>
      <c r="H10" s="11">
        <f t="shared" si="2"/>
        <v>75</v>
      </c>
      <c r="I10" s="11"/>
      <c r="J10" s="12">
        <f t="shared" si="3"/>
        <v>75</v>
      </c>
      <c r="K10" s="13"/>
      <c r="L10" s="13"/>
      <c r="M10" s="13"/>
      <c r="N10" s="14"/>
      <c r="O10" s="14"/>
      <c r="P10" s="15"/>
      <c r="Q10" s="27">
        <f t="shared" si="0"/>
        <v>1602.5</v>
      </c>
    </row>
    <row r="11" spans="1:17" ht="18.5" x14ac:dyDescent="0.45">
      <c r="A11" s="10" t="s">
        <v>83</v>
      </c>
      <c r="B11" s="9">
        <v>294525</v>
      </c>
      <c r="C11" s="9" t="s">
        <v>31</v>
      </c>
      <c r="D11" s="9">
        <v>52</v>
      </c>
      <c r="E11" s="10">
        <f>(10*10)+(10*13)+(6*8)</f>
        <v>278</v>
      </c>
      <c r="F11" s="11">
        <f t="shared" si="1"/>
        <v>3.4320987654320985</v>
      </c>
      <c r="G11" s="11"/>
      <c r="H11" s="11">
        <f t="shared" si="2"/>
        <v>30.888888888888889</v>
      </c>
      <c r="I11" s="11"/>
      <c r="J11" s="12">
        <f t="shared" si="3"/>
        <v>30.888888888888889</v>
      </c>
      <c r="K11" s="13"/>
      <c r="L11" s="13"/>
      <c r="M11" s="13"/>
      <c r="N11" s="14"/>
      <c r="O11" s="14"/>
      <c r="P11" s="15"/>
      <c r="Q11" s="27">
        <f t="shared" si="0"/>
        <v>659.99259259259259</v>
      </c>
    </row>
    <row r="12" spans="1:17" ht="18.5" x14ac:dyDescent="0.45">
      <c r="A12" s="10" t="s">
        <v>84</v>
      </c>
      <c r="B12" s="9">
        <v>295813</v>
      </c>
      <c r="C12" s="9" t="s">
        <v>31</v>
      </c>
      <c r="D12" s="9">
        <v>52</v>
      </c>
      <c r="E12" s="10">
        <f>(12*18)+(8*10)</f>
        <v>296</v>
      </c>
      <c r="F12" s="11">
        <f t="shared" si="1"/>
        <v>3.6543209876543208</v>
      </c>
      <c r="G12" s="11"/>
      <c r="H12" s="11">
        <f t="shared" si="2"/>
        <v>32.888888888888886</v>
      </c>
      <c r="I12" s="11"/>
      <c r="J12" s="12"/>
      <c r="K12" s="13"/>
      <c r="L12" s="13"/>
      <c r="M12" s="13"/>
      <c r="N12" s="14">
        <v>225</v>
      </c>
      <c r="O12" s="14" t="s">
        <v>38</v>
      </c>
      <c r="P12" s="15"/>
      <c r="Q12" s="27">
        <f t="shared" si="0"/>
        <v>542.26814814814816</v>
      </c>
    </row>
    <row r="13" spans="1:17" ht="18.5" x14ac:dyDescent="0.45">
      <c r="A13" s="10" t="s">
        <v>85</v>
      </c>
      <c r="B13" s="9">
        <v>295814</v>
      </c>
      <c r="C13" s="9" t="s">
        <v>31</v>
      </c>
      <c r="D13" s="9">
        <v>52</v>
      </c>
      <c r="E13" s="10">
        <f>19*25</f>
        <v>475</v>
      </c>
      <c r="F13" s="11">
        <f t="shared" si="1"/>
        <v>5.8641975308641969</v>
      </c>
      <c r="G13" s="11"/>
      <c r="H13" s="11">
        <f t="shared" si="2"/>
        <v>52.777777777777779</v>
      </c>
      <c r="I13" s="11"/>
      <c r="J13" s="12">
        <f>E13/9</f>
        <v>52.777777777777779</v>
      </c>
      <c r="K13" s="13"/>
      <c r="L13" s="13"/>
      <c r="M13" s="13"/>
      <c r="N13" s="16"/>
      <c r="O13" s="16"/>
      <c r="P13" s="15"/>
      <c r="Q13" s="27">
        <f t="shared" si="0"/>
        <v>1127.6851851851852</v>
      </c>
    </row>
    <row r="14" spans="1:17" ht="18.5" x14ac:dyDescent="0.45">
      <c r="A14" s="10" t="s">
        <v>86</v>
      </c>
      <c r="B14" s="9">
        <v>293495</v>
      </c>
      <c r="C14" s="9" t="s">
        <v>31</v>
      </c>
      <c r="D14" s="9">
        <v>52</v>
      </c>
      <c r="E14" s="10">
        <f>(12*13)+(4*6)+(7*8)+(8*11)+(5*14)+(3*10)</f>
        <v>424</v>
      </c>
      <c r="F14" s="11">
        <f t="shared" si="1"/>
        <v>5.2345679012345672</v>
      </c>
      <c r="G14" s="11"/>
      <c r="H14" s="11">
        <f t="shared" si="2"/>
        <v>47.111111111111114</v>
      </c>
      <c r="I14" s="11"/>
      <c r="J14" s="12">
        <f>E14/9</f>
        <v>47.111111111111114</v>
      </c>
      <c r="K14" s="13"/>
      <c r="L14" s="13"/>
      <c r="M14" s="13"/>
      <c r="N14" s="14">
        <v>200</v>
      </c>
      <c r="O14" s="14" t="s">
        <v>41</v>
      </c>
      <c r="P14" s="15"/>
      <c r="Q14" s="27">
        <f t="shared" si="0"/>
        <v>1206.6074074074074</v>
      </c>
    </row>
    <row r="15" spans="1:17" ht="18.5" x14ac:dyDescent="0.45">
      <c r="A15" s="10" t="s">
        <v>87</v>
      </c>
      <c r="B15" s="9">
        <v>295850</v>
      </c>
      <c r="C15" s="9" t="s">
        <v>31</v>
      </c>
      <c r="D15" s="9">
        <v>52</v>
      </c>
      <c r="E15" s="10">
        <f>(8*11)+(9*16)+(5*12)+(15*20)+(4*4)+(8*10)+(7*7)+(6*8)</f>
        <v>785</v>
      </c>
      <c r="F15" s="11">
        <f t="shared" si="1"/>
        <v>9.6913580246913558</v>
      </c>
      <c r="G15" s="11"/>
      <c r="H15" s="11">
        <f t="shared" si="2"/>
        <v>87.222222222222229</v>
      </c>
      <c r="I15" s="11"/>
      <c r="J15" s="12">
        <f>E15/9</f>
        <v>87.222222222222229</v>
      </c>
      <c r="K15" s="13"/>
      <c r="L15" s="13"/>
      <c r="M15" s="13"/>
      <c r="N15" s="16"/>
      <c r="O15" s="16"/>
      <c r="P15" s="15"/>
      <c r="Q15" s="27">
        <f t="shared" si="0"/>
        <v>1863.6481481481483</v>
      </c>
    </row>
    <row r="16" spans="1:17" ht="18.5" x14ac:dyDescent="0.45">
      <c r="A16" s="10" t="s">
        <v>88</v>
      </c>
      <c r="B16" s="9">
        <v>295802</v>
      </c>
      <c r="C16" s="9" t="s">
        <v>31</v>
      </c>
      <c r="D16" s="9">
        <v>52</v>
      </c>
      <c r="E16" s="10">
        <f>12*14</f>
        <v>168</v>
      </c>
      <c r="F16" s="11"/>
      <c r="G16" s="11"/>
      <c r="H16" s="11"/>
      <c r="I16" s="11"/>
      <c r="J16" s="12"/>
      <c r="K16" s="13"/>
      <c r="L16" s="13"/>
      <c r="M16" s="13"/>
      <c r="N16" s="14">
        <v>200</v>
      </c>
      <c r="O16" s="14" t="s">
        <v>44</v>
      </c>
      <c r="P16" s="15"/>
      <c r="Q16" s="27">
        <f t="shared" si="0"/>
        <v>200</v>
      </c>
    </row>
    <row r="17" spans="1:17" ht="18.5" x14ac:dyDescent="0.45">
      <c r="A17" s="10" t="s">
        <v>89</v>
      </c>
      <c r="B17" s="9">
        <v>294545</v>
      </c>
      <c r="C17" s="9" t="s">
        <v>31</v>
      </c>
      <c r="D17" s="9">
        <v>52</v>
      </c>
      <c r="E17" s="10">
        <f>(6*13)+(7*10)+(5*13)+(7*7)+(8*12)+(10*17)</f>
        <v>528</v>
      </c>
      <c r="F17" s="11">
        <f t="shared" ref="F17:F33" si="4">((4/12)*E17)/27</f>
        <v>6.5185185185185182</v>
      </c>
      <c r="G17" s="11"/>
      <c r="H17" s="11">
        <f t="shared" ref="H17:H33" si="5">E17/9</f>
        <v>58.666666666666664</v>
      </c>
      <c r="I17" s="11"/>
      <c r="J17" s="12">
        <f t="shared" ref="J17:J37" si="6">E17/9</f>
        <v>58.666666666666664</v>
      </c>
      <c r="K17" s="13"/>
      <c r="L17" s="13"/>
      <c r="M17" s="13"/>
      <c r="N17" s="16"/>
      <c r="O17" s="16"/>
      <c r="P17" s="15"/>
      <c r="Q17" s="27">
        <f t="shared" si="0"/>
        <v>1253.5111111111112</v>
      </c>
    </row>
    <row r="18" spans="1:17" ht="18.5" x14ac:dyDescent="0.45">
      <c r="A18" s="10" t="s">
        <v>90</v>
      </c>
      <c r="B18" s="9">
        <v>295852</v>
      </c>
      <c r="C18" s="9" t="s">
        <v>31</v>
      </c>
      <c r="D18" s="9">
        <v>52</v>
      </c>
      <c r="E18" s="10">
        <f>(8*9)+(11*16)+(6*8)</f>
        <v>296</v>
      </c>
      <c r="F18" s="11">
        <f t="shared" si="4"/>
        <v>3.6543209876543208</v>
      </c>
      <c r="G18" s="11"/>
      <c r="H18" s="11">
        <f t="shared" si="5"/>
        <v>32.888888888888886</v>
      </c>
      <c r="I18" s="11"/>
      <c r="J18" s="12">
        <f t="shared" si="6"/>
        <v>32.888888888888886</v>
      </c>
      <c r="K18" s="13"/>
      <c r="L18" s="13"/>
      <c r="M18" s="13"/>
      <c r="N18" s="16"/>
      <c r="O18" s="16"/>
      <c r="P18" s="15"/>
      <c r="Q18" s="27">
        <f t="shared" si="0"/>
        <v>702.72592592592594</v>
      </c>
    </row>
    <row r="19" spans="1:17" ht="18.5" x14ac:dyDescent="0.45">
      <c r="A19" s="10" t="s">
        <v>91</v>
      </c>
      <c r="B19" s="9">
        <v>293807</v>
      </c>
      <c r="C19" s="9" t="s">
        <v>31</v>
      </c>
      <c r="D19" s="9">
        <v>52</v>
      </c>
      <c r="E19" s="10">
        <f>(18*25)+(10*13)</f>
        <v>580</v>
      </c>
      <c r="F19" s="11">
        <f t="shared" si="4"/>
        <v>7.1604938271604928</v>
      </c>
      <c r="G19" s="11"/>
      <c r="H19" s="11">
        <f t="shared" si="5"/>
        <v>64.444444444444443</v>
      </c>
      <c r="I19" s="11"/>
      <c r="J19" s="12">
        <f t="shared" si="6"/>
        <v>64.444444444444443</v>
      </c>
      <c r="K19" s="13"/>
      <c r="L19" s="13"/>
      <c r="M19" s="13"/>
      <c r="N19" s="16"/>
      <c r="O19" s="16"/>
      <c r="P19" s="15"/>
      <c r="Q19" s="27">
        <f t="shared" si="0"/>
        <v>1376.962962962963</v>
      </c>
    </row>
    <row r="20" spans="1:17" ht="18.5" x14ac:dyDescent="0.45">
      <c r="A20" s="10" t="s">
        <v>92</v>
      </c>
      <c r="B20" s="9">
        <v>295793</v>
      </c>
      <c r="C20" s="9" t="s">
        <v>31</v>
      </c>
      <c r="D20" s="9">
        <v>52</v>
      </c>
      <c r="E20" s="10">
        <f>(22*2)+(10*13)+(6*8)+(18*18)</f>
        <v>546</v>
      </c>
      <c r="F20" s="11">
        <f t="shared" si="4"/>
        <v>6.7407407407407405</v>
      </c>
      <c r="G20" s="11"/>
      <c r="H20" s="11">
        <f t="shared" si="5"/>
        <v>60.666666666666664</v>
      </c>
      <c r="I20" s="11"/>
      <c r="J20" s="12">
        <f t="shared" si="6"/>
        <v>60.666666666666664</v>
      </c>
      <c r="K20" s="13"/>
      <c r="L20" s="13"/>
      <c r="M20" s="13"/>
      <c r="N20" s="14"/>
      <c r="O20" s="14"/>
      <c r="P20" s="15"/>
      <c r="Q20" s="27">
        <f t="shared" si="0"/>
        <v>1296.2444444444445</v>
      </c>
    </row>
    <row r="21" spans="1:17" ht="18.5" x14ac:dyDescent="0.45">
      <c r="A21" s="10" t="s">
        <v>93</v>
      </c>
      <c r="B21" s="9">
        <v>295803</v>
      </c>
      <c r="C21" s="9" t="s">
        <v>31</v>
      </c>
      <c r="D21" s="9">
        <v>52</v>
      </c>
      <c r="E21" s="10">
        <f>(10*22)+(8*18)+(7*50)+(8*19)</f>
        <v>866</v>
      </c>
      <c r="F21" s="11">
        <f t="shared" si="4"/>
        <v>10.691358024691356</v>
      </c>
      <c r="G21" s="11"/>
      <c r="H21" s="11">
        <f t="shared" si="5"/>
        <v>96.222222222222229</v>
      </c>
      <c r="I21" s="11"/>
      <c r="J21" s="12">
        <f t="shared" si="6"/>
        <v>96.222222222222229</v>
      </c>
      <c r="K21" s="13"/>
      <c r="L21" s="13"/>
      <c r="M21" s="13"/>
      <c r="N21" s="16"/>
      <c r="O21" s="16"/>
      <c r="P21" s="15"/>
      <c r="Q21" s="27">
        <f t="shared" si="0"/>
        <v>2055.9481481481484</v>
      </c>
    </row>
    <row r="22" spans="1:17" ht="20.25" customHeight="1" x14ac:dyDescent="0.45">
      <c r="A22" s="10" t="s">
        <v>94</v>
      </c>
      <c r="B22" s="9">
        <v>295810</v>
      </c>
      <c r="C22" s="9" t="s">
        <v>31</v>
      </c>
      <c r="D22" s="9">
        <v>52</v>
      </c>
      <c r="E22" s="10">
        <v>48</v>
      </c>
      <c r="F22" s="11">
        <f t="shared" si="4"/>
        <v>0.59259259259259256</v>
      </c>
      <c r="G22" s="11"/>
      <c r="H22" s="11">
        <f t="shared" si="5"/>
        <v>5.333333333333333</v>
      </c>
      <c r="I22" s="11"/>
      <c r="J22" s="12">
        <f t="shared" si="6"/>
        <v>5.333333333333333</v>
      </c>
      <c r="K22" s="13"/>
      <c r="L22" s="13"/>
      <c r="M22" s="13"/>
      <c r="N22" s="14"/>
      <c r="O22" s="14"/>
      <c r="P22" s="15"/>
      <c r="Q22" s="27">
        <f t="shared" si="0"/>
        <v>113.95555555555556</v>
      </c>
    </row>
    <row r="23" spans="1:17" ht="18.5" x14ac:dyDescent="0.45">
      <c r="A23" s="10" t="s">
        <v>95</v>
      </c>
      <c r="B23" s="9">
        <v>295795</v>
      </c>
      <c r="C23" s="9" t="s">
        <v>31</v>
      </c>
      <c r="D23" s="9">
        <v>52</v>
      </c>
      <c r="E23" s="10">
        <f>(4*4)+(3*4)</f>
        <v>28</v>
      </c>
      <c r="F23" s="11">
        <f t="shared" si="4"/>
        <v>0.34567901234567899</v>
      </c>
      <c r="G23" s="11"/>
      <c r="H23" s="11">
        <f t="shared" si="5"/>
        <v>3.1111111111111112</v>
      </c>
      <c r="I23" s="11"/>
      <c r="J23" s="12">
        <f t="shared" si="6"/>
        <v>3.1111111111111112</v>
      </c>
      <c r="K23" s="13"/>
      <c r="L23" s="13"/>
      <c r="M23" s="13"/>
      <c r="N23" s="16"/>
      <c r="O23" s="16"/>
      <c r="P23" s="15"/>
      <c r="Q23" s="27">
        <f t="shared" si="0"/>
        <v>66.474074074074082</v>
      </c>
    </row>
    <row r="24" spans="1:17" ht="18.5" x14ac:dyDescent="0.45">
      <c r="A24" s="10" t="s">
        <v>96</v>
      </c>
      <c r="B24" s="9">
        <v>293805</v>
      </c>
      <c r="C24" s="9" t="s">
        <v>31</v>
      </c>
      <c r="D24" s="9">
        <v>52</v>
      </c>
      <c r="E24" s="10">
        <f>(15*15)+(5*15)+(6*5)+(5*15)+(5*7)+(4*4)</f>
        <v>456</v>
      </c>
      <c r="F24" s="11">
        <f t="shared" si="4"/>
        <v>5.6296296296296298</v>
      </c>
      <c r="G24" s="11"/>
      <c r="H24" s="11">
        <f t="shared" si="5"/>
        <v>50.666666666666664</v>
      </c>
      <c r="I24" s="11"/>
      <c r="J24" s="12">
        <f t="shared" si="6"/>
        <v>50.666666666666664</v>
      </c>
      <c r="K24" s="13"/>
      <c r="L24" s="13"/>
      <c r="M24" s="13"/>
      <c r="N24" s="14">
        <v>100</v>
      </c>
      <c r="O24" s="14" t="s">
        <v>53</v>
      </c>
      <c r="P24" s="15"/>
      <c r="Q24" s="27">
        <f t="shared" si="0"/>
        <v>1182.5777777777778</v>
      </c>
    </row>
    <row r="25" spans="1:17" ht="18.5" x14ac:dyDescent="0.45">
      <c r="A25" s="19" t="s">
        <v>97</v>
      </c>
      <c r="B25" s="9">
        <v>293810</v>
      </c>
      <c r="C25" s="9" t="s">
        <v>31</v>
      </c>
      <c r="D25" s="9">
        <v>52</v>
      </c>
      <c r="E25" s="19">
        <f>(5*8)+(4*15)+(5*5)</f>
        <v>125</v>
      </c>
      <c r="F25" s="12">
        <f t="shared" si="4"/>
        <v>1.5432098765432098</v>
      </c>
      <c r="G25" s="12"/>
      <c r="H25" s="12">
        <f t="shared" si="5"/>
        <v>13.888888888888889</v>
      </c>
      <c r="I25" s="12"/>
      <c r="J25" s="12">
        <f t="shared" si="6"/>
        <v>13.888888888888889</v>
      </c>
      <c r="K25" s="13"/>
      <c r="L25" s="13"/>
      <c r="M25" s="13"/>
      <c r="N25" s="14">
        <v>625</v>
      </c>
      <c r="O25" s="14" t="s">
        <v>55</v>
      </c>
      <c r="P25" s="15"/>
      <c r="Q25" s="27">
        <f t="shared" si="0"/>
        <v>921.75925925925935</v>
      </c>
    </row>
    <row r="26" spans="1:17" ht="18.5" x14ac:dyDescent="0.45">
      <c r="A26" s="19" t="s">
        <v>98</v>
      </c>
      <c r="B26" s="9">
        <v>293809</v>
      </c>
      <c r="C26" s="9" t="s">
        <v>31</v>
      </c>
      <c r="D26" s="9">
        <v>52</v>
      </c>
      <c r="E26" s="19">
        <f>(18*18)+(9*23)+(3*3)+(5*5)+(2*5)</f>
        <v>575</v>
      </c>
      <c r="F26" s="12">
        <f t="shared" si="4"/>
        <v>7.098765432098765</v>
      </c>
      <c r="G26" s="12"/>
      <c r="H26" s="12">
        <f t="shared" si="5"/>
        <v>63.888888888888886</v>
      </c>
      <c r="I26" s="12"/>
      <c r="J26" s="12">
        <f t="shared" si="6"/>
        <v>63.888888888888886</v>
      </c>
      <c r="K26" s="13"/>
      <c r="L26" s="13"/>
      <c r="M26" s="13"/>
      <c r="N26" s="14"/>
      <c r="O26" s="14"/>
      <c r="P26" s="15"/>
      <c r="Q26" s="27">
        <f t="shared" si="0"/>
        <v>1365.0925925925926</v>
      </c>
    </row>
    <row r="27" spans="1:17" ht="18.5" x14ac:dyDescent="0.45">
      <c r="A27" s="19" t="s">
        <v>99</v>
      </c>
      <c r="B27" s="9">
        <v>295823</v>
      </c>
      <c r="C27" s="9" t="s">
        <v>31</v>
      </c>
      <c r="D27" s="9">
        <v>52</v>
      </c>
      <c r="E27" s="19">
        <f>(14*16)+(9*10)+(8*15)+(7*14)+(6*17)+(3*4)</f>
        <v>646</v>
      </c>
      <c r="F27" s="12">
        <f t="shared" si="4"/>
        <v>7.9753086419753076</v>
      </c>
      <c r="G27" s="12"/>
      <c r="H27" s="12">
        <f t="shared" si="5"/>
        <v>71.777777777777771</v>
      </c>
      <c r="I27" s="12"/>
      <c r="J27" s="12">
        <f t="shared" si="6"/>
        <v>71.777777777777771</v>
      </c>
      <c r="K27" s="13"/>
      <c r="L27" s="13"/>
      <c r="M27" s="13"/>
      <c r="N27" s="14"/>
      <c r="O27" s="14" t="s">
        <v>58</v>
      </c>
      <c r="P27" s="15"/>
      <c r="Q27" s="27">
        <f t="shared" si="0"/>
        <v>1533.6518518518519</v>
      </c>
    </row>
    <row r="28" spans="1:17" ht="18.5" x14ac:dyDescent="0.45">
      <c r="A28" s="19" t="s">
        <v>100</v>
      </c>
      <c r="B28" s="9">
        <v>295822</v>
      </c>
      <c r="C28" s="9" t="s">
        <v>31</v>
      </c>
      <c r="D28" s="9">
        <v>52</v>
      </c>
      <c r="E28" s="19">
        <f>(11*22)+(11*24)+(8*21)</f>
        <v>674</v>
      </c>
      <c r="F28" s="12">
        <f t="shared" si="4"/>
        <v>8.3209876543209873</v>
      </c>
      <c r="G28" s="12"/>
      <c r="H28" s="12">
        <f t="shared" si="5"/>
        <v>74.888888888888886</v>
      </c>
      <c r="I28" s="12"/>
      <c r="J28" s="12">
        <f t="shared" si="6"/>
        <v>74.888888888888886</v>
      </c>
      <c r="K28" s="13"/>
      <c r="L28" s="13"/>
      <c r="M28" s="13"/>
      <c r="N28" s="14"/>
      <c r="O28" s="14"/>
      <c r="P28" s="15"/>
      <c r="Q28" s="27">
        <f t="shared" si="0"/>
        <v>1600.1259259259259</v>
      </c>
    </row>
    <row r="29" spans="1:17" ht="18.5" x14ac:dyDescent="0.45">
      <c r="A29" s="19" t="s">
        <v>101</v>
      </c>
      <c r="B29" s="9">
        <v>295821</v>
      </c>
      <c r="C29" s="9" t="s">
        <v>31</v>
      </c>
      <c r="D29" s="9">
        <v>52</v>
      </c>
      <c r="E29" s="19">
        <f>(13*14)+(7*14)</f>
        <v>280</v>
      </c>
      <c r="F29" s="12">
        <f t="shared" si="4"/>
        <v>3.4567901234567899</v>
      </c>
      <c r="G29" s="12"/>
      <c r="H29" s="12">
        <f t="shared" si="5"/>
        <v>31.111111111111111</v>
      </c>
      <c r="I29" s="12"/>
      <c r="J29" s="12">
        <f t="shared" si="6"/>
        <v>31.111111111111111</v>
      </c>
      <c r="K29" s="13"/>
      <c r="L29" s="13"/>
      <c r="M29" s="13"/>
      <c r="N29" s="14">
        <f>200+(40*5)</f>
        <v>400</v>
      </c>
      <c r="O29" s="14" t="s">
        <v>61</v>
      </c>
      <c r="P29" s="15"/>
      <c r="Q29" s="27">
        <f t="shared" si="0"/>
        <v>1064.7407407407409</v>
      </c>
    </row>
    <row r="30" spans="1:17" ht="18.5" x14ac:dyDescent="0.45">
      <c r="A30" s="19" t="s">
        <v>102</v>
      </c>
      <c r="B30" s="9">
        <v>298450</v>
      </c>
      <c r="C30" s="9" t="s">
        <v>31</v>
      </c>
      <c r="D30" s="9">
        <v>52</v>
      </c>
      <c r="E30" s="19">
        <f>(11*14)+(6*8)</f>
        <v>202</v>
      </c>
      <c r="F30" s="12">
        <f t="shared" si="4"/>
        <v>2.4938271604938271</v>
      </c>
      <c r="G30" s="12"/>
      <c r="H30" s="12">
        <f t="shared" si="5"/>
        <v>22.444444444444443</v>
      </c>
      <c r="I30" s="12"/>
      <c r="J30" s="12">
        <f t="shared" si="6"/>
        <v>22.444444444444443</v>
      </c>
      <c r="K30" s="13"/>
      <c r="L30" s="13"/>
      <c r="M30" s="13"/>
      <c r="N30" s="14"/>
      <c r="O30" s="14"/>
      <c r="P30" s="15"/>
      <c r="Q30" s="27">
        <f t="shared" si="0"/>
        <v>479.56296296296296</v>
      </c>
    </row>
    <row r="31" spans="1:17" ht="18.5" x14ac:dyDescent="0.45">
      <c r="A31" s="19" t="s">
        <v>103</v>
      </c>
      <c r="B31" s="9">
        <v>297990</v>
      </c>
      <c r="C31" s="9" t="s">
        <v>31</v>
      </c>
      <c r="D31" s="17">
        <v>52</v>
      </c>
      <c r="E31" s="19">
        <f>(10*13)+(8*11)+(2*3)+(17*23)</f>
        <v>615</v>
      </c>
      <c r="F31" s="12">
        <f t="shared" si="4"/>
        <v>7.5925925925925926</v>
      </c>
      <c r="G31" s="12"/>
      <c r="H31" s="12">
        <f t="shared" si="5"/>
        <v>68.333333333333329</v>
      </c>
      <c r="I31" s="12"/>
      <c r="J31" s="12">
        <f t="shared" si="6"/>
        <v>68.333333333333329</v>
      </c>
      <c r="K31" s="13"/>
      <c r="L31" s="13"/>
      <c r="M31" s="13"/>
      <c r="N31" s="14"/>
      <c r="O31" s="14"/>
      <c r="P31" s="15"/>
      <c r="Q31" s="27">
        <f t="shared" si="0"/>
        <v>1460.0555555555557</v>
      </c>
    </row>
    <row r="32" spans="1:17" ht="18.5" x14ac:dyDescent="0.45">
      <c r="A32" s="19" t="s">
        <v>104</v>
      </c>
      <c r="B32" s="9">
        <v>297989</v>
      </c>
      <c r="C32" s="9" t="s">
        <v>31</v>
      </c>
      <c r="D32" s="17">
        <v>52</v>
      </c>
      <c r="E32" s="19">
        <f>(5*8)+(3*3)+(9*17)</f>
        <v>202</v>
      </c>
      <c r="F32" s="12">
        <f t="shared" si="4"/>
        <v>2.4938271604938271</v>
      </c>
      <c r="G32" s="12"/>
      <c r="H32" s="12">
        <f t="shared" si="5"/>
        <v>22.444444444444443</v>
      </c>
      <c r="I32" s="12"/>
      <c r="J32" s="12">
        <f t="shared" si="6"/>
        <v>22.444444444444443</v>
      </c>
      <c r="K32" s="13"/>
      <c r="L32" s="13"/>
      <c r="M32" s="13"/>
      <c r="N32" s="14"/>
      <c r="O32" s="14"/>
      <c r="P32" s="15"/>
      <c r="Q32" s="27">
        <f t="shared" si="0"/>
        <v>479.56296296296296</v>
      </c>
    </row>
    <row r="33" spans="1:17" ht="18.5" x14ac:dyDescent="0.45">
      <c r="A33" s="19" t="s">
        <v>105</v>
      </c>
      <c r="B33" s="9">
        <v>300461</v>
      </c>
      <c r="C33" s="9" t="s">
        <v>31</v>
      </c>
      <c r="D33" s="9">
        <v>65</v>
      </c>
      <c r="E33" s="19">
        <f>(14*13)+(5*10)+(3*6)+(8*9)</f>
        <v>322</v>
      </c>
      <c r="F33" s="12">
        <f t="shared" si="4"/>
        <v>3.9753086419753085</v>
      </c>
      <c r="G33" s="12"/>
      <c r="H33" s="12">
        <f t="shared" si="5"/>
        <v>35.777777777777779</v>
      </c>
      <c r="I33" s="12"/>
      <c r="J33" s="12">
        <f t="shared" si="6"/>
        <v>35.777777777777779</v>
      </c>
      <c r="K33" s="13"/>
      <c r="L33" s="13"/>
      <c r="M33" s="13"/>
      <c r="N33" s="14"/>
      <c r="O33" s="14" t="s">
        <v>33</v>
      </c>
      <c r="P33" s="15"/>
      <c r="Q33" s="27">
        <f t="shared" si="0"/>
        <v>764.45185185185187</v>
      </c>
    </row>
    <row r="34" spans="1:17" ht="18.5" x14ac:dyDescent="0.45">
      <c r="A34" s="10" t="s">
        <v>106</v>
      </c>
      <c r="B34" s="9">
        <v>294424</v>
      </c>
      <c r="C34" s="9" t="s">
        <v>64</v>
      </c>
      <c r="D34" s="9"/>
      <c r="E34" s="10">
        <v>20</v>
      </c>
      <c r="F34" s="11"/>
      <c r="G34" s="11">
        <f>((12/12)*E34)/27</f>
        <v>0.7407407407407407</v>
      </c>
      <c r="H34" s="11"/>
      <c r="I34" s="11">
        <f>E34/9</f>
        <v>2.2222222222222223</v>
      </c>
      <c r="J34" s="12">
        <f t="shared" si="6"/>
        <v>2.2222222222222223</v>
      </c>
      <c r="K34" s="13"/>
      <c r="L34" s="13"/>
      <c r="M34" s="13"/>
      <c r="N34" s="16"/>
      <c r="O34" s="16"/>
      <c r="P34" s="15"/>
      <c r="Q34" s="27">
        <f t="shared" si="0"/>
        <v>73.466666666666669</v>
      </c>
    </row>
    <row r="35" spans="1:17" ht="18.5" x14ac:dyDescent="0.45">
      <c r="A35" s="10" t="s">
        <v>107</v>
      </c>
      <c r="B35" s="9">
        <v>298118</v>
      </c>
      <c r="C35" s="9" t="s">
        <v>64</v>
      </c>
      <c r="D35" s="9"/>
      <c r="E35" s="10">
        <v>64</v>
      </c>
      <c r="F35" s="11"/>
      <c r="G35" s="11">
        <f>((12/12)*E35)/27</f>
        <v>2.3703703703703702</v>
      </c>
      <c r="H35" s="11"/>
      <c r="I35" s="11">
        <f>E35/9</f>
        <v>7.1111111111111107</v>
      </c>
      <c r="J35" s="12">
        <f t="shared" si="6"/>
        <v>7.1111111111111107</v>
      </c>
      <c r="K35" s="13"/>
      <c r="L35" s="13"/>
      <c r="M35" s="13"/>
      <c r="N35" s="16"/>
      <c r="O35" s="16"/>
      <c r="P35" s="15"/>
      <c r="Q35" s="27">
        <f t="shared" si="0"/>
        <v>235.09333333333331</v>
      </c>
    </row>
    <row r="36" spans="1:17" ht="18.5" x14ac:dyDescent="0.45">
      <c r="A36" s="10" t="s">
        <v>108</v>
      </c>
      <c r="B36" s="9">
        <v>295207</v>
      </c>
      <c r="C36" s="9" t="s">
        <v>64</v>
      </c>
      <c r="D36" s="9"/>
      <c r="E36" s="10">
        <v>36</v>
      </c>
      <c r="F36" s="11"/>
      <c r="G36" s="11">
        <f>((12/12)*E36)/27</f>
        <v>1.3333333333333333</v>
      </c>
      <c r="H36" s="11"/>
      <c r="I36" s="11">
        <f>E36/9</f>
        <v>4</v>
      </c>
      <c r="J36" s="12">
        <f t="shared" si="6"/>
        <v>4</v>
      </c>
      <c r="K36" s="13"/>
      <c r="L36" s="13"/>
      <c r="M36" s="13"/>
      <c r="N36" s="14"/>
      <c r="O36" s="14"/>
      <c r="P36" s="15"/>
      <c r="Q36" s="27">
        <f t="shared" si="0"/>
        <v>132.24</v>
      </c>
    </row>
    <row r="37" spans="1:17" ht="18.5" x14ac:dyDescent="0.45">
      <c r="A37" s="10" t="s">
        <v>109</v>
      </c>
      <c r="B37" s="9">
        <v>298123</v>
      </c>
      <c r="C37" s="9" t="s">
        <v>64</v>
      </c>
      <c r="D37" s="9"/>
      <c r="E37" s="10">
        <f>28</f>
        <v>28</v>
      </c>
      <c r="F37" s="11"/>
      <c r="G37" s="11">
        <f>((12/12)*E37)/27</f>
        <v>1.037037037037037</v>
      </c>
      <c r="H37" s="11"/>
      <c r="I37" s="11">
        <f>E37/9</f>
        <v>3.1111111111111112</v>
      </c>
      <c r="J37" s="12">
        <f t="shared" si="6"/>
        <v>3.1111111111111112</v>
      </c>
      <c r="K37" s="13"/>
      <c r="L37" s="13"/>
      <c r="M37" s="13"/>
      <c r="N37" s="14">
        <f>(4*4)*55</f>
        <v>880</v>
      </c>
      <c r="O37" s="14" t="s">
        <v>65</v>
      </c>
      <c r="P37" s="15"/>
      <c r="Q37" s="27">
        <f t="shared" si="0"/>
        <v>982.85333333333335</v>
      </c>
    </row>
    <row r="38" spans="1:17" x14ac:dyDescent="0.45">
      <c r="Q38" s="4"/>
    </row>
    <row r="39" spans="1:17" x14ac:dyDescent="0.45">
      <c r="B39" s="5" t="s">
        <v>66</v>
      </c>
      <c r="C39" t="s">
        <v>67</v>
      </c>
      <c r="D39"/>
      <c r="Q39" s="4"/>
    </row>
    <row r="40" spans="1:17" x14ac:dyDescent="0.45">
      <c r="B40" s="6" t="s">
        <v>68</v>
      </c>
      <c r="C40" s="7">
        <v>2773.4694444444449</v>
      </c>
      <c r="D40"/>
      <c r="Q40" s="4"/>
    </row>
    <row r="41" spans="1:17" x14ac:dyDescent="0.45">
      <c r="B41" s="8" t="s">
        <v>69</v>
      </c>
      <c r="C41" s="7">
        <v>2773.4694444444449</v>
      </c>
      <c r="D41"/>
      <c r="Q41" s="4"/>
    </row>
    <row r="42" spans="1:17" x14ac:dyDescent="0.45">
      <c r="B42" s="6" t="s">
        <v>70</v>
      </c>
      <c r="C42" s="7">
        <v>24920.105185185184</v>
      </c>
      <c r="D42"/>
      <c r="Q42" s="4"/>
    </row>
    <row r="43" spans="1:17" x14ac:dyDescent="0.45">
      <c r="B43" s="8">
        <v>3</v>
      </c>
      <c r="C43" s="7">
        <v>1602.5</v>
      </c>
      <c r="D43"/>
      <c r="Q43" s="4"/>
    </row>
    <row r="44" spans="1:17" x14ac:dyDescent="0.45">
      <c r="B44" s="8">
        <v>52</v>
      </c>
      <c r="C44" s="7">
        <v>22553.153333333332</v>
      </c>
      <c r="D44"/>
      <c r="Q44" s="4"/>
    </row>
    <row r="45" spans="1:17" x14ac:dyDescent="0.45">
      <c r="B45" s="8">
        <v>65</v>
      </c>
      <c r="C45" s="7">
        <v>764.45185185185187</v>
      </c>
      <c r="D45"/>
      <c r="Q45" s="4"/>
    </row>
    <row r="46" spans="1:17" x14ac:dyDescent="0.45">
      <c r="B46" s="6" t="s">
        <v>64</v>
      </c>
      <c r="C46" s="7">
        <v>1423.6533333333332</v>
      </c>
      <c r="D46"/>
      <c r="Q46" s="4"/>
    </row>
    <row r="47" spans="1:17" x14ac:dyDescent="0.45">
      <c r="B47" s="8" t="s">
        <v>69</v>
      </c>
      <c r="C47" s="7">
        <v>1423.6533333333332</v>
      </c>
      <c r="D47"/>
      <c r="Q47" s="4"/>
    </row>
    <row r="48" spans="1:17" x14ac:dyDescent="0.45">
      <c r="B48" s="6" t="s">
        <v>71</v>
      </c>
      <c r="C48" s="7">
        <v>29117.227962962959</v>
      </c>
      <c r="D48"/>
      <c r="Q48" s="4"/>
    </row>
    <row r="49" spans="2:17" x14ac:dyDescent="0.45">
      <c r="B49"/>
      <c r="C49"/>
      <c r="Q49" s="4"/>
    </row>
    <row r="50" spans="2:17" x14ac:dyDescent="0.45">
      <c r="B50"/>
      <c r="C50"/>
      <c r="Q50" s="4"/>
    </row>
    <row r="51" spans="2:17" x14ac:dyDescent="0.45">
      <c r="B51"/>
      <c r="C51"/>
      <c r="Q51" s="4"/>
    </row>
    <row r="52" spans="2:17" x14ac:dyDescent="0.45">
      <c r="B52"/>
      <c r="C52"/>
      <c r="Q52" s="4"/>
    </row>
    <row r="53" spans="2:17" x14ac:dyDescent="0.45">
      <c r="B53"/>
      <c r="C53"/>
      <c r="Q53" s="4"/>
    </row>
    <row r="54" spans="2:17" x14ac:dyDescent="0.45">
      <c r="B54"/>
      <c r="C54"/>
      <c r="Q54" s="4"/>
    </row>
    <row r="55" spans="2:17" x14ac:dyDescent="0.45">
      <c r="B55"/>
      <c r="C55"/>
      <c r="Q55" s="4"/>
    </row>
    <row r="56" spans="2:17" x14ac:dyDescent="0.45">
      <c r="Q56" s="4"/>
    </row>
    <row r="57" spans="2:17" x14ac:dyDescent="0.45">
      <c r="Q57" s="4"/>
    </row>
    <row r="58" spans="2:17" x14ac:dyDescent="0.45">
      <c r="Q58" s="4"/>
    </row>
    <row r="59" spans="2:17" x14ac:dyDescent="0.45">
      <c r="Q59" s="4"/>
    </row>
    <row r="60" spans="2:17" x14ac:dyDescent="0.45">
      <c r="Q60" s="4"/>
    </row>
    <row r="61" spans="2:17" x14ac:dyDescent="0.45">
      <c r="Q61" s="4"/>
    </row>
    <row r="62" spans="2:17" x14ac:dyDescent="0.45">
      <c r="Q62" s="4"/>
    </row>
    <row r="63" spans="2:17" x14ac:dyDescent="0.45">
      <c r="Q63" s="4"/>
    </row>
    <row r="64" spans="2:17" x14ac:dyDescent="0.45">
      <c r="Q64" s="4"/>
    </row>
    <row r="65" spans="17:17" x14ac:dyDescent="0.45">
      <c r="Q65" s="4"/>
    </row>
    <row r="66" spans="17:17" x14ac:dyDescent="0.45">
      <c r="Q66" s="4"/>
    </row>
    <row r="67" spans="17:17" x14ac:dyDescent="0.45">
      <c r="Q67" s="4"/>
    </row>
    <row r="68" spans="17:17" x14ac:dyDescent="0.45">
      <c r="Q68" s="4"/>
    </row>
    <row r="69" spans="17:17" x14ac:dyDescent="0.45">
      <c r="Q69" s="4"/>
    </row>
    <row r="70" spans="17:17" x14ac:dyDescent="0.45">
      <c r="Q70" s="4"/>
    </row>
    <row r="71" spans="17:17" x14ac:dyDescent="0.45">
      <c r="Q71" s="4"/>
    </row>
    <row r="72" spans="17:17" x14ac:dyDescent="0.45">
      <c r="Q72" s="4"/>
    </row>
    <row r="73" spans="17:17" x14ac:dyDescent="0.45">
      <c r="Q73" s="4"/>
    </row>
    <row r="74" spans="17:17" x14ac:dyDescent="0.45">
      <c r="Q74" s="4"/>
    </row>
    <row r="75" spans="17:17" x14ac:dyDescent="0.45">
      <c r="Q75" s="4"/>
    </row>
    <row r="76" spans="17:17" x14ac:dyDescent="0.45">
      <c r="Q76" s="4"/>
    </row>
    <row r="77" spans="17:17" x14ac:dyDescent="0.45">
      <c r="Q77" s="4"/>
    </row>
    <row r="78" spans="17:17" x14ac:dyDescent="0.45">
      <c r="Q78" s="4"/>
    </row>
    <row r="79" spans="17:17" x14ac:dyDescent="0.45">
      <c r="Q79" s="4"/>
    </row>
    <row r="80" spans="17:17" x14ac:dyDescent="0.45">
      <c r="Q80" s="4"/>
    </row>
    <row r="81" spans="17:17" x14ac:dyDescent="0.45">
      <c r="Q81" s="4"/>
    </row>
    <row r="82" spans="17:17" x14ac:dyDescent="0.45">
      <c r="Q82" s="4"/>
    </row>
    <row r="83" spans="17:17" x14ac:dyDescent="0.45">
      <c r="Q83" s="4"/>
    </row>
    <row r="84" spans="17:17" x14ac:dyDescent="0.45">
      <c r="Q84" s="4"/>
    </row>
    <row r="85" spans="17:17" x14ac:dyDescent="0.45">
      <c r="Q85" s="4"/>
    </row>
    <row r="86" spans="17:17" x14ac:dyDescent="0.45">
      <c r="Q86" s="4"/>
    </row>
  </sheetData>
  <sortState xmlns:xlrd2="http://schemas.microsoft.com/office/spreadsheetml/2017/richdata2" ref="B2:Q37">
    <sortCondition ref="C2:C37"/>
    <sortCondition ref="D2:D37"/>
  </sortState>
  <pageMargins left="0.25" right="0.25" top="0.75" bottom="0.75" header="0.3" footer="0.3"/>
  <pageSetup scale="57" fitToHeight="0" orientation="landscape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1529607-4249-4792-b3fc-5b66ece471a6">
      <Terms xmlns="http://schemas.microsoft.com/office/infopath/2007/PartnerControls"/>
    </lcf76f155ced4ddcb4097134ff3c332f>
    <TaxCatchAll xmlns="bf052ee1-ce9f-453f-bfc8-976136bcc2f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C5BAAB0141F14491C4D1CCC3933B72" ma:contentTypeVersion="19" ma:contentTypeDescription="Create a new document." ma:contentTypeScope="" ma:versionID="e1725f1148cdb7fa3ab5fc5298fd313b">
  <xsd:schema xmlns:xsd="http://www.w3.org/2001/XMLSchema" xmlns:xs="http://www.w3.org/2001/XMLSchema" xmlns:p="http://schemas.microsoft.com/office/2006/metadata/properties" xmlns:ns2="bf052ee1-ce9f-453f-bfc8-976136bcc2f7" xmlns:ns3="61529607-4249-4792-b3fc-5b66ece471a6" targetNamespace="http://schemas.microsoft.com/office/2006/metadata/properties" ma:root="true" ma:fieldsID="81838ce94051186eaa67b3c730cfc955" ns2:_="" ns3:_="">
    <xsd:import namespace="bf052ee1-ce9f-453f-bfc8-976136bcc2f7"/>
    <xsd:import namespace="61529607-4249-4792-b3fc-5b66ece471a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052ee1-ce9f-453f-bfc8-976136bcc2f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0a88748-7522-4114-a88a-07fa65d04d53}" ma:internalName="TaxCatchAll" ma:showField="CatchAllData" ma:web="bf052ee1-ce9f-453f-bfc8-976136bcc2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29607-4249-4792-b3fc-5b66ece47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8fc1e99-e0ca-4dcc-9808-f8dbd0d0d2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04A667-5FEE-4B77-98FE-E8D549FE40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154F00-D3F0-4257-B197-9C8877325276}">
  <ds:schemaRefs>
    <ds:schemaRef ds:uri="http://schemas.microsoft.com/office/2006/metadata/properties"/>
    <ds:schemaRef ds:uri="http://schemas.microsoft.com/office/infopath/2007/PartnerControls"/>
    <ds:schemaRef ds:uri="61529607-4249-4792-b3fc-5b66ece471a6"/>
    <ds:schemaRef ds:uri="bf052ee1-ce9f-453f-bfc8-976136bcc2f7"/>
  </ds:schemaRefs>
</ds:datastoreItem>
</file>

<file path=customXml/itemProps3.xml><?xml version="1.0" encoding="utf-8"?>
<ds:datastoreItem xmlns:ds="http://schemas.openxmlformats.org/officeDocument/2006/customXml" ds:itemID="{339F2EAB-5A0D-48BE-B4A6-02DBCD83C9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052ee1-ce9f-453f-bfc8-976136bcc2f7"/>
    <ds:schemaRef ds:uri="61529607-4249-4792-b3fc-5b66ece471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Detail1</vt:lpstr>
      <vt:lpstr>Detail2</vt:lpstr>
      <vt:lpstr>Detail3</vt:lpstr>
      <vt:lpstr>Detail4</vt:lpstr>
      <vt:lpstr>Batch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Ashleigh Ellingsworth</dc:creator>
  <cp:keywords/>
  <dc:description/>
  <cp:lastModifiedBy>Hallock, Benjamin</cp:lastModifiedBy>
  <cp:revision/>
  <dcterms:created xsi:type="dcterms:W3CDTF">2025-05-13T17:42:55Z</dcterms:created>
  <dcterms:modified xsi:type="dcterms:W3CDTF">2025-06-04T20:21:58Z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0x010100C7C5BAAB0141F14491C4D1CCC3933B72</vt:lpwstr>
  </property>
</Properties>
</file>