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FG" sheetId="1" r:id="rId3"/>
    <sheet state="hidden" name="web_scraping" sheetId="2" r:id="rId4"/>
  </sheets>
  <definedNames>
    <definedName name="Logs">LFG!$L$6:$Y$74</definedName>
    <definedName name="Times_Long">LFG!$H$6:$H$280</definedName>
    <definedName name="WCL_Overall">LFG!$K$6:$K$74</definedName>
    <definedName name="Specs_Long">LFG!$J$6:$J$280</definedName>
    <definedName name="Names">LFG!$C$6:$C$74</definedName>
    <definedName name="Updates">LFG!$AA$6:$AA$74</definedName>
    <definedName name="Guilds">LFG!$D$6:$D$74</definedName>
    <definedName name="Specs">LFG!$J$6:$J$74</definedName>
    <definedName name="Items_Long">LFG!$G$6:$G$280</definedName>
    <definedName name="Times">LFG!$H$6:$H$74</definedName>
    <definedName name="Realms_Long">LFG!$E$6:$E$280</definedName>
    <definedName name="Names_Long">LFG!$C$6:$C$280</definedName>
    <definedName name="Guilds_Long">LFG!$D$6:$D$280</definedName>
    <definedName name="Realms">LFG!$E$6:$E$74</definedName>
    <definedName name="Item_levels">LFG!$G$6:$G$74</definedName>
    <definedName hidden="1" localSheetId="0" name="Z_AF8ACF72_2AFA_412B_AB41_0B168D97A800_.wvu.FilterData">LFG!$C$5:$Y$74</definedName>
    <definedName hidden="1" localSheetId="0" name="Z_C8AD01DC_FB25_4BD3_A2D6_272D1E1C7E06_.wvu.FilterData">LFG!$C$5:$Y$74</definedName>
    <definedName hidden="1" localSheetId="0" name="Z_66025DA8_ADDE_47E6_A323_E28371BBAD20_.wvu.FilterData">LFG!$C$5:$Y$74</definedName>
  </definedNames>
  <calcPr/>
  <customWorkbookViews>
    <customWorkbookView activeSheetId="0" maximized="1" tabRatio="600" windowHeight="0" windowWidth="0" guid="{C8AD01DC-FB25-4BD3-A2D6-272D1E1C7E06}" name="Percentile per spec"/>
    <customWorkbookView activeSheetId="0" maximized="1" tabRatio="600" windowHeight="0" windowWidth="0" guid="{AF8ACF72-2AFA-412B-AB41-0B168D97A800}" name="Percentile"/>
    <customWorkbookView activeSheetId="0" maximized="1" tabRatio="600" windowHeight="0" windowWidth="0" guid="{66025DA8-ADDE-47E6-A323-E28371BBAD20}" name="Item Level"/>
  </customWorkbookViews>
</workbook>
</file>

<file path=xl/sharedStrings.xml><?xml version="1.0" encoding="utf-8"?>
<sst xmlns="http://schemas.openxmlformats.org/spreadsheetml/2006/main" count="34" uniqueCount="31">
  <si>
    <t>Class</t>
  </si>
  <si>
    <t>Timestamp</t>
  </si>
  <si>
    <t>Difficulty</t>
  </si>
  <si>
    <t>Partition</t>
  </si>
  <si>
    <t>Bosses</t>
  </si>
  <si>
    <t>Errors:</t>
  </si>
  <si>
    <t>None</t>
  </si>
  <si>
    <t>Mythic</t>
  </si>
  <si>
    <t>Entries in status</t>
  </si>
  <si>
    <t>Base</t>
  </si>
  <si>
    <t>HID:</t>
  </si>
  <si>
    <t>Hidden logs.</t>
  </si>
  <si>
    <t>IMP:</t>
  </si>
  <si>
    <t>Import error, Invalid name/server/region/partition specified.</t>
  </si>
  <si>
    <t>Update</t>
  </si>
  <si>
    <t>Import Errors:</t>
  </si>
  <si>
    <t>Function executing</t>
  </si>
  <si>
    <t>Progress:</t>
  </si>
  <si>
    <t>Use Filter View ^ to filter easily</t>
  </si>
  <si>
    <t>ERR:</t>
  </si>
  <si>
    <t>Empty data or no logs (JSON or Name/realm field).</t>
  </si>
  <si>
    <t>Name</t>
  </si>
  <si>
    <t>Guild</t>
  </si>
  <si>
    <t>Realm</t>
  </si>
  <si>
    <t>Item level</t>
  </si>
  <si>
    <t>Time</t>
  </si>
  <si>
    <t>Spec</t>
  </si>
  <si>
    <t>Overall</t>
  </si>
  <si>
    <t>Endrow</t>
  </si>
  <si>
    <t>STATUS</t>
  </si>
  <si>
    <t>Do not edit below very hardcoded:</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</si>
</sst>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font>
    <font>
      <sz val="10.0"/>
    </font>
    <font>
      <sz val="6.0"/>
      <color rgb="FFFFFFFF"/>
    </font>
    <font/>
    <font>
      <b/>
      <sz val="10.0"/>
      <color rgb="FF000000"/>
    </font>
    <font>
      <b/>
      <sz val="18.0"/>
      <color rgb="FF000000"/>
      <name val="Source Code Pro"/>
    </font>
    <font>
      <sz val="10.0"/>
      <color rgb="FF000000"/>
    </font>
    <font>
      <name val="Arial"/>
    </font>
    <font>
      <color rgb="FF000000"/>
      <name val="Arial"/>
    </font>
    <font>
      <sz val="9.0"/>
      <color rgb="FF000000"/>
    </font>
    <font>
      <b/>
      <color rgb="FF000000"/>
      <name val="Arial"/>
    </font>
    <font>
      <sz val="11.0"/>
    </font>
    <font>
      <b/>
      <sz val="10.0"/>
    </font>
    <font>
      <b/>
      <sz val="8.0"/>
      <color rgb="FF000000"/>
    </font>
    <font>
      <b/>
      <sz val="10.0"/>
      <color rgb="FFFF0000"/>
    </font>
    <font>
      <u/>
      <sz val="10.0"/>
      <color rgb="FF000000"/>
    </font>
    <font>
      <color rgb="FFFFFFFF"/>
    </font>
    <font>
      <b/>
      <color rgb="FF000000"/>
    </font>
    <font>
      <sz val="11.0"/>
      <color rgb="FFF7981D"/>
    </font>
    <font>
      <color rgb="FF000000"/>
    </font>
    <font>
      <b/>
      <color rgb="FFFF0000"/>
    </font>
    <font>
      <b/>
      <color rgb="FFFFFFFF"/>
    </font>
  </fonts>
  <fills count="18">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CCCCCC"/>
        <bgColor rgb="FFCCCCCC"/>
      </patternFill>
    </fill>
    <fill>
      <patternFill patternType="solid">
        <fgColor rgb="FF999999"/>
        <bgColor rgb="FF999999"/>
      </patternFill>
    </fill>
    <fill>
      <patternFill patternType="solid">
        <fgColor rgb="FFEFEFEF"/>
        <bgColor rgb="FFEFEFEF"/>
      </patternFill>
    </fill>
    <fill>
      <patternFill patternType="solid">
        <fgColor rgb="FF980000"/>
        <bgColor rgb="FF980000"/>
      </patternFill>
    </fill>
    <fill>
      <patternFill patternType="solid">
        <fgColor rgb="FF9900FF"/>
        <bgColor rgb="FF9900FF"/>
      </patternFill>
    </fill>
    <fill>
      <patternFill patternType="solid">
        <fgColor rgb="FFFF9900"/>
        <bgColor rgb="FFFF9900"/>
      </patternFill>
    </fill>
    <fill>
      <patternFill patternType="solid">
        <fgColor rgb="FF6AA84F"/>
        <bgColor rgb="FF6AA84F"/>
      </patternFill>
    </fill>
    <fill>
      <patternFill patternType="solid">
        <fgColor rgb="FF4A86E8"/>
        <bgColor rgb="FF4A86E8"/>
      </patternFill>
    </fill>
    <fill>
      <patternFill patternType="solid">
        <fgColor rgb="FF00FF00"/>
        <bgColor rgb="FF00FF00"/>
      </patternFill>
    </fill>
    <fill>
      <patternFill patternType="solid">
        <fgColor rgb="FFEA9999"/>
        <bgColor rgb="FFEA9999"/>
      </patternFill>
    </fill>
    <fill>
      <patternFill patternType="solid">
        <fgColor rgb="FFFFD966"/>
        <bgColor rgb="FFFFD966"/>
      </patternFill>
    </fill>
    <fill>
      <patternFill patternType="solid">
        <fgColor rgb="FF1155CC"/>
        <bgColor rgb="FF1155CC"/>
      </patternFill>
    </fill>
    <fill>
      <patternFill patternType="solid">
        <fgColor rgb="FF8E7CC3"/>
        <bgColor rgb="FF8E7CC3"/>
      </patternFill>
    </fill>
    <fill>
      <patternFill patternType="solid">
        <fgColor rgb="FFBF9000"/>
        <bgColor rgb="FFBF9000"/>
      </patternFill>
    </fill>
  </fills>
  <borders count="14">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bottom style="thin">
        <color rgb="FF000000"/>
      </bottom>
    </border>
    <border>
      <right style="thin">
        <color rgb="FF000000"/>
      </right>
      <bottom style="thin">
        <color rgb="FF000000"/>
      </bottom>
    </border>
    <border>
      <left style="thin">
        <color rgb="FF000000"/>
      </left>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right"/>
    </xf>
    <xf borderId="0" fillId="0" fontId="3" numFmtId="0" xfId="0" applyFont="1"/>
    <xf borderId="1" fillId="0" fontId="4" numFmtId="0" xfId="0" applyAlignment="1" applyBorder="1" applyFont="1">
      <alignment readingOrder="0"/>
    </xf>
    <xf borderId="2" fillId="2" fontId="4" numFmtId="0" xfId="0" applyAlignment="1" applyBorder="1" applyFill="1" applyFont="1">
      <alignment horizontal="left"/>
    </xf>
    <xf borderId="0" fillId="3" fontId="5" numFmtId="0" xfId="0" applyAlignment="1" applyFill="1" applyFont="1">
      <alignment horizontal="center" readingOrder="0" vertical="center"/>
    </xf>
    <xf borderId="3" fillId="2" fontId="4" numFmtId="0" xfId="0" applyAlignment="1" applyBorder="1" applyFont="1">
      <alignment horizontal="left"/>
    </xf>
    <xf borderId="3" fillId="2" fontId="4" numFmtId="0" xfId="0" applyBorder="1" applyFont="1"/>
    <xf borderId="2" fillId="3" fontId="6" numFmtId="0" xfId="0" applyAlignment="1" applyBorder="1" applyFont="1">
      <alignment horizontal="center" readingOrder="0" vertical="center"/>
    </xf>
    <xf borderId="4" fillId="0" fontId="4" numFmtId="0" xfId="0" applyBorder="1" applyFont="1"/>
    <xf borderId="4" fillId="2" fontId="4" numFmtId="0" xfId="0" applyBorder="1" applyFont="1"/>
    <xf borderId="0" fillId="3" fontId="7" numFmtId="0" xfId="0" applyAlignment="1" applyFont="1">
      <alignment horizontal="center" readingOrder="0" vertical="center"/>
    </xf>
    <xf borderId="0" fillId="0" fontId="7" numFmtId="0" xfId="0" applyAlignment="1" applyFont="1">
      <alignment horizontal="center" readingOrder="0"/>
    </xf>
    <xf borderId="0" fillId="3" fontId="7" numFmtId="0" xfId="0" applyAlignment="1" applyFont="1">
      <alignment horizontal="right" readingOrder="0" vertical="center"/>
    </xf>
    <xf borderId="0" fillId="0" fontId="4" numFmtId="0" xfId="0" applyAlignment="1" applyFont="1">
      <alignment horizontal="center"/>
    </xf>
    <xf borderId="0" fillId="0" fontId="8" numFmtId="0" xfId="0" applyAlignment="1" applyFont="1">
      <alignment vertical="bottom"/>
    </xf>
    <xf borderId="5" fillId="2" fontId="7" numFmtId="0" xfId="0" applyAlignment="1" applyBorder="1" applyFont="1">
      <alignment horizontal="center" readingOrder="0" vertical="center"/>
    </xf>
    <xf borderId="0" fillId="0" fontId="8" numFmtId="0" xfId="0" applyAlignment="1" applyFont="1">
      <alignment horizontal="right" vertical="bottom"/>
    </xf>
    <xf borderId="6" fillId="0" fontId="4" numFmtId="0" xfId="0" applyBorder="1" applyFont="1"/>
    <xf borderId="7" fillId="0" fontId="4" numFmtId="0" xfId="0" applyBorder="1" applyFont="1"/>
    <xf borderId="0" fillId="3" fontId="9" numFmtId="0" xfId="0" applyAlignment="1" applyFont="1">
      <alignment horizontal="center" readingOrder="0"/>
    </xf>
    <xf borderId="8" fillId="0" fontId="8" numFmtId="0" xfId="0" applyAlignment="1" applyBorder="1" applyFont="1">
      <alignment shrinkToFit="0" vertical="bottom" wrapText="0"/>
    </xf>
    <xf borderId="0" fillId="3" fontId="5" numFmtId="0" xfId="0" applyAlignment="1" applyFont="1">
      <alignment horizontal="right" readingOrder="0" vertical="center"/>
    </xf>
    <xf borderId="0" fillId="3" fontId="7" numFmtId="0" xfId="0" applyAlignment="1" applyFont="1">
      <alignment horizontal="left" readingOrder="0" vertical="center"/>
    </xf>
    <xf borderId="0" fillId="0" fontId="9" numFmtId="0" xfId="0" applyAlignment="1" applyFont="1">
      <alignment vertical="bottom"/>
    </xf>
    <xf borderId="0" fillId="3" fontId="5" numFmtId="0" xfId="0" applyAlignment="1" applyFont="1">
      <alignment horizontal="center" readingOrder="0" shrinkToFit="0" vertical="bottom" wrapText="1"/>
    </xf>
    <xf borderId="0" fillId="3" fontId="5" numFmtId="0" xfId="0" applyAlignment="1" applyFont="1">
      <alignment horizontal="right" readingOrder="0" shrinkToFit="0" vertical="bottom" wrapText="1"/>
    </xf>
    <xf borderId="9" fillId="0" fontId="4" numFmtId="0" xfId="0" applyBorder="1" applyFont="1"/>
    <xf borderId="10" fillId="0" fontId="4" numFmtId="0" xfId="0" applyBorder="1" applyFont="1"/>
    <xf borderId="0" fillId="4" fontId="5" numFmtId="0" xfId="0" applyAlignment="1" applyFill="1" applyFont="1">
      <alignment horizontal="center" readingOrder="0" vertical="center"/>
    </xf>
    <xf borderId="0" fillId="0" fontId="7" numFmtId="0" xfId="0" applyFont="1"/>
    <xf borderId="0" fillId="0" fontId="1" numFmtId="0" xfId="0" applyAlignment="1" applyFont="1">
      <alignment readingOrder="0"/>
    </xf>
    <xf borderId="11" fillId="2" fontId="4" numFmtId="0" xfId="0" applyAlignment="1" applyBorder="1" applyFont="1">
      <alignment horizontal="left" readingOrder="0"/>
    </xf>
    <xf borderId="0" fillId="3" fontId="10" numFmtId="0" xfId="0" applyAlignment="1" applyFont="1">
      <alignment horizontal="center" readingOrder="0" vertical="center"/>
    </xf>
    <xf borderId="0" fillId="2" fontId="4" numFmtId="0" xfId="0" applyAlignment="1" applyFont="1">
      <alignment horizontal="left"/>
    </xf>
    <xf borderId="0" fillId="4" fontId="11" numFmtId="0" xfId="0" applyAlignment="1" applyFont="1">
      <alignment horizontal="center" readingOrder="0"/>
    </xf>
    <xf borderId="0" fillId="2" fontId="4" numFmtId="0" xfId="0" applyFont="1"/>
    <xf borderId="11" fillId="3" fontId="7" numFmtId="0" xfId="0" applyAlignment="1" applyBorder="1" applyFont="1">
      <alignment horizontal="center" readingOrder="0" vertical="center"/>
    </xf>
    <xf borderId="1" fillId="2" fontId="4" numFmtId="0" xfId="0" applyBorder="1" applyFont="1"/>
    <xf borderId="0" fillId="3" fontId="5" numFmtId="0" xfId="0" applyAlignment="1" applyFont="1">
      <alignment horizontal="center" vertical="center"/>
    </xf>
    <xf borderId="0" fillId="3" fontId="5" numFmtId="0" xfId="0" applyAlignment="1" applyFont="1">
      <alignment horizontal="center" readingOrder="0" vertical="center"/>
    </xf>
    <xf borderId="0" fillId="0" fontId="12" numFmtId="0" xfId="0" applyAlignment="1" applyFont="1">
      <alignment readingOrder="0"/>
    </xf>
    <xf borderId="0" fillId="3" fontId="5" numFmtId="0" xfId="0" applyAlignment="1" applyFont="1">
      <alignment horizontal="right" vertical="center"/>
    </xf>
    <xf borderId="0" fillId="0" fontId="13" numFmtId="0" xfId="0" applyAlignment="1" applyFont="1">
      <alignment readingOrder="0"/>
    </xf>
    <xf borderId="0" fillId="0" fontId="4" numFmtId="0" xfId="0" applyAlignment="1" applyFont="1">
      <alignment readingOrder="0"/>
    </xf>
    <xf borderId="9" fillId="3" fontId="14" numFmtId="0" xfId="0" applyAlignment="1" applyBorder="1" applyFont="1">
      <alignment horizontal="right" readingOrder="0" vertical="center"/>
    </xf>
    <xf borderId="9" fillId="2" fontId="4" numFmtId="0" xfId="0" applyAlignment="1" applyBorder="1" applyFont="1">
      <alignment horizontal="left" readingOrder="0"/>
    </xf>
    <xf borderId="12" fillId="0" fontId="4" numFmtId="0" xfId="0" applyBorder="1" applyFont="1"/>
    <xf borderId="12" fillId="2" fontId="4" numFmtId="0" xfId="0" applyAlignment="1" applyBorder="1" applyFont="1">
      <alignment horizontal="left"/>
    </xf>
    <xf borderId="5" fillId="4" fontId="15" numFmtId="0" xfId="0" applyAlignment="1" applyBorder="1" applyFont="1">
      <alignment horizontal="left" readingOrder="0" vertical="center"/>
    </xf>
    <xf borderId="12" fillId="2" fontId="4" numFmtId="0" xfId="0" applyBorder="1" applyFont="1"/>
    <xf borderId="12" fillId="3" fontId="16" numFmtId="0" xfId="0" applyAlignment="1" applyBorder="1" applyFont="1">
      <alignment horizontal="left" readingOrder="0" vertical="center"/>
    </xf>
    <xf borderId="12" fillId="3" fontId="5" numFmtId="0" xfId="0" applyAlignment="1" applyBorder="1" applyFont="1">
      <alignment horizontal="center" vertical="center"/>
    </xf>
    <xf borderId="12" fillId="3" fontId="14" numFmtId="0" xfId="0" applyAlignment="1" applyBorder="1" applyFont="1">
      <alignment horizontal="right" readingOrder="0" vertical="center"/>
    </xf>
    <xf borderId="10" fillId="2" fontId="4" numFmtId="0" xfId="0" applyBorder="1" applyFont="1"/>
    <xf borderId="0" fillId="0" fontId="4" numFmtId="0" xfId="0" applyAlignment="1" applyFont="1">
      <alignment horizontal="center" readingOrder="0"/>
    </xf>
    <xf borderId="5" fillId="4" fontId="7" numFmtId="0" xfId="0" applyAlignment="1" applyBorder="1" applyFont="1">
      <alignment horizontal="left" readingOrder="0" vertical="bottom"/>
    </xf>
    <xf borderId="12" fillId="3" fontId="5" numFmtId="0" xfId="0" applyAlignment="1" applyBorder="1" applyFont="1">
      <alignment horizontal="center" readingOrder="0" vertical="center"/>
    </xf>
    <xf borderId="12" fillId="3" fontId="7" numFmtId="0" xfId="0" applyAlignment="1" applyBorder="1" applyFont="1">
      <alignment horizontal="center" readingOrder="0" vertical="center"/>
    </xf>
    <xf borderId="12" fillId="3" fontId="5" numFmtId="0" xfId="0" applyAlignment="1" applyBorder="1" applyFont="1">
      <alignment horizontal="right" readingOrder="0" vertical="center"/>
    </xf>
    <xf borderId="12" fillId="3" fontId="5" numFmtId="0" xfId="0" applyAlignment="1" applyBorder="1" applyFont="1">
      <alignment horizontal="right" vertical="center"/>
    </xf>
    <xf borderId="0" fillId="0" fontId="17" numFmtId="0" xfId="0" applyAlignment="1" applyFont="1">
      <alignment horizontal="left" readingOrder="0" vertical="center"/>
    </xf>
    <xf borderId="0" fillId="0" fontId="18" numFmtId="0" xfId="0" applyAlignment="1" applyFont="1">
      <alignment horizontal="left" vertical="center"/>
    </xf>
    <xf borderId="0" fillId="0" fontId="18" numFmtId="0" xfId="0" applyAlignment="1" applyFont="1">
      <alignment horizontal="center" readingOrder="0" vertical="center"/>
    </xf>
    <xf borderId="6" fillId="0" fontId="18" numFmtId="0" xfId="0" applyAlignment="1" applyBorder="1" applyFont="1">
      <alignment horizontal="center" readingOrder="0" vertical="center"/>
    </xf>
    <xf borderId="6" fillId="0" fontId="14" numFmtId="0" xfId="0" applyAlignment="1" applyBorder="1" applyFont="1">
      <alignment horizontal="center" readingOrder="0" vertical="center"/>
    </xf>
    <xf borderId="0" fillId="0" fontId="10" numFmtId="0" xfId="0" applyAlignment="1" applyFont="1">
      <alignment horizontal="center" readingOrder="0" vertical="center"/>
    </xf>
    <xf borderId="0" fillId="0" fontId="19" numFmtId="0" xfId="0" applyAlignment="1" applyFont="1">
      <alignment readingOrder="0"/>
    </xf>
    <xf borderId="0" fillId="0" fontId="1" numFmtId="0" xfId="0" applyAlignment="1" applyFont="1">
      <alignment horizontal="right" readingOrder="0"/>
    </xf>
    <xf borderId="0" fillId="0" fontId="19" numFmtId="0" xfId="0" applyFont="1"/>
    <xf borderId="0" fillId="0" fontId="1" numFmtId="0" xfId="0" applyAlignment="1" applyFont="1">
      <alignment horizontal="center"/>
    </xf>
    <xf borderId="0" fillId="0" fontId="18" numFmtId="0" xfId="0" applyAlignment="1" applyFont="1">
      <alignment horizontal="right" readingOrder="0" vertical="center"/>
    </xf>
    <xf borderId="0" fillId="0" fontId="20" numFmtId="0" xfId="0" applyAlignment="1" applyFont="1">
      <alignment horizontal="left" readingOrder="0" vertical="center"/>
    </xf>
    <xf borderId="13" fillId="4" fontId="5" numFmtId="0" xfId="0" applyAlignment="1" applyBorder="1" applyFont="1">
      <alignment horizontal="center" readingOrder="0"/>
    </xf>
    <xf borderId="0" fillId="5" fontId="21" numFmtId="0" xfId="0" applyAlignment="1" applyFill="1" applyFont="1">
      <alignment readingOrder="0"/>
    </xf>
    <xf borderId="5" fillId="4" fontId="1" numFmtId="0" xfId="0" applyAlignment="1" applyBorder="1" applyFont="1">
      <alignment horizontal="center" readingOrder="0" vertical="center"/>
    </xf>
    <xf borderId="0" fillId="5" fontId="4" numFmtId="0" xfId="0" applyFont="1"/>
    <xf borderId="13" fillId="4" fontId="1" numFmtId="0" xfId="0" applyAlignment="1" applyBorder="1" applyFont="1">
      <alignment horizontal="center" readingOrder="0" vertical="center"/>
    </xf>
    <xf borderId="12" fillId="5" fontId="4" numFmtId="0" xfId="0" applyBorder="1" applyFont="1"/>
    <xf borderId="12" fillId="5" fontId="12" numFmtId="0" xfId="0" applyAlignment="1" applyBorder="1" applyFont="1">
      <alignment readingOrder="0"/>
    </xf>
    <xf borderId="13" fillId="6" fontId="1" numFmtId="0" xfId="0" applyAlignment="1" applyBorder="1" applyFill="1" applyFont="1">
      <alignment horizontal="center" readingOrder="0"/>
    </xf>
    <xf borderId="12" fillId="5" fontId="8" numFmtId="0" xfId="0" applyAlignment="1" applyBorder="1" applyFont="1">
      <alignment vertical="bottom"/>
    </xf>
    <xf borderId="12" fillId="5" fontId="8" numFmtId="0" xfId="0" applyAlignment="1" applyBorder="1" applyFont="1">
      <alignment horizontal="right" vertical="bottom"/>
    </xf>
    <xf borderId="6" fillId="6" fontId="1" numFmtId="0" xfId="0" applyAlignment="1" applyBorder="1" applyFont="1">
      <alignment horizontal="center" readingOrder="0"/>
    </xf>
    <xf borderId="12" fillId="5" fontId="9" numFmtId="0" xfId="0" applyAlignment="1" applyBorder="1" applyFont="1">
      <alignment vertical="bottom"/>
    </xf>
    <xf borderId="6" fillId="6" fontId="18" numFmtId="0" xfId="0" applyAlignment="1" applyBorder="1" applyFont="1">
      <alignment horizontal="center" readingOrder="0"/>
    </xf>
    <xf borderId="7" fillId="6" fontId="1" numFmtId="0" xfId="0" applyAlignment="1" applyBorder="1" applyFont="1">
      <alignment horizontal="center" readingOrder="0"/>
    </xf>
    <xf borderId="0" fillId="0" fontId="1" numFmtId="20" xfId="0" applyAlignment="1" applyFont="1" applyNumberFormat="1">
      <alignment horizontal="center" readingOrder="0"/>
    </xf>
    <xf borderId="0" fillId="0" fontId="1" numFmtId="0" xfId="0" applyAlignment="1" applyFont="1">
      <alignment horizontal="center" readingOrder="0"/>
    </xf>
    <xf borderId="0" fillId="0" fontId="4" numFmtId="0" xfId="0" applyAlignment="1" applyFont="1">
      <alignment horizontal="left" readingOrder="0"/>
    </xf>
    <xf borderId="0" fillId="0" fontId="4" numFmtId="0" xfId="0" applyAlignment="1" applyFont="1">
      <alignment horizontal="left"/>
    </xf>
    <xf borderId="0" fillId="0" fontId="1" numFmtId="0" xfId="0" applyAlignment="1" applyFont="1">
      <alignment horizontal="right"/>
    </xf>
    <xf borderId="0" fillId="0" fontId="3" numFmtId="0" xfId="0" applyAlignment="1" applyFont="1">
      <alignment readingOrder="0"/>
    </xf>
    <xf borderId="0" fillId="7" fontId="4" numFmtId="0" xfId="0" applyFill="1" applyFont="1"/>
    <xf borderId="0" fillId="8" fontId="4" numFmtId="0" xfId="0" applyFill="1" applyFont="1"/>
    <xf borderId="0" fillId="9" fontId="4" numFmtId="0" xfId="0" applyFill="1" applyFont="1"/>
    <xf borderId="0" fillId="10" fontId="4" numFmtId="0" xfId="0" applyFill="1" applyFont="1"/>
    <xf borderId="0" fillId="0" fontId="8" numFmtId="0" xfId="0" applyAlignment="1" applyFont="1">
      <alignment vertical="bottom"/>
    </xf>
    <xf borderId="0" fillId="11" fontId="8" numFmtId="0" xfId="0" applyAlignment="1" applyFill="1" applyFont="1">
      <alignment vertical="bottom"/>
    </xf>
    <xf borderId="0" fillId="12" fontId="8" numFmtId="0" xfId="0" applyAlignment="1" applyFill="1" applyFont="1">
      <alignment vertical="bottom"/>
    </xf>
    <xf borderId="0" fillId="13" fontId="8" numFmtId="0" xfId="0" applyAlignment="1" applyFill="1" applyFont="1">
      <alignment vertical="bottom"/>
    </xf>
    <xf borderId="0" fillId="6" fontId="8" numFmtId="0" xfId="0" applyAlignment="1" applyFont="1">
      <alignment vertical="bottom"/>
    </xf>
    <xf borderId="0" fillId="14" fontId="8" numFmtId="0" xfId="0" applyAlignment="1" applyFill="1" applyFont="1">
      <alignment vertical="bottom"/>
    </xf>
    <xf borderId="0" fillId="15" fontId="8" numFmtId="0" xfId="0" applyAlignment="1" applyFill="1" applyFont="1">
      <alignment vertical="bottom"/>
    </xf>
    <xf borderId="0" fillId="16" fontId="8" numFmtId="0" xfId="0" applyAlignment="1" applyFill="1" applyFont="1">
      <alignment vertical="bottom"/>
    </xf>
    <xf borderId="0" fillId="17" fontId="8" numFmtId="0" xfId="0" applyAlignment="1" applyFill="1" applyFont="1">
      <alignment vertical="bottom"/>
    </xf>
    <xf borderId="0" fillId="0" fontId="8" numFmtId="0" xfId="0" applyAlignment="1" applyFont="1">
      <alignment horizontal="right" readingOrder="0" vertical="bottom"/>
    </xf>
    <xf borderId="0" fillId="0" fontId="8" numFmtId="0" xfId="0" applyAlignment="1" applyFont="1">
      <alignment horizontal="right" vertical="bottom"/>
    </xf>
    <xf borderId="6" fillId="6" fontId="1" numFmtId="0" xfId="0" applyAlignment="1" applyBorder="1" applyFont="1">
      <alignment horizontal="center" readingOrder="0"/>
    </xf>
    <xf borderId="6" fillId="6" fontId="1" numFmtId="0" xfId="0" applyAlignment="1" applyBorder="1" applyFont="1">
      <alignment horizontal="center"/>
    </xf>
    <xf borderId="0" fillId="0" fontId="8" numFmtId="0" xfId="0" applyAlignment="1" applyFont="1">
      <alignment vertical="bottom"/>
    </xf>
    <xf borderId="0" fillId="11" fontId="8" numFmtId="0" xfId="0" applyAlignment="1" applyFont="1">
      <alignment vertical="bottom"/>
    </xf>
    <xf borderId="0" fillId="12" fontId="8" numFmtId="0" xfId="0" applyAlignment="1" applyFont="1">
      <alignment vertical="bottom"/>
    </xf>
    <xf borderId="0" fillId="13" fontId="8" numFmtId="0" xfId="0" applyAlignment="1" applyFont="1">
      <alignment vertical="bottom"/>
    </xf>
    <xf borderId="0" fillId="6" fontId="8" numFmtId="0" xfId="0" applyAlignment="1" applyFont="1">
      <alignment vertical="bottom"/>
    </xf>
    <xf borderId="0" fillId="0" fontId="9" numFmtId="0" xfId="0" applyAlignment="1" applyFont="1">
      <alignment vertical="bottom"/>
    </xf>
    <xf borderId="0" fillId="14" fontId="8" numFmtId="0" xfId="0" applyAlignment="1" applyFont="1">
      <alignment vertical="bottom"/>
    </xf>
    <xf borderId="0" fillId="15" fontId="8" numFmtId="0" xfId="0" applyAlignment="1" applyFont="1">
      <alignment vertical="bottom"/>
    </xf>
    <xf borderId="0" fillId="16" fontId="8" numFmtId="0" xfId="0" applyAlignment="1" applyFont="1">
      <alignment vertical="bottom"/>
    </xf>
    <xf borderId="0" fillId="17" fontId="8" numFmtId="0" xfId="0" applyAlignment="1" applyFont="1">
      <alignment vertical="bottom"/>
    </xf>
    <xf borderId="0" fillId="0" fontId="5" numFmtId="0" xfId="0" applyAlignment="1" applyFont="1">
      <alignment horizontal="center" readingOrder="0"/>
    </xf>
    <xf borderId="0" fillId="0" fontId="1" numFmtId="0" xfId="0" applyAlignment="1" applyFont="1">
      <alignment horizontal="center" readingOrder="0" vertical="center"/>
    </xf>
    <xf borderId="0" fillId="0" fontId="22" numFmtId="0" xfId="0" applyAlignment="1" applyFont="1">
      <alignment horizontal="center"/>
    </xf>
    <xf borderId="0" fillId="0" fontId="8" numFmtId="0" xfId="0" applyAlignment="1" applyFont="1">
      <alignment shrinkToFit="0" vertical="bottom" wrapText="0"/>
    </xf>
    <xf borderId="8" fillId="0" fontId="8" numFmtId="0" xfId="0" applyAlignment="1" applyBorder="1" applyFont="1">
      <alignment shrinkToFit="0" vertical="bottom" wrapText="0"/>
    </xf>
    <xf borderId="0" fillId="8" fontId="8" numFmtId="0" xfId="0" applyAlignment="1" applyFont="1">
      <alignment vertical="bottom"/>
    </xf>
    <xf borderId="0" fillId="8" fontId="8" numFmtId="0" xfId="0" applyAlignment="1" applyFont="1">
      <alignment vertical="bottom"/>
    </xf>
  </cellXfs>
  <cellStyles count="1">
    <cellStyle xfId="0" name="Normal" builtinId="0"/>
  </cellStyles>
  <dxfs count="10">
    <dxf>
      <font>
        <color rgb="FFF1C232"/>
      </font>
      <fill>
        <patternFill patternType="none"/>
      </fill>
      <border/>
    </dxf>
    <dxf>
      <font>
        <color rgb="FFFF8000"/>
      </font>
      <fill>
        <patternFill patternType="none"/>
      </fill>
      <border/>
    </dxf>
    <dxf>
      <font>
        <color rgb="FFA335EE"/>
      </font>
      <fill>
        <patternFill patternType="none"/>
      </fill>
      <border/>
    </dxf>
    <dxf>
      <font>
        <color rgb="FF0070DD"/>
      </font>
      <fill>
        <patternFill patternType="none"/>
      </fill>
      <border/>
    </dxf>
    <dxf>
      <font>
        <color rgb="FF19DB00"/>
      </font>
      <fill>
        <patternFill patternType="none"/>
      </fill>
      <border/>
    </dxf>
    <dxf>
      <font>
        <color rgb="FF666666"/>
      </font>
      <fill>
        <patternFill patternType="none"/>
      </fill>
      <border/>
    </dxf>
    <dxf>
      <font/>
      <fill>
        <patternFill patternType="solid">
          <fgColor rgb="FFF4C7C3"/>
          <bgColor rgb="FFF4C7C3"/>
        </patternFill>
      </fill>
      <border/>
    </dxf>
    <dxf>
      <font/>
      <fill>
        <patternFill patternType="solid">
          <fgColor rgb="FFFFF2CC"/>
          <bgColor rgb="FFFFF2CC"/>
        </patternFill>
      </fill>
      <border/>
    </dxf>
    <dxf>
      <font>
        <color rgb="FF0B8043"/>
      </font>
      <fill>
        <patternFill patternType="none"/>
      </fill>
      <border/>
    </dxf>
    <dxf>
      <font>
        <b/>
        <color rgb="FFC5392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28575</xdr:colOff>
      <xdr:row>0</xdr:row>
      <xdr:rowOff>0</xdr:rowOff>
    </xdr:from>
    <xdr:ext cx="1638300" cy="390525"/>
    <xdr:sp>
      <xdr:nvSpPr>
        <xdr:cNvPr id="3" name="Shape 3"/>
        <xdr:cNvSpPr txBox="1"/>
      </xdr:nvSpPr>
      <xdr:spPr>
        <a:xfrm>
          <a:off x="2162175" y="742950"/>
          <a:ext cx="1485900" cy="8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2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29"/>
    <col customWidth="1" min="2" max="2" width="3.71"/>
    <col customWidth="1" min="3" max="3" width="22.14"/>
    <col customWidth="1" min="4" max="4" width="22.86"/>
    <col customWidth="1" min="5" max="5" width="10.86"/>
    <col customWidth="1" min="6" max="9" width="11.29"/>
    <col customWidth="1" min="10" max="10" width="15.71"/>
    <col customWidth="1" min="11" max="25" width="11.29"/>
    <col customWidth="1" min="26" max="26" width="3.0"/>
    <col customWidth="1" min="27" max="27" width="7.57"/>
    <col customWidth="1" hidden="1" min="28" max="28" width="16.0"/>
    <col customWidth="1" hidden="1" min="29" max="44" width="9.14"/>
  </cols>
  <sheetData>
    <row r="1" ht="16.5" customHeight="1">
      <c r="A1" s="6"/>
      <c r="B1" s="9" t="str">
        <f>IF(web_scraping!C3 = 1, "fetching..", "&lt;fetch&gt;")
</f>
        <v>&lt;fetch&gt;</v>
      </c>
      <c r="C1" s="10"/>
      <c r="D1" s="6"/>
      <c r="E1" s="12" t="s">
        <v>0</v>
      </c>
      <c r="G1" s="6"/>
      <c r="H1" s="12" t="s">
        <v>2</v>
      </c>
      <c r="J1" s="14"/>
      <c r="K1" s="17"/>
      <c r="L1" s="19"/>
      <c r="M1" s="20"/>
      <c r="N1" s="12"/>
      <c r="O1" s="21" t="s">
        <v>3</v>
      </c>
      <c r="Q1" s="12"/>
      <c r="R1" s="12" t="s">
        <v>4</v>
      </c>
      <c r="T1" s="6"/>
      <c r="U1" s="23" t="s">
        <v>5</v>
      </c>
      <c r="V1" s="24"/>
      <c r="W1" s="6"/>
      <c r="X1" s="6"/>
      <c r="Y1" s="6"/>
      <c r="Z1" s="26"/>
      <c r="AA1" s="26"/>
      <c r="AB1" s="26"/>
      <c r="AC1" s="26"/>
      <c r="AD1" s="27"/>
      <c r="AE1" s="26"/>
      <c r="AF1" s="26"/>
      <c r="AG1" s="26"/>
      <c r="AH1" s="26"/>
      <c r="AI1" s="26"/>
      <c r="AJ1" s="26"/>
      <c r="AK1" s="26"/>
      <c r="AL1" s="26"/>
      <c r="AM1" s="26"/>
      <c r="AN1" s="26"/>
      <c r="AO1" s="26"/>
      <c r="AP1" s="26"/>
      <c r="AQ1" s="26"/>
      <c r="AR1" s="26"/>
    </row>
    <row r="2" ht="16.5" customHeight="1">
      <c r="A2" s="6"/>
      <c r="B2" s="28"/>
      <c r="C2" s="29"/>
      <c r="D2" s="6"/>
      <c r="E2" s="30" t="s">
        <v>6</v>
      </c>
      <c r="G2" s="6"/>
      <c r="H2" s="30" t="s">
        <v>7</v>
      </c>
      <c r="J2" s="6"/>
      <c r="K2" s="34" t="str">
        <f>IF(K1:M1 = "", "WARCRAFT LOGS API KEY MISSING", "Warcraft Logs API Key")
</f>
        <v>WARCRAFT LOGS API KEY MISSING</v>
      </c>
      <c r="N2" s="12"/>
      <c r="O2" s="36" t="s">
        <v>9</v>
      </c>
      <c r="Q2" s="12"/>
      <c r="R2" s="30">
        <v>9.0</v>
      </c>
      <c r="T2" s="6"/>
      <c r="U2" s="23" t="s">
        <v>10</v>
      </c>
      <c r="V2" s="24" t="s">
        <v>11</v>
      </c>
      <c r="W2" s="6"/>
      <c r="X2" s="6"/>
      <c r="Y2" s="6"/>
      <c r="Z2" s="26"/>
      <c r="AA2" s="26"/>
      <c r="AB2" s="26"/>
      <c r="AC2" s="26"/>
      <c r="AD2" s="27"/>
      <c r="AE2" s="26"/>
      <c r="AF2" s="26"/>
      <c r="AG2" s="26"/>
      <c r="AH2" s="26"/>
      <c r="AI2" s="26"/>
      <c r="AJ2" s="26"/>
      <c r="AK2" s="26"/>
      <c r="AL2" s="26"/>
      <c r="AM2" s="26"/>
      <c r="AN2" s="26"/>
      <c r="AO2" s="26"/>
      <c r="AP2" s="26"/>
      <c r="AQ2" s="26"/>
      <c r="AR2" s="26"/>
    </row>
    <row r="3" ht="18.75" customHeight="1">
      <c r="A3" s="38"/>
      <c r="B3" s="6" t="str">
        <f>IF(K1 = "", "API Key needed.", "")</f>
        <v>API Key needed.</v>
      </c>
      <c r="D3" s="40"/>
      <c r="E3" s="40"/>
      <c r="F3" s="40"/>
      <c r="G3" s="40"/>
      <c r="H3" s="40"/>
      <c r="I3" s="40"/>
      <c r="J3" s="40"/>
      <c r="K3" s="40"/>
      <c r="L3" s="41"/>
      <c r="M3" s="6"/>
      <c r="N3" s="6"/>
      <c r="O3" s="6"/>
      <c r="P3" s="40"/>
      <c r="Q3" s="6"/>
      <c r="R3" s="6"/>
      <c r="S3" s="6"/>
      <c r="T3" s="6"/>
      <c r="U3" s="23" t="s">
        <v>12</v>
      </c>
      <c r="V3" s="24" t="s">
        <v>13</v>
      </c>
      <c r="W3" s="6"/>
      <c r="X3" s="6"/>
      <c r="Y3" s="6"/>
      <c r="Z3" s="40"/>
      <c r="AA3" s="40"/>
      <c r="AB3" s="40"/>
      <c r="AC3" s="40"/>
      <c r="AD3" s="43"/>
      <c r="AE3" s="40"/>
      <c r="AF3" s="40"/>
      <c r="AG3" s="40"/>
      <c r="AH3" s="40"/>
      <c r="AI3" s="40"/>
      <c r="AJ3" s="40"/>
      <c r="AK3" s="40"/>
      <c r="AL3" s="40"/>
      <c r="AM3" s="40"/>
      <c r="AN3" s="40"/>
      <c r="AO3" s="40"/>
      <c r="AP3" s="40"/>
      <c r="AQ3" s="40"/>
      <c r="AR3" s="40"/>
    </row>
    <row r="4" ht="18.75" customHeight="1">
      <c r="A4" s="46" t="s">
        <v>15</v>
      </c>
      <c r="B4" s="48"/>
      <c r="C4" s="50" t="str">
        <f>IFERROR(__xludf.DUMMYFUNCTION("IFERROR(CONCATENATE(FILTER(web_scraping!S1:BA1, web_scraping!S1:BA1&lt;&gt;"""")), ""None :-)"")"),"DH 2, Shaman 2, DK 3, ")</f>
        <v>DH 2, Shaman 2, DK 3, </v>
      </c>
      <c r="D4" s="20"/>
      <c r="E4" s="52" t="str">
        <f>HYPERLINK("https://i.imgur.com/ugcUHN3.png","note: retrieves the highest dps historical % not the highest historical % (API)")</f>
        <v>note: retrieves the highest dps historical % not the highest historical % (API)</v>
      </c>
      <c r="F4" s="53"/>
      <c r="G4" s="53"/>
      <c r="H4" s="53"/>
      <c r="I4" s="53"/>
      <c r="J4" s="53"/>
      <c r="K4" s="54" t="s">
        <v>17</v>
      </c>
      <c r="L4" s="48"/>
      <c r="M4" s="57" t="str">
        <f>REPT(char(406),(web_scraping!C2)/(web_scraping!C4)*100)&amp;round((web_scraping!C2/(web_scraping!C4)*100),2)&amp;"%"</f>
        <v>0%</v>
      </c>
      <c r="N4" s="19"/>
      <c r="O4" s="19"/>
      <c r="P4" s="19"/>
      <c r="Q4" s="20"/>
      <c r="R4" s="58"/>
      <c r="S4" s="59" t="s">
        <v>18</v>
      </c>
      <c r="T4" s="58"/>
      <c r="U4" s="23" t="s">
        <v>19</v>
      </c>
      <c r="V4" s="24" t="s">
        <v>20</v>
      </c>
      <c r="W4" s="6"/>
      <c r="X4" s="6"/>
      <c r="Y4" s="6"/>
      <c r="Z4" s="53"/>
      <c r="AA4" s="53"/>
      <c r="AB4" s="60"/>
      <c r="AC4" s="53"/>
      <c r="AD4" s="61"/>
      <c r="AE4" s="53"/>
      <c r="AF4" s="53"/>
      <c r="AG4" s="53"/>
      <c r="AH4" s="53"/>
      <c r="AI4" s="53"/>
      <c r="AJ4" s="53"/>
      <c r="AK4" s="53"/>
      <c r="AL4" s="53"/>
      <c r="AM4" s="53"/>
      <c r="AN4" s="53"/>
      <c r="AO4" s="53"/>
      <c r="AP4" s="53"/>
      <c r="AQ4" s="53"/>
      <c r="AR4" s="53"/>
    </row>
    <row r="5" ht="18.75" customHeight="1">
      <c r="A5" s="62"/>
      <c r="B5" s="63"/>
      <c r="C5" s="64" t="s">
        <v>21</v>
      </c>
      <c r="D5" s="64" t="s">
        <v>22</v>
      </c>
      <c r="E5" s="64" t="s">
        <v>23</v>
      </c>
      <c r="G5" s="64" t="s">
        <v>24</v>
      </c>
      <c r="H5" s="64" t="s">
        <v>25</v>
      </c>
      <c r="J5" s="64" t="s">
        <v>26</v>
      </c>
      <c r="K5" s="64" t="s">
        <v>27</v>
      </c>
      <c r="L5" s="64"/>
      <c r="M5" s="64"/>
      <c r="N5" s="64"/>
      <c r="O5" s="64"/>
      <c r="P5" s="64"/>
      <c r="Q5" s="64"/>
      <c r="R5" s="64"/>
      <c r="S5" s="64"/>
      <c r="T5" s="65"/>
      <c r="U5" s="65"/>
      <c r="V5" s="65"/>
      <c r="W5" s="65"/>
      <c r="X5" s="65"/>
      <c r="Y5" s="66"/>
      <c r="Z5" s="67"/>
      <c r="AA5" s="67" t="s">
        <v>29</v>
      </c>
      <c r="AB5" s="69"/>
      <c r="AC5" s="71"/>
      <c r="AD5" s="72"/>
      <c r="AE5" s="64"/>
      <c r="AF5" s="64"/>
      <c r="AG5" s="64"/>
      <c r="AH5" s="64"/>
      <c r="AI5" s="64"/>
      <c r="AJ5" s="64"/>
      <c r="AK5" s="64"/>
      <c r="AL5" s="64"/>
      <c r="AM5" s="64"/>
      <c r="AN5" s="64"/>
      <c r="AO5" s="64"/>
      <c r="AP5" s="64"/>
      <c r="AQ5" s="64"/>
      <c r="AR5" s="64"/>
    </row>
    <row r="6" ht="18.75" customHeight="1">
      <c r="A6" s="73"/>
      <c r="B6" s="71"/>
      <c r="C6" s="74"/>
      <c r="D6" s="74"/>
      <c r="E6" s="76"/>
      <c r="F6" s="20"/>
      <c r="G6" s="78"/>
      <c r="H6" s="76"/>
      <c r="I6" s="20"/>
      <c r="J6" s="81"/>
      <c r="K6" s="81" t="str">
        <f t="shared" ref="K6:K300" si="1">IFERROR(ROUND(AVERAGE(L6:Y6),0),"-")</f>
        <v>-</v>
      </c>
      <c r="L6" s="84"/>
      <c r="M6" s="84"/>
      <c r="N6" s="84"/>
      <c r="O6" s="84"/>
      <c r="P6" s="84"/>
      <c r="Q6" s="84"/>
      <c r="R6" s="84"/>
      <c r="S6" s="84"/>
      <c r="T6" s="84"/>
      <c r="U6" s="86"/>
      <c r="V6" s="84"/>
      <c r="W6" s="84"/>
      <c r="X6" s="84"/>
      <c r="Y6" s="87"/>
      <c r="Z6" s="56"/>
      <c r="AA6" s="88"/>
      <c r="AB6" s="89"/>
      <c r="AC6" s="89"/>
      <c r="AD6" s="69"/>
      <c r="AE6" s="89"/>
      <c r="AF6" s="89"/>
      <c r="AG6" s="89"/>
      <c r="AH6" s="89"/>
      <c r="AI6" s="89"/>
      <c r="AJ6" s="89"/>
      <c r="AK6" s="89"/>
      <c r="AL6" s="89"/>
      <c r="AM6" s="89"/>
      <c r="AN6" s="89"/>
      <c r="AO6" s="89"/>
      <c r="AP6" s="89"/>
      <c r="AQ6" s="89"/>
      <c r="AR6" s="89"/>
    </row>
    <row r="7" ht="18.75" customHeight="1">
      <c r="A7" s="73"/>
      <c r="B7" s="90"/>
      <c r="C7" s="74"/>
      <c r="D7" s="74"/>
      <c r="E7" s="76"/>
      <c r="F7" s="20"/>
      <c r="G7" s="78"/>
      <c r="H7" s="76"/>
      <c r="I7" s="20"/>
      <c r="J7" s="81"/>
      <c r="K7" s="81" t="str">
        <f t="shared" si="1"/>
        <v>-</v>
      </c>
      <c r="L7" s="84"/>
      <c r="M7" s="84"/>
      <c r="N7" s="84"/>
      <c r="O7" s="84"/>
      <c r="P7" s="84"/>
      <c r="Q7" s="84"/>
      <c r="R7" s="84"/>
      <c r="S7" s="84"/>
      <c r="T7" s="84"/>
      <c r="U7" s="84"/>
      <c r="V7" s="84"/>
      <c r="W7" s="84"/>
      <c r="X7" s="84"/>
      <c r="Y7" s="87"/>
      <c r="Z7" s="56"/>
      <c r="AA7" s="88"/>
      <c r="AB7" s="89"/>
      <c r="AC7" s="89"/>
      <c r="AD7" s="69"/>
      <c r="AE7" s="89"/>
      <c r="AF7" s="71"/>
      <c r="AG7" s="71"/>
      <c r="AH7" s="71"/>
      <c r="AI7" s="71"/>
      <c r="AJ7" s="71"/>
      <c r="AK7" s="71"/>
      <c r="AL7" s="71"/>
      <c r="AM7" s="71"/>
      <c r="AN7" s="71"/>
      <c r="AO7" s="71"/>
      <c r="AP7" s="71"/>
      <c r="AQ7" s="71"/>
      <c r="AR7" s="71"/>
    </row>
    <row r="8" ht="18.75" customHeight="1">
      <c r="A8" s="73"/>
      <c r="B8" s="91"/>
      <c r="C8" s="74"/>
      <c r="D8" s="74"/>
      <c r="E8" s="76"/>
      <c r="F8" s="20"/>
      <c r="G8" s="78"/>
      <c r="H8" s="76"/>
      <c r="I8" s="20"/>
      <c r="J8" s="81"/>
      <c r="K8" s="81" t="str">
        <f t="shared" si="1"/>
        <v>-</v>
      </c>
      <c r="L8" s="84"/>
      <c r="M8" s="84"/>
      <c r="N8" s="84"/>
      <c r="O8" s="84"/>
      <c r="P8" s="84"/>
      <c r="Q8" s="84"/>
      <c r="R8" s="84"/>
      <c r="S8" s="84"/>
      <c r="T8" s="84"/>
      <c r="U8" s="84"/>
      <c r="V8" s="84"/>
      <c r="W8" s="84"/>
      <c r="X8" s="84"/>
      <c r="Y8" s="87"/>
      <c r="Z8" s="56"/>
      <c r="AA8" s="88"/>
      <c r="AB8" s="89"/>
      <c r="AC8" s="89"/>
      <c r="AD8" s="92"/>
      <c r="AE8" s="89"/>
      <c r="AF8" s="71"/>
      <c r="AG8" s="71"/>
      <c r="AH8" s="71"/>
      <c r="AI8" s="71"/>
      <c r="AJ8" s="71"/>
      <c r="AK8" s="71"/>
      <c r="AL8" s="71"/>
      <c r="AM8" s="71"/>
      <c r="AN8" s="71"/>
      <c r="AO8" s="71"/>
      <c r="AP8" s="71"/>
      <c r="AQ8" s="71"/>
      <c r="AR8" s="71"/>
    </row>
    <row r="9" ht="18.75" customHeight="1">
      <c r="A9" s="73"/>
      <c r="B9" s="91"/>
      <c r="C9" s="74"/>
      <c r="D9" s="74"/>
      <c r="E9" s="76"/>
      <c r="F9" s="20"/>
      <c r="G9" s="78"/>
      <c r="H9" s="76"/>
      <c r="I9" s="20"/>
      <c r="J9" s="81"/>
      <c r="K9" s="81" t="str">
        <f t="shared" si="1"/>
        <v>-</v>
      </c>
      <c r="L9" s="84"/>
      <c r="M9" s="84"/>
      <c r="N9" s="84"/>
      <c r="O9" s="84"/>
      <c r="P9" s="84"/>
      <c r="Q9" s="84"/>
      <c r="R9" s="84"/>
      <c r="S9" s="84"/>
      <c r="T9" s="84"/>
      <c r="U9" s="84"/>
      <c r="V9" s="84"/>
      <c r="W9" s="84"/>
      <c r="X9" s="84"/>
      <c r="Y9" s="87"/>
      <c r="Z9" s="56"/>
      <c r="AA9" s="88"/>
      <c r="AB9" s="89"/>
      <c r="AC9" s="89"/>
      <c r="AD9" s="92"/>
      <c r="AE9" s="89"/>
      <c r="AF9" s="71"/>
      <c r="AG9" s="71"/>
      <c r="AH9" s="71"/>
      <c r="AI9" s="71"/>
      <c r="AJ9" s="71"/>
      <c r="AK9" s="71"/>
      <c r="AL9" s="71"/>
      <c r="AM9" s="71"/>
      <c r="AN9" s="71"/>
      <c r="AO9" s="71"/>
      <c r="AP9" s="71"/>
      <c r="AQ9" s="71"/>
      <c r="AR9" s="71"/>
    </row>
    <row r="10" ht="18.75" customHeight="1">
      <c r="A10" s="73"/>
      <c r="B10" s="91"/>
      <c r="C10" s="74"/>
      <c r="D10" s="74"/>
      <c r="E10" s="76"/>
      <c r="F10" s="20"/>
      <c r="G10" s="78"/>
      <c r="H10" s="76"/>
      <c r="I10" s="20"/>
      <c r="J10" s="81"/>
      <c r="K10" s="81" t="str">
        <f t="shared" si="1"/>
        <v>-</v>
      </c>
      <c r="L10" s="84"/>
      <c r="M10" s="84"/>
      <c r="N10" s="84"/>
      <c r="O10" s="84"/>
      <c r="P10" s="84"/>
      <c r="Q10" s="84"/>
      <c r="R10" s="84"/>
      <c r="S10" s="84"/>
      <c r="T10" s="84"/>
      <c r="U10" s="84"/>
      <c r="V10" s="84"/>
      <c r="W10" s="84"/>
      <c r="X10" s="84"/>
      <c r="Y10" s="87"/>
      <c r="Z10" s="56"/>
      <c r="AA10" s="88"/>
      <c r="AB10" s="89"/>
      <c r="AC10" s="89"/>
      <c r="AD10" s="92"/>
      <c r="AE10" s="71"/>
      <c r="AF10" s="71"/>
      <c r="AG10" s="71"/>
      <c r="AH10" s="71"/>
      <c r="AI10" s="71"/>
      <c r="AJ10" s="71"/>
      <c r="AK10" s="71"/>
      <c r="AL10" s="71"/>
      <c r="AM10" s="71"/>
      <c r="AN10" s="71"/>
      <c r="AO10" s="71"/>
      <c r="AP10" s="71"/>
      <c r="AQ10" s="71"/>
      <c r="AR10" s="71"/>
    </row>
    <row r="11" ht="18.75" customHeight="1">
      <c r="A11" s="73"/>
      <c r="B11" s="91"/>
      <c r="C11" s="74"/>
      <c r="D11" s="74"/>
      <c r="E11" s="76"/>
      <c r="F11" s="20"/>
      <c r="G11" s="78"/>
      <c r="H11" s="76"/>
      <c r="I11" s="20"/>
      <c r="J11" s="81"/>
      <c r="K11" s="81" t="str">
        <f t="shared" si="1"/>
        <v>-</v>
      </c>
      <c r="L11" s="84"/>
      <c r="M11" s="84"/>
      <c r="N11" s="84"/>
      <c r="O11" s="84"/>
      <c r="P11" s="84"/>
      <c r="Q11" s="84"/>
      <c r="R11" s="84"/>
      <c r="S11" s="84"/>
      <c r="T11" s="84"/>
      <c r="U11" s="84"/>
      <c r="V11" s="84"/>
      <c r="W11" s="84"/>
      <c r="X11" s="84"/>
      <c r="Y11" s="87"/>
      <c r="Z11" s="56"/>
      <c r="AA11" s="88"/>
      <c r="AB11" s="89"/>
      <c r="AC11" s="89"/>
      <c r="AD11" s="92"/>
      <c r="AE11" s="89"/>
      <c r="AF11" s="71"/>
      <c r="AG11" s="71"/>
      <c r="AH11" s="71"/>
      <c r="AI11" s="71"/>
      <c r="AJ11" s="71"/>
      <c r="AK11" s="71"/>
      <c r="AL11" s="71"/>
      <c r="AM11" s="71"/>
      <c r="AN11" s="71"/>
      <c r="AO11" s="71"/>
      <c r="AP11" s="71"/>
      <c r="AQ11" s="71"/>
      <c r="AR11" s="71"/>
    </row>
    <row r="12" ht="18.75" customHeight="1">
      <c r="A12" s="73"/>
      <c r="B12" s="91"/>
      <c r="C12" s="74"/>
      <c r="D12" s="74"/>
      <c r="E12" s="76"/>
      <c r="F12" s="20"/>
      <c r="G12" s="78"/>
      <c r="H12" s="76"/>
      <c r="I12" s="20"/>
      <c r="J12" s="81"/>
      <c r="K12" s="81" t="str">
        <f t="shared" si="1"/>
        <v>-</v>
      </c>
      <c r="L12" s="84"/>
      <c r="M12" s="84"/>
      <c r="N12" s="84"/>
      <c r="O12" s="84"/>
      <c r="P12" s="84"/>
      <c r="Q12" s="84"/>
      <c r="R12" s="84"/>
      <c r="S12" s="84"/>
      <c r="T12" s="84"/>
      <c r="U12" s="84"/>
      <c r="V12" s="84"/>
      <c r="W12" s="84"/>
      <c r="X12" s="84"/>
      <c r="Y12" s="87"/>
      <c r="Z12" s="56"/>
      <c r="AA12" s="88"/>
      <c r="AB12" s="89"/>
      <c r="AC12" s="89"/>
      <c r="AD12" s="92"/>
      <c r="AE12" s="71"/>
      <c r="AF12" s="71"/>
      <c r="AG12" s="71"/>
      <c r="AH12" s="71"/>
      <c r="AI12" s="71"/>
      <c r="AJ12" s="71"/>
      <c r="AK12" s="71"/>
      <c r="AL12" s="71"/>
      <c r="AM12" s="71"/>
      <c r="AN12" s="71"/>
      <c r="AO12" s="71"/>
      <c r="AP12" s="71"/>
      <c r="AQ12" s="71"/>
      <c r="AR12" s="71"/>
    </row>
    <row r="13" ht="18.75" customHeight="1">
      <c r="A13" s="73"/>
      <c r="B13" s="91"/>
      <c r="C13" s="74"/>
      <c r="D13" s="74"/>
      <c r="E13" s="76"/>
      <c r="F13" s="20"/>
      <c r="G13" s="78"/>
      <c r="H13" s="76"/>
      <c r="I13" s="20"/>
      <c r="J13" s="81"/>
      <c r="K13" s="81" t="str">
        <f t="shared" si="1"/>
        <v>-</v>
      </c>
      <c r="L13" s="84"/>
      <c r="M13" s="84"/>
      <c r="N13" s="84"/>
      <c r="O13" s="84"/>
      <c r="P13" s="84"/>
      <c r="Q13" s="84"/>
      <c r="R13" s="84"/>
      <c r="S13" s="84"/>
      <c r="T13" s="84"/>
      <c r="U13" s="84"/>
      <c r="V13" s="84"/>
      <c r="W13" s="84"/>
      <c r="X13" s="84"/>
      <c r="Y13" s="87"/>
      <c r="Z13" s="56"/>
      <c r="AA13" s="88"/>
      <c r="AB13" s="89"/>
      <c r="AC13" s="89"/>
      <c r="AD13" s="92"/>
      <c r="AE13" s="71"/>
      <c r="AF13" s="71"/>
      <c r="AG13" s="71"/>
      <c r="AH13" s="71"/>
      <c r="AI13" s="71"/>
      <c r="AJ13" s="71"/>
      <c r="AK13" s="71"/>
      <c r="AL13" s="71"/>
      <c r="AM13" s="71"/>
      <c r="AN13" s="71"/>
      <c r="AO13" s="71"/>
      <c r="AP13" s="71"/>
      <c r="AQ13" s="71"/>
      <c r="AR13" s="71"/>
    </row>
    <row r="14" ht="18.75" customHeight="1">
      <c r="A14" s="73"/>
      <c r="B14" s="91"/>
      <c r="C14" s="74"/>
      <c r="D14" s="74"/>
      <c r="E14" s="76"/>
      <c r="F14" s="20"/>
      <c r="G14" s="78"/>
      <c r="H14" s="76"/>
      <c r="I14" s="20"/>
      <c r="J14" s="81"/>
      <c r="K14" s="81" t="str">
        <f t="shared" si="1"/>
        <v>-</v>
      </c>
      <c r="L14" s="84"/>
      <c r="M14" s="84"/>
      <c r="N14" s="84"/>
      <c r="O14" s="84"/>
      <c r="P14" s="84"/>
      <c r="Q14" s="84"/>
      <c r="R14" s="84"/>
      <c r="S14" s="84"/>
      <c r="T14" s="84"/>
      <c r="U14" s="84"/>
      <c r="V14" s="84"/>
      <c r="W14" s="84"/>
      <c r="X14" s="84"/>
      <c r="Y14" s="87"/>
      <c r="Z14" s="56"/>
      <c r="AA14" s="88"/>
      <c r="AB14" s="89"/>
      <c r="AC14" s="89"/>
      <c r="AD14" s="92"/>
      <c r="AE14" s="71"/>
      <c r="AF14" s="71"/>
      <c r="AG14" s="71"/>
      <c r="AH14" s="71"/>
      <c r="AI14" s="71"/>
      <c r="AJ14" s="71"/>
      <c r="AK14" s="71"/>
      <c r="AL14" s="71"/>
      <c r="AM14" s="71"/>
      <c r="AN14" s="71"/>
      <c r="AO14" s="71"/>
      <c r="AP14" s="71"/>
      <c r="AQ14" s="71"/>
      <c r="AR14" s="71"/>
    </row>
    <row r="15" ht="18.75" customHeight="1">
      <c r="A15" s="73"/>
      <c r="B15" s="91"/>
      <c r="C15" s="74"/>
      <c r="D15" s="74"/>
      <c r="E15" s="76"/>
      <c r="F15" s="20"/>
      <c r="G15" s="78"/>
      <c r="H15" s="76"/>
      <c r="I15" s="20"/>
      <c r="J15" s="81"/>
      <c r="K15" s="81" t="str">
        <f t="shared" si="1"/>
        <v>-</v>
      </c>
      <c r="L15" s="84"/>
      <c r="M15" s="84"/>
      <c r="N15" s="84"/>
      <c r="O15" s="84"/>
      <c r="P15" s="84"/>
      <c r="Q15" s="84"/>
      <c r="R15" s="84"/>
      <c r="S15" s="84"/>
      <c r="T15" s="84"/>
      <c r="U15" s="84"/>
      <c r="V15" s="84"/>
      <c r="W15" s="84"/>
      <c r="X15" s="84"/>
      <c r="Y15" s="87"/>
      <c r="Z15" s="56"/>
      <c r="AA15" s="88"/>
      <c r="AB15" s="89"/>
      <c r="AC15" s="89"/>
      <c r="AD15" s="92"/>
      <c r="AE15" s="71"/>
      <c r="AF15" s="71"/>
      <c r="AG15" s="71"/>
      <c r="AH15" s="71"/>
      <c r="AI15" s="71"/>
      <c r="AJ15" s="71"/>
      <c r="AK15" s="71"/>
      <c r="AL15" s="71"/>
      <c r="AM15" s="71"/>
      <c r="AN15" s="71"/>
      <c r="AO15" s="71"/>
      <c r="AP15" s="71"/>
      <c r="AQ15" s="71"/>
      <c r="AR15" s="71"/>
    </row>
    <row r="16" ht="18.75" customHeight="1">
      <c r="A16" s="73"/>
      <c r="B16" s="91"/>
      <c r="C16" s="74"/>
      <c r="D16" s="74"/>
      <c r="E16" s="76"/>
      <c r="F16" s="20"/>
      <c r="G16" s="78"/>
      <c r="H16" s="76"/>
      <c r="I16" s="20"/>
      <c r="J16" s="81"/>
      <c r="K16" s="81" t="str">
        <f t="shared" si="1"/>
        <v>-</v>
      </c>
      <c r="L16" s="84"/>
      <c r="M16" s="84"/>
      <c r="N16" s="84"/>
      <c r="O16" s="84"/>
      <c r="P16" s="84"/>
      <c r="Q16" s="84"/>
      <c r="R16" s="84"/>
      <c r="S16" s="84"/>
      <c r="T16" s="84"/>
      <c r="U16" s="84"/>
      <c r="V16" s="84"/>
      <c r="W16" s="84"/>
      <c r="X16" s="84"/>
      <c r="Y16" s="87"/>
      <c r="Z16" s="56"/>
      <c r="AA16" s="88"/>
      <c r="AB16" s="89"/>
      <c r="AC16" s="89"/>
      <c r="AD16" s="92"/>
      <c r="AE16" s="71"/>
      <c r="AF16" s="71"/>
      <c r="AG16" s="71"/>
      <c r="AH16" s="71"/>
      <c r="AI16" s="71"/>
      <c r="AJ16" s="71"/>
      <c r="AK16" s="71"/>
      <c r="AL16" s="71"/>
      <c r="AM16" s="71"/>
      <c r="AN16" s="71"/>
      <c r="AO16" s="71"/>
      <c r="AP16" s="71"/>
      <c r="AQ16" s="71"/>
      <c r="AR16" s="71"/>
    </row>
    <row r="17" ht="18.75" customHeight="1">
      <c r="A17" s="73"/>
      <c r="B17" s="91"/>
      <c r="C17" s="74"/>
      <c r="D17" s="74"/>
      <c r="E17" s="76"/>
      <c r="F17" s="20"/>
      <c r="G17" s="78"/>
      <c r="H17" s="76"/>
      <c r="I17" s="20"/>
      <c r="J17" s="81"/>
      <c r="K17" s="81" t="str">
        <f t="shared" si="1"/>
        <v>-</v>
      </c>
      <c r="L17" s="84"/>
      <c r="M17" s="84"/>
      <c r="N17" s="84"/>
      <c r="O17" s="84"/>
      <c r="P17" s="84"/>
      <c r="Q17" s="84"/>
      <c r="R17" s="84"/>
      <c r="S17" s="84"/>
      <c r="T17" s="84"/>
      <c r="U17" s="84"/>
      <c r="V17" s="84"/>
      <c r="W17" s="84"/>
      <c r="X17" s="84"/>
      <c r="Y17" s="87"/>
      <c r="Z17" s="56"/>
      <c r="AA17" s="88"/>
      <c r="AB17" s="89"/>
      <c r="AC17" s="89"/>
      <c r="AD17" s="92"/>
      <c r="AE17" s="71"/>
      <c r="AF17" s="71"/>
      <c r="AG17" s="71"/>
      <c r="AH17" s="71"/>
      <c r="AI17" s="71"/>
      <c r="AJ17" s="71"/>
      <c r="AK17" s="71"/>
      <c r="AL17" s="71"/>
      <c r="AM17" s="71"/>
      <c r="AN17" s="71"/>
      <c r="AO17" s="71"/>
      <c r="AP17" s="71"/>
      <c r="AQ17" s="71"/>
      <c r="AR17" s="71"/>
    </row>
    <row r="18" ht="18.75" customHeight="1">
      <c r="A18" s="73"/>
      <c r="B18" s="91"/>
      <c r="C18" s="74"/>
      <c r="D18" s="74"/>
      <c r="E18" s="76"/>
      <c r="F18" s="20"/>
      <c r="G18" s="78"/>
      <c r="H18" s="76"/>
      <c r="I18" s="20"/>
      <c r="J18" s="81"/>
      <c r="K18" s="81" t="str">
        <f t="shared" si="1"/>
        <v>-</v>
      </c>
      <c r="L18" s="84"/>
      <c r="M18" s="84"/>
      <c r="N18" s="84"/>
      <c r="O18" s="84"/>
      <c r="P18" s="84"/>
      <c r="Q18" s="84"/>
      <c r="R18" s="84"/>
      <c r="S18" s="84"/>
      <c r="T18" s="84"/>
      <c r="U18" s="84"/>
      <c r="V18" s="84"/>
      <c r="W18" s="84"/>
      <c r="X18" s="84"/>
      <c r="Y18" s="87"/>
      <c r="Z18" s="56"/>
      <c r="AA18" s="88"/>
      <c r="AB18" s="89"/>
      <c r="AC18" s="89"/>
      <c r="AD18" s="92"/>
      <c r="AE18" s="71"/>
      <c r="AF18" s="71"/>
      <c r="AG18" s="71"/>
      <c r="AH18" s="71"/>
      <c r="AI18" s="71"/>
      <c r="AJ18" s="71"/>
      <c r="AK18" s="71"/>
      <c r="AL18" s="71"/>
      <c r="AM18" s="71"/>
      <c r="AN18" s="71"/>
      <c r="AO18" s="71"/>
      <c r="AP18" s="71"/>
      <c r="AQ18" s="71"/>
      <c r="AR18" s="71"/>
    </row>
    <row r="19" ht="18.75" customHeight="1">
      <c r="A19" s="73"/>
      <c r="B19" s="91"/>
      <c r="C19" s="74"/>
      <c r="D19" s="74"/>
      <c r="E19" s="76"/>
      <c r="F19" s="20"/>
      <c r="G19" s="78"/>
      <c r="H19" s="76"/>
      <c r="I19" s="20"/>
      <c r="J19" s="81"/>
      <c r="K19" s="81" t="str">
        <f t="shared" si="1"/>
        <v>-</v>
      </c>
      <c r="L19" s="84"/>
      <c r="M19" s="84"/>
      <c r="N19" s="84"/>
      <c r="O19" s="84"/>
      <c r="P19" s="84"/>
      <c r="Q19" s="84"/>
      <c r="R19" s="84"/>
      <c r="S19" s="84"/>
      <c r="T19" s="84"/>
      <c r="U19" s="84"/>
      <c r="V19" s="84"/>
      <c r="W19" s="84"/>
      <c r="X19" s="84"/>
      <c r="Y19" s="87"/>
      <c r="Z19" s="56"/>
      <c r="AA19" s="88"/>
      <c r="AB19" s="89"/>
      <c r="AC19" s="89"/>
      <c r="AD19" s="92"/>
      <c r="AE19" s="71"/>
      <c r="AF19" s="71"/>
      <c r="AG19" s="71"/>
      <c r="AH19" s="71"/>
      <c r="AI19" s="71"/>
      <c r="AJ19" s="71"/>
      <c r="AK19" s="71"/>
      <c r="AL19" s="71"/>
      <c r="AM19" s="71"/>
      <c r="AN19" s="71"/>
      <c r="AO19" s="71"/>
      <c r="AP19" s="71"/>
      <c r="AQ19" s="71"/>
      <c r="AR19" s="71"/>
    </row>
    <row r="20" ht="18.75" customHeight="1">
      <c r="A20" s="73"/>
      <c r="B20" s="91"/>
      <c r="C20" s="74"/>
      <c r="D20" s="74"/>
      <c r="E20" s="76"/>
      <c r="F20" s="20"/>
      <c r="G20" s="78"/>
      <c r="H20" s="76"/>
      <c r="I20" s="20"/>
      <c r="J20" s="81"/>
      <c r="K20" s="81" t="str">
        <f t="shared" si="1"/>
        <v>-</v>
      </c>
      <c r="L20" s="84"/>
      <c r="M20" s="84"/>
      <c r="N20" s="84"/>
      <c r="O20" s="84"/>
      <c r="P20" s="84"/>
      <c r="Q20" s="84"/>
      <c r="R20" s="84"/>
      <c r="S20" s="84"/>
      <c r="T20" s="84"/>
      <c r="U20" s="84"/>
      <c r="V20" s="84"/>
      <c r="W20" s="84"/>
      <c r="X20" s="84"/>
      <c r="Y20" s="87"/>
      <c r="Z20" s="56"/>
      <c r="AA20" s="88"/>
      <c r="AB20" s="89"/>
      <c r="AC20" s="89"/>
      <c r="AD20" s="92"/>
      <c r="AE20" s="71"/>
      <c r="AF20" s="71"/>
      <c r="AG20" s="71"/>
      <c r="AH20" s="71"/>
      <c r="AI20" s="71"/>
      <c r="AJ20" s="71"/>
      <c r="AK20" s="71"/>
      <c r="AL20" s="71"/>
      <c r="AM20" s="71"/>
      <c r="AN20" s="71"/>
      <c r="AO20" s="71"/>
      <c r="AP20" s="71"/>
      <c r="AQ20" s="71"/>
      <c r="AR20" s="71"/>
    </row>
    <row r="21" ht="18.75" customHeight="1">
      <c r="A21" s="73"/>
      <c r="B21" s="91"/>
      <c r="C21" s="74"/>
      <c r="D21" s="74"/>
      <c r="E21" s="76"/>
      <c r="F21" s="20"/>
      <c r="G21" s="78"/>
      <c r="H21" s="76"/>
      <c r="I21" s="20"/>
      <c r="J21" s="81"/>
      <c r="K21" s="81" t="str">
        <f t="shared" si="1"/>
        <v>-</v>
      </c>
      <c r="L21" s="84"/>
      <c r="M21" s="84"/>
      <c r="N21" s="84"/>
      <c r="O21" s="84"/>
      <c r="P21" s="84"/>
      <c r="Q21" s="84"/>
      <c r="R21" s="84"/>
      <c r="S21" s="84"/>
      <c r="T21" s="84"/>
      <c r="U21" s="84"/>
      <c r="V21" s="84"/>
      <c r="W21" s="84"/>
      <c r="X21" s="84"/>
      <c r="Y21" s="87"/>
      <c r="Z21" s="56"/>
      <c r="AA21" s="88"/>
      <c r="AB21" s="89"/>
      <c r="AC21" s="89"/>
      <c r="AD21" s="92"/>
      <c r="AE21" s="71"/>
      <c r="AF21" s="71"/>
      <c r="AG21" s="71"/>
      <c r="AH21" s="71"/>
      <c r="AI21" s="71"/>
      <c r="AJ21" s="71"/>
      <c r="AK21" s="71"/>
      <c r="AL21" s="71"/>
      <c r="AM21" s="71"/>
      <c r="AN21" s="71"/>
      <c r="AO21" s="71"/>
      <c r="AP21" s="71"/>
      <c r="AQ21" s="71"/>
      <c r="AR21" s="71"/>
    </row>
    <row r="22" ht="18.75" customHeight="1">
      <c r="A22" s="73"/>
      <c r="B22" s="91"/>
      <c r="C22" s="74"/>
      <c r="D22" s="74"/>
      <c r="E22" s="76"/>
      <c r="F22" s="20"/>
      <c r="G22" s="78"/>
      <c r="H22" s="76"/>
      <c r="I22" s="20"/>
      <c r="J22" s="81"/>
      <c r="K22" s="81" t="str">
        <f t="shared" si="1"/>
        <v>-</v>
      </c>
      <c r="L22" s="84"/>
      <c r="M22" s="84"/>
      <c r="N22" s="84"/>
      <c r="O22" s="84"/>
      <c r="P22" s="84"/>
      <c r="Q22" s="84"/>
      <c r="R22" s="84"/>
      <c r="S22" s="84"/>
      <c r="T22" s="84"/>
      <c r="U22" s="84"/>
      <c r="V22" s="84"/>
      <c r="W22" s="84"/>
      <c r="X22" s="84"/>
      <c r="Y22" s="87"/>
      <c r="Z22" s="56"/>
      <c r="AA22" s="88"/>
      <c r="AB22" s="89"/>
      <c r="AC22" s="71"/>
      <c r="AD22" s="92"/>
      <c r="AE22" s="71"/>
      <c r="AF22" s="71"/>
      <c r="AG22" s="71"/>
      <c r="AH22" s="71"/>
      <c r="AI22" s="71"/>
      <c r="AJ22" s="71"/>
      <c r="AK22" s="71"/>
      <c r="AL22" s="71"/>
      <c r="AM22" s="71"/>
      <c r="AN22" s="71"/>
      <c r="AO22" s="71"/>
      <c r="AP22" s="71"/>
      <c r="AQ22" s="71"/>
      <c r="AR22" s="71"/>
    </row>
    <row r="23" ht="18.75" customHeight="1">
      <c r="A23" s="73"/>
      <c r="B23" s="91"/>
      <c r="C23" s="74"/>
      <c r="D23" s="74"/>
      <c r="E23" s="76"/>
      <c r="F23" s="20"/>
      <c r="G23" s="78"/>
      <c r="H23" s="76"/>
      <c r="I23" s="20"/>
      <c r="J23" s="81"/>
      <c r="K23" s="81" t="str">
        <f t="shared" si="1"/>
        <v>-</v>
      </c>
      <c r="L23" s="84"/>
      <c r="M23" s="84"/>
      <c r="N23" s="84"/>
      <c r="O23" s="84"/>
      <c r="P23" s="84"/>
      <c r="Q23" s="84"/>
      <c r="R23" s="84"/>
      <c r="S23" s="84"/>
      <c r="T23" s="84"/>
      <c r="U23" s="84"/>
      <c r="V23" s="84"/>
      <c r="W23" s="84"/>
      <c r="X23" s="84"/>
      <c r="Y23" s="87"/>
      <c r="Z23" s="56"/>
      <c r="AA23" s="89"/>
      <c r="AB23" s="89"/>
      <c r="AC23" s="71"/>
      <c r="AD23" s="92"/>
      <c r="AE23" s="71"/>
      <c r="AF23" s="71"/>
      <c r="AG23" s="71"/>
      <c r="AH23" s="71"/>
      <c r="AI23" s="71"/>
      <c r="AJ23" s="71"/>
      <c r="AK23" s="71"/>
      <c r="AL23" s="71"/>
      <c r="AM23" s="71"/>
      <c r="AN23" s="71"/>
      <c r="AO23" s="71"/>
      <c r="AP23" s="71"/>
      <c r="AQ23" s="71"/>
      <c r="AR23" s="71"/>
    </row>
    <row r="24" ht="18.75" customHeight="1">
      <c r="A24" s="73"/>
      <c r="B24" s="91"/>
      <c r="C24" s="74"/>
      <c r="D24" s="74"/>
      <c r="E24" s="76"/>
      <c r="F24" s="20"/>
      <c r="G24" s="78"/>
      <c r="H24" s="76"/>
      <c r="I24" s="20"/>
      <c r="J24" s="81"/>
      <c r="K24" s="81" t="str">
        <f t="shared" si="1"/>
        <v>-</v>
      </c>
      <c r="L24" s="84"/>
      <c r="M24" s="84"/>
      <c r="N24" s="84"/>
      <c r="O24" s="84"/>
      <c r="P24" s="84"/>
      <c r="Q24" s="84"/>
      <c r="R24" s="84"/>
      <c r="S24" s="84"/>
      <c r="T24" s="84"/>
      <c r="U24" s="84"/>
      <c r="V24" s="84"/>
      <c r="W24" s="84"/>
      <c r="X24" s="84"/>
      <c r="Y24" s="87"/>
      <c r="Z24" s="56"/>
      <c r="AA24" s="89"/>
      <c r="AB24" s="89"/>
      <c r="AC24" s="71"/>
      <c r="AD24" s="92"/>
      <c r="AE24" s="71"/>
      <c r="AF24" s="71"/>
      <c r="AG24" s="71"/>
      <c r="AH24" s="71"/>
      <c r="AI24" s="71"/>
      <c r="AJ24" s="71"/>
      <c r="AK24" s="71"/>
      <c r="AL24" s="71"/>
      <c r="AM24" s="71"/>
      <c r="AN24" s="71"/>
      <c r="AO24" s="71"/>
      <c r="AP24" s="71"/>
      <c r="AQ24" s="71"/>
      <c r="AR24" s="71"/>
    </row>
    <row r="25" ht="18.75" customHeight="1">
      <c r="A25" s="73"/>
      <c r="B25" s="91"/>
      <c r="C25" s="74"/>
      <c r="D25" s="74"/>
      <c r="E25" s="76"/>
      <c r="F25" s="20"/>
      <c r="G25" s="78"/>
      <c r="H25" s="76"/>
      <c r="I25" s="20"/>
      <c r="J25" s="81"/>
      <c r="K25" s="81" t="str">
        <f t="shared" si="1"/>
        <v>-</v>
      </c>
      <c r="L25" s="84"/>
      <c r="M25" s="84"/>
      <c r="N25" s="84"/>
      <c r="O25" s="84"/>
      <c r="P25" s="84"/>
      <c r="Q25" s="84"/>
      <c r="R25" s="84"/>
      <c r="S25" s="84"/>
      <c r="T25" s="84"/>
      <c r="U25" s="84"/>
      <c r="V25" s="84"/>
      <c r="W25" s="84"/>
      <c r="X25" s="84"/>
      <c r="Y25" s="87"/>
      <c r="Z25" s="56"/>
      <c r="AA25" s="88"/>
      <c r="AB25" s="89"/>
      <c r="AC25" s="71"/>
      <c r="AD25" s="92"/>
      <c r="AE25" s="71"/>
      <c r="AF25" s="71"/>
      <c r="AG25" s="71"/>
      <c r="AH25" s="71"/>
      <c r="AI25" s="71"/>
      <c r="AJ25" s="71"/>
      <c r="AK25" s="71"/>
      <c r="AL25" s="71"/>
      <c r="AM25" s="71"/>
      <c r="AN25" s="71"/>
      <c r="AO25" s="71"/>
      <c r="AP25" s="71"/>
      <c r="AQ25" s="71"/>
      <c r="AR25" s="71"/>
    </row>
    <row r="26" ht="18.75" customHeight="1">
      <c r="A26" s="73"/>
      <c r="B26" s="91"/>
      <c r="C26" s="74"/>
      <c r="D26" s="74"/>
      <c r="E26" s="76"/>
      <c r="F26" s="20"/>
      <c r="G26" s="78"/>
      <c r="H26" s="76"/>
      <c r="I26" s="20"/>
      <c r="J26" s="81"/>
      <c r="K26" s="81" t="str">
        <f t="shared" si="1"/>
        <v>-</v>
      </c>
      <c r="L26" s="84"/>
      <c r="M26" s="84"/>
      <c r="N26" s="84"/>
      <c r="O26" s="84"/>
      <c r="P26" s="84"/>
      <c r="Q26" s="84"/>
      <c r="R26" s="84"/>
      <c r="S26" s="84"/>
      <c r="T26" s="84"/>
      <c r="U26" s="84"/>
      <c r="V26" s="84"/>
      <c r="W26" s="84"/>
      <c r="X26" s="84"/>
      <c r="Y26" s="87"/>
      <c r="Z26" s="56"/>
      <c r="AA26" s="88"/>
      <c r="AB26" s="89"/>
      <c r="AC26" s="71"/>
      <c r="AD26" s="92"/>
      <c r="AE26" s="71"/>
      <c r="AF26" s="71"/>
      <c r="AG26" s="71"/>
      <c r="AH26" s="71"/>
      <c r="AI26" s="71"/>
      <c r="AJ26" s="71"/>
      <c r="AK26" s="71"/>
      <c r="AL26" s="71"/>
      <c r="AM26" s="71"/>
      <c r="AN26" s="71"/>
      <c r="AO26" s="71"/>
      <c r="AP26" s="71"/>
      <c r="AQ26" s="71"/>
      <c r="AR26" s="71"/>
    </row>
    <row r="27" ht="18.75" customHeight="1">
      <c r="A27" s="73"/>
      <c r="B27" s="91"/>
      <c r="C27" s="74"/>
      <c r="D27" s="74"/>
      <c r="E27" s="76"/>
      <c r="F27" s="20"/>
      <c r="G27" s="78"/>
      <c r="H27" s="76"/>
      <c r="I27" s="20"/>
      <c r="J27" s="81"/>
      <c r="K27" s="81" t="str">
        <f t="shared" si="1"/>
        <v>-</v>
      </c>
      <c r="L27" s="84"/>
      <c r="M27" s="84"/>
      <c r="N27" s="84"/>
      <c r="O27" s="84"/>
      <c r="P27" s="84"/>
      <c r="Q27" s="84"/>
      <c r="R27" s="84"/>
      <c r="S27" s="84"/>
      <c r="T27" s="84"/>
      <c r="U27" s="84"/>
      <c r="V27" s="84"/>
      <c r="W27" s="84"/>
      <c r="X27" s="84"/>
      <c r="Y27" s="87"/>
      <c r="Z27" s="56"/>
      <c r="AA27" s="88"/>
      <c r="AB27" s="89"/>
      <c r="AC27" s="71"/>
      <c r="AD27" s="92"/>
      <c r="AE27" s="71"/>
      <c r="AF27" s="71"/>
      <c r="AG27" s="71"/>
      <c r="AH27" s="71"/>
      <c r="AI27" s="71"/>
      <c r="AJ27" s="71"/>
      <c r="AK27" s="71"/>
      <c r="AL27" s="71"/>
      <c r="AM27" s="71"/>
      <c r="AN27" s="71"/>
      <c r="AO27" s="71"/>
      <c r="AP27" s="71"/>
      <c r="AQ27" s="71"/>
      <c r="AR27" s="71"/>
    </row>
    <row r="28" ht="18.75" customHeight="1">
      <c r="A28" s="73"/>
      <c r="B28" s="91"/>
      <c r="C28" s="74"/>
      <c r="D28" s="74"/>
      <c r="E28" s="76"/>
      <c r="F28" s="20"/>
      <c r="G28" s="78"/>
      <c r="H28" s="76"/>
      <c r="I28" s="20"/>
      <c r="J28" s="81"/>
      <c r="K28" s="81" t="str">
        <f t="shared" si="1"/>
        <v>-</v>
      </c>
      <c r="L28" s="84"/>
      <c r="M28" s="84"/>
      <c r="N28" s="84"/>
      <c r="O28" s="84"/>
      <c r="P28" s="84"/>
      <c r="Q28" s="84"/>
      <c r="R28" s="84"/>
      <c r="S28" s="84"/>
      <c r="T28" s="84"/>
      <c r="U28" s="84"/>
      <c r="V28" s="84"/>
      <c r="W28" s="84"/>
      <c r="X28" s="84"/>
      <c r="Y28" s="87"/>
      <c r="Z28" s="56"/>
      <c r="AA28" s="89"/>
      <c r="AB28" s="89"/>
      <c r="AC28" s="71"/>
      <c r="AD28" s="92"/>
      <c r="AE28" s="71"/>
      <c r="AF28" s="71"/>
      <c r="AG28" s="71"/>
      <c r="AH28" s="71"/>
      <c r="AI28" s="71"/>
      <c r="AJ28" s="71"/>
      <c r="AK28" s="71"/>
      <c r="AL28" s="71"/>
      <c r="AM28" s="71"/>
      <c r="AN28" s="71"/>
      <c r="AO28" s="71"/>
      <c r="AP28" s="71"/>
      <c r="AQ28" s="71"/>
      <c r="AR28" s="71"/>
    </row>
    <row r="29" ht="18.75" customHeight="1">
      <c r="A29" s="73"/>
      <c r="B29" s="91"/>
      <c r="C29" s="74"/>
      <c r="D29" s="74"/>
      <c r="E29" s="76"/>
      <c r="F29" s="20"/>
      <c r="G29" s="78"/>
      <c r="H29" s="76"/>
      <c r="I29" s="20"/>
      <c r="J29" s="81"/>
      <c r="K29" s="81" t="str">
        <f t="shared" si="1"/>
        <v>-</v>
      </c>
      <c r="L29" s="84"/>
      <c r="M29" s="84"/>
      <c r="N29" s="84"/>
      <c r="O29" s="84"/>
      <c r="P29" s="84"/>
      <c r="Q29" s="84"/>
      <c r="R29" s="84"/>
      <c r="S29" s="84"/>
      <c r="T29" s="84"/>
      <c r="U29" s="84"/>
      <c r="V29" s="84"/>
      <c r="W29" s="84"/>
      <c r="X29" s="84"/>
      <c r="Y29" s="87"/>
      <c r="Z29" s="56"/>
      <c r="AA29" s="89"/>
      <c r="AB29" s="89"/>
      <c r="AC29" s="71"/>
      <c r="AD29" s="92"/>
      <c r="AE29" s="71"/>
      <c r="AF29" s="71"/>
      <c r="AG29" s="71"/>
      <c r="AH29" s="71"/>
      <c r="AI29" s="71"/>
      <c r="AJ29" s="71"/>
      <c r="AK29" s="71"/>
      <c r="AL29" s="71"/>
      <c r="AM29" s="71"/>
      <c r="AN29" s="71"/>
      <c r="AO29" s="71"/>
      <c r="AP29" s="71"/>
      <c r="AQ29" s="71"/>
      <c r="AR29" s="71"/>
    </row>
    <row r="30" ht="18.75" customHeight="1">
      <c r="A30" s="73"/>
      <c r="B30" s="90"/>
      <c r="C30" s="74"/>
      <c r="D30" s="74"/>
      <c r="E30" s="76"/>
      <c r="F30" s="20"/>
      <c r="G30" s="78"/>
      <c r="H30" s="76"/>
      <c r="I30" s="20"/>
      <c r="J30" s="81"/>
      <c r="K30" s="81" t="str">
        <f t="shared" si="1"/>
        <v>-</v>
      </c>
      <c r="L30" s="84"/>
      <c r="M30" s="84"/>
      <c r="N30" s="84"/>
      <c r="O30" s="84"/>
      <c r="P30" s="84"/>
      <c r="Q30" s="84"/>
      <c r="R30" s="84"/>
      <c r="S30" s="84"/>
      <c r="T30" s="84"/>
      <c r="U30" s="84"/>
      <c r="V30" s="84"/>
      <c r="W30" s="84"/>
      <c r="X30" s="84"/>
      <c r="Y30" s="87"/>
      <c r="Z30" s="56"/>
      <c r="AA30" s="88"/>
      <c r="AB30" s="89"/>
      <c r="AC30" s="71"/>
      <c r="AD30" s="92"/>
      <c r="AE30" s="71"/>
      <c r="AF30" s="71"/>
      <c r="AG30" s="71"/>
      <c r="AH30" s="71"/>
      <c r="AI30" s="71"/>
      <c r="AJ30" s="71"/>
      <c r="AK30" s="71"/>
      <c r="AL30" s="71"/>
      <c r="AM30" s="71"/>
      <c r="AN30" s="71"/>
      <c r="AO30" s="71"/>
      <c r="AP30" s="71"/>
      <c r="AQ30" s="71"/>
      <c r="AR30" s="71"/>
    </row>
    <row r="31" ht="18.75" customHeight="1">
      <c r="A31" s="73"/>
      <c r="B31" s="91"/>
      <c r="C31" s="74"/>
      <c r="D31" s="74"/>
      <c r="E31" s="76"/>
      <c r="F31" s="20"/>
      <c r="G31" s="78"/>
      <c r="H31" s="76"/>
      <c r="I31" s="20"/>
      <c r="J31" s="81"/>
      <c r="K31" s="81" t="str">
        <f t="shared" si="1"/>
        <v>-</v>
      </c>
      <c r="L31" s="84"/>
      <c r="M31" s="84"/>
      <c r="N31" s="84"/>
      <c r="O31" s="84"/>
      <c r="P31" s="84"/>
      <c r="Q31" s="84"/>
      <c r="R31" s="84"/>
      <c r="S31" s="84"/>
      <c r="T31" s="84"/>
      <c r="U31" s="84"/>
      <c r="V31" s="84"/>
      <c r="W31" s="84"/>
      <c r="X31" s="84"/>
      <c r="Y31" s="87"/>
      <c r="Z31" s="56"/>
      <c r="AA31" s="88"/>
      <c r="AB31" s="89"/>
      <c r="AC31" s="71"/>
      <c r="AD31" s="92"/>
      <c r="AE31" s="71"/>
      <c r="AF31" s="71"/>
      <c r="AG31" s="71"/>
      <c r="AH31" s="71"/>
      <c r="AI31" s="71"/>
      <c r="AJ31" s="71"/>
      <c r="AK31" s="71"/>
      <c r="AL31" s="71"/>
      <c r="AM31" s="71"/>
      <c r="AN31" s="71"/>
      <c r="AO31" s="71"/>
      <c r="AP31" s="71"/>
      <c r="AQ31" s="71"/>
      <c r="AR31" s="71"/>
    </row>
    <row r="32" ht="18.75" customHeight="1">
      <c r="A32" s="73"/>
      <c r="B32" s="91"/>
      <c r="C32" s="74"/>
      <c r="D32" s="74"/>
      <c r="E32" s="76"/>
      <c r="F32" s="20"/>
      <c r="G32" s="78"/>
      <c r="H32" s="76"/>
      <c r="I32" s="20"/>
      <c r="J32" s="81"/>
      <c r="K32" s="81" t="str">
        <f t="shared" si="1"/>
        <v>-</v>
      </c>
      <c r="L32" s="84"/>
      <c r="M32" s="84"/>
      <c r="N32" s="84"/>
      <c r="O32" s="84"/>
      <c r="P32" s="84"/>
      <c r="Q32" s="84"/>
      <c r="R32" s="84"/>
      <c r="S32" s="84"/>
      <c r="T32" s="84"/>
      <c r="U32" s="84"/>
      <c r="V32" s="84"/>
      <c r="W32" s="84"/>
      <c r="X32" s="84"/>
      <c r="Y32" s="87"/>
      <c r="Z32" s="56"/>
      <c r="AA32" s="88"/>
      <c r="AB32" s="89"/>
      <c r="AC32" s="71"/>
      <c r="AD32" s="92"/>
      <c r="AE32" s="71"/>
      <c r="AF32" s="71"/>
      <c r="AG32" s="71"/>
      <c r="AH32" s="71"/>
      <c r="AI32" s="71"/>
      <c r="AJ32" s="71"/>
      <c r="AK32" s="71"/>
      <c r="AL32" s="71"/>
      <c r="AM32" s="71"/>
      <c r="AN32" s="71"/>
      <c r="AO32" s="71"/>
      <c r="AP32" s="71"/>
      <c r="AQ32" s="71"/>
      <c r="AR32" s="71"/>
    </row>
    <row r="33" ht="18.75" customHeight="1">
      <c r="A33" s="73"/>
      <c r="B33" s="91"/>
      <c r="C33" s="74"/>
      <c r="D33" s="74"/>
      <c r="E33" s="76"/>
      <c r="F33" s="20"/>
      <c r="G33" s="78"/>
      <c r="H33" s="76"/>
      <c r="I33" s="20"/>
      <c r="J33" s="81"/>
      <c r="K33" s="81" t="str">
        <f t="shared" si="1"/>
        <v>-</v>
      </c>
      <c r="L33" s="84"/>
      <c r="M33" s="84"/>
      <c r="N33" s="84"/>
      <c r="O33" s="84"/>
      <c r="P33" s="84"/>
      <c r="Q33" s="84"/>
      <c r="R33" s="84"/>
      <c r="S33" s="84"/>
      <c r="T33" s="84"/>
      <c r="U33" s="84"/>
      <c r="V33" s="84"/>
      <c r="W33" s="84"/>
      <c r="X33" s="84"/>
      <c r="Y33" s="87"/>
      <c r="Z33" s="56"/>
      <c r="AA33" s="88"/>
      <c r="AB33" s="89"/>
      <c r="AC33" s="71"/>
      <c r="AD33" s="92"/>
      <c r="AE33" s="71"/>
      <c r="AF33" s="71"/>
      <c r="AG33" s="71"/>
      <c r="AH33" s="71"/>
      <c r="AI33" s="71"/>
      <c r="AJ33" s="71"/>
      <c r="AK33" s="71"/>
      <c r="AL33" s="71"/>
      <c r="AM33" s="71"/>
      <c r="AN33" s="71"/>
      <c r="AO33" s="71"/>
      <c r="AP33" s="71"/>
      <c r="AQ33" s="71"/>
      <c r="AR33" s="71"/>
    </row>
    <row r="34" ht="18.75" customHeight="1">
      <c r="A34" s="73"/>
      <c r="B34" s="91"/>
      <c r="C34" s="74"/>
      <c r="D34" s="74"/>
      <c r="E34" s="76"/>
      <c r="F34" s="20"/>
      <c r="G34" s="78"/>
      <c r="H34" s="76"/>
      <c r="I34" s="20"/>
      <c r="J34" s="81"/>
      <c r="K34" s="81" t="str">
        <f t="shared" si="1"/>
        <v>-</v>
      </c>
      <c r="L34" s="84"/>
      <c r="M34" s="84"/>
      <c r="N34" s="84"/>
      <c r="O34" s="84"/>
      <c r="P34" s="84"/>
      <c r="Q34" s="84"/>
      <c r="R34" s="84"/>
      <c r="S34" s="84"/>
      <c r="T34" s="84"/>
      <c r="U34" s="84"/>
      <c r="V34" s="84"/>
      <c r="W34" s="84"/>
      <c r="X34" s="84"/>
      <c r="Y34" s="87"/>
      <c r="Z34" s="56"/>
      <c r="AA34" s="88"/>
      <c r="AB34" s="89"/>
      <c r="AC34" s="71"/>
      <c r="AD34" s="92"/>
      <c r="AE34" s="71"/>
      <c r="AF34" s="71"/>
      <c r="AG34" s="71"/>
      <c r="AH34" s="71"/>
      <c r="AI34" s="71"/>
      <c r="AJ34" s="71"/>
      <c r="AK34" s="71"/>
      <c r="AL34" s="71"/>
      <c r="AM34" s="71"/>
      <c r="AN34" s="71"/>
      <c r="AO34" s="71"/>
      <c r="AP34" s="71"/>
      <c r="AQ34" s="71"/>
      <c r="AR34" s="71"/>
    </row>
    <row r="35" ht="18.75" customHeight="1">
      <c r="A35" s="73"/>
      <c r="B35" s="91"/>
      <c r="C35" s="74"/>
      <c r="D35" s="74"/>
      <c r="E35" s="76"/>
      <c r="F35" s="20"/>
      <c r="G35" s="78"/>
      <c r="H35" s="76"/>
      <c r="I35" s="20"/>
      <c r="J35" s="81"/>
      <c r="K35" s="81" t="str">
        <f t="shared" si="1"/>
        <v>-</v>
      </c>
      <c r="L35" s="84"/>
      <c r="M35" s="84"/>
      <c r="N35" s="84"/>
      <c r="O35" s="84"/>
      <c r="P35" s="84"/>
      <c r="Q35" s="84"/>
      <c r="R35" s="84"/>
      <c r="S35" s="84"/>
      <c r="T35" s="84"/>
      <c r="U35" s="84"/>
      <c r="V35" s="84"/>
      <c r="W35" s="84"/>
      <c r="X35" s="84"/>
      <c r="Y35" s="87"/>
      <c r="Z35" s="56"/>
      <c r="AA35" s="88"/>
      <c r="AB35" s="89"/>
      <c r="AC35" s="71"/>
      <c r="AD35" s="92"/>
      <c r="AE35" s="71"/>
      <c r="AF35" s="71"/>
      <c r="AG35" s="71"/>
      <c r="AH35" s="71"/>
      <c r="AI35" s="71"/>
      <c r="AJ35" s="71"/>
      <c r="AK35" s="71"/>
      <c r="AL35" s="71"/>
      <c r="AM35" s="71"/>
      <c r="AN35" s="71"/>
      <c r="AO35" s="71"/>
      <c r="AP35" s="71"/>
      <c r="AQ35" s="71"/>
      <c r="AR35" s="71"/>
    </row>
    <row r="36" ht="18.75" customHeight="1">
      <c r="A36" s="73"/>
      <c r="B36" s="91"/>
      <c r="C36" s="74"/>
      <c r="D36" s="74"/>
      <c r="E36" s="76"/>
      <c r="F36" s="20"/>
      <c r="G36" s="78"/>
      <c r="H36" s="76"/>
      <c r="I36" s="20"/>
      <c r="J36" s="81"/>
      <c r="K36" s="81" t="str">
        <f t="shared" si="1"/>
        <v>-</v>
      </c>
      <c r="L36" s="84"/>
      <c r="M36" s="84"/>
      <c r="N36" s="84"/>
      <c r="O36" s="84"/>
      <c r="P36" s="84"/>
      <c r="Q36" s="84"/>
      <c r="R36" s="84"/>
      <c r="S36" s="84"/>
      <c r="T36" s="84"/>
      <c r="U36" s="84"/>
      <c r="V36" s="84"/>
      <c r="W36" s="84"/>
      <c r="X36" s="84"/>
      <c r="Y36" s="87"/>
      <c r="Z36" s="56"/>
      <c r="AA36" s="89"/>
      <c r="AB36" s="89"/>
      <c r="AC36" s="71"/>
      <c r="AD36" s="92"/>
      <c r="AE36" s="71"/>
      <c r="AF36" s="71"/>
      <c r="AG36" s="71"/>
      <c r="AH36" s="71"/>
      <c r="AI36" s="71"/>
      <c r="AJ36" s="71"/>
      <c r="AK36" s="71"/>
      <c r="AL36" s="71"/>
      <c r="AM36" s="71"/>
      <c r="AN36" s="71"/>
      <c r="AO36" s="71"/>
      <c r="AP36" s="71"/>
      <c r="AQ36" s="71"/>
      <c r="AR36" s="71"/>
    </row>
    <row r="37" ht="18.75" customHeight="1">
      <c r="A37" s="73"/>
      <c r="B37" s="91"/>
      <c r="C37" s="74"/>
      <c r="D37" s="74"/>
      <c r="E37" s="76"/>
      <c r="F37" s="20"/>
      <c r="G37" s="78"/>
      <c r="H37" s="76"/>
      <c r="I37" s="20"/>
      <c r="J37" s="81"/>
      <c r="K37" s="81" t="str">
        <f t="shared" si="1"/>
        <v>-</v>
      </c>
      <c r="L37" s="84"/>
      <c r="M37" s="84"/>
      <c r="N37" s="84"/>
      <c r="O37" s="84"/>
      <c r="P37" s="84"/>
      <c r="Q37" s="84"/>
      <c r="R37" s="84"/>
      <c r="S37" s="84"/>
      <c r="T37" s="84"/>
      <c r="U37" s="84"/>
      <c r="V37" s="84"/>
      <c r="W37" s="84"/>
      <c r="X37" s="84"/>
      <c r="Y37" s="87"/>
      <c r="Z37" s="56"/>
      <c r="AA37" s="88"/>
      <c r="AB37" s="89"/>
      <c r="AC37" s="71"/>
      <c r="AD37" s="92"/>
      <c r="AE37" s="71"/>
      <c r="AF37" s="71"/>
      <c r="AG37" s="71"/>
      <c r="AH37" s="71"/>
      <c r="AI37" s="71"/>
      <c r="AJ37" s="71"/>
      <c r="AK37" s="71"/>
      <c r="AL37" s="71"/>
      <c r="AM37" s="71"/>
      <c r="AN37" s="71"/>
      <c r="AO37" s="71"/>
      <c r="AP37" s="71"/>
      <c r="AQ37" s="71"/>
      <c r="AR37" s="71"/>
    </row>
    <row r="38" ht="18.75" customHeight="1">
      <c r="A38" s="73"/>
      <c r="B38" s="91"/>
      <c r="C38" s="74"/>
      <c r="D38" s="74"/>
      <c r="E38" s="76"/>
      <c r="F38" s="20"/>
      <c r="G38" s="78"/>
      <c r="H38" s="76"/>
      <c r="I38" s="20"/>
      <c r="J38" s="81"/>
      <c r="K38" s="81" t="str">
        <f t="shared" si="1"/>
        <v>-</v>
      </c>
      <c r="L38" s="84"/>
      <c r="M38" s="84"/>
      <c r="N38" s="84"/>
      <c r="O38" s="84"/>
      <c r="P38" s="84"/>
      <c r="Q38" s="84"/>
      <c r="R38" s="84"/>
      <c r="S38" s="84"/>
      <c r="T38" s="84"/>
      <c r="U38" s="84"/>
      <c r="V38" s="84"/>
      <c r="W38" s="84"/>
      <c r="X38" s="84"/>
      <c r="Y38" s="87"/>
      <c r="Z38" s="56"/>
      <c r="AA38" s="88"/>
      <c r="AB38" s="71"/>
      <c r="AC38" s="71"/>
      <c r="AD38" s="92"/>
      <c r="AE38" s="71"/>
      <c r="AF38" s="71"/>
      <c r="AG38" s="71"/>
      <c r="AH38" s="71"/>
      <c r="AI38" s="71"/>
      <c r="AJ38" s="71"/>
      <c r="AK38" s="71"/>
      <c r="AL38" s="71"/>
      <c r="AM38" s="71"/>
      <c r="AN38" s="71"/>
      <c r="AO38" s="71"/>
      <c r="AP38" s="71"/>
      <c r="AQ38" s="71"/>
      <c r="AR38" s="71"/>
    </row>
    <row r="39" ht="18.75" customHeight="1">
      <c r="A39" s="73"/>
      <c r="B39" s="91"/>
      <c r="C39" s="74"/>
      <c r="D39" s="74"/>
      <c r="E39" s="76"/>
      <c r="F39" s="20"/>
      <c r="G39" s="78"/>
      <c r="H39" s="76"/>
      <c r="I39" s="20"/>
      <c r="J39" s="81"/>
      <c r="K39" s="81" t="str">
        <f t="shared" si="1"/>
        <v>-</v>
      </c>
      <c r="L39" s="84"/>
      <c r="M39" s="84"/>
      <c r="N39" s="84"/>
      <c r="O39" s="84"/>
      <c r="P39" s="84"/>
      <c r="Q39" s="84"/>
      <c r="R39" s="84"/>
      <c r="S39" s="84"/>
      <c r="T39" s="84"/>
      <c r="U39" s="84"/>
      <c r="V39" s="84"/>
      <c r="W39" s="84"/>
      <c r="X39" s="84"/>
      <c r="Y39" s="87"/>
      <c r="Z39" s="56"/>
      <c r="AA39" s="88"/>
      <c r="AB39" s="89"/>
      <c r="AC39" s="71"/>
      <c r="AD39" s="92"/>
      <c r="AE39" s="71"/>
      <c r="AF39" s="71"/>
      <c r="AG39" s="71"/>
      <c r="AH39" s="71"/>
      <c r="AI39" s="71"/>
      <c r="AJ39" s="71"/>
      <c r="AK39" s="71"/>
      <c r="AL39" s="71"/>
      <c r="AM39" s="71"/>
      <c r="AN39" s="71"/>
      <c r="AO39" s="71"/>
      <c r="AP39" s="71"/>
      <c r="AQ39" s="71"/>
      <c r="AR39" s="71"/>
    </row>
    <row r="40" ht="18.75" customHeight="1">
      <c r="A40" s="73"/>
      <c r="B40" s="91"/>
      <c r="C40" s="74"/>
      <c r="D40" s="74"/>
      <c r="E40" s="76"/>
      <c r="F40" s="20"/>
      <c r="G40" s="78"/>
      <c r="H40" s="76"/>
      <c r="I40" s="20"/>
      <c r="J40" s="81"/>
      <c r="K40" s="81" t="str">
        <f t="shared" si="1"/>
        <v>-</v>
      </c>
      <c r="L40" s="84"/>
      <c r="M40" s="84"/>
      <c r="N40" s="84"/>
      <c r="O40" s="84"/>
      <c r="P40" s="84"/>
      <c r="Q40" s="84"/>
      <c r="R40" s="84"/>
      <c r="S40" s="84"/>
      <c r="T40" s="84"/>
      <c r="U40" s="84"/>
      <c r="V40" s="84"/>
      <c r="W40" s="84"/>
      <c r="X40" s="84"/>
      <c r="Y40" s="87"/>
      <c r="Z40" s="56"/>
      <c r="AA40" s="88"/>
      <c r="AB40" s="89"/>
      <c r="AC40" s="71"/>
      <c r="AD40" s="92"/>
      <c r="AE40" s="71"/>
      <c r="AF40" s="71"/>
      <c r="AG40" s="71"/>
      <c r="AH40" s="71"/>
      <c r="AI40" s="71"/>
      <c r="AJ40" s="71"/>
      <c r="AK40" s="71"/>
      <c r="AL40" s="71"/>
      <c r="AM40" s="71"/>
      <c r="AN40" s="71"/>
      <c r="AO40" s="71"/>
      <c r="AP40" s="71"/>
      <c r="AQ40" s="71"/>
      <c r="AR40" s="71"/>
    </row>
    <row r="41" ht="18.75" customHeight="1">
      <c r="A41" s="73"/>
      <c r="B41" s="91"/>
      <c r="C41" s="74"/>
      <c r="D41" s="74"/>
      <c r="E41" s="76"/>
      <c r="F41" s="20"/>
      <c r="G41" s="78"/>
      <c r="H41" s="76"/>
      <c r="I41" s="20"/>
      <c r="J41" s="81"/>
      <c r="K41" s="81" t="str">
        <f t="shared" si="1"/>
        <v>-</v>
      </c>
      <c r="L41" s="84"/>
      <c r="M41" s="84"/>
      <c r="N41" s="84"/>
      <c r="O41" s="84"/>
      <c r="P41" s="84"/>
      <c r="Q41" s="84"/>
      <c r="R41" s="84"/>
      <c r="S41" s="84"/>
      <c r="T41" s="84"/>
      <c r="U41" s="84"/>
      <c r="V41" s="84"/>
      <c r="W41" s="84"/>
      <c r="X41" s="84"/>
      <c r="Y41" s="87"/>
      <c r="Z41" s="56"/>
      <c r="AA41" s="88"/>
      <c r="AB41" s="89"/>
      <c r="AC41" s="71"/>
      <c r="AD41" s="92"/>
      <c r="AE41" s="71"/>
      <c r="AF41" s="71"/>
      <c r="AG41" s="71"/>
      <c r="AH41" s="71"/>
      <c r="AI41" s="71"/>
      <c r="AJ41" s="71"/>
      <c r="AK41" s="71"/>
      <c r="AL41" s="71"/>
      <c r="AM41" s="71"/>
      <c r="AN41" s="71"/>
      <c r="AO41" s="71"/>
      <c r="AP41" s="71"/>
      <c r="AQ41" s="71"/>
      <c r="AR41" s="71"/>
    </row>
    <row r="42" ht="18.75" customHeight="1">
      <c r="A42" s="73"/>
      <c r="B42" s="91"/>
      <c r="C42" s="74"/>
      <c r="D42" s="74"/>
      <c r="E42" s="76"/>
      <c r="F42" s="20"/>
      <c r="G42" s="78"/>
      <c r="H42" s="76"/>
      <c r="I42" s="20"/>
      <c r="J42" s="81"/>
      <c r="K42" s="81" t="str">
        <f t="shared" si="1"/>
        <v>-</v>
      </c>
      <c r="L42" s="84"/>
      <c r="M42" s="84"/>
      <c r="N42" s="84"/>
      <c r="O42" s="84"/>
      <c r="P42" s="84"/>
      <c r="Q42" s="84"/>
      <c r="R42" s="84"/>
      <c r="S42" s="84"/>
      <c r="T42" s="84"/>
      <c r="U42" s="84"/>
      <c r="V42" s="84"/>
      <c r="W42" s="84"/>
      <c r="X42" s="84"/>
      <c r="Y42" s="87"/>
      <c r="Z42" s="56"/>
      <c r="AA42" s="88"/>
      <c r="AB42" s="89"/>
      <c r="AC42" s="71"/>
      <c r="AD42" s="92"/>
      <c r="AE42" s="71"/>
      <c r="AF42" s="71"/>
      <c r="AG42" s="71"/>
      <c r="AH42" s="71"/>
      <c r="AI42" s="71"/>
      <c r="AJ42" s="71"/>
      <c r="AK42" s="71"/>
      <c r="AL42" s="71"/>
      <c r="AM42" s="71"/>
      <c r="AN42" s="71"/>
      <c r="AO42" s="71"/>
      <c r="AP42" s="71"/>
      <c r="AQ42" s="71"/>
      <c r="AR42" s="71"/>
    </row>
    <row r="43" ht="18.75" customHeight="1">
      <c r="A43" s="73"/>
      <c r="B43" s="91"/>
      <c r="C43" s="74"/>
      <c r="D43" s="74"/>
      <c r="E43" s="76"/>
      <c r="F43" s="20"/>
      <c r="G43" s="78"/>
      <c r="H43" s="76"/>
      <c r="I43" s="20"/>
      <c r="J43" s="81"/>
      <c r="K43" s="81" t="str">
        <f t="shared" si="1"/>
        <v>-</v>
      </c>
      <c r="L43" s="84"/>
      <c r="M43" s="84"/>
      <c r="N43" s="84"/>
      <c r="O43" s="84"/>
      <c r="P43" s="84"/>
      <c r="Q43" s="84"/>
      <c r="R43" s="84"/>
      <c r="S43" s="84"/>
      <c r="T43" s="84"/>
      <c r="U43" s="84"/>
      <c r="V43" s="84"/>
      <c r="W43" s="84"/>
      <c r="X43" s="84"/>
      <c r="Y43" s="87"/>
      <c r="Z43" s="56"/>
      <c r="AA43" s="88"/>
      <c r="AB43" s="89"/>
      <c r="AC43" s="71"/>
      <c r="AD43" s="92"/>
      <c r="AE43" s="71"/>
      <c r="AF43" s="71"/>
      <c r="AG43" s="71"/>
      <c r="AH43" s="71"/>
      <c r="AI43" s="71"/>
      <c r="AJ43" s="71"/>
      <c r="AK43" s="71"/>
      <c r="AL43" s="71"/>
      <c r="AM43" s="71"/>
      <c r="AN43" s="71"/>
      <c r="AO43" s="71"/>
      <c r="AP43" s="71"/>
      <c r="AQ43" s="71"/>
      <c r="AR43" s="71"/>
    </row>
    <row r="44" ht="18.75" customHeight="1">
      <c r="A44" s="73"/>
      <c r="B44" s="91"/>
      <c r="C44" s="74"/>
      <c r="D44" s="74"/>
      <c r="E44" s="76"/>
      <c r="F44" s="20"/>
      <c r="G44" s="78"/>
      <c r="H44" s="76"/>
      <c r="I44" s="20"/>
      <c r="J44" s="81"/>
      <c r="K44" s="81" t="str">
        <f t="shared" si="1"/>
        <v>-</v>
      </c>
      <c r="L44" s="84"/>
      <c r="M44" s="84"/>
      <c r="N44" s="84"/>
      <c r="O44" s="84"/>
      <c r="P44" s="84"/>
      <c r="Q44" s="84"/>
      <c r="R44" s="84"/>
      <c r="S44" s="84"/>
      <c r="T44" s="84"/>
      <c r="U44" s="84"/>
      <c r="V44" s="84"/>
      <c r="W44" s="84"/>
      <c r="X44" s="84"/>
      <c r="Y44" s="87"/>
      <c r="Z44" s="56"/>
      <c r="AA44" s="88"/>
      <c r="AB44" s="71"/>
      <c r="AC44" s="71"/>
      <c r="AD44" s="92"/>
      <c r="AE44" s="71"/>
      <c r="AF44" s="71"/>
      <c r="AG44" s="71"/>
      <c r="AH44" s="71"/>
      <c r="AI44" s="71"/>
      <c r="AJ44" s="71"/>
      <c r="AK44" s="71"/>
      <c r="AL44" s="71"/>
      <c r="AM44" s="71"/>
      <c r="AN44" s="71"/>
      <c r="AO44" s="71"/>
      <c r="AP44" s="71"/>
      <c r="AQ44" s="71"/>
      <c r="AR44" s="71"/>
    </row>
    <row r="45" ht="18.75" customHeight="1">
      <c r="A45" s="73"/>
      <c r="B45" s="91"/>
      <c r="C45" s="74"/>
      <c r="D45" s="74"/>
      <c r="E45" s="76"/>
      <c r="F45" s="20"/>
      <c r="G45" s="78"/>
      <c r="H45" s="76"/>
      <c r="I45" s="20"/>
      <c r="J45" s="81"/>
      <c r="K45" s="81" t="str">
        <f t="shared" si="1"/>
        <v>-</v>
      </c>
      <c r="L45" s="84"/>
      <c r="M45" s="84"/>
      <c r="N45" s="84"/>
      <c r="O45" s="84"/>
      <c r="P45" s="84"/>
      <c r="Q45" s="84"/>
      <c r="R45" s="84"/>
      <c r="S45" s="84"/>
      <c r="T45" s="84"/>
      <c r="U45" s="84"/>
      <c r="V45" s="84"/>
      <c r="W45" s="84"/>
      <c r="X45" s="84"/>
      <c r="Y45" s="87"/>
      <c r="Z45" s="56"/>
      <c r="AA45" s="88"/>
      <c r="AB45" s="71"/>
      <c r="AC45" s="71"/>
      <c r="AD45" s="92"/>
      <c r="AE45" s="71"/>
      <c r="AF45" s="71"/>
      <c r="AG45" s="71"/>
      <c r="AH45" s="71"/>
      <c r="AI45" s="71"/>
      <c r="AJ45" s="71"/>
      <c r="AK45" s="71"/>
      <c r="AL45" s="71"/>
      <c r="AM45" s="71"/>
      <c r="AN45" s="71"/>
      <c r="AO45" s="71"/>
      <c r="AP45" s="71"/>
      <c r="AQ45" s="71"/>
      <c r="AR45" s="71"/>
    </row>
    <row r="46" ht="18.75" customHeight="1">
      <c r="A46" s="73"/>
      <c r="B46" s="91"/>
      <c r="C46" s="74"/>
      <c r="D46" s="74"/>
      <c r="E46" s="76"/>
      <c r="F46" s="20"/>
      <c r="G46" s="78"/>
      <c r="H46" s="76"/>
      <c r="I46" s="20"/>
      <c r="J46" s="81"/>
      <c r="K46" s="81" t="str">
        <f t="shared" si="1"/>
        <v>-</v>
      </c>
      <c r="L46" s="84"/>
      <c r="M46" s="84"/>
      <c r="N46" s="84"/>
      <c r="O46" s="84"/>
      <c r="P46" s="84"/>
      <c r="Q46" s="84"/>
      <c r="R46" s="84"/>
      <c r="S46" s="84"/>
      <c r="T46" s="84"/>
      <c r="U46" s="84"/>
      <c r="V46" s="84"/>
      <c r="W46" s="84"/>
      <c r="X46" s="84"/>
      <c r="Y46" s="87"/>
      <c r="Z46" s="56"/>
      <c r="AA46" s="88"/>
      <c r="AB46" s="71"/>
      <c r="AC46" s="71"/>
      <c r="AD46" s="92"/>
      <c r="AE46" s="71"/>
      <c r="AF46" s="71"/>
      <c r="AG46" s="71"/>
      <c r="AH46" s="71"/>
      <c r="AI46" s="71"/>
      <c r="AJ46" s="71"/>
      <c r="AK46" s="71"/>
      <c r="AL46" s="71"/>
      <c r="AM46" s="71"/>
      <c r="AN46" s="71"/>
      <c r="AO46" s="71"/>
      <c r="AP46" s="71"/>
      <c r="AQ46" s="71"/>
      <c r="AR46" s="71"/>
    </row>
    <row r="47" ht="18.75" customHeight="1">
      <c r="A47" s="73"/>
      <c r="B47" s="91"/>
      <c r="C47" s="74"/>
      <c r="D47" s="74"/>
      <c r="E47" s="76"/>
      <c r="F47" s="20"/>
      <c r="G47" s="78"/>
      <c r="H47" s="76"/>
      <c r="I47" s="20"/>
      <c r="J47" s="81"/>
      <c r="K47" s="81" t="str">
        <f t="shared" si="1"/>
        <v>-</v>
      </c>
      <c r="L47" s="84"/>
      <c r="M47" s="84"/>
      <c r="N47" s="84"/>
      <c r="O47" s="84"/>
      <c r="P47" s="84"/>
      <c r="Q47" s="84"/>
      <c r="R47" s="84"/>
      <c r="S47" s="84"/>
      <c r="T47" s="84"/>
      <c r="U47" s="84"/>
      <c r="V47" s="84"/>
      <c r="W47" s="84"/>
      <c r="X47" s="84"/>
      <c r="Y47" s="87"/>
      <c r="Z47" s="56"/>
      <c r="AA47" s="88"/>
      <c r="AB47" s="89"/>
      <c r="AC47" s="71"/>
      <c r="AD47" s="92"/>
      <c r="AE47" s="71"/>
      <c r="AF47" s="71"/>
      <c r="AG47" s="71"/>
      <c r="AH47" s="71"/>
      <c r="AI47" s="71"/>
      <c r="AJ47" s="71"/>
      <c r="AK47" s="71"/>
      <c r="AL47" s="71"/>
      <c r="AM47" s="71"/>
      <c r="AN47" s="71"/>
      <c r="AO47" s="71"/>
      <c r="AP47" s="71"/>
      <c r="AQ47" s="71"/>
      <c r="AR47" s="71"/>
    </row>
    <row r="48" ht="18.75" customHeight="1">
      <c r="A48" s="73"/>
      <c r="B48" s="91"/>
      <c r="C48" s="74"/>
      <c r="D48" s="74"/>
      <c r="E48" s="76"/>
      <c r="F48" s="20"/>
      <c r="G48" s="78"/>
      <c r="H48" s="76"/>
      <c r="I48" s="20"/>
      <c r="J48" s="81"/>
      <c r="K48" s="81" t="str">
        <f t="shared" si="1"/>
        <v>-</v>
      </c>
      <c r="L48" s="84"/>
      <c r="M48" s="84"/>
      <c r="N48" s="84"/>
      <c r="O48" s="84"/>
      <c r="P48" s="84"/>
      <c r="Q48" s="84"/>
      <c r="R48" s="84"/>
      <c r="S48" s="84"/>
      <c r="T48" s="84"/>
      <c r="U48" s="84"/>
      <c r="V48" s="84"/>
      <c r="W48" s="84"/>
      <c r="X48" s="84"/>
      <c r="Y48" s="87"/>
      <c r="Z48" s="56"/>
      <c r="AA48" s="88"/>
      <c r="AB48" s="89"/>
      <c r="AC48" s="71"/>
      <c r="AD48" s="92"/>
      <c r="AE48" s="71"/>
      <c r="AF48" s="71"/>
      <c r="AG48" s="71"/>
      <c r="AH48" s="71"/>
      <c r="AI48" s="71"/>
      <c r="AJ48" s="71"/>
      <c r="AK48" s="71"/>
      <c r="AL48" s="71"/>
      <c r="AM48" s="71"/>
      <c r="AN48" s="71"/>
      <c r="AO48" s="71"/>
      <c r="AP48" s="71"/>
      <c r="AQ48" s="71"/>
      <c r="AR48" s="71"/>
    </row>
    <row r="49" ht="18.75" customHeight="1">
      <c r="A49" s="73"/>
      <c r="B49" s="91"/>
      <c r="C49" s="74"/>
      <c r="D49" s="74"/>
      <c r="E49" s="76"/>
      <c r="F49" s="20"/>
      <c r="G49" s="78"/>
      <c r="H49" s="76"/>
      <c r="I49" s="20"/>
      <c r="J49" s="81"/>
      <c r="K49" s="81" t="str">
        <f t="shared" si="1"/>
        <v>-</v>
      </c>
      <c r="L49" s="84"/>
      <c r="M49" s="84"/>
      <c r="N49" s="84"/>
      <c r="O49" s="84"/>
      <c r="P49" s="84"/>
      <c r="Q49" s="84"/>
      <c r="R49" s="84"/>
      <c r="S49" s="84"/>
      <c r="T49" s="84"/>
      <c r="U49" s="84"/>
      <c r="V49" s="84"/>
      <c r="W49" s="84"/>
      <c r="X49" s="84"/>
      <c r="Y49" s="87"/>
      <c r="Z49" s="56"/>
      <c r="AA49" s="88"/>
      <c r="AB49" s="89"/>
      <c r="AC49" s="71"/>
      <c r="AD49" s="92"/>
      <c r="AE49" s="71"/>
      <c r="AF49" s="71"/>
      <c r="AG49" s="71"/>
      <c r="AH49" s="71"/>
      <c r="AI49" s="71"/>
      <c r="AJ49" s="71"/>
      <c r="AK49" s="71"/>
      <c r="AL49" s="71"/>
      <c r="AM49" s="71"/>
      <c r="AN49" s="71"/>
      <c r="AO49" s="71"/>
      <c r="AP49" s="71"/>
      <c r="AQ49" s="71"/>
      <c r="AR49" s="71"/>
    </row>
    <row r="50" ht="18.75" customHeight="1">
      <c r="A50" s="73"/>
      <c r="B50" s="91"/>
      <c r="C50" s="74"/>
      <c r="D50" s="74"/>
      <c r="E50" s="76"/>
      <c r="F50" s="20"/>
      <c r="G50" s="78"/>
      <c r="H50" s="76"/>
      <c r="I50" s="20"/>
      <c r="J50" s="81"/>
      <c r="K50" s="81" t="str">
        <f t="shared" si="1"/>
        <v>-</v>
      </c>
      <c r="L50" s="84"/>
      <c r="M50" s="84"/>
      <c r="N50" s="84"/>
      <c r="O50" s="84"/>
      <c r="P50" s="84"/>
      <c r="Q50" s="84"/>
      <c r="R50" s="84"/>
      <c r="S50" s="84"/>
      <c r="T50" s="84"/>
      <c r="U50" s="84"/>
      <c r="V50" s="84"/>
      <c r="W50" s="84"/>
      <c r="X50" s="84"/>
      <c r="Y50" s="87"/>
      <c r="Z50" s="56"/>
      <c r="AA50" s="88"/>
      <c r="AB50" s="89"/>
      <c r="AC50" s="71"/>
      <c r="AD50" s="92"/>
      <c r="AE50" s="71"/>
      <c r="AF50" s="71"/>
      <c r="AG50" s="71"/>
      <c r="AH50" s="71"/>
      <c r="AI50" s="71"/>
      <c r="AJ50" s="71"/>
      <c r="AK50" s="71"/>
      <c r="AL50" s="71"/>
      <c r="AM50" s="71"/>
      <c r="AN50" s="71"/>
      <c r="AO50" s="71"/>
      <c r="AP50" s="71"/>
      <c r="AQ50" s="71"/>
      <c r="AR50" s="71"/>
    </row>
    <row r="51" ht="18.75" customHeight="1">
      <c r="A51" s="73"/>
      <c r="B51" s="91"/>
      <c r="C51" s="74"/>
      <c r="D51" s="74"/>
      <c r="E51" s="76"/>
      <c r="F51" s="20"/>
      <c r="G51" s="78"/>
      <c r="H51" s="76"/>
      <c r="I51" s="20"/>
      <c r="J51" s="81"/>
      <c r="K51" s="81" t="str">
        <f t="shared" si="1"/>
        <v>-</v>
      </c>
      <c r="L51" s="84"/>
      <c r="M51" s="84"/>
      <c r="N51" s="84"/>
      <c r="O51" s="84"/>
      <c r="P51" s="84"/>
      <c r="Q51" s="84"/>
      <c r="R51" s="84"/>
      <c r="S51" s="84"/>
      <c r="T51" s="84"/>
      <c r="U51" s="84"/>
      <c r="V51" s="84"/>
      <c r="W51" s="84"/>
      <c r="X51" s="84"/>
      <c r="Y51" s="87"/>
      <c r="Z51" s="56"/>
      <c r="AA51" s="88"/>
      <c r="AB51" s="89"/>
      <c r="AC51" s="71"/>
      <c r="AD51" s="92"/>
      <c r="AE51" s="71"/>
      <c r="AF51" s="71"/>
      <c r="AG51" s="71"/>
      <c r="AH51" s="71"/>
      <c r="AI51" s="71"/>
      <c r="AJ51" s="71"/>
      <c r="AK51" s="71"/>
      <c r="AL51" s="71"/>
      <c r="AM51" s="71"/>
      <c r="AN51" s="71"/>
      <c r="AO51" s="71"/>
      <c r="AP51" s="71"/>
      <c r="AQ51" s="71"/>
      <c r="AR51" s="71"/>
    </row>
    <row r="52" ht="18.75" customHeight="1">
      <c r="A52" s="73"/>
      <c r="B52" s="91"/>
      <c r="C52" s="74"/>
      <c r="D52" s="74"/>
      <c r="E52" s="76"/>
      <c r="F52" s="20"/>
      <c r="G52" s="78"/>
      <c r="H52" s="76"/>
      <c r="I52" s="20"/>
      <c r="J52" s="81"/>
      <c r="K52" s="81" t="str">
        <f t="shared" si="1"/>
        <v>-</v>
      </c>
      <c r="L52" s="84"/>
      <c r="M52" s="84"/>
      <c r="N52" s="84"/>
      <c r="O52" s="84"/>
      <c r="P52" s="84"/>
      <c r="Q52" s="84"/>
      <c r="R52" s="84"/>
      <c r="S52" s="84"/>
      <c r="T52" s="84"/>
      <c r="U52" s="84"/>
      <c r="V52" s="84"/>
      <c r="W52" s="84"/>
      <c r="X52" s="84"/>
      <c r="Y52" s="87"/>
      <c r="Z52" s="56"/>
      <c r="AA52" s="88"/>
      <c r="AB52" s="89"/>
      <c r="AC52" s="71"/>
      <c r="AD52" s="92"/>
      <c r="AE52" s="71"/>
      <c r="AF52" s="71"/>
      <c r="AG52" s="71"/>
      <c r="AH52" s="71"/>
      <c r="AI52" s="71"/>
      <c r="AJ52" s="71"/>
      <c r="AK52" s="71"/>
      <c r="AL52" s="71"/>
      <c r="AM52" s="71"/>
      <c r="AN52" s="71"/>
      <c r="AO52" s="71"/>
      <c r="AP52" s="71"/>
      <c r="AQ52" s="71"/>
      <c r="AR52" s="71"/>
    </row>
    <row r="53" ht="17.25" customHeight="1">
      <c r="A53" s="73"/>
      <c r="B53" s="90"/>
      <c r="C53" s="74"/>
      <c r="D53" s="74"/>
      <c r="E53" s="76"/>
      <c r="F53" s="20"/>
      <c r="G53" s="78"/>
      <c r="H53" s="76"/>
      <c r="I53" s="20"/>
      <c r="J53" s="81"/>
      <c r="K53" s="81" t="str">
        <f t="shared" si="1"/>
        <v>-</v>
      </c>
      <c r="L53" s="84"/>
      <c r="M53" s="84"/>
      <c r="N53" s="84"/>
      <c r="O53" s="84"/>
      <c r="P53" s="84"/>
      <c r="Q53" s="84"/>
      <c r="R53" s="84"/>
      <c r="S53" s="84"/>
      <c r="T53" s="84"/>
      <c r="U53" s="84"/>
      <c r="V53" s="84"/>
      <c r="W53" s="84"/>
      <c r="X53" s="84"/>
      <c r="Y53" s="87"/>
      <c r="Z53" s="56"/>
      <c r="AA53" s="88"/>
      <c r="AB53" s="89"/>
      <c r="AC53" s="71"/>
      <c r="AD53" s="92"/>
      <c r="AE53" s="71"/>
      <c r="AF53" s="71"/>
      <c r="AG53" s="71"/>
      <c r="AH53" s="71"/>
      <c r="AI53" s="71"/>
      <c r="AJ53" s="71"/>
      <c r="AK53" s="71"/>
      <c r="AL53" s="71"/>
      <c r="AM53" s="71"/>
      <c r="AN53" s="71"/>
      <c r="AO53" s="71"/>
      <c r="AP53" s="71"/>
      <c r="AQ53" s="71"/>
      <c r="AR53" s="71"/>
    </row>
    <row r="54" ht="18.75" customHeight="1">
      <c r="A54" s="73"/>
      <c r="B54" s="91"/>
      <c r="C54" s="74"/>
      <c r="D54" s="74"/>
      <c r="E54" s="76"/>
      <c r="F54" s="20"/>
      <c r="G54" s="78"/>
      <c r="H54" s="76"/>
      <c r="I54" s="20"/>
      <c r="J54" s="81"/>
      <c r="K54" s="81" t="str">
        <f t="shared" si="1"/>
        <v>-</v>
      </c>
      <c r="L54" s="84"/>
      <c r="M54" s="84"/>
      <c r="N54" s="84"/>
      <c r="O54" s="84"/>
      <c r="P54" s="84"/>
      <c r="Q54" s="84"/>
      <c r="R54" s="84"/>
      <c r="S54" s="84"/>
      <c r="T54" s="84"/>
      <c r="U54" s="84"/>
      <c r="V54" s="84"/>
      <c r="W54" s="84"/>
      <c r="X54" s="84"/>
      <c r="Y54" s="87"/>
      <c r="Z54" s="56"/>
      <c r="AA54" s="88"/>
      <c r="AB54" s="89"/>
      <c r="AC54" s="71"/>
      <c r="AD54" s="92"/>
      <c r="AE54" s="71"/>
      <c r="AF54" s="71"/>
      <c r="AG54" s="71"/>
      <c r="AH54" s="71"/>
      <c r="AI54" s="71"/>
      <c r="AJ54" s="71"/>
      <c r="AK54" s="71"/>
      <c r="AL54" s="71"/>
      <c r="AM54" s="71"/>
      <c r="AN54" s="71"/>
      <c r="AO54" s="71"/>
      <c r="AP54" s="71"/>
      <c r="AQ54" s="71"/>
      <c r="AR54" s="71"/>
    </row>
    <row r="55" ht="18.75" customHeight="1">
      <c r="A55" s="73"/>
      <c r="B55" s="91"/>
      <c r="C55" s="74"/>
      <c r="D55" s="74"/>
      <c r="E55" s="76"/>
      <c r="F55" s="20"/>
      <c r="G55" s="78"/>
      <c r="H55" s="76"/>
      <c r="I55" s="20"/>
      <c r="J55" s="81"/>
      <c r="K55" s="81" t="str">
        <f t="shared" si="1"/>
        <v>-</v>
      </c>
      <c r="L55" s="84"/>
      <c r="M55" s="84"/>
      <c r="N55" s="84"/>
      <c r="O55" s="84"/>
      <c r="P55" s="84"/>
      <c r="Q55" s="84"/>
      <c r="R55" s="84"/>
      <c r="S55" s="84"/>
      <c r="T55" s="84"/>
      <c r="U55" s="84"/>
      <c r="V55" s="84"/>
      <c r="W55" s="84"/>
      <c r="X55" s="84"/>
      <c r="Y55" s="87"/>
      <c r="Z55" s="56"/>
      <c r="AA55" s="88"/>
      <c r="AB55" s="89"/>
      <c r="AC55" s="71"/>
      <c r="AD55" s="92"/>
      <c r="AE55" s="71"/>
      <c r="AF55" s="71"/>
      <c r="AG55" s="71"/>
      <c r="AH55" s="71"/>
      <c r="AI55" s="71"/>
      <c r="AJ55" s="71"/>
      <c r="AK55" s="71"/>
      <c r="AL55" s="71"/>
      <c r="AM55" s="71"/>
      <c r="AN55" s="71"/>
      <c r="AO55" s="71"/>
      <c r="AP55" s="71"/>
      <c r="AQ55" s="71"/>
      <c r="AR55" s="71"/>
    </row>
    <row r="56" ht="18.75" customHeight="1">
      <c r="A56" s="73"/>
      <c r="B56" s="91"/>
      <c r="C56" s="74"/>
      <c r="D56" s="74"/>
      <c r="E56" s="76"/>
      <c r="F56" s="20"/>
      <c r="G56" s="78"/>
      <c r="H56" s="76"/>
      <c r="I56" s="20"/>
      <c r="J56" s="81"/>
      <c r="K56" s="81" t="str">
        <f t="shared" si="1"/>
        <v>-</v>
      </c>
      <c r="L56" s="84"/>
      <c r="M56" s="84"/>
      <c r="N56" s="84"/>
      <c r="O56" s="84"/>
      <c r="P56" s="84"/>
      <c r="Q56" s="84"/>
      <c r="R56" s="84"/>
      <c r="S56" s="84"/>
      <c r="T56" s="84"/>
      <c r="U56" s="84"/>
      <c r="V56" s="84"/>
      <c r="W56" s="84"/>
      <c r="X56" s="84"/>
      <c r="Y56" s="87"/>
      <c r="Z56" s="56"/>
      <c r="AA56" s="88"/>
      <c r="AB56" s="89"/>
      <c r="AC56" s="71"/>
      <c r="AD56" s="92"/>
      <c r="AE56" s="71"/>
      <c r="AF56" s="71"/>
      <c r="AG56" s="71"/>
      <c r="AH56" s="71"/>
      <c r="AI56" s="71"/>
      <c r="AJ56" s="71"/>
      <c r="AK56" s="71"/>
      <c r="AL56" s="71"/>
      <c r="AM56" s="71"/>
      <c r="AN56" s="71"/>
      <c r="AO56" s="71"/>
      <c r="AP56" s="71"/>
      <c r="AQ56" s="71"/>
      <c r="AR56" s="71"/>
    </row>
    <row r="57" ht="18.75" customHeight="1">
      <c r="A57" s="73"/>
      <c r="B57" s="91"/>
      <c r="C57" s="74"/>
      <c r="D57" s="74"/>
      <c r="E57" s="76"/>
      <c r="F57" s="20"/>
      <c r="G57" s="78"/>
      <c r="H57" s="76"/>
      <c r="I57" s="20"/>
      <c r="J57" s="81"/>
      <c r="K57" s="81" t="str">
        <f t="shared" si="1"/>
        <v>-</v>
      </c>
      <c r="L57" s="84"/>
      <c r="M57" s="84"/>
      <c r="N57" s="84"/>
      <c r="O57" s="84"/>
      <c r="P57" s="84"/>
      <c r="Q57" s="84"/>
      <c r="R57" s="84"/>
      <c r="S57" s="84"/>
      <c r="T57" s="84"/>
      <c r="U57" s="84"/>
      <c r="V57" s="84"/>
      <c r="W57" s="84"/>
      <c r="X57" s="84"/>
      <c r="Y57" s="87"/>
      <c r="Z57" s="56"/>
      <c r="AA57" s="88"/>
      <c r="AB57" s="89"/>
      <c r="AC57" s="71"/>
      <c r="AD57" s="92"/>
      <c r="AE57" s="71"/>
      <c r="AF57" s="71"/>
      <c r="AG57" s="71"/>
      <c r="AH57" s="71"/>
      <c r="AI57" s="71"/>
      <c r="AJ57" s="71"/>
      <c r="AK57" s="71"/>
      <c r="AL57" s="71"/>
      <c r="AM57" s="71"/>
      <c r="AN57" s="71"/>
      <c r="AO57" s="71"/>
      <c r="AP57" s="71"/>
      <c r="AQ57" s="71"/>
      <c r="AR57" s="71"/>
    </row>
    <row r="58" ht="18.75" customHeight="1">
      <c r="A58" s="73"/>
      <c r="B58" s="91"/>
      <c r="C58" s="74"/>
      <c r="D58" s="74"/>
      <c r="E58" s="76"/>
      <c r="F58" s="20"/>
      <c r="G58" s="78"/>
      <c r="H58" s="76"/>
      <c r="I58" s="20"/>
      <c r="J58" s="81"/>
      <c r="K58" s="81" t="str">
        <f t="shared" si="1"/>
        <v>-</v>
      </c>
      <c r="L58" s="84"/>
      <c r="M58" s="84"/>
      <c r="N58" s="84"/>
      <c r="O58" s="84"/>
      <c r="P58" s="84"/>
      <c r="Q58" s="84"/>
      <c r="R58" s="84"/>
      <c r="S58" s="84"/>
      <c r="T58" s="84"/>
      <c r="U58" s="84"/>
      <c r="V58" s="84"/>
      <c r="W58" s="84"/>
      <c r="X58" s="84"/>
      <c r="Y58" s="87"/>
      <c r="Z58" s="56"/>
      <c r="AA58" s="88"/>
      <c r="AB58" s="89"/>
      <c r="AC58" s="71"/>
      <c r="AD58" s="92"/>
      <c r="AE58" s="71"/>
      <c r="AF58" s="71"/>
      <c r="AG58" s="71"/>
      <c r="AH58" s="71"/>
      <c r="AI58" s="71"/>
      <c r="AJ58" s="71"/>
      <c r="AK58" s="71"/>
      <c r="AL58" s="71"/>
      <c r="AM58" s="71"/>
      <c r="AN58" s="71"/>
      <c r="AO58" s="71"/>
      <c r="AP58" s="71"/>
      <c r="AQ58" s="71"/>
      <c r="AR58" s="71"/>
    </row>
    <row r="59" ht="18.75" customHeight="1">
      <c r="A59" s="73"/>
      <c r="B59" s="91"/>
      <c r="C59" s="74"/>
      <c r="D59" s="74"/>
      <c r="E59" s="76"/>
      <c r="F59" s="20"/>
      <c r="G59" s="78"/>
      <c r="H59" s="76"/>
      <c r="I59" s="20"/>
      <c r="J59" s="81"/>
      <c r="K59" s="81" t="str">
        <f t="shared" si="1"/>
        <v>-</v>
      </c>
      <c r="L59" s="84"/>
      <c r="M59" s="84"/>
      <c r="N59" s="84"/>
      <c r="O59" s="84"/>
      <c r="P59" s="84"/>
      <c r="Q59" s="84"/>
      <c r="R59" s="84"/>
      <c r="S59" s="84"/>
      <c r="T59" s="84"/>
      <c r="U59" s="84"/>
      <c r="V59" s="84"/>
      <c r="W59" s="84"/>
      <c r="X59" s="84"/>
      <c r="Y59" s="87"/>
      <c r="Z59" s="56"/>
      <c r="AA59" s="88"/>
      <c r="AB59" s="89"/>
      <c r="AC59" s="71"/>
      <c r="AD59" s="92"/>
      <c r="AE59" s="71"/>
      <c r="AF59" s="71"/>
      <c r="AG59" s="71"/>
      <c r="AH59" s="71"/>
      <c r="AI59" s="71"/>
      <c r="AJ59" s="71"/>
      <c r="AK59" s="71"/>
      <c r="AL59" s="71"/>
      <c r="AM59" s="71"/>
      <c r="AN59" s="71"/>
      <c r="AO59" s="71"/>
      <c r="AP59" s="71"/>
      <c r="AQ59" s="71"/>
      <c r="AR59" s="71"/>
    </row>
    <row r="60" ht="18.75" customHeight="1">
      <c r="A60" s="73"/>
      <c r="B60" s="91"/>
      <c r="C60" s="74"/>
      <c r="D60" s="74"/>
      <c r="E60" s="76"/>
      <c r="F60" s="20"/>
      <c r="G60" s="78"/>
      <c r="H60" s="76"/>
      <c r="I60" s="20"/>
      <c r="J60" s="81"/>
      <c r="K60" s="81" t="str">
        <f t="shared" si="1"/>
        <v>-</v>
      </c>
      <c r="L60" s="84"/>
      <c r="M60" s="84"/>
      <c r="N60" s="84"/>
      <c r="O60" s="84"/>
      <c r="P60" s="84"/>
      <c r="Q60" s="84"/>
      <c r="R60" s="84"/>
      <c r="S60" s="84"/>
      <c r="T60" s="84"/>
      <c r="U60" s="84"/>
      <c r="V60" s="84"/>
      <c r="W60" s="84"/>
      <c r="X60" s="84"/>
      <c r="Y60" s="87"/>
      <c r="Z60" s="56"/>
      <c r="AA60" s="88"/>
      <c r="AB60" s="89"/>
      <c r="AC60" s="71"/>
      <c r="AD60" s="92"/>
      <c r="AE60" s="71"/>
      <c r="AF60" s="71"/>
      <c r="AG60" s="71"/>
      <c r="AH60" s="71"/>
      <c r="AI60" s="71"/>
      <c r="AJ60" s="71"/>
      <c r="AK60" s="71"/>
      <c r="AL60" s="71"/>
      <c r="AM60" s="71"/>
      <c r="AN60" s="71"/>
      <c r="AO60" s="71"/>
      <c r="AP60" s="71"/>
      <c r="AQ60" s="71"/>
      <c r="AR60" s="71"/>
    </row>
    <row r="61" ht="18.75" customHeight="1">
      <c r="A61" s="73"/>
      <c r="B61" s="91"/>
      <c r="C61" s="74"/>
      <c r="D61" s="74"/>
      <c r="E61" s="76"/>
      <c r="F61" s="20"/>
      <c r="G61" s="78"/>
      <c r="H61" s="76"/>
      <c r="I61" s="20"/>
      <c r="J61" s="81"/>
      <c r="K61" s="81" t="str">
        <f t="shared" si="1"/>
        <v>-</v>
      </c>
      <c r="L61" s="84"/>
      <c r="M61" s="84"/>
      <c r="N61" s="84"/>
      <c r="O61" s="84"/>
      <c r="P61" s="84"/>
      <c r="Q61" s="84"/>
      <c r="R61" s="84"/>
      <c r="S61" s="84"/>
      <c r="T61" s="84"/>
      <c r="U61" s="84"/>
      <c r="V61" s="84"/>
      <c r="W61" s="84"/>
      <c r="X61" s="84"/>
      <c r="Y61" s="87"/>
      <c r="Z61" s="56"/>
      <c r="AA61" s="88"/>
      <c r="AB61" s="89"/>
      <c r="AC61" s="71"/>
      <c r="AD61" s="92"/>
      <c r="AE61" s="71"/>
      <c r="AF61" s="71"/>
      <c r="AG61" s="71"/>
      <c r="AH61" s="71"/>
      <c r="AI61" s="71"/>
      <c r="AJ61" s="71"/>
      <c r="AK61" s="71"/>
      <c r="AL61" s="71"/>
      <c r="AM61" s="71"/>
      <c r="AN61" s="71"/>
      <c r="AO61" s="71"/>
      <c r="AP61" s="71"/>
      <c r="AQ61" s="71"/>
      <c r="AR61" s="71"/>
    </row>
    <row r="62" ht="18.75" customHeight="1">
      <c r="A62" s="73"/>
      <c r="B62" s="91"/>
      <c r="C62" s="74"/>
      <c r="D62" s="74"/>
      <c r="E62" s="76"/>
      <c r="F62" s="20"/>
      <c r="G62" s="78"/>
      <c r="H62" s="76"/>
      <c r="I62" s="20"/>
      <c r="J62" s="81"/>
      <c r="K62" s="81" t="str">
        <f t="shared" si="1"/>
        <v>-</v>
      </c>
      <c r="L62" s="84"/>
      <c r="M62" s="84"/>
      <c r="N62" s="84"/>
      <c r="O62" s="84"/>
      <c r="P62" s="84"/>
      <c r="Q62" s="84"/>
      <c r="R62" s="84"/>
      <c r="S62" s="84"/>
      <c r="T62" s="84"/>
      <c r="U62" s="84"/>
      <c r="V62" s="84"/>
      <c r="W62" s="84"/>
      <c r="X62" s="84"/>
      <c r="Y62" s="87"/>
      <c r="Z62" s="56"/>
      <c r="AA62" s="88"/>
      <c r="AB62" s="89"/>
      <c r="AC62" s="71"/>
      <c r="AD62" s="92"/>
      <c r="AE62" s="71"/>
      <c r="AF62" s="71"/>
      <c r="AG62" s="71"/>
      <c r="AH62" s="71"/>
      <c r="AI62" s="71"/>
      <c r="AJ62" s="71"/>
      <c r="AK62" s="71"/>
      <c r="AL62" s="71"/>
      <c r="AM62" s="71"/>
      <c r="AN62" s="71"/>
      <c r="AO62" s="71"/>
      <c r="AP62" s="71"/>
      <c r="AQ62" s="71"/>
      <c r="AR62" s="71"/>
    </row>
    <row r="63" ht="18.75" customHeight="1">
      <c r="A63" s="73"/>
      <c r="B63" s="91"/>
      <c r="C63" s="74"/>
      <c r="D63" s="74"/>
      <c r="E63" s="76"/>
      <c r="F63" s="20"/>
      <c r="G63" s="78"/>
      <c r="H63" s="76"/>
      <c r="I63" s="20"/>
      <c r="J63" s="81"/>
      <c r="K63" s="81" t="str">
        <f t="shared" si="1"/>
        <v>-</v>
      </c>
      <c r="L63" s="84"/>
      <c r="M63" s="84"/>
      <c r="N63" s="84"/>
      <c r="O63" s="84"/>
      <c r="P63" s="84"/>
      <c r="Q63" s="84"/>
      <c r="R63" s="84"/>
      <c r="S63" s="84"/>
      <c r="T63" s="84"/>
      <c r="U63" s="84"/>
      <c r="V63" s="84"/>
      <c r="W63" s="84"/>
      <c r="X63" s="84"/>
      <c r="Y63" s="87"/>
      <c r="Z63" s="56"/>
      <c r="AA63" s="88"/>
      <c r="AB63" s="89"/>
      <c r="AC63" s="71"/>
      <c r="AD63" s="92"/>
      <c r="AE63" s="71"/>
      <c r="AF63" s="71"/>
      <c r="AG63" s="71"/>
      <c r="AH63" s="71"/>
      <c r="AI63" s="71"/>
      <c r="AJ63" s="71"/>
      <c r="AK63" s="71"/>
      <c r="AL63" s="71"/>
      <c r="AM63" s="71"/>
      <c r="AN63" s="71"/>
      <c r="AO63" s="71"/>
      <c r="AP63" s="71"/>
      <c r="AQ63" s="71"/>
      <c r="AR63" s="71"/>
    </row>
    <row r="64" ht="18.75" customHeight="1">
      <c r="A64" s="73"/>
      <c r="B64" s="91"/>
      <c r="C64" s="74"/>
      <c r="D64" s="74"/>
      <c r="E64" s="76"/>
      <c r="F64" s="20"/>
      <c r="G64" s="78"/>
      <c r="H64" s="76"/>
      <c r="I64" s="20"/>
      <c r="J64" s="81"/>
      <c r="K64" s="81" t="str">
        <f t="shared" si="1"/>
        <v>-</v>
      </c>
      <c r="L64" s="84"/>
      <c r="M64" s="84"/>
      <c r="N64" s="84"/>
      <c r="O64" s="84"/>
      <c r="P64" s="84"/>
      <c r="Q64" s="84"/>
      <c r="R64" s="84"/>
      <c r="S64" s="84"/>
      <c r="T64" s="84"/>
      <c r="U64" s="84"/>
      <c r="V64" s="84"/>
      <c r="W64" s="84"/>
      <c r="X64" s="84"/>
      <c r="Y64" s="87"/>
      <c r="Z64" s="56"/>
      <c r="AA64" s="88"/>
      <c r="AB64" s="89"/>
      <c r="AC64" s="71"/>
      <c r="AD64" s="92"/>
      <c r="AE64" s="71"/>
      <c r="AF64" s="71"/>
      <c r="AG64" s="71"/>
      <c r="AH64" s="71"/>
      <c r="AI64" s="71"/>
      <c r="AJ64" s="71"/>
      <c r="AK64" s="71"/>
      <c r="AL64" s="71"/>
      <c r="AM64" s="71"/>
      <c r="AN64" s="71"/>
      <c r="AO64" s="71"/>
      <c r="AP64" s="71"/>
      <c r="AQ64" s="71"/>
      <c r="AR64" s="71"/>
    </row>
    <row r="65" ht="18.75" customHeight="1">
      <c r="A65" s="73"/>
      <c r="B65" s="91"/>
      <c r="C65" s="74"/>
      <c r="D65" s="74"/>
      <c r="E65" s="76"/>
      <c r="F65" s="20"/>
      <c r="G65" s="78"/>
      <c r="H65" s="76"/>
      <c r="I65" s="20"/>
      <c r="J65" s="81"/>
      <c r="K65" s="81" t="str">
        <f t="shared" si="1"/>
        <v>-</v>
      </c>
      <c r="L65" s="84"/>
      <c r="M65" s="84"/>
      <c r="N65" s="84"/>
      <c r="O65" s="84"/>
      <c r="P65" s="84"/>
      <c r="Q65" s="84"/>
      <c r="R65" s="84"/>
      <c r="S65" s="84"/>
      <c r="T65" s="84"/>
      <c r="U65" s="84"/>
      <c r="V65" s="84"/>
      <c r="W65" s="84"/>
      <c r="X65" s="84"/>
      <c r="Y65" s="87"/>
      <c r="Z65" s="56"/>
      <c r="AA65" s="88"/>
      <c r="AB65" s="89"/>
      <c r="AC65" s="71"/>
      <c r="AD65" s="92"/>
      <c r="AE65" s="71"/>
      <c r="AF65" s="71"/>
      <c r="AG65" s="71"/>
      <c r="AH65" s="71"/>
      <c r="AI65" s="71"/>
      <c r="AJ65" s="71"/>
      <c r="AK65" s="71"/>
      <c r="AL65" s="71"/>
      <c r="AM65" s="71"/>
      <c r="AN65" s="71"/>
      <c r="AO65" s="71"/>
      <c r="AP65" s="71"/>
      <c r="AQ65" s="71"/>
      <c r="AR65" s="71"/>
    </row>
    <row r="66" ht="18.75" customHeight="1">
      <c r="A66" s="73"/>
      <c r="B66" s="91"/>
      <c r="C66" s="74"/>
      <c r="D66" s="74"/>
      <c r="E66" s="76"/>
      <c r="F66" s="20"/>
      <c r="G66" s="78"/>
      <c r="H66" s="76"/>
      <c r="I66" s="20"/>
      <c r="J66" s="81"/>
      <c r="K66" s="81" t="str">
        <f t="shared" si="1"/>
        <v>-</v>
      </c>
      <c r="L66" s="84"/>
      <c r="M66" s="84"/>
      <c r="N66" s="84"/>
      <c r="O66" s="84"/>
      <c r="P66" s="84"/>
      <c r="Q66" s="84"/>
      <c r="R66" s="84"/>
      <c r="S66" s="84"/>
      <c r="T66" s="84"/>
      <c r="U66" s="84"/>
      <c r="V66" s="84"/>
      <c r="W66" s="84"/>
      <c r="X66" s="84"/>
      <c r="Y66" s="87"/>
      <c r="Z66" s="56"/>
      <c r="AA66" s="88"/>
      <c r="AB66" s="89"/>
      <c r="AC66" s="71"/>
      <c r="AD66" s="92"/>
      <c r="AE66" s="71"/>
      <c r="AF66" s="71"/>
      <c r="AG66" s="71"/>
      <c r="AH66" s="71"/>
      <c r="AI66" s="71"/>
      <c r="AJ66" s="71"/>
      <c r="AK66" s="71"/>
      <c r="AL66" s="71"/>
      <c r="AM66" s="71"/>
      <c r="AN66" s="71"/>
      <c r="AO66" s="71"/>
      <c r="AP66" s="71"/>
      <c r="AQ66" s="71"/>
      <c r="AR66" s="71"/>
    </row>
    <row r="67" ht="18.75" customHeight="1">
      <c r="A67" s="73"/>
      <c r="B67" s="91"/>
      <c r="C67" s="74"/>
      <c r="D67" s="74"/>
      <c r="E67" s="76"/>
      <c r="F67" s="20"/>
      <c r="G67" s="78"/>
      <c r="H67" s="76"/>
      <c r="I67" s="20"/>
      <c r="J67" s="81"/>
      <c r="K67" s="81" t="str">
        <f t="shared" si="1"/>
        <v>-</v>
      </c>
      <c r="L67" s="84"/>
      <c r="M67" s="84"/>
      <c r="N67" s="84"/>
      <c r="O67" s="84"/>
      <c r="P67" s="84"/>
      <c r="Q67" s="84"/>
      <c r="R67" s="84"/>
      <c r="S67" s="84"/>
      <c r="T67" s="84"/>
      <c r="U67" s="84"/>
      <c r="V67" s="84"/>
      <c r="W67" s="84"/>
      <c r="X67" s="84"/>
      <c r="Y67" s="87"/>
      <c r="Z67" s="56"/>
      <c r="AA67" s="88"/>
      <c r="AB67" s="89"/>
      <c r="AC67" s="71"/>
      <c r="AD67" s="92"/>
      <c r="AE67" s="71"/>
      <c r="AF67" s="71"/>
      <c r="AG67" s="71"/>
      <c r="AH67" s="71"/>
      <c r="AI67" s="71"/>
      <c r="AJ67" s="71"/>
      <c r="AK67" s="71"/>
      <c r="AL67" s="71"/>
      <c r="AM67" s="71"/>
      <c r="AN67" s="71"/>
      <c r="AO67" s="71"/>
      <c r="AP67" s="71"/>
      <c r="AQ67" s="71"/>
      <c r="AR67" s="71"/>
    </row>
    <row r="68" ht="18.75" customHeight="1">
      <c r="A68" s="73"/>
      <c r="B68" s="91"/>
      <c r="C68" s="74"/>
      <c r="D68" s="74"/>
      <c r="E68" s="76"/>
      <c r="F68" s="20"/>
      <c r="G68" s="78"/>
      <c r="H68" s="76"/>
      <c r="I68" s="20"/>
      <c r="J68" s="81"/>
      <c r="K68" s="81" t="str">
        <f t="shared" si="1"/>
        <v>-</v>
      </c>
      <c r="L68" s="84"/>
      <c r="M68" s="84"/>
      <c r="N68" s="84"/>
      <c r="O68" s="84"/>
      <c r="P68" s="84"/>
      <c r="Q68" s="84"/>
      <c r="R68" s="84"/>
      <c r="S68" s="84"/>
      <c r="T68" s="84"/>
      <c r="U68" s="84"/>
      <c r="V68" s="84"/>
      <c r="W68" s="84"/>
      <c r="X68" s="84"/>
      <c r="Y68" s="87"/>
      <c r="Z68" s="56"/>
      <c r="AA68" s="88"/>
      <c r="AB68" s="89"/>
      <c r="AC68" s="71"/>
      <c r="AD68" s="92"/>
      <c r="AE68" s="71"/>
      <c r="AF68" s="71"/>
      <c r="AG68" s="71"/>
      <c r="AH68" s="71"/>
      <c r="AI68" s="71"/>
      <c r="AJ68" s="71"/>
      <c r="AK68" s="71"/>
      <c r="AL68" s="71"/>
      <c r="AM68" s="71"/>
      <c r="AN68" s="71"/>
      <c r="AO68" s="71"/>
      <c r="AP68" s="71"/>
      <c r="AQ68" s="71"/>
      <c r="AR68" s="71"/>
    </row>
    <row r="69" ht="18.75" customHeight="1">
      <c r="A69" s="73"/>
      <c r="B69" s="91"/>
      <c r="C69" s="74"/>
      <c r="D69" s="74"/>
      <c r="E69" s="76"/>
      <c r="F69" s="20"/>
      <c r="G69" s="78"/>
      <c r="H69" s="76"/>
      <c r="I69" s="20"/>
      <c r="J69" s="81"/>
      <c r="K69" s="81" t="str">
        <f t="shared" si="1"/>
        <v>-</v>
      </c>
      <c r="L69" s="84"/>
      <c r="M69" s="84"/>
      <c r="N69" s="84"/>
      <c r="O69" s="84"/>
      <c r="P69" s="84"/>
      <c r="Q69" s="84"/>
      <c r="R69" s="84"/>
      <c r="S69" s="84"/>
      <c r="T69" s="84"/>
      <c r="U69" s="84"/>
      <c r="V69" s="84"/>
      <c r="W69" s="84"/>
      <c r="X69" s="84"/>
      <c r="Y69" s="87"/>
      <c r="Z69" s="56"/>
      <c r="AA69" s="88"/>
      <c r="AB69" s="71"/>
      <c r="AC69" s="71"/>
      <c r="AD69" s="92"/>
      <c r="AE69" s="71"/>
      <c r="AF69" s="71"/>
      <c r="AG69" s="71"/>
      <c r="AH69" s="71"/>
      <c r="AI69" s="71"/>
      <c r="AJ69" s="71"/>
      <c r="AK69" s="71"/>
      <c r="AL69" s="71"/>
      <c r="AM69" s="71"/>
      <c r="AN69" s="71"/>
      <c r="AO69" s="71"/>
      <c r="AP69" s="71"/>
      <c r="AQ69" s="71"/>
      <c r="AR69" s="71"/>
    </row>
    <row r="70" ht="18.75" customHeight="1">
      <c r="A70" s="73"/>
      <c r="B70" s="91"/>
      <c r="C70" s="74"/>
      <c r="D70" s="74"/>
      <c r="E70" s="76"/>
      <c r="F70" s="20"/>
      <c r="G70" s="78"/>
      <c r="H70" s="76"/>
      <c r="I70" s="20"/>
      <c r="J70" s="81"/>
      <c r="K70" s="81" t="str">
        <f t="shared" si="1"/>
        <v>-</v>
      </c>
      <c r="L70" s="84"/>
      <c r="M70" s="84"/>
      <c r="N70" s="84"/>
      <c r="O70" s="84"/>
      <c r="P70" s="84"/>
      <c r="Q70" s="84"/>
      <c r="R70" s="84"/>
      <c r="S70" s="84"/>
      <c r="T70" s="84"/>
      <c r="U70" s="84"/>
      <c r="V70" s="84"/>
      <c r="W70" s="84"/>
      <c r="X70" s="84"/>
      <c r="Y70" s="87"/>
      <c r="Z70" s="56"/>
      <c r="AA70" s="88"/>
      <c r="AB70" s="89"/>
      <c r="AC70" s="71"/>
      <c r="AD70" s="92"/>
      <c r="AE70" s="71"/>
      <c r="AF70" s="71"/>
      <c r="AG70" s="71"/>
      <c r="AH70" s="71"/>
      <c r="AI70" s="71"/>
      <c r="AJ70" s="71"/>
      <c r="AK70" s="71"/>
      <c r="AL70" s="71"/>
      <c r="AM70" s="71"/>
      <c r="AN70" s="71"/>
      <c r="AO70" s="71"/>
      <c r="AP70" s="71"/>
      <c r="AQ70" s="71"/>
      <c r="AR70" s="71"/>
    </row>
    <row r="71" ht="18.75" customHeight="1">
      <c r="A71" s="73"/>
      <c r="B71" s="91"/>
      <c r="C71" s="74"/>
      <c r="D71" s="74"/>
      <c r="E71" s="76"/>
      <c r="F71" s="20"/>
      <c r="G71" s="78"/>
      <c r="H71" s="76"/>
      <c r="I71" s="20"/>
      <c r="J71" s="81"/>
      <c r="K71" s="81" t="str">
        <f t="shared" si="1"/>
        <v>-</v>
      </c>
      <c r="L71" s="84"/>
      <c r="M71" s="84"/>
      <c r="N71" s="84"/>
      <c r="O71" s="84"/>
      <c r="P71" s="84"/>
      <c r="Q71" s="84"/>
      <c r="R71" s="84"/>
      <c r="S71" s="84"/>
      <c r="T71" s="84"/>
      <c r="U71" s="84"/>
      <c r="V71" s="84"/>
      <c r="W71" s="84"/>
      <c r="X71" s="84"/>
      <c r="Y71" s="87"/>
      <c r="Z71" s="56"/>
      <c r="AA71" s="88"/>
      <c r="AB71" s="89"/>
      <c r="AC71" s="71"/>
      <c r="AD71" s="92"/>
      <c r="AE71" s="71"/>
      <c r="AF71" s="71"/>
      <c r="AG71" s="71"/>
      <c r="AH71" s="71"/>
      <c r="AI71" s="71"/>
      <c r="AJ71" s="71"/>
      <c r="AK71" s="71"/>
      <c r="AL71" s="71"/>
      <c r="AM71" s="71"/>
      <c r="AN71" s="71"/>
      <c r="AO71" s="71"/>
      <c r="AP71" s="71"/>
      <c r="AQ71" s="71"/>
      <c r="AR71" s="71"/>
    </row>
    <row r="72" ht="18.75" customHeight="1">
      <c r="A72" s="73"/>
      <c r="B72" s="91"/>
      <c r="C72" s="74"/>
      <c r="D72" s="74"/>
      <c r="E72" s="76"/>
      <c r="F72" s="20"/>
      <c r="G72" s="78"/>
      <c r="H72" s="76"/>
      <c r="I72" s="20"/>
      <c r="J72" s="81"/>
      <c r="K72" s="81" t="str">
        <f t="shared" si="1"/>
        <v>-</v>
      </c>
      <c r="L72" s="84"/>
      <c r="M72" s="84"/>
      <c r="N72" s="84"/>
      <c r="O72" s="84"/>
      <c r="P72" s="84"/>
      <c r="Q72" s="84"/>
      <c r="R72" s="84"/>
      <c r="S72" s="84"/>
      <c r="T72" s="84"/>
      <c r="U72" s="84"/>
      <c r="V72" s="84"/>
      <c r="W72" s="84"/>
      <c r="X72" s="84"/>
      <c r="Y72" s="87"/>
      <c r="Z72" s="56"/>
      <c r="AA72" s="88"/>
      <c r="AB72" s="89"/>
      <c r="AC72" s="71"/>
      <c r="AD72" s="92"/>
      <c r="AE72" s="71"/>
      <c r="AF72" s="71"/>
      <c r="AG72" s="71"/>
      <c r="AH72" s="71"/>
      <c r="AI72" s="71"/>
      <c r="AJ72" s="71"/>
      <c r="AK72" s="71"/>
      <c r="AL72" s="71"/>
      <c r="AM72" s="71"/>
      <c r="AN72" s="71"/>
      <c r="AO72" s="71"/>
      <c r="AP72" s="71"/>
      <c r="AQ72" s="71"/>
      <c r="AR72" s="71"/>
    </row>
    <row r="73" ht="18.75" customHeight="1">
      <c r="A73" s="73"/>
      <c r="B73" s="91"/>
      <c r="C73" s="74"/>
      <c r="D73" s="74"/>
      <c r="E73" s="76"/>
      <c r="F73" s="20"/>
      <c r="G73" s="78"/>
      <c r="H73" s="76"/>
      <c r="I73" s="20"/>
      <c r="J73" s="81"/>
      <c r="K73" s="81" t="str">
        <f t="shared" si="1"/>
        <v>-</v>
      </c>
      <c r="L73" s="84"/>
      <c r="M73" s="84"/>
      <c r="N73" s="84"/>
      <c r="O73" s="84"/>
      <c r="P73" s="84"/>
      <c r="Q73" s="84"/>
      <c r="R73" s="84"/>
      <c r="S73" s="84"/>
      <c r="T73" s="84"/>
      <c r="U73" s="84"/>
      <c r="V73" s="84"/>
      <c r="W73" s="84"/>
      <c r="X73" s="84"/>
      <c r="Y73" s="87"/>
      <c r="Z73" s="56"/>
      <c r="AA73" s="88"/>
      <c r="AB73" s="71"/>
      <c r="AC73" s="71"/>
      <c r="AD73" s="92"/>
      <c r="AE73" s="71"/>
      <c r="AF73" s="71"/>
      <c r="AG73" s="71"/>
      <c r="AH73" s="71"/>
      <c r="AI73" s="71"/>
      <c r="AJ73" s="71"/>
      <c r="AK73" s="71"/>
      <c r="AL73" s="71"/>
      <c r="AM73" s="71"/>
      <c r="AN73" s="71"/>
      <c r="AO73" s="71"/>
      <c r="AP73" s="71"/>
      <c r="AQ73" s="71"/>
      <c r="AR73" s="71"/>
    </row>
    <row r="74" ht="18.75" customHeight="1">
      <c r="A74" s="73"/>
      <c r="B74" s="91"/>
      <c r="C74" s="74"/>
      <c r="D74" s="74"/>
      <c r="E74" s="76"/>
      <c r="F74" s="20"/>
      <c r="G74" s="78"/>
      <c r="H74" s="76"/>
      <c r="I74" s="20"/>
      <c r="J74" s="81"/>
      <c r="K74" s="81" t="str">
        <f t="shared" si="1"/>
        <v>-</v>
      </c>
      <c r="L74" s="84"/>
      <c r="M74" s="84"/>
      <c r="N74" s="84"/>
      <c r="O74" s="84"/>
      <c r="P74" s="84"/>
      <c r="Q74" s="84"/>
      <c r="R74" s="84"/>
      <c r="S74" s="84"/>
      <c r="T74" s="84"/>
      <c r="U74" s="84"/>
      <c r="V74" s="84"/>
      <c r="W74" s="84"/>
      <c r="X74" s="84"/>
      <c r="Y74" s="87"/>
      <c r="Z74" s="89"/>
      <c r="AA74" s="88"/>
      <c r="AB74" s="71"/>
      <c r="AC74" s="71"/>
      <c r="AD74" s="92"/>
      <c r="AE74" s="71"/>
      <c r="AF74" s="71"/>
      <c r="AG74" s="71"/>
      <c r="AH74" s="71"/>
      <c r="AI74" s="71"/>
      <c r="AJ74" s="71"/>
      <c r="AK74" s="71"/>
      <c r="AL74" s="71"/>
      <c r="AM74" s="71"/>
      <c r="AN74" s="71"/>
      <c r="AO74" s="71"/>
      <c r="AP74" s="71"/>
      <c r="AQ74" s="71"/>
      <c r="AR74" s="71"/>
    </row>
    <row r="75" ht="18.75" customHeight="1">
      <c r="A75" s="73"/>
      <c r="B75" s="91"/>
      <c r="C75" s="74"/>
      <c r="D75" s="74"/>
      <c r="E75" s="76"/>
      <c r="F75" s="20"/>
      <c r="G75" s="78"/>
      <c r="H75" s="76"/>
      <c r="I75" s="20"/>
      <c r="J75" s="81"/>
      <c r="K75" s="81" t="str">
        <f t="shared" si="1"/>
        <v>-</v>
      </c>
      <c r="L75" s="109"/>
      <c r="M75" s="109"/>
      <c r="N75" s="109"/>
      <c r="O75" s="109"/>
      <c r="P75" s="109"/>
      <c r="Q75" s="109"/>
      <c r="R75" s="84"/>
      <c r="S75" s="84"/>
      <c r="T75" s="84"/>
      <c r="U75" s="84"/>
      <c r="V75" s="84"/>
      <c r="W75" s="84"/>
      <c r="X75" s="84"/>
      <c r="Y75" s="87"/>
      <c r="Z75" s="71"/>
      <c r="AA75" s="88"/>
      <c r="AB75" s="71"/>
      <c r="AC75" s="71"/>
      <c r="AD75" s="92"/>
      <c r="AE75" s="71"/>
      <c r="AF75" s="71"/>
      <c r="AG75" s="71"/>
      <c r="AH75" s="71"/>
      <c r="AI75" s="71"/>
      <c r="AJ75" s="71"/>
      <c r="AK75" s="71"/>
      <c r="AL75" s="71"/>
      <c r="AM75" s="71"/>
      <c r="AN75" s="71"/>
      <c r="AO75" s="71"/>
      <c r="AP75" s="71"/>
      <c r="AQ75" s="71"/>
      <c r="AR75" s="71"/>
    </row>
    <row r="76" ht="18.75" customHeight="1">
      <c r="A76" s="73"/>
      <c r="B76" s="91"/>
      <c r="C76" s="74"/>
      <c r="D76" s="74"/>
      <c r="E76" s="76"/>
      <c r="F76" s="20"/>
      <c r="G76" s="78"/>
      <c r="H76" s="76"/>
      <c r="I76" s="20"/>
      <c r="J76" s="81"/>
      <c r="K76" s="81" t="str">
        <f t="shared" si="1"/>
        <v>-</v>
      </c>
      <c r="L76" s="110"/>
      <c r="M76" s="110"/>
      <c r="N76" s="110"/>
      <c r="O76" s="110"/>
      <c r="P76" s="110"/>
      <c r="Q76" s="110"/>
      <c r="R76" s="110"/>
      <c r="S76" s="110"/>
      <c r="T76" s="84"/>
      <c r="U76" s="84"/>
      <c r="V76" s="84"/>
      <c r="W76" s="84"/>
      <c r="X76" s="84"/>
      <c r="Y76" s="87"/>
      <c r="Z76" s="71"/>
      <c r="AA76" s="89"/>
      <c r="AB76" s="89"/>
      <c r="AC76" s="71"/>
      <c r="AD76" s="92"/>
      <c r="AE76" s="71"/>
      <c r="AF76" s="71"/>
      <c r="AG76" s="71"/>
      <c r="AH76" s="71"/>
      <c r="AI76" s="71"/>
      <c r="AJ76" s="71"/>
      <c r="AK76" s="71"/>
      <c r="AL76" s="71"/>
      <c r="AM76" s="71"/>
      <c r="AN76" s="71"/>
      <c r="AO76" s="71"/>
      <c r="AP76" s="71"/>
      <c r="AQ76" s="71"/>
      <c r="AR76" s="71"/>
    </row>
    <row r="77" ht="18.75" customHeight="1">
      <c r="A77" s="73"/>
      <c r="B77" s="91"/>
      <c r="C77" s="74"/>
      <c r="D77" s="74"/>
      <c r="E77" s="76"/>
      <c r="F77" s="20"/>
      <c r="G77" s="78"/>
      <c r="H77" s="76"/>
      <c r="I77" s="20"/>
      <c r="J77" s="81"/>
      <c r="K77" s="81" t="str">
        <f t="shared" si="1"/>
        <v>-</v>
      </c>
      <c r="L77" s="109"/>
      <c r="M77" s="109"/>
      <c r="N77" s="109"/>
      <c r="O77" s="109"/>
      <c r="P77" s="109"/>
      <c r="Q77" s="109"/>
      <c r="R77" s="109"/>
      <c r="S77" s="109"/>
      <c r="T77" s="84"/>
      <c r="U77" s="84"/>
      <c r="V77" s="84"/>
      <c r="W77" s="84"/>
      <c r="X77" s="84"/>
      <c r="Y77" s="87"/>
      <c r="Z77" s="71"/>
      <c r="AA77" s="88"/>
      <c r="AB77" s="89"/>
      <c r="AC77" s="71"/>
      <c r="AD77" s="92"/>
      <c r="AE77" s="71"/>
      <c r="AF77" s="71"/>
      <c r="AG77" s="71"/>
      <c r="AH77" s="71"/>
      <c r="AI77" s="71"/>
      <c r="AJ77" s="71"/>
      <c r="AK77" s="71"/>
      <c r="AL77" s="71"/>
      <c r="AM77" s="71"/>
      <c r="AN77" s="71"/>
      <c r="AO77" s="71"/>
      <c r="AP77" s="71"/>
      <c r="AQ77" s="71"/>
      <c r="AR77" s="71"/>
    </row>
    <row r="78" ht="18.75" customHeight="1">
      <c r="A78" s="73"/>
      <c r="B78" s="91"/>
      <c r="C78" s="74"/>
      <c r="D78" s="74"/>
      <c r="E78" s="76"/>
      <c r="F78" s="20"/>
      <c r="G78" s="78"/>
      <c r="H78" s="76"/>
      <c r="I78" s="20"/>
      <c r="J78" s="81"/>
      <c r="K78" s="81" t="str">
        <f t="shared" si="1"/>
        <v>-</v>
      </c>
      <c r="L78" s="110"/>
      <c r="M78" s="110"/>
      <c r="N78" s="110"/>
      <c r="O78" s="110"/>
      <c r="P78" s="110"/>
      <c r="Q78" s="110"/>
      <c r="R78" s="110"/>
      <c r="S78" s="110"/>
      <c r="T78" s="84"/>
      <c r="U78" s="84"/>
      <c r="V78" s="84"/>
      <c r="W78" s="84"/>
      <c r="X78" s="84"/>
      <c r="Y78" s="87"/>
      <c r="Z78" s="71"/>
      <c r="AA78" s="89"/>
      <c r="AB78" s="71"/>
      <c r="AC78" s="71"/>
      <c r="AD78" s="92"/>
      <c r="AE78" s="71"/>
      <c r="AF78" s="71"/>
      <c r="AG78" s="71"/>
      <c r="AH78" s="71"/>
      <c r="AI78" s="71"/>
      <c r="AJ78" s="71"/>
      <c r="AK78" s="71"/>
      <c r="AL78" s="71"/>
      <c r="AM78" s="71"/>
      <c r="AN78" s="71"/>
      <c r="AO78" s="71"/>
      <c r="AP78" s="71"/>
      <c r="AQ78" s="71"/>
      <c r="AR78" s="71"/>
    </row>
    <row r="79" ht="18.75" customHeight="1">
      <c r="A79" s="73"/>
      <c r="B79" s="91"/>
      <c r="C79" s="74"/>
      <c r="D79" s="74"/>
      <c r="E79" s="76"/>
      <c r="F79" s="20"/>
      <c r="G79" s="78"/>
      <c r="H79" s="76"/>
      <c r="I79" s="20"/>
      <c r="J79" s="81"/>
      <c r="K79" s="81" t="str">
        <f t="shared" si="1"/>
        <v>-</v>
      </c>
      <c r="L79" s="109"/>
      <c r="M79" s="84"/>
      <c r="N79" s="84"/>
      <c r="O79" s="84"/>
      <c r="P79" s="84"/>
      <c r="Q79" s="84"/>
      <c r="R79" s="84"/>
      <c r="S79" s="84"/>
      <c r="T79" s="84"/>
      <c r="U79" s="84"/>
      <c r="V79" s="84"/>
      <c r="W79" s="84"/>
      <c r="X79" s="84"/>
      <c r="Y79" s="87"/>
      <c r="Z79" s="71"/>
      <c r="AA79" s="88"/>
      <c r="AB79" s="71"/>
      <c r="AC79" s="71"/>
      <c r="AD79" s="92"/>
      <c r="AE79" s="71"/>
      <c r="AF79" s="71"/>
      <c r="AG79" s="71"/>
      <c r="AH79" s="71"/>
      <c r="AI79" s="71"/>
      <c r="AJ79" s="71"/>
      <c r="AK79" s="71"/>
      <c r="AL79" s="71"/>
      <c r="AM79" s="71"/>
      <c r="AN79" s="71"/>
      <c r="AO79" s="71"/>
      <c r="AP79" s="71"/>
      <c r="AQ79" s="71"/>
      <c r="AR79" s="71"/>
    </row>
    <row r="80" ht="18.75" customHeight="1">
      <c r="A80" s="73"/>
      <c r="B80" s="91"/>
      <c r="C80" s="74"/>
      <c r="D80" s="74"/>
      <c r="E80" s="76"/>
      <c r="F80" s="20"/>
      <c r="G80" s="78"/>
      <c r="H80" s="76"/>
      <c r="I80" s="20"/>
      <c r="J80" s="81"/>
      <c r="K80" s="81" t="str">
        <f t="shared" si="1"/>
        <v>-</v>
      </c>
      <c r="L80" s="109"/>
      <c r="M80" s="109"/>
      <c r="N80" s="109"/>
      <c r="O80" s="109"/>
      <c r="P80" s="84"/>
      <c r="Q80" s="84"/>
      <c r="R80" s="84"/>
      <c r="S80" s="84"/>
      <c r="T80" s="84"/>
      <c r="U80" s="84"/>
      <c r="V80" s="84"/>
      <c r="W80" s="84"/>
      <c r="X80" s="84"/>
      <c r="Y80" s="87"/>
      <c r="Z80" s="71"/>
      <c r="AA80" s="88"/>
      <c r="AB80" s="71"/>
      <c r="AC80" s="71"/>
      <c r="AD80" s="92"/>
      <c r="AE80" s="71"/>
      <c r="AF80" s="71"/>
      <c r="AG80" s="71"/>
      <c r="AH80" s="71"/>
      <c r="AI80" s="71"/>
      <c r="AJ80" s="71"/>
      <c r="AK80" s="71"/>
      <c r="AL80" s="71"/>
      <c r="AM80" s="71"/>
      <c r="AN80" s="71"/>
      <c r="AO80" s="71"/>
      <c r="AP80" s="71"/>
      <c r="AQ80" s="71"/>
      <c r="AR80" s="71"/>
    </row>
    <row r="81" ht="18.75" customHeight="1">
      <c r="A81" s="73"/>
      <c r="B81" s="91"/>
      <c r="C81" s="74"/>
      <c r="D81" s="74"/>
      <c r="E81" s="76"/>
      <c r="F81" s="20"/>
      <c r="G81" s="78"/>
      <c r="H81" s="76"/>
      <c r="I81" s="20"/>
      <c r="J81" s="81"/>
      <c r="K81" s="81" t="str">
        <f t="shared" si="1"/>
        <v>-</v>
      </c>
      <c r="L81" s="109"/>
      <c r="M81" s="109"/>
      <c r="N81" s="109"/>
      <c r="O81" s="109"/>
      <c r="P81" s="84"/>
      <c r="Q81" s="84"/>
      <c r="R81" s="84"/>
      <c r="S81" s="84"/>
      <c r="T81" s="84"/>
      <c r="U81" s="84"/>
      <c r="V81" s="84"/>
      <c r="W81" s="84"/>
      <c r="X81" s="84"/>
      <c r="Y81" s="87"/>
      <c r="Z81" s="71"/>
      <c r="AA81" s="88"/>
      <c r="AB81" s="89"/>
      <c r="AC81" s="71"/>
      <c r="AD81" s="92"/>
      <c r="AE81" s="71"/>
      <c r="AF81" s="71"/>
      <c r="AG81" s="71"/>
      <c r="AH81" s="71"/>
      <c r="AI81" s="71"/>
      <c r="AJ81" s="71"/>
      <c r="AK81" s="71"/>
      <c r="AL81" s="71"/>
      <c r="AM81" s="71"/>
      <c r="AN81" s="71"/>
      <c r="AO81" s="71"/>
      <c r="AP81" s="71"/>
      <c r="AQ81" s="71"/>
      <c r="AR81" s="71"/>
    </row>
    <row r="82" ht="18.75" customHeight="1">
      <c r="A82" s="73"/>
      <c r="B82" s="91"/>
      <c r="C82" s="74"/>
      <c r="D82" s="74"/>
      <c r="E82" s="76"/>
      <c r="F82" s="20"/>
      <c r="G82" s="78"/>
      <c r="H82" s="76"/>
      <c r="I82" s="20"/>
      <c r="J82" s="81"/>
      <c r="K82" s="81" t="str">
        <f t="shared" si="1"/>
        <v>-</v>
      </c>
      <c r="L82" s="109"/>
      <c r="M82" s="109"/>
      <c r="N82" s="84"/>
      <c r="O82" s="84"/>
      <c r="P82" s="84"/>
      <c r="Q82" s="84"/>
      <c r="R82" s="84"/>
      <c r="S82" s="84"/>
      <c r="T82" s="84"/>
      <c r="U82" s="84"/>
      <c r="V82" s="84"/>
      <c r="W82" s="84"/>
      <c r="X82" s="84"/>
      <c r="Y82" s="87"/>
      <c r="Z82" s="71"/>
      <c r="AA82" s="88"/>
      <c r="AB82" s="71"/>
      <c r="AC82" s="71"/>
      <c r="AD82" s="92"/>
      <c r="AE82" s="71"/>
      <c r="AF82" s="71"/>
      <c r="AG82" s="71"/>
      <c r="AH82" s="71"/>
      <c r="AI82" s="71"/>
      <c r="AJ82" s="71"/>
      <c r="AK82" s="71"/>
      <c r="AL82" s="71"/>
      <c r="AM82" s="71"/>
      <c r="AN82" s="71"/>
      <c r="AO82" s="71"/>
      <c r="AP82" s="71"/>
      <c r="AQ82" s="71"/>
      <c r="AR82" s="71"/>
    </row>
    <row r="83" ht="18.75" customHeight="1">
      <c r="A83" s="73"/>
      <c r="B83" s="91"/>
      <c r="C83" s="74"/>
      <c r="D83" s="74"/>
      <c r="E83" s="76"/>
      <c r="F83" s="20"/>
      <c r="G83" s="78"/>
      <c r="H83" s="76"/>
      <c r="I83" s="20"/>
      <c r="J83" s="81"/>
      <c r="K83" s="81" t="str">
        <f t="shared" si="1"/>
        <v>-</v>
      </c>
      <c r="L83" s="109"/>
      <c r="M83" s="109"/>
      <c r="N83" s="84"/>
      <c r="O83" s="84"/>
      <c r="P83" s="84"/>
      <c r="Q83" s="84"/>
      <c r="R83" s="84"/>
      <c r="S83" s="84"/>
      <c r="T83" s="84"/>
      <c r="U83" s="84"/>
      <c r="V83" s="84"/>
      <c r="W83" s="84"/>
      <c r="X83" s="84"/>
      <c r="Y83" s="87"/>
      <c r="Z83" s="71"/>
      <c r="AA83" s="88"/>
      <c r="AB83" s="71"/>
      <c r="AC83" s="71"/>
      <c r="AD83" s="92"/>
      <c r="AE83" s="71"/>
      <c r="AF83" s="71"/>
      <c r="AG83" s="71"/>
      <c r="AH83" s="71"/>
      <c r="AI83" s="71"/>
      <c r="AJ83" s="71"/>
      <c r="AK83" s="71"/>
      <c r="AL83" s="71"/>
      <c r="AM83" s="71"/>
      <c r="AN83" s="71"/>
      <c r="AO83" s="71"/>
      <c r="AP83" s="71"/>
      <c r="AQ83" s="71"/>
      <c r="AR83" s="71"/>
    </row>
    <row r="84" ht="18.75" customHeight="1">
      <c r="A84" s="73"/>
      <c r="B84" s="91"/>
      <c r="C84" s="74"/>
      <c r="D84" s="74"/>
      <c r="E84" s="76"/>
      <c r="F84" s="20"/>
      <c r="G84" s="78"/>
      <c r="H84" s="76"/>
      <c r="I84" s="20"/>
      <c r="J84" s="81"/>
      <c r="K84" s="81" t="str">
        <f t="shared" si="1"/>
        <v>-</v>
      </c>
      <c r="L84" s="109"/>
      <c r="M84" s="109"/>
      <c r="N84" s="109"/>
      <c r="O84" s="109"/>
      <c r="P84" s="84"/>
      <c r="Q84" s="84"/>
      <c r="R84" s="84"/>
      <c r="S84" s="84"/>
      <c r="T84" s="84"/>
      <c r="U84" s="84"/>
      <c r="V84" s="84"/>
      <c r="W84" s="84"/>
      <c r="X84" s="84"/>
      <c r="Y84" s="87"/>
      <c r="Z84" s="71"/>
      <c r="AA84" s="88"/>
      <c r="AB84" s="71"/>
      <c r="AC84" s="71"/>
      <c r="AD84" s="92"/>
      <c r="AE84" s="71"/>
      <c r="AF84" s="71"/>
      <c r="AG84" s="71"/>
      <c r="AH84" s="71"/>
      <c r="AI84" s="71"/>
      <c r="AJ84" s="71"/>
      <c r="AK84" s="71"/>
      <c r="AL84" s="71"/>
      <c r="AM84" s="71"/>
      <c r="AN84" s="71"/>
      <c r="AO84" s="71"/>
      <c r="AP84" s="71"/>
      <c r="AQ84" s="71"/>
      <c r="AR84" s="71"/>
    </row>
    <row r="85" ht="18.75" customHeight="1">
      <c r="A85" s="73"/>
      <c r="B85" s="91"/>
      <c r="C85" s="74"/>
      <c r="D85" s="74"/>
      <c r="E85" s="76"/>
      <c r="F85" s="20"/>
      <c r="G85" s="78"/>
      <c r="H85" s="76"/>
      <c r="I85" s="20"/>
      <c r="J85" s="81"/>
      <c r="K85" s="81" t="str">
        <f t="shared" si="1"/>
        <v>-</v>
      </c>
      <c r="L85" s="109"/>
      <c r="M85" s="84"/>
      <c r="N85" s="84"/>
      <c r="O85" s="84"/>
      <c r="P85" s="84"/>
      <c r="Q85" s="84"/>
      <c r="R85" s="84"/>
      <c r="S85" s="84"/>
      <c r="T85" s="84"/>
      <c r="U85" s="84"/>
      <c r="V85" s="84"/>
      <c r="W85" s="84"/>
      <c r="X85" s="84"/>
      <c r="Y85" s="87"/>
      <c r="Z85" s="71"/>
      <c r="AA85" s="88"/>
      <c r="AB85" s="89"/>
      <c r="AC85" s="71"/>
      <c r="AD85" s="92"/>
      <c r="AE85" s="71"/>
      <c r="AF85" s="71"/>
      <c r="AG85" s="71"/>
      <c r="AH85" s="71"/>
      <c r="AI85" s="71"/>
      <c r="AJ85" s="71"/>
      <c r="AK85" s="71"/>
      <c r="AL85" s="71"/>
      <c r="AM85" s="71"/>
      <c r="AN85" s="71"/>
      <c r="AO85" s="71"/>
      <c r="AP85" s="71"/>
      <c r="AQ85" s="71"/>
      <c r="AR85" s="71"/>
    </row>
    <row r="86" ht="18.75" customHeight="1">
      <c r="A86" s="73"/>
      <c r="B86" s="91"/>
      <c r="C86" s="74"/>
      <c r="D86" s="74"/>
      <c r="E86" s="76"/>
      <c r="F86" s="20"/>
      <c r="G86" s="78"/>
      <c r="H86" s="76"/>
      <c r="I86" s="20"/>
      <c r="J86" s="81"/>
      <c r="K86" s="81" t="str">
        <f t="shared" si="1"/>
        <v>-</v>
      </c>
      <c r="L86" s="109"/>
      <c r="M86" s="109"/>
      <c r="N86" s="109"/>
      <c r="O86" s="109"/>
      <c r="P86" s="109"/>
      <c r="Q86" s="84"/>
      <c r="R86" s="84"/>
      <c r="S86" s="84"/>
      <c r="T86" s="84"/>
      <c r="U86" s="84"/>
      <c r="V86" s="84"/>
      <c r="W86" s="84"/>
      <c r="X86" s="84"/>
      <c r="Y86" s="87"/>
      <c r="Z86" s="71"/>
      <c r="AA86" s="88"/>
      <c r="AB86" s="71"/>
      <c r="AC86" s="71"/>
      <c r="AD86" s="92"/>
      <c r="AE86" s="71"/>
      <c r="AF86" s="71"/>
      <c r="AG86" s="71"/>
      <c r="AH86" s="71"/>
      <c r="AI86" s="71"/>
      <c r="AJ86" s="71"/>
      <c r="AK86" s="71"/>
      <c r="AL86" s="71"/>
      <c r="AM86" s="71"/>
      <c r="AN86" s="71"/>
      <c r="AO86" s="71"/>
      <c r="AP86" s="71"/>
      <c r="AQ86" s="71"/>
      <c r="AR86" s="71"/>
    </row>
    <row r="87" ht="18.75" customHeight="1">
      <c r="A87" s="73"/>
      <c r="B87" s="91"/>
      <c r="C87" s="74"/>
      <c r="D87" s="74"/>
      <c r="E87" s="76"/>
      <c r="F87" s="20"/>
      <c r="G87" s="78"/>
      <c r="H87" s="76"/>
      <c r="I87" s="20"/>
      <c r="J87" s="81"/>
      <c r="K87" s="81" t="str">
        <f t="shared" si="1"/>
        <v>-</v>
      </c>
      <c r="L87" s="109"/>
      <c r="M87" s="109"/>
      <c r="N87" s="109"/>
      <c r="O87" s="84"/>
      <c r="P87" s="84"/>
      <c r="Q87" s="84"/>
      <c r="R87" s="84"/>
      <c r="S87" s="84"/>
      <c r="T87" s="84"/>
      <c r="U87" s="84"/>
      <c r="V87" s="84"/>
      <c r="W87" s="84"/>
      <c r="X87" s="84"/>
      <c r="Y87" s="87"/>
      <c r="Z87" s="71"/>
      <c r="AA87" s="88"/>
      <c r="AB87" s="89"/>
      <c r="AC87" s="71"/>
      <c r="AD87" s="92"/>
      <c r="AE87" s="71"/>
      <c r="AF87" s="71"/>
      <c r="AG87" s="71"/>
      <c r="AH87" s="71"/>
      <c r="AI87" s="71"/>
      <c r="AJ87" s="71"/>
      <c r="AK87" s="71"/>
      <c r="AL87" s="71"/>
      <c r="AM87" s="71"/>
      <c r="AN87" s="71"/>
      <c r="AO87" s="71"/>
      <c r="AP87" s="71"/>
      <c r="AQ87" s="71"/>
      <c r="AR87" s="71"/>
    </row>
    <row r="88" ht="18.75" customHeight="1">
      <c r="A88" s="73"/>
      <c r="B88" s="91"/>
      <c r="C88" s="74"/>
      <c r="D88" s="74"/>
      <c r="E88" s="76"/>
      <c r="F88" s="20"/>
      <c r="G88" s="78"/>
      <c r="H88" s="76"/>
      <c r="I88" s="20"/>
      <c r="J88" s="81"/>
      <c r="K88" s="81" t="str">
        <f t="shared" si="1"/>
        <v>-</v>
      </c>
      <c r="L88" s="110"/>
      <c r="M88" s="110"/>
      <c r="N88" s="110"/>
      <c r="O88" s="110"/>
      <c r="P88" s="110"/>
      <c r="Q88" s="110"/>
      <c r="R88" s="110"/>
      <c r="S88" s="110"/>
      <c r="T88" s="84"/>
      <c r="U88" s="84"/>
      <c r="V88" s="84"/>
      <c r="W88" s="84"/>
      <c r="X88" s="84"/>
      <c r="Y88" s="87"/>
      <c r="Z88" s="71"/>
      <c r="AA88" s="89"/>
      <c r="AB88" s="89"/>
      <c r="AC88" s="71"/>
      <c r="AD88" s="92"/>
      <c r="AE88" s="71"/>
      <c r="AF88" s="71"/>
      <c r="AG88" s="71"/>
      <c r="AH88" s="71"/>
      <c r="AI88" s="71"/>
      <c r="AJ88" s="71"/>
      <c r="AK88" s="71"/>
      <c r="AL88" s="71"/>
      <c r="AM88" s="71"/>
      <c r="AN88" s="71"/>
      <c r="AO88" s="71"/>
      <c r="AP88" s="71"/>
      <c r="AQ88" s="71"/>
      <c r="AR88" s="71"/>
    </row>
    <row r="89" ht="18.75" customHeight="1">
      <c r="A89" s="73"/>
      <c r="B89" s="91"/>
      <c r="C89" s="74"/>
      <c r="D89" s="74"/>
      <c r="E89" s="76"/>
      <c r="F89" s="20"/>
      <c r="G89" s="78"/>
      <c r="H89" s="76"/>
      <c r="I89" s="20"/>
      <c r="J89" s="81"/>
      <c r="K89" s="81" t="str">
        <f t="shared" si="1"/>
        <v>-</v>
      </c>
      <c r="L89" s="109"/>
      <c r="M89" s="109"/>
      <c r="N89" s="109"/>
      <c r="O89" s="109"/>
      <c r="P89" s="109"/>
      <c r="Q89" s="84"/>
      <c r="R89" s="84"/>
      <c r="S89" s="84"/>
      <c r="T89" s="84"/>
      <c r="U89" s="84"/>
      <c r="V89" s="84"/>
      <c r="W89" s="84"/>
      <c r="X89" s="84"/>
      <c r="Y89" s="87"/>
      <c r="Z89" s="71"/>
      <c r="AA89" s="88"/>
      <c r="AB89" s="89"/>
      <c r="AC89" s="71"/>
      <c r="AD89" s="92"/>
      <c r="AE89" s="71"/>
      <c r="AF89" s="71"/>
      <c r="AG89" s="71"/>
      <c r="AH89" s="71"/>
      <c r="AI89" s="71"/>
      <c r="AJ89" s="71"/>
      <c r="AK89" s="71"/>
      <c r="AL89" s="71"/>
      <c r="AM89" s="71"/>
      <c r="AN89" s="71"/>
      <c r="AO89" s="71"/>
      <c r="AP89" s="71"/>
      <c r="AQ89" s="71"/>
      <c r="AR89" s="71"/>
    </row>
    <row r="90" ht="18.75" customHeight="1">
      <c r="A90" s="73"/>
      <c r="B90" s="91"/>
      <c r="C90" s="74"/>
      <c r="D90" s="74"/>
      <c r="E90" s="76"/>
      <c r="F90" s="20"/>
      <c r="G90" s="78"/>
      <c r="H90" s="76"/>
      <c r="I90" s="20"/>
      <c r="J90" s="81"/>
      <c r="K90" s="81" t="str">
        <f t="shared" si="1"/>
        <v>-</v>
      </c>
      <c r="L90" s="109"/>
      <c r="M90" s="109"/>
      <c r="N90" s="109"/>
      <c r="O90" s="109"/>
      <c r="P90" s="109"/>
      <c r="Q90" s="109"/>
      <c r="R90" s="84"/>
      <c r="S90" s="84"/>
      <c r="T90" s="84"/>
      <c r="U90" s="84"/>
      <c r="V90" s="84"/>
      <c r="W90" s="84"/>
      <c r="X90" s="84"/>
      <c r="Y90" s="87"/>
      <c r="Z90" s="71"/>
      <c r="AA90" s="88"/>
      <c r="AB90" s="89"/>
      <c r="AC90" s="71"/>
      <c r="AD90" s="92"/>
      <c r="AE90" s="71"/>
      <c r="AF90" s="71"/>
      <c r="AG90" s="71"/>
      <c r="AH90" s="71"/>
      <c r="AI90" s="71"/>
      <c r="AJ90" s="71"/>
      <c r="AK90" s="71"/>
      <c r="AL90" s="71"/>
      <c r="AM90" s="71"/>
      <c r="AN90" s="71"/>
      <c r="AO90" s="71"/>
      <c r="AP90" s="71"/>
      <c r="AQ90" s="71"/>
      <c r="AR90" s="71"/>
    </row>
    <row r="91" ht="18.75" customHeight="1">
      <c r="A91" s="73"/>
      <c r="B91" s="91"/>
      <c r="C91" s="74"/>
      <c r="D91" s="74"/>
      <c r="E91" s="76"/>
      <c r="F91" s="20"/>
      <c r="G91" s="78"/>
      <c r="H91" s="76"/>
      <c r="I91" s="20"/>
      <c r="J91" s="81"/>
      <c r="K91" s="81" t="str">
        <f t="shared" si="1"/>
        <v>-</v>
      </c>
      <c r="L91" s="109"/>
      <c r="M91" s="109"/>
      <c r="N91" s="109"/>
      <c r="O91" s="109"/>
      <c r="P91" s="109"/>
      <c r="Q91" s="109"/>
      <c r="R91" s="84"/>
      <c r="S91" s="84"/>
      <c r="T91" s="84"/>
      <c r="U91" s="84"/>
      <c r="V91" s="84"/>
      <c r="W91" s="84"/>
      <c r="X91" s="84"/>
      <c r="Y91" s="87"/>
      <c r="Z91" s="71"/>
      <c r="AA91" s="88"/>
      <c r="AB91" s="89"/>
      <c r="AC91" s="71"/>
      <c r="AD91" s="92"/>
      <c r="AE91" s="71"/>
      <c r="AF91" s="71"/>
      <c r="AG91" s="71"/>
      <c r="AH91" s="71"/>
      <c r="AI91" s="71"/>
      <c r="AJ91" s="71"/>
      <c r="AK91" s="71"/>
      <c r="AL91" s="71"/>
      <c r="AM91" s="71"/>
      <c r="AN91" s="71"/>
      <c r="AO91" s="71"/>
      <c r="AP91" s="71"/>
      <c r="AQ91" s="71"/>
      <c r="AR91" s="71"/>
    </row>
    <row r="92" ht="18.75" customHeight="1">
      <c r="A92" s="73"/>
      <c r="B92" s="91"/>
      <c r="C92" s="74"/>
      <c r="D92" s="74"/>
      <c r="E92" s="76"/>
      <c r="F92" s="20"/>
      <c r="G92" s="78"/>
      <c r="H92" s="76"/>
      <c r="I92" s="20"/>
      <c r="J92" s="81"/>
      <c r="K92" s="81" t="str">
        <f t="shared" si="1"/>
        <v>-</v>
      </c>
      <c r="L92" s="109"/>
      <c r="M92" s="84"/>
      <c r="N92" s="84"/>
      <c r="O92" s="84"/>
      <c r="P92" s="84"/>
      <c r="Q92" s="84"/>
      <c r="R92" s="84"/>
      <c r="S92" s="84"/>
      <c r="T92" s="84"/>
      <c r="U92" s="84"/>
      <c r="V92" s="84"/>
      <c r="W92" s="84"/>
      <c r="X92" s="84"/>
      <c r="Y92" s="87"/>
      <c r="Z92" s="71"/>
      <c r="AA92" s="88"/>
      <c r="AB92" s="89"/>
      <c r="AC92" s="71"/>
      <c r="AD92" s="92"/>
      <c r="AE92" s="71"/>
      <c r="AF92" s="71"/>
      <c r="AG92" s="71"/>
      <c r="AH92" s="71"/>
      <c r="AI92" s="71"/>
      <c r="AJ92" s="71"/>
      <c r="AK92" s="71"/>
      <c r="AL92" s="71"/>
      <c r="AM92" s="71"/>
      <c r="AN92" s="71"/>
      <c r="AO92" s="71"/>
      <c r="AP92" s="71"/>
      <c r="AQ92" s="71"/>
      <c r="AR92" s="71"/>
    </row>
    <row r="93" ht="18.75" customHeight="1">
      <c r="A93" s="73"/>
      <c r="B93" s="91"/>
      <c r="C93" s="74"/>
      <c r="D93" s="74"/>
      <c r="E93" s="76"/>
      <c r="F93" s="20"/>
      <c r="G93" s="78"/>
      <c r="H93" s="76"/>
      <c r="I93" s="20"/>
      <c r="J93" s="81"/>
      <c r="K93" s="81" t="str">
        <f t="shared" si="1"/>
        <v>-</v>
      </c>
      <c r="L93" s="109"/>
      <c r="M93" s="84"/>
      <c r="N93" s="84"/>
      <c r="O93" s="84"/>
      <c r="P93" s="84"/>
      <c r="Q93" s="84"/>
      <c r="R93" s="84"/>
      <c r="S93" s="84"/>
      <c r="T93" s="84"/>
      <c r="U93" s="84"/>
      <c r="V93" s="84"/>
      <c r="W93" s="84"/>
      <c r="X93" s="84"/>
      <c r="Y93" s="87"/>
      <c r="Z93" s="71"/>
      <c r="AA93" s="88"/>
      <c r="AB93" s="71"/>
      <c r="AC93" s="71"/>
      <c r="AD93" s="92"/>
      <c r="AE93" s="71"/>
      <c r="AF93" s="71"/>
      <c r="AG93" s="71"/>
      <c r="AH93" s="71"/>
      <c r="AI93" s="71"/>
      <c r="AJ93" s="71"/>
      <c r="AK93" s="71"/>
      <c r="AL93" s="71"/>
      <c r="AM93" s="71"/>
      <c r="AN93" s="71"/>
      <c r="AO93" s="71"/>
      <c r="AP93" s="71"/>
      <c r="AQ93" s="71"/>
      <c r="AR93" s="71"/>
    </row>
    <row r="94" ht="18.75" customHeight="1">
      <c r="A94" s="73"/>
      <c r="B94" s="91"/>
      <c r="C94" s="74"/>
      <c r="D94" s="74"/>
      <c r="E94" s="76"/>
      <c r="F94" s="20"/>
      <c r="G94" s="78"/>
      <c r="H94" s="76"/>
      <c r="I94" s="20"/>
      <c r="J94" s="81"/>
      <c r="K94" s="81" t="str">
        <f t="shared" si="1"/>
        <v>-</v>
      </c>
      <c r="L94" s="109"/>
      <c r="M94" s="84"/>
      <c r="N94" s="84"/>
      <c r="O94" s="84"/>
      <c r="P94" s="84"/>
      <c r="Q94" s="84"/>
      <c r="R94" s="84"/>
      <c r="S94" s="84"/>
      <c r="T94" s="84"/>
      <c r="U94" s="84"/>
      <c r="V94" s="84"/>
      <c r="W94" s="84"/>
      <c r="X94" s="84"/>
      <c r="Y94" s="87"/>
      <c r="Z94" s="71"/>
      <c r="AA94" s="88"/>
      <c r="AB94" s="71"/>
      <c r="AC94" s="71"/>
      <c r="AD94" s="92"/>
      <c r="AE94" s="71"/>
      <c r="AF94" s="71"/>
      <c r="AG94" s="71"/>
      <c r="AH94" s="71"/>
      <c r="AI94" s="71"/>
      <c r="AJ94" s="71"/>
      <c r="AK94" s="71"/>
      <c r="AL94" s="71"/>
      <c r="AM94" s="71"/>
      <c r="AN94" s="71"/>
      <c r="AO94" s="71"/>
      <c r="AP94" s="71"/>
      <c r="AQ94" s="71"/>
      <c r="AR94" s="71"/>
    </row>
    <row r="95" ht="18.75" customHeight="1">
      <c r="A95" s="73"/>
      <c r="B95" s="91"/>
      <c r="C95" s="74"/>
      <c r="D95" s="74"/>
      <c r="E95" s="76"/>
      <c r="F95" s="20"/>
      <c r="G95" s="78"/>
      <c r="H95" s="76"/>
      <c r="I95" s="20"/>
      <c r="J95" s="81"/>
      <c r="K95" s="81" t="str">
        <f t="shared" si="1"/>
        <v>-</v>
      </c>
      <c r="L95" s="109"/>
      <c r="M95" s="109"/>
      <c r="N95" s="109"/>
      <c r="O95" s="109"/>
      <c r="P95" s="109"/>
      <c r="Q95" s="109"/>
      <c r="R95" s="109"/>
      <c r="S95" s="84"/>
      <c r="T95" s="84"/>
      <c r="U95" s="84"/>
      <c r="V95" s="84"/>
      <c r="W95" s="84"/>
      <c r="X95" s="84"/>
      <c r="Y95" s="87"/>
      <c r="Z95" s="71"/>
      <c r="AA95" s="88"/>
      <c r="AB95" s="71"/>
      <c r="AC95" s="71"/>
      <c r="AD95" s="92"/>
      <c r="AE95" s="71"/>
      <c r="AF95" s="71"/>
      <c r="AG95" s="71"/>
      <c r="AH95" s="71"/>
      <c r="AI95" s="71"/>
      <c r="AJ95" s="71"/>
      <c r="AK95" s="71"/>
      <c r="AL95" s="71"/>
      <c r="AM95" s="71"/>
      <c r="AN95" s="71"/>
      <c r="AO95" s="71"/>
      <c r="AP95" s="71"/>
      <c r="AQ95" s="71"/>
      <c r="AR95" s="71"/>
    </row>
    <row r="96" ht="18.75" customHeight="1">
      <c r="A96" s="73"/>
      <c r="B96" s="91"/>
      <c r="C96" s="74"/>
      <c r="D96" s="74"/>
      <c r="E96" s="76"/>
      <c r="F96" s="20"/>
      <c r="G96" s="78"/>
      <c r="H96" s="76"/>
      <c r="I96" s="20"/>
      <c r="J96" s="81"/>
      <c r="K96" s="81" t="str">
        <f t="shared" si="1"/>
        <v>-</v>
      </c>
      <c r="L96" s="110"/>
      <c r="M96" s="110"/>
      <c r="N96" s="110"/>
      <c r="O96" s="110"/>
      <c r="P96" s="110"/>
      <c r="Q96" s="110"/>
      <c r="R96" s="110"/>
      <c r="S96" s="110"/>
      <c r="T96" s="84"/>
      <c r="U96" s="84"/>
      <c r="V96" s="84"/>
      <c r="W96" s="84"/>
      <c r="X96" s="84"/>
      <c r="Y96" s="87"/>
      <c r="Z96" s="71"/>
      <c r="AA96" s="89"/>
      <c r="AB96" s="89"/>
      <c r="AC96" s="71"/>
      <c r="AD96" s="92"/>
      <c r="AE96" s="71"/>
      <c r="AF96" s="71"/>
      <c r="AG96" s="71"/>
      <c r="AH96" s="71"/>
      <c r="AI96" s="71"/>
      <c r="AJ96" s="71"/>
      <c r="AK96" s="71"/>
      <c r="AL96" s="71"/>
      <c r="AM96" s="71"/>
      <c r="AN96" s="71"/>
      <c r="AO96" s="71"/>
      <c r="AP96" s="71"/>
      <c r="AQ96" s="71"/>
      <c r="AR96" s="71"/>
    </row>
    <row r="97" ht="18.75" customHeight="1">
      <c r="A97" s="73"/>
      <c r="B97" s="91"/>
      <c r="C97" s="74"/>
      <c r="D97" s="74"/>
      <c r="E97" s="76"/>
      <c r="F97" s="20"/>
      <c r="G97" s="78"/>
      <c r="H97" s="76"/>
      <c r="I97" s="20"/>
      <c r="J97" s="81"/>
      <c r="K97" s="81" t="str">
        <f t="shared" si="1"/>
        <v>-</v>
      </c>
      <c r="L97" s="109"/>
      <c r="M97" s="109"/>
      <c r="N97" s="84"/>
      <c r="O97" s="84"/>
      <c r="P97" s="84"/>
      <c r="Q97" s="84"/>
      <c r="R97" s="84"/>
      <c r="S97" s="84"/>
      <c r="T97" s="84"/>
      <c r="U97" s="84"/>
      <c r="V97" s="84"/>
      <c r="W97" s="84"/>
      <c r="X97" s="84"/>
      <c r="Y97" s="87"/>
      <c r="Z97" s="71"/>
      <c r="AA97" s="88"/>
      <c r="AB97" s="89"/>
      <c r="AC97" s="71"/>
      <c r="AD97" s="92"/>
      <c r="AE97" s="71"/>
      <c r="AF97" s="71"/>
      <c r="AG97" s="71"/>
      <c r="AH97" s="71"/>
      <c r="AI97" s="71"/>
      <c r="AJ97" s="71"/>
      <c r="AK97" s="71"/>
      <c r="AL97" s="71"/>
      <c r="AM97" s="71"/>
      <c r="AN97" s="71"/>
      <c r="AO97" s="71"/>
      <c r="AP97" s="71"/>
      <c r="AQ97" s="71"/>
      <c r="AR97" s="71"/>
    </row>
    <row r="98" ht="18.75" customHeight="1">
      <c r="A98" s="73"/>
      <c r="B98" s="91"/>
      <c r="C98" s="74"/>
      <c r="D98" s="74"/>
      <c r="E98" s="76"/>
      <c r="F98" s="20"/>
      <c r="G98" s="78"/>
      <c r="H98" s="76"/>
      <c r="I98" s="20"/>
      <c r="J98" s="81"/>
      <c r="K98" s="81" t="str">
        <f t="shared" si="1"/>
        <v>-</v>
      </c>
      <c r="L98" s="109"/>
      <c r="M98" s="109"/>
      <c r="N98" s="109"/>
      <c r="O98" s="109"/>
      <c r="P98" s="109"/>
      <c r="Q98" s="109"/>
      <c r="R98" s="109"/>
      <c r="S98" s="84"/>
      <c r="T98" s="84"/>
      <c r="U98" s="84"/>
      <c r="V98" s="84"/>
      <c r="W98" s="84"/>
      <c r="X98" s="84"/>
      <c r="Y98" s="87"/>
      <c r="Z98" s="71"/>
      <c r="AA98" s="88"/>
      <c r="AB98" s="71"/>
      <c r="AC98" s="71"/>
      <c r="AD98" s="92"/>
      <c r="AE98" s="71"/>
      <c r="AF98" s="71"/>
      <c r="AG98" s="71"/>
      <c r="AH98" s="71"/>
      <c r="AI98" s="71"/>
      <c r="AJ98" s="71"/>
      <c r="AK98" s="71"/>
      <c r="AL98" s="71"/>
      <c r="AM98" s="71"/>
      <c r="AN98" s="71"/>
      <c r="AO98" s="71"/>
      <c r="AP98" s="71"/>
      <c r="AQ98" s="71"/>
      <c r="AR98" s="71"/>
    </row>
    <row r="99" ht="18.75" customHeight="1">
      <c r="A99" s="73"/>
      <c r="B99" s="91"/>
      <c r="C99" s="74"/>
      <c r="D99" s="74"/>
      <c r="E99" s="76"/>
      <c r="F99" s="20"/>
      <c r="G99" s="78"/>
      <c r="H99" s="76"/>
      <c r="I99" s="20"/>
      <c r="J99" s="81"/>
      <c r="K99" s="81" t="str">
        <f t="shared" si="1"/>
        <v>-</v>
      </c>
      <c r="L99" s="109"/>
      <c r="M99" s="109"/>
      <c r="N99" s="109"/>
      <c r="O99" s="109"/>
      <c r="P99" s="109"/>
      <c r="Q99" s="109"/>
      <c r="R99" s="109"/>
      <c r="S99" s="84"/>
      <c r="T99" s="84"/>
      <c r="U99" s="84"/>
      <c r="V99" s="84"/>
      <c r="W99" s="84"/>
      <c r="X99" s="84"/>
      <c r="Y99" s="87"/>
      <c r="Z99" s="71"/>
      <c r="AA99" s="88"/>
      <c r="AB99" s="89"/>
      <c r="AC99" s="71"/>
      <c r="AD99" s="92"/>
      <c r="AE99" s="71"/>
      <c r="AF99" s="71"/>
      <c r="AG99" s="71"/>
      <c r="AH99" s="71"/>
      <c r="AI99" s="71"/>
      <c r="AJ99" s="71"/>
      <c r="AK99" s="71"/>
      <c r="AL99" s="71"/>
      <c r="AM99" s="71"/>
      <c r="AN99" s="71"/>
      <c r="AO99" s="71"/>
      <c r="AP99" s="71"/>
      <c r="AQ99" s="71"/>
      <c r="AR99" s="71"/>
    </row>
    <row r="100" ht="18.75" customHeight="1">
      <c r="A100" s="73"/>
      <c r="B100" s="91"/>
      <c r="C100" s="74"/>
      <c r="D100" s="74"/>
      <c r="E100" s="76"/>
      <c r="F100" s="20"/>
      <c r="G100" s="78"/>
      <c r="H100" s="76"/>
      <c r="I100" s="20"/>
      <c r="J100" s="81"/>
      <c r="K100" s="81" t="str">
        <f t="shared" si="1"/>
        <v>-</v>
      </c>
      <c r="L100" s="109"/>
      <c r="M100" s="109"/>
      <c r="N100" s="109"/>
      <c r="O100" s="109"/>
      <c r="P100" s="109"/>
      <c r="Q100" s="109"/>
      <c r="R100" s="109"/>
      <c r="S100" s="84"/>
      <c r="T100" s="84"/>
      <c r="U100" s="84"/>
      <c r="V100" s="84"/>
      <c r="W100" s="84"/>
      <c r="X100" s="84"/>
      <c r="Y100" s="87"/>
      <c r="Z100" s="71"/>
      <c r="AA100" s="88"/>
      <c r="AB100" s="89"/>
      <c r="AC100" s="71"/>
      <c r="AD100" s="92"/>
      <c r="AE100" s="71"/>
      <c r="AF100" s="71"/>
      <c r="AG100" s="71"/>
      <c r="AH100" s="71"/>
      <c r="AI100" s="71"/>
      <c r="AJ100" s="71"/>
      <c r="AK100" s="71"/>
      <c r="AL100" s="71"/>
      <c r="AM100" s="71"/>
      <c r="AN100" s="71"/>
      <c r="AO100" s="71"/>
      <c r="AP100" s="71"/>
      <c r="AQ100" s="71"/>
      <c r="AR100" s="71"/>
    </row>
    <row r="101" ht="18.75" customHeight="1">
      <c r="A101" s="73"/>
      <c r="B101" s="91"/>
      <c r="C101" s="74"/>
      <c r="D101" s="74"/>
      <c r="E101" s="76"/>
      <c r="F101" s="20"/>
      <c r="G101" s="78"/>
      <c r="H101" s="76"/>
      <c r="I101" s="20"/>
      <c r="J101" s="81"/>
      <c r="K101" s="81" t="str">
        <f t="shared" si="1"/>
        <v>-</v>
      </c>
      <c r="L101" s="109"/>
      <c r="M101" s="109"/>
      <c r="N101" s="109"/>
      <c r="O101" s="109"/>
      <c r="P101" s="109"/>
      <c r="Q101" s="109"/>
      <c r="R101" s="84"/>
      <c r="S101" s="84"/>
      <c r="T101" s="84"/>
      <c r="U101" s="84"/>
      <c r="V101" s="84"/>
      <c r="W101" s="84"/>
      <c r="X101" s="84"/>
      <c r="Y101" s="87"/>
      <c r="Z101" s="71"/>
      <c r="AA101" s="88"/>
      <c r="AB101" s="89"/>
      <c r="AC101" s="71"/>
      <c r="AD101" s="92"/>
      <c r="AE101" s="71"/>
      <c r="AF101" s="71"/>
      <c r="AG101" s="71"/>
      <c r="AH101" s="71"/>
      <c r="AI101" s="71"/>
      <c r="AJ101" s="71"/>
      <c r="AK101" s="71"/>
      <c r="AL101" s="71"/>
      <c r="AM101" s="71"/>
      <c r="AN101" s="71"/>
      <c r="AO101" s="71"/>
      <c r="AP101" s="71"/>
      <c r="AQ101" s="71"/>
      <c r="AR101" s="71"/>
    </row>
    <row r="102" ht="18.75" customHeight="1">
      <c r="A102" s="73"/>
      <c r="B102" s="91"/>
      <c r="C102" s="74"/>
      <c r="D102" s="74"/>
      <c r="E102" s="76"/>
      <c r="F102" s="20"/>
      <c r="G102" s="78"/>
      <c r="H102" s="76"/>
      <c r="I102" s="20"/>
      <c r="J102" s="81"/>
      <c r="K102" s="81" t="str">
        <f t="shared" si="1"/>
        <v>-</v>
      </c>
      <c r="L102" s="109"/>
      <c r="M102" s="109"/>
      <c r="N102" s="109"/>
      <c r="O102" s="109"/>
      <c r="P102" s="109"/>
      <c r="Q102" s="84"/>
      <c r="R102" s="84"/>
      <c r="S102" s="84"/>
      <c r="T102" s="84"/>
      <c r="U102" s="84"/>
      <c r="V102" s="84"/>
      <c r="W102" s="84"/>
      <c r="X102" s="84"/>
      <c r="Y102" s="87"/>
      <c r="Z102" s="71"/>
      <c r="AA102" s="88"/>
      <c r="AB102" s="71"/>
      <c r="AC102" s="71"/>
      <c r="AD102" s="92"/>
      <c r="AE102" s="71"/>
      <c r="AF102" s="71"/>
      <c r="AG102" s="71"/>
      <c r="AH102" s="71"/>
      <c r="AI102" s="71"/>
      <c r="AJ102" s="71"/>
      <c r="AK102" s="71"/>
      <c r="AL102" s="71"/>
      <c r="AM102" s="71"/>
      <c r="AN102" s="71"/>
      <c r="AO102" s="71"/>
      <c r="AP102" s="71"/>
      <c r="AQ102" s="71"/>
      <c r="AR102" s="71"/>
    </row>
    <row r="103" ht="18.75" customHeight="1">
      <c r="A103" s="73"/>
      <c r="B103" s="91"/>
      <c r="C103" s="74"/>
      <c r="D103" s="74"/>
      <c r="E103" s="76"/>
      <c r="F103" s="20"/>
      <c r="G103" s="78"/>
      <c r="H103" s="76"/>
      <c r="I103" s="20"/>
      <c r="J103" s="81"/>
      <c r="K103" s="81" t="str">
        <f t="shared" si="1"/>
        <v>-</v>
      </c>
      <c r="L103" s="109"/>
      <c r="M103" s="109"/>
      <c r="N103" s="109"/>
      <c r="O103" s="109"/>
      <c r="P103" s="109"/>
      <c r="Q103" s="109"/>
      <c r="R103" s="84"/>
      <c r="S103" s="84"/>
      <c r="T103" s="84"/>
      <c r="U103" s="84"/>
      <c r="V103" s="84"/>
      <c r="W103" s="84"/>
      <c r="X103" s="84"/>
      <c r="Y103" s="87"/>
      <c r="Z103" s="71"/>
      <c r="AA103" s="88"/>
      <c r="AB103" s="89"/>
      <c r="AC103" s="71"/>
      <c r="AD103" s="92"/>
      <c r="AE103" s="71"/>
      <c r="AF103" s="71"/>
      <c r="AG103" s="71"/>
      <c r="AH103" s="71"/>
      <c r="AI103" s="71"/>
      <c r="AJ103" s="71"/>
      <c r="AK103" s="71"/>
      <c r="AL103" s="71"/>
      <c r="AM103" s="71"/>
      <c r="AN103" s="71"/>
      <c r="AO103" s="71"/>
      <c r="AP103" s="71"/>
      <c r="AQ103" s="71"/>
      <c r="AR103" s="71"/>
    </row>
    <row r="104" ht="18.75" customHeight="1">
      <c r="A104" s="73"/>
      <c r="B104" s="91"/>
      <c r="C104" s="74"/>
      <c r="D104" s="74"/>
      <c r="E104" s="76"/>
      <c r="F104" s="20"/>
      <c r="G104" s="78"/>
      <c r="H104" s="76"/>
      <c r="I104" s="20"/>
      <c r="J104" s="81"/>
      <c r="K104" s="81" t="str">
        <f t="shared" si="1"/>
        <v>-</v>
      </c>
      <c r="L104" s="109"/>
      <c r="M104" s="109"/>
      <c r="N104" s="109"/>
      <c r="O104" s="109"/>
      <c r="P104" s="109"/>
      <c r="Q104" s="109"/>
      <c r="R104" s="84"/>
      <c r="S104" s="84"/>
      <c r="T104" s="84"/>
      <c r="U104" s="84"/>
      <c r="V104" s="84"/>
      <c r="W104" s="84"/>
      <c r="X104" s="84"/>
      <c r="Y104" s="87"/>
      <c r="Z104" s="71"/>
      <c r="AA104" s="88"/>
      <c r="AB104" s="89"/>
      <c r="AC104" s="71"/>
      <c r="AD104" s="92"/>
      <c r="AE104" s="71"/>
      <c r="AF104" s="71"/>
      <c r="AG104" s="71"/>
      <c r="AH104" s="71"/>
      <c r="AI104" s="71"/>
      <c r="AJ104" s="71"/>
      <c r="AK104" s="71"/>
      <c r="AL104" s="71"/>
      <c r="AM104" s="71"/>
      <c r="AN104" s="71"/>
      <c r="AO104" s="71"/>
      <c r="AP104" s="71"/>
      <c r="AQ104" s="71"/>
      <c r="AR104" s="71"/>
    </row>
    <row r="105" ht="18.75" customHeight="1">
      <c r="A105" s="73"/>
      <c r="B105" s="91"/>
      <c r="C105" s="74"/>
      <c r="D105" s="74"/>
      <c r="E105" s="76"/>
      <c r="F105" s="20"/>
      <c r="G105" s="78"/>
      <c r="H105" s="76"/>
      <c r="I105" s="20"/>
      <c r="J105" s="81"/>
      <c r="K105" s="81" t="str">
        <f t="shared" si="1"/>
        <v>-</v>
      </c>
      <c r="L105" s="109"/>
      <c r="M105" s="109"/>
      <c r="N105" s="109"/>
      <c r="O105" s="84"/>
      <c r="P105" s="84"/>
      <c r="Q105" s="84"/>
      <c r="R105" s="84"/>
      <c r="S105" s="84"/>
      <c r="T105" s="84"/>
      <c r="U105" s="84"/>
      <c r="V105" s="84"/>
      <c r="W105" s="84"/>
      <c r="X105" s="84"/>
      <c r="Y105" s="87"/>
      <c r="Z105" s="71"/>
      <c r="AA105" s="88"/>
      <c r="AB105" s="89"/>
      <c r="AC105" s="71"/>
      <c r="AD105" s="92"/>
      <c r="AE105" s="71"/>
      <c r="AF105" s="71"/>
      <c r="AG105" s="71"/>
      <c r="AH105" s="71"/>
      <c r="AI105" s="71"/>
      <c r="AJ105" s="71"/>
      <c r="AK105" s="71"/>
      <c r="AL105" s="71"/>
      <c r="AM105" s="71"/>
      <c r="AN105" s="71"/>
      <c r="AO105" s="71"/>
      <c r="AP105" s="71"/>
      <c r="AQ105" s="71"/>
      <c r="AR105" s="71"/>
    </row>
    <row r="106" ht="18.75" customHeight="1">
      <c r="A106" s="73"/>
      <c r="B106" s="91"/>
      <c r="C106" s="74"/>
      <c r="D106" s="74"/>
      <c r="E106" s="76"/>
      <c r="F106" s="20"/>
      <c r="G106" s="78"/>
      <c r="H106" s="76"/>
      <c r="I106" s="20"/>
      <c r="J106" s="81"/>
      <c r="K106" s="81" t="str">
        <f t="shared" si="1"/>
        <v>-</v>
      </c>
      <c r="L106" s="109"/>
      <c r="M106" s="84"/>
      <c r="N106" s="84"/>
      <c r="O106" s="84"/>
      <c r="P106" s="84"/>
      <c r="Q106" s="84"/>
      <c r="R106" s="84"/>
      <c r="S106" s="84"/>
      <c r="T106" s="84"/>
      <c r="U106" s="84"/>
      <c r="V106" s="84"/>
      <c r="W106" s="84"/>
      <c r="X106" s="84"/>
      <c r="Y106" s="87"/>
      <c r="Z106" s="71"/>
      <c r="AA106" s="88"/>
      <c r="AB106" s="89"/>
      <c r="AC106" s="71"/>
      <c r="AD106" s="92"/>
      <c r="AE106" s="71"/>
      <c r="AF106" s="71"/>
      <c r="AG106" s="71"/>
      <c r="AH106" s="71"/>
      <c r="AI106" s="71"/>
      <c r="AJ106" s="71"/>
      <c r="AK106" s="71"/>
      <c r="AL106" s="71"/>
      <c r="AM106" s="71"/>
      <c r="AN106" s="71"/>
      <c r="AO106" s="71"/>
      <c r="AP106" s="71"/>
      <c r="AQ106" s="71"/>
      <c r="AR106" s="71"/>
    </row>
    <row r="107" ht="18.75" customHeight="1">
      <c r="A107" s="73"/>
      <c r="B107" s="91"/>
      <c r="C107" s="74"/>
      <c r="D107" s="74"/>
      <c r="E107" s="76"/>
      <c r="F107" s="20"/>
      <c r="G107" s="78"/>
      <c r="H107" s="76"/>
      <c r="I107" s="20"/>
      <c r="J107" s="81"/>
      <c r="K107" s="81" t="str">
        <f t="shared" si="1"/>
        <v>-</v>
      </c>
      <c r="L107" s="109"/>
      <c r="M107" s="109"/>
      <c r="N107" s="109"/>
      <c r="O107" s="109"/>
      <c r="P107" s="109"/>
      <c r="Q107" s="84"/>
      <c r="R107" s="84"/>
      <c r="S107" s="84"/>
      <c r="T107" s="84"/>
      <c r="U107" s="84"/>
      <c r="V107" s="84"/>
      <c r="W107" s="84"/>
      <c r="X107" s="84"/>
      <c r="Y107" s="87"/>
      <c r="Z107" s="71"/>
      <c r="AA107" s="88"/>
      <c r="AB107" s="89"/>
      <c r="AC107" s="71"/>
      <c r="AD107" s="92"/>
      <c r="AE107" s="71"/>
      <c r="AF107" s="71"/>
      <c r="AG107" s="71"/>
      <c r="AH107" s="71"/>
      <c r="AI107" s="71"/>
      <c r="AJ107" s="71"/>
      <c r="AK107" s="71"/>
      <c r="AL107" s="71"/>
      <c r="AM107" s="71"/>
      <c r="AN107" s="71"/>
      <c r="AO107" s="71"/>
      <c r="AP107" s="71"/>
      <c r="AQ107" s="71"/>
      <c r="AR107" s="71"/>
    </row>
    <row r="108" ht="18.75" customHeight="1">
      <c r="A108" s="73"/>
      <c r="B108" s="91"/>
      <c r="C108" s="74"/>
      <c r="D108" s="74"/>
      <c r="E108" s="76"/>
      <c r="F108" s="20"/>
      <c r="G108" s="78"/>
      <c r="H108" s="76"/>
      <c r="I108" s="20"/>
      <c r="J108" s="81"/>
      <c r="K108" s="81" t="str">
        <f t="shared" si="1"/>
        <v>-</v>
      </c>
      <c r="L108" s="84"/>
      <c r="M108" s="84"/>
      <c r="N108" s="84"/>
      <c r="O108" s="84"/>
      <c r="P108" s="84"/>
      <c r="Q108" s="84"/>
      <c r="R108" s="84"/>
      <c r="S108" s="84"/>
      <c r="T108" s="84"/>
      <c r="U108" s="84"/>
      <c r="V108" s="84"/>
      <c r="W108" s="84"/>
      <c r="X108" s="84"/>
      <c r="Y108" s="87"/>
      <c r="Z108" s="71"/>
      <c r="AA108" s="88"/>
      <c r="AB108" s="71"/>
      <c r="AC108" s="71"/>
      <c r="AD108" s="92"/>
      <c r="AE108" s="71"/>
      <c r="AF108" s="71"/>
      <c r="AG108" s="71"/>
      <c r="AH108" s="71"/>
      <c r="AI108" s="71"/>
      <c r="AJ108" s="71"/>
      <c r="AK108" s="71"/>
      <c r="AL108" s="71"/>
      <c r="AM108" s="71"/>
      <c r="AN108" s="71"/>
      <c r="AO108" s="71"/>
      <c r="AP108" s="71"/>
      <c r="AQ108" s="71"/>
      <c r="AR108" s="71"/>
    </row>
    <row r="109" ht="18.75" customHeight="1">
      <c r="A109" s="73"/>
      <c r="B109" s="91"/>
      <c r="C109" s="74"/>
      <c r="D109" s="74"/>
      <c r="E109" s="76"/>
      <c r="F109" s="20"/>
      <c r="G109" s="78"/>
      <c r="H109" s="76"/>
      <c r="I109" s="20"/>
      <c r="J109" s="81"/>
      <c r="K109" s="81" t="str">
        <f t="shared" si="1"/>
        <v>-</v>
      </c>
      <c r="L109" s="84"/>
      <c r="M109" s="84"/>
      <c r="N109" s="84"/>
      <c r="O109" s="84"/>
      <c r="P109" s="84"/>
      <c r="Q109" s="84"/>
      <c r="R109" s="84"/>
      <c r="S109" s="84"/>
      <c r="T109" s="84"/>
      <c r="U109" s="84"/>
      <c r="V109" s="84"/>
      <c r="W109" s="84"/>
      <c r="X109" s="84"/>
      <c r="Y109" s="87"/>
      <c r="Z109" s="71"/>
      <c r="AA109" s="88"/>
      <c r="AB109" s="71"/>
      <c r="AC109" s="71"/>
      <c r="AD109" s="92"/>
      <c r="AE109" s="71"/>
      <c r="AF109" s="71"/>
      <c r="AG109" s="71"/>
      <c r="AH109" s="71"/>
      <c r="AI109" s="71"/>
      <c r="AJ109" s="71"/>
      <c r="AK109" s="71"/>
      <c r="AL109" s="71"/>
      <c r="AM109" s="71"/>
      <c r="AN109" s="71"/>
      <c r="AO109" s="71"/>
      <c r="AP109" s="71"/>
      <c r="AQ109" s="71"/>
      <c r="AR109" s="71"/>
    </row>
    <row r="110" ht="18.75" customHeight="1">
      <c r="A110" s="73"/>
      <c r="B110" s="91"/>
      <c r="C110" s="74"/>
      <c r="D110" s="74"/>
      <c r="E110" s="76"/>
      <c r="F110" s="20"/>
      <c r="G110" s="78"/>
      <c r="H110" s="76"/>
      <c r="I110" s="20"/>
      <c r="J110" s="81"/>
      <c r="K110" s="81" t="str">
        <f t="shared" si="1"/>
        <v>-</v>
      </c>
      <c r="L110" s="84"/>
      <c r="M110" s="84"/>
      <c r="N110" s="84"/>
      <c r="O110" s="84"/>
      <c r="P110" s="84"/>
      <c r="Q110" s="84"/>
      <c r="R110" s="84"/>
      <c r="S110" s="84"/>
      <c r="T110" s="84"/>
      <c r="U110" s="84"/>
      <c r="V110" s="84"/>
      <c r="W110" s="84"/>
      <c r="X110" s="84"/>
      <c r="Y110" s="87"/>
      <c r="Z110" s="71"/>
      <c r="AA110" s="88"/>
      <c r="AB110" s="71"/>
      <c r="AC110" s="71"/>
      <c r="AD110" s="92"/>
      <c r="AE110" s="71"/>
      <c r="AF110" s="71"/>
      <c r="AG110" s="71"/>
      <c r="AH110" s="71"/>
      <c r="AI110" s="71"/>
      <c r="AJ110" s="71"/>
      <c r="AK110" s="71"/>
      <c r="AL110" s="71"/>
      <c r="AM110" s="71"/>
      <c r="AN110" s="71"/>
      <c r="AO110" s="71"/>
      <c r="AP110" s="71"/>
      <c r="AQ110" s="71"/>
      <c r="AR110" s="71"/>
    </row>
    <row r="111" ht="18.75" customHeight="1">
      <c r="A111" s="73"/>
      <c r="B111" s="91"/>
      <c r="C111" s="74"/>
      <c r="D111" s="74"/>
      <c r="E111" s="76"/>
      <c r="F111" s="20"/>
      <c r="G111" s="78"/>
      <c r="H111" s="76"/>
      <c r="I111" s="20"/>
      <c r="J111" s="81"/>
      <c r="K111" s="81" t="str">
        <f t="shared" si="1"/>
        <v>-</v>
      </c>
      <c r="L111" s="84"/>
      <c r="M111" s="84"/>
      <c r="N111" s="84"/>
      <c r="O111" s="84"/>
      <c r="P111" s="84"/>
      <c r="Q111" s="84"/>
      <c r="R111" s="84"/>
      <c r="S111" s="84"/>
      <c r="T111" s="84"/>
      <c r="U111" s="84"/>
      <c r="V111" s="84"/>
      <c r="W111" s="84"/>
      <c r="X111" s="84"/>
      <c r="Y111" s="87"/>
      <c r="Z111" s="71"/>
      <c r="AA111" s="88"/>
      <c r="AB111" s="71"/>
      <c r="AC111" s="71"/>
      <c r="AD111" s="92"/>
      <c r="AE111" s="71"/>
      <c r="AF111" s="71"/>
      <c r="AG111" s="71"/>
      <c r="AH111" s="71"/>
      <c r="AI111" s="71"/>
      <c r="AJ111" s="71"/>
      <c r="AK111" s="71"/>
      <c r="AL111" s="71"/>
      <c r="AM111" s="71"/>
      <c r="AN111" s="71"/>
      <c r="AO111" s="71"/>
      <c r="AP111" s="71"/>
      <c r="AQ111" s="71"/>
      <c r="AR111" s="71"/>
    </row>
    <row r="112" ht="18.75" customHeight="1">
      <c r="A112" s="73"/>
      <c r="B112" s="91"/>
      <c r="C112" s="74"/>
      <c r="D112" s="74"/>
      <c r="E112" s="76"/>
      <c r="F112" s="20"/>
      <c r="G112" s="78"/>
      <c r="H112" s="76"/>
      <c r="I112" s="20"/>
      <c r="J112" s="81"/>
      <c r="K112" s="81" t="str">
        <f t="shared" si="1"/>
        <v>-</v>
      </c>
      <c r="L112" s="84"/>
      <c r="M112" s="84"/>
      <c r="N112" s="84"/>
      <c r="O112" s="84"/>
      <c r="P112" s="84"/>
      <c r="Q112" s="84"/>
      <c r="R112" s="84"/>
      <c r="S112" s="84"/>
      <c r="T112" s="84"/>
      <c r="U112" s="84"/>
      <c r="V112" s="84"/>
      <c r="W112" s="84"/>
      <c r="X112" s="84"/>
      <c r="Y112" s="87"/>
      <c r="Z112" s="71"/>
      <c r="AA112" s="88"/>
      <c r="AB112" s="89"/>
      <c r="AC112" s="71"/>
      <c r="AD112" s="92"/>
      <c r="AE112" s="71"/>
      <c r="AF112" s="71"/>
      <c r="AG112" s="71"/>
      <c r="AH112" s="71"/>
      <c r="AI112" s="71"/>
      <c r="AJ112" s="71"/>
      <c r="AK112" s="71"/>
      <c r="AL112" s="71"/>
      <c r="AM112" s="71"/>
      <c r="AN112" s="71"/>
      <c r="AO112" s="71"/>
      <c r="AP112" s="71"/>
      <c r="AQ112" s="71"/>
      <c r="AR112" s="71"/>
    </row>
    <row r="113" ht="18.75" customHeight="1">
      <c r="A113" s="73"/>
      <c r="B113" s="91"/>
      <c r="C113" s="74"/>
      <c r="D113" s="74"/>
      <c r="E113" s="76"/>
      <c r="F113" s="20"/>
      <c r="G113" s="78"/>
      <c r="H113" s="76"/>
      <c r="I113" s="20"/>
      <c r="J113" s="81"/>
      <c r="K113" s="81" t="str">
        <f t="shared" si="1"/>
        <v>-</v>
      </c>
      <c r="L113" s="84"/>
      <c r="M113" s="84"/>
      <c r="N113" s="84"/>
      <c r="O113" s="84"/>
      <c r="P113" s="84"/>
      <c r="Q113" s="84"/>
      <c r="R113" s="84"/>
      <c r="S113" s="84"/>
      <c r="T113" s="84"/>
      <c r="U113" s="84"/>
      <c r="V113" s="84"/>
      <c r="W113" s="84"/>
      <c r="X113" s="84"/>
      <c r="Y113" s="87"/>
      <c r="Z113" s="71"/>
      <c r="AA113" s="88"/>
      <c r="AB113" s="89"/>
      <c r="AC113" s="71"/>
      <c r="AD113" s="92"/>
      <c r="AE113" s="71"/>
      <c r="AF113" s="71"/>
      <c r="AG113" s="71"/>
      <c r="AH113" s="71"/>
      <c r="AI113" s="71"/>
      <c r="AJ113" s="71"/>
      <c r="AK113" s="71"/>
      <c r="AL113" s="71"/>
      <c r="AM113" s="71"/>
      <c r="AN113" s="71"/>
      <c r="AO113" s="71"/>
      <c r="AP113" s="71"/>
      <c r="AQ113" s="71"/>
      <c r="AR113" s="71"/>
    </row>
    <row r="114" ht="18.75" customHeight="1">
      <c r="A114" s="73"/>
      <c r="B114" s="91"/>
      <c r="C114" s="74"/>
      <c r="D114" s="74"/>
      <c r="E114" s="76"/>
      <c r="F114" s="20"/>
      <c r="G114" s="78"/>
      <c r="H114" s="76"/>
      <c r="I114" s="20"/>
      <c r="J114" s="81"/>
      <c r="K114" s="81" t="str">
        <f t="shared" si="1"/>
        <v>-</v>
      </c>
      <c r="L114" s="109"/>
      <c r="M114" s="109"/>
      <c r="N114" s="109"/>
      <c r="O114" s="109"/>
      <c r="P114" s="109"/>
      <c r="Q114" s="109"/>
      <c r="R114" s="84"/>
      <c r="S114" s="84"/>
      <c r="T114" s="84"/>
      <c r="U114" s="84"/>
      <c r="V114" s="84"/>
      <c r="W114" s="84"/>
      <c r="X114" s="84"/>
      <c r="Y114" s="87"/>
      <c r="Z114" s="71"/>
      <c r="AA114" s="88"/>
      <c r="AB114" s="71"/>
      <c r="AC114" s="71"/>
      <c r="AD114" s="92"/>
      <c r="AE114" s="71"/>
      <c r="AF114" s="71"/>
      <c r="AG114" s="71"/>
      <c r="AH114" s="71"/>
      <c r="AI114" s="71"/>
      <c r="AJ114" s="71"/>
      <c r="AK114" s="71"/>
      <c r="AL114" s="71"/>
      <c r="AM114" s="71"/>
      <c r="AN114" s="71"/>
      <c r="AO114" s="71"/>
      <c r="AP114" s="71"/>
      <c r="AQ114" s="71"/>
      <c r="AR114" s="71"/>
    </row>
    <row r="115" ht="18.75" customHeight="1">
      <c r="A115" s="73"/>
      <c r="B115" s="91"/>
      <c r="C115" s="74"/>
      <c r="D115" s="74"/>
      <c r="E115" s="76"/>
      <c r="F115" s="20"/>
      <c r="G115" s="78"/>
      <c r="H115" s="76"/>
      <c r="I115" s="20"/>
      <c r="J115" s="81"/>
      <c r="K115" s="81" t="str">
        <f t="shared" si="1"/>
        <v>-</v>
      </c>
      <c r="L115" s="109"/>
      <c r="M115" s="84"/>
      <c r="N115" s="84"/>
      <c r="O115" s="84"/>
      <c r="P115" s="84"/>
      <c r="Q115" s="84"/>
      <c r="R115" s="84"/>
      <c r="S115" s="84"/>
      <c r="T115" s="84"/>
      <c r="U115" s="84"/>
      <c r="V115" s="84"/>
      <c r="W115" s="84"/>
      <c r="X115" s="84"/>
      <c r="Y115" s="87"/>
      <c r="Z115" s="71"/>
      <c r="AA115" s="88"/>
      <c r="AB115" s="89"/>
      <c r="AC115" s="71"/>
      <c r="AD115" s="92"/>
      <c r="AE115" s="71"/>
      <c r="AF115" s="71"/>
      <c r="AG115" s="71"/>
      <c r="AH115" s="71"/>
      <c r="AI115" s="71"/>
      <c r="AJ115" s="71"/>
      <c r="AK115" s="71"/>
      <c r="AL115" s="71"/>
      <c r="AM115" s="71"/>
      <c r="AN115" s="71"/>
      <c r="AO115" s="71"/>
      <c r="AP115" s="71"/>
      <c r="AQ115" s="71"/>
      <c r="AR115" s="71"/>
    </row>
    <row r="116" ht="18.75" customHeight="1">
      <c r="A116" s="73"/>
      <c r="B116" s="91"/>
      <c r="C116" s="74"/>
      <c r="D116" s="74"/>
      <c r="E116" s="76"/>
      <c r="F116" s="20"/>
      <c r="G116" s="78"/>
      <c r="H116" s="76"/>
      <c r="I116" s="20"/>
      <c r="J116" s="81"/>
      <c r="K116" s="81" t="str">
        <f t="shared" si="1"/>
        <v>-</v>
      </c>
      <c r="L116" s="109"/>
      <c r="M116" s="109"/>
      <c r="N116" s="109"/>
      <c r="O116" s="109"/>
      <c r="P116" s="109"/>
      <c r="Q116" s="109"/>
      <c r="R116" s="84"/>
      <c r="S116" s="84"/>
      <c r="T116" s="84"/>
      <c r="U116" s="84"/>
      <c r="V116" s="84"/>
      <c r="W116" s="84"/>
      <c r="X116" s="84"/>
      <c r="Y116" s="87"/>
      <c r="Z116" s="71"/>
      <c r="AA116" s="88"/>
      <c r="AB116" s="89"/>
      <c r="AC116" s="71"/>
      <c r="AD116" s="92"/>
      <c r="AE116" s="71"/>
      <c r="AF116" s="71"/>
      <c r="AG116" s="71"/>
      <c r="AH116" s="71"/>
      <c r="AI116" s="71"/>
      <c r="AJ116" s="71"/>
      <c r="AK116" s="71"/>
      <c r="AL116" s="71"/>
      <c r="AM116" s="71"/>
      <c r="AN116" s="71"/>
      <c r="AO116" s="71"/>
      <c r="AP116" s="71"/>
      <c r="AQ116" s="71"/>
      <c r="AR116" s="71"/>
    </row>
    <row r="117" ht="18.75" customHeight="1">
      <c r="A117" s="73"/>
      <c r="B117" s="91"/>
      <c r="C117" s="74"/>
      <c r="D117" s="74"/>
      <c r="E117" s="76"/>
      <c r="F117" s="20"/>
      <c r="G117" s="78"/>
      <c r="H117" s="76"/>
      <c r="I117" s="20"/>
      <c r="J117" s="81"/>
      <c r="K117" s="81" t="str">
        <f t="shared" si="1"/>
        <v>-</v>
      </c>
      <c r="L117" s="109"/>
      <c r="M117" s="84"/>
      <c r="N117" s="84"/>
      <c r="O117" s="84"/>
      <c r="P117" s="84"/>
      <c r="Q117" s="84"/>
      <c r="R117" s="84"/>
      <c r="S117" s="84"/>
      <c r="T117" s="84"/>
      <c r="U117" s="84"/>
      <c r="V117" s="84"/>
      <c r="W117" s="84"/>
      <c r="X117" s="84"/>
      <c r="Y117" s="87"/>
      <c r="Z117" s="71"/>
      <c r="AA117" s="88"/>
      <c r="AB117" s="89"/>
      <c r="AC117" s="71"/>
      <c r="AD117" s="92"/>
      <c r="AE117" s="71"/>
      <c r="AF117" s="71"/>
      <c r="AG117" s="71"/>
      <c r="AH117" s="71"/>
      <c r="AI117" s="71"/>
      <c r="AJ117" s="71"/>
      <c r="AK117" s="71"/>
      <c r="AL117" s="71"/>
      <c r="AM117" s="71"/>
      <c r="AN117" s="71"/>
      <c r="AO117" s="71"/>
      <c r="AP117" s="71"/>
      <c r="AQ117" s="71"/>
      <c r="AR117" s="71"/>
    </row>
    <row r="118" ht="18.75" customHeight="1">
      <c r="A118" s="73"/>
      <c r="B118" s="91"/>
      <c r="C118" s="74"/>
      <c r="D118" s="74"/>
      <c r="E118" s="76"/>
      <c r="F118" s="20"/>
      <c r="G118" s="78"/>
      <c r="H118" s="76"/>
      <c r="I118" s="20"/>
      <c r="J118" s="81"/>
      <c r="K118" s="81" t="str">
        <f t="shared" si="1"/>
        <v>-</v>
      </c>
      <c r="L118" s="109"/>
      <c r="M118" s="109"/>
      <c r="N118" s="109"/>
      <c r="O118" s="84"/>
      <c r="P118" s="84"/>
      <c r="Q118" s="84"/>
      <c r="R118" s="84"/>
      <c r="S118" s="84"/>
      <c r="T118" s="84"/>
      <c r="U118" s="84"/>
      <c r="V118" s="84"/>
      <c r="W118" s="84"/>
      <c r="X118" s="84"/>
      <c r="Y118" s="87"/>
      <c r="Z118" s="71"/>
      <c r="AA118" s="88"/>
      <c r="AB118" s="89"/>
      <c r="AC118" s="71"/>
      <c r="AD118" s="92"/>
      <c r="AE118" s="71"/>
      <c r="AF118" s="71"/>
      <c r="AG118" s="71"/>
      <c r="AH118" s="71"/>
      <c r="AI118" s="71"/>
      <c r="AJ118" s="71"/>
      <c r="AK118" s="71"/>
      <c r="AL118" s="71"/>
      <c r="AM118" s="71"/>
      <c r="AN118" s="71"/>
      <c r="AO118" s="71"/>
      <c r="AP118" s="71"/>
      <c r="AQ118" s="71"/>
      <c r="AR118" s="71"/>
    </row>
    <row r="119" ht="18.75" customHeight="1">
      <c r="A119" s="73"/>
      <c r="B119" s="91"/>
      <c r="C119" s="74"/>
      <c r="D119" s="74"/>
      <c r="E119" s="76"/>
      <c r="F119" s="20"/>
      <c r="G119" s="78"/>
      <c r="H119" s="76"/>
      <c r="I119" s="20"/>
      <c r="J119" s="81"/>
      <c r="K119" s="81" t="str">
        <f t="shared" si="1"/>
        <v>-</v>
      </c>
      <c r="L119" s="110"/>
      <c r="M119" s="110"/>
      <c r="N119" s="110"/>
      <c r="O119" s="110"/>
      <c r="P119" s="110"/>
      <c r="Q119" s="110"/>
      <c r="R119" s="110"/>
      <c r="S119" s="110"/>
      <c r="T119" s="84"/>
      <c r="U119" s="84"/>
      <c r="V119" s="84"/>
      <c r="W119" s="84"/>
      <c r="X119" s="84"/>
      <c r="Y119" s="87"/>
      <c r="Z119" s="71"/>
      <c r="AA119" s="89"/>
      <c r="AB119" s="89"/>
      <c r="AC119" s="71"/>
      <c r="AD119" s="92"/>
      <c r="AE119" s="71"/>
      <c r="AF119" s="71"/>
      <c r="AG119" s="71"/>
      <c r="AH119" s="71"/>
      <c r="AI119" s="71"/>
      <c r="AJ119" s="71"/>
      <c r="AK119" s="71"/>
      <c r="AL119" s="71"/>
      <c r="AM119" s="71"/>
      <c r="AN119" s="71"/>
      <c r="AO119" s="71"/>
      <c r="AP119" s="71"/>
      <c r="AQ119" s="71"/>
      <c r="AR119" s="71"/>
    </row>
    <row r="120" ht="18.75" customHeight="1">
      <c r="A120" s="73"/>
      <c r="B120" s="91"/>
      <c r="C120" s="74"/>
      <c r="D120" s="74"/>
      <c r="E120" s="76"/>
      <c r="F120" s="20"/>
      <c r="G120" s="78"/>
      <c r="H120" s="76"/>
      <c r="I120" s="20"/>
      <c r="J120" s="81"/>
      <c r="K120" s="81" t="str">
        <f t="shared" si="1"/>
        <v>-</v>
      </c>
      <c r="L120" s="109"/>
      <c r="M120" s="84"/>
      <c r="N120" s="84"/>
      <c r="O120" s="84"/>
      <c r="P120" s="84"/>
      <c r="Q120" s="84"/>
      <c r="R120" s="84"/>
      <c r="S120" s="84"/>
      <c r="T120" s="84"/>
      <c r="U120" s="84"/>
      <c r="V120" s="84"/>
      <c r="W120" s="84"/>
      <c r="X120" s="84"/>
      <c r="Y120" s="87"/>
      <c r="Z120" s="71"/>
      <c r="AA120" s="88"/>
      <c r="AB120" s="71"/>
      <c r="AC120" s="71"/>
      <c r="AD120" s="92"/>
      <c r="AE120" s="71"/>
      <c r="AF120" s="71"/>
      <c r="AG120" s="71"/>
      <c r="AH120" s="71"/>
      <c r="AI120" s="71"/>
      <c r="AJ120" s="71"/>
      <c r="AK120" s="71"/>
      <c r="AL120" s="71"/>
      <c r="AM120" s="71"/>
      <c r="AN120" s="71"/>
      <c r="AO120" s="71"/>
      <c r="AP120" s="71"/>
      <c r="AQ120" s="71"/>
      <c r="AR120" s="71"/>
    </row>
    <row r="121" ht="18.75" customHeight="1">
      <c r="A121" s="73"/>
      <c r="B121" s="91"/>
      <c r="C121" s="74"/>
      <c r="D121" s="74"/>
      <c r="E121" s="76"/>
      <c r="F121" s="20"/>
      <c r="G121" s="78"/>
      <c r="H121" s="76"/>
      <c r="I121" s="20"/>
      <c r="J121" s="81"/>
      <c r="K121" s="81" t="str">
        <f t="shared" si="1"/>
        <v>-</v>
      </c>
      <c r="L121" s="110"/>
      <c r="M121" s="110"/>
      <c r="N121" s="110"/>
      <c r="O121" s="110"/>
      <c r="P121" s="110"/>
      <c r="Q121" s="110"/>
      <c r="R121" s="110"/>
      <c r="S121" s="110"/>
      <c r="T121" s="84"/>
      <c r="U121" s="84"/>
      <c r="V121" s="84"/>
      <c r="W121" s="84"/>
      <c r="X121" s="84"/>
      <c r="Y121" s="87"/>
      <c r="Z121" s="71"/>
      <c r="AA121" s="89"/>
      <c r="AB121" s="89"/>
      <c r="AC121" s="71"/>
      <c r="AD121" s="92"/>
      <c r="AE121" s="71"/>
      <c r="AF121" s="71"/>
      <c r="AG121" s="71"/>
      <c r="AH121" s="71"/>
      <c r="AI121" s="71"/>
      <c r="AJ121" s="71"/>
      <c r="AK121" s="71"/>
      <c r="AL121" s="71"/>
      <c r="AM121" s="71"/>
      <c r="AN121" s="71"/>
      <c r="AO121" s="71"/>
      <c r="AP121" s="71"/>
      <c r="AQ121" s="71"/>
      <c r="AR121" s="71"/>
    </row>
    <row r="122" ht="18.75" customHeight="1">
      <c r="A122" s="73"/>
      <c r="B122" s="91"/>
      <c r="C122" s="74"/>
      <c r="D122" s="74"/>
      <c r="E122" s="76"/>
      <c r="F122" s="20"/>
      <c r="G122" s="78"/>
      <c r="H122" s="76"/>
      <c r="I122" s="20"/>
      <c r="J122" s="81"/>
      <c r="K122" s="81" t="str">
        <f t="shared" si="1"/>
        <v>-</v>
      </c>
      <c r="L122" s="110"/>
      <c r="M122" s="110"/>
      <c r="N122" s="110"/>
      <c r="O122" s="110"/>
      <c r="P122" s="110"/>
      <c r="Q122" s="110"/>
      <c r="R122" s="110"/>
      <c r="S122" s="110"/>
      <c r="T122" s="84"/>
      <c r="U122" s="84"/>
      <c r="V122" s="84"/>
      <c r="W122" s="84"/>
      <c r="X122" s="84"/>
      <c r="Y122" s="87"/>
      <c r="Z122" s="71"/>
      <c r="AA122" s="89"/>
      <c r="AB122" s="71"/>
      <c r="AC122" s="71"/>
      <c r="AD122" s="92"/>
      <c r="AE122" s="71"/>
      <c r="AF122" s="71"/>
      <c r="AG122" s="71"/>
      <c r="AH122" s="71"/>
      <c r="AI122" s="71"/>
      <c r="AJ122" s="71"/>
      <c r="AK122" s="71"/>
      <c r="AL122" s="71"/>
      <c r="AM122" s="71"/>
      <c r="AN122" s="71"/>
      <c r="AO122" s="71"/>
      <c r="AP122" s="71"/>
      <c r="AQ122" s="71"/>
      <c r="AR122" s="71"/>
    </row>
    <row r="123" ht="18.75" customHeight="1">
      <c r="A123" s="73"/>
      <c r="B123" s="91"/>
      <c r="C123" s="74"/>
      <c r="D123" s="74"/>
      <c r="E123" s="76"/>
      <c r="F123" s="20"/>
      <c r="G123" s="78"/>
      <c r="H123" s="76"/>
      <c r="I123" s="20"/>
      <c r="J123" s="81"/>
      <c r="K123" s="81" t="str">
        <f t="shared" si="1"/>
        <v>-</v>
      </c>
      <c r="L123" s="110"/>
      <c r="M123" s="110"/>
      <c r="N123" s="110"/>
      <c r="O123" s="110"/>
      <c r="P123" s="110"/>
      <c r="Q123" s="110"/>
      <c r="R123" s="110"/>
      <c r="S123" s="110"/>
      <c r="T123" s="84"/>
      <c r="U123" s="84"/>
      <c r="V123" s="84"/>
      <c r="W123" s="84"/>
      <c r="X123" s="84"/>
      <c r="Y123" s="87"/>
      <c r="Z123" s="71"/>
      <c r="AA123" s="89"/>
      <c r="AB123" s="71"/>
      <c r="AC123" s="71"/>
      <c r="AD123" s="92"/>
      <c r="AE123" s="71"/>
      <c r="AF123" s="71"/>
      <c r="AG123" s="71"/>
      <c r="AH123" s="71"/>
      <c r="AI123" s="71"/>
      <c r="AJ123" s="71"/>
      <c r="AK123" s="71"/>
      <c r="AL123" s="71"/>
      <c r="AM123" s="71"/>
      <c r="AN123" s="71"/>
      <c r="AO123" s="71"/>
      <c r="AP123" s="71"/>
      <c r="AQ123" s="71"/>
      <c r="AR123" s="71"/>
    </row>
    <row r="124" ht="18.75" customHeight="1">
      <c r="A124" s="73"/>
      <c r="B124" s="91"/>
      <c r="C124" s="74"/>
      <c r="D124" s="74"/>
      <c r="E124" s="76"/>
      <c r="F124" s="20"/>
      <c r="G124" s="78"/>
      <c r="H124" s="76"/>
      <c r="I124" s="20"/>
      <c r="J124" s="81"/>
      <c r="K124" s="81" t="str">
        <f t="shared" si="1"/>
        <v>-</v>
      </c>
      <c r="L124" s="110"/>
      <c r="M124" s="110"/>
      <c r="N124" s="110"/>
      <c r="O124" s="110"/>
      <c r="P124" s="110"/>
      <c r="Q124" s="110"/>
      <c r="R124" s="110"/>
      <c r="S124" s="110"/>
      <c r="T124" s="84"/>
      <c r="U124" s="84"/>
      <c r="V124" s="84"/>
      <c r="W124" s="84"/>
      <c r="X124" s="84"/>
      <c r="Y124" s="87"/>
      <c r="Z124" s="71"/>
      <c r="AA124" s="89"/>
      <c r="AB124" s="89"/>
      <c r="AC124" s="71"/>
      <c r="AD124" s="92"/>
      <c r="AE124" s="71"/>
      <c r="AF124" s="71"/>
      <c r="AG124" s="71"/>
      <c r="AH124" s="71"/>
      <c r="AI124" s="71"/>
      <c r="AJ124" s="71"/>
      <c r="AK124" s="71"/>
      <c r="AL124" s="71"/>
      <c r="AM124" s="71"/>
      <c r="AN124" s="71"/>
      <c r="AO124" s="71"/>
      <c r="AP124" s="71"/>
      <c r="AQ124" s="71"/>
      <c r="AR124" s="71"/>
    </row>
    <row r="125" ht="18.75" customHeight="1">
      <c r="A125" s="73"/>
      <c r="B125" s="91"/>
      <c r="C125" s="74"/>
      <c r="D125" s="74"/>
      <c r="E125" s="76"/>
      <c r="F125" s="20"/>
      <c r="G125" s="78"/>
      <c r="H125" s="76"/>
      <c r="I125" s="20"/>
      <c r="J125" s="81"/>
      <c r="K125" s="81" t="str">
        <f t="shared" si="1"/>
        <v>-</v>
      </c>
      <c r="L125" s="110"/>
      <c r="M125" s="110"/>
      <c r="N125" s="110"/>
      <c r="O125" s="110"/>
      <c r="P125" s="110"/>
      <c r="Q125" s="110"/>
      <c r="R125" s="110"/>
      <c r="S125" s="110"/>
      <c r="T125" s="84"/>
      <c r="U125" s="84"/>
      <c r="V125" s="84"/>
      <c r="W125" s="84"/>
      <c r="X125" s="84"/>
      <c r="Y125" s="87"/>
      <c r="Z125" s="71"/>
      <c r="AA125" s="89"/>
      <c r="AB125" s="89"/>
      <c r="AC125" s="71"/>
      <c r="AD125" s="92"/>
      <c r="AE125" s="71"/>
      <c r="AF125" s="71"/>
      <c r="AG125" s="71"/>
      <c r="AH125" s="71"/>
      <c r="AI125" s="71"/>
      <c r="AJ125" s="71"/>
      <c r="AK125" s="71"/>
      <c r="AL125" s="71"/>
      <c r="AM125" s="71"/>
      <c r="AN125" s="71"/>
      <c r="AO125" s="71"/>
      <c r="AP125" s="71"/>
      <c r="AQ125" s="71"/>
      <c r="AR125" s="71"/>
    </row>
    <row r="126" ht="18.75" customHeight="1">
      <c r="A126" s="73"/>
      <c r="B126" s="91"/>
      <c r="C126" s="74"/>
      <c r="D126" s="74"/>
      <c r="E126" s="76"/>
      <c r="F126" s="20"/>
      <c r="G126" s="78"/>
      <c r="H126" s="76"/>
      <c r="I126" s="20"/>
      <c r="J126" s="81"/>
      <c r="K126" s="81" t="str">
        <f t="shared" si="1"/>
        <v>-</v>
      </c>
      <c r="L126" s="110"/>
      <c r="M126" s="110"/>
      <c r="N126" s="110"/>
      <c r="O126" s="110"/>
      <c r="P126" s="110"/>
      <c r="Q126" s="110"/>
      <c r="R126" s="110"/>
      <c r="S126" s="110"/>
      <c r="T126" s="84"/>
      <c r="U126" s="84"/>
      <c r="V126" s="84"/>
      <c r="W126" s="84"/>
      <c r="X126" s="84"/>
      <c r="Y126" s="87"/>
      <c r="Z126" s="71"/>
      <c r="AA126" s="89"/>
      <c r="AB126" s="89"/>
      <c r="AC126" s="71"/>
      <c r="AD126" s="92"/>
      <c r="AE126" s="71"/>
      <c r="AF126" s="71"/>
      <c r="AG126" s="71"/>
      <c r="AH126" s="71"/>
      <c r="AI126" s="71"/>
      <c r="AJ126" s="71"/>
      <c r="AK126" s="71"/>
      <c r="AL126" s="71"/>
      <c r="AM126" s="71"/>
      <c r="AN126" s="71"/>
      <c r="AO126" s="71"/>
      <c r="AP126" s="71"/>
      <c r="AQ126" s="71"/>
      <c r="AR126" s="71"/>
    </row>
    <row r="127" ht="18.75" customHeight="1">
      <c r="A127" s="73"/>
      <c r="B127" s="91"/>
      <c r="C127" s="74"/>
      <c r="D127" s="74"/>
      <c r="E127" s="76"/>
      <c r="F127" s="20"/>
      <c r="G127" s="78"/>
      <c r="H127" s="76"/>
      <c r="I127" s="20"/>
      <c r="J127" s="81"/>
      <c r="K127" s="81" t="str">
        <f t="shared" si="1"/>
        <v>-</v>
      </c>
      <c r="L127" s="110"/>
      <c r="M127" s="110"/>
      <c r="N127" s="110"/>
      <c r="O127" s="110"/>
      <c r="P127" s="110"/>
      <c r="Q127" s="110"/>
      <c r="R127" s="110"/>
      <c r="S127" s="110"/>
      <c r="T127" s="84"/>
      <c r="U127" s="84"/>
      <c r="V127" s="84"/>
      <c r="W127" s="84"/>
      <c r="X127" s="84"/>
      <c r="Y127" s="87"/>
      <c r="Z127" s="71"/>
      <c r="AA127" s="89"/>
      <c r="AB127" s="71"/>
      <c r="AC127" s="71"/>
      <c r="AD127" s="92"/>
      <c r="AE127" s="71"/>
      <c r="AF127" s="71"/>
      <c r="AG127" s="71"/>
      <c r="AH127" s="71"/>
      <c r="AI127" s="71"/>
      <c r="AJ127" s="71"/>
      <c r="AK127" s="71"/>
      <c r="AL127" s="71"/>
      <c r="AM127" s="71"/>
      <c r="AN127" s="71"/>
      <c r="AO127" s="71"/>
      <c r="AP127" s="71"/>
      <c r="AQ127" s="71"/>
      <c r="AR127" s="71"/>
    </row>
    <row r="128" ht="18.75" customHeight="1">
      <c r="A128" s="73"/>
      <c r="B128" s="91"/>
      <c r="C128" s="74"/>
      <c r="D128" s="74"/>
      <c r="E128" s="76"/>
      <c r="F128" s="20"/>
      <c r="G128" s="78"/>
      <c r="H128" s="76"/>
      <c r="I128" s="20"/>
      <c r="J128" s="81"/>
      <c r="K128" s="81" t="str">
        <f t="shared" si="1"/>
        <v>-</v>
      </c>
      <c r="L128" s="110"/>
      <c r="M128" s="110"/>
      <c r="N128" s="110"/>
      <c r="O128" s="110"/>
      <c r="P128" s="110"/>
      <c r="Q128" s="110"/>
      <c r="R128" s="110"/>
      <c r="S128" s="110"/>
      <c r="T128" s="84"/>
      <c r="U128" s="84"/>
      <c r="V128" s="84"/>
      <c r="W128" s="84"/>
      <c r="X128" s="84"/>
      <c r="Y128" s="87"/>
      <c r="Z128" s="71"/>
      <c r="AA128" s="89"/>
      <c r="AB128" s="89"/>
      <c r="AC128" s="71"/>
      <c r="AD128" s="92"/>
      <c r="AE128" s="71"/>
      <c r="AF128" s="71"/>
      <c r="AG128" s="71"/>
      <c r="AH128" s="71"/>
      <c r="AI128" s="71"/>
      <c r="AJ128" s="71"/>
      <c r="AK128" s="71"/>
      <c r="AL128" s="71"/>
      <c r="AM128" s="71"/>
      <c r="AN128" s="71"/>
      <c r="AO128" s="71"/>
      <c r="AP128" s="71"/>
      <c r="AQ128" s="71"/>
      <c r="AR128" s="71"/>
    </row>
    <row r="129" ht="18.75" customHeight="1">
      <c r="A129" s="73"/>
      <c r="B129" s="91"/>
      <c r="C129" s="74"/>
      <c r="D129" s="74"/>
      <c r="E129" s="76"/>
      <c r="F129" s="20"/>
      <c r="G129" s="78"/>
      <c r="H129" s="76"/>
      <c r="I129" s="20"/>
      <c r="J129" s="81"/>
      <c r="K129" s="81" t="str">
        <f t="shared" si="1"/>
        <v>-</v>
      </c>
      <c r="L129" s="110"/>
      <c r="M129" s="110"/>
      <c r="N129" s="110"/>
      <c r="O129" s="110"/>
      <c r="P129" s="110"/>
      <c r="Q129" s="110"/>
      <c r="R129" s="110"/>
      <c r="S129" s="110"/>
      <c r="T129" s="84"/>
      <c r="U129" s="84"/>
      <c r="V129" s="84"/>
      <c r="W129" s="84"/>
      <c r="X129" s="84"/>
      <c r="Y129" s="87"/>
      <c r="Z129" s="71"/>
      <c r="AA129" s="89"/>
      <c r="AB129" s="71"/>
      <c r="AC129" s="71"/>
      <c r="AD129" s="92"/>
      <c r="AE129" s="71"/>
      <c r="AF129" s="71"/>
      <c r="AG129" s="71"/>
      <c r="AH129" s="71"/>
      <c r="AI129" s="71"/>
      <c r="AJ129" s="71"/>
      <c r="AK129" s="71"/>
      <c r="AL129" s="71"/>
      <c r="AM129" s="71"/>
      <c r="AN129" s="71"/>
      <c r="AO129" s="71"/>
      <c r="AP129" s="71"/>
      <c r="AQ129" s="71"/>
      <c r="AR129" s="71"/>
    </row>
    <row r="130" ht="18.75" customHeight="1">
      <c r="A130" s="73"/>
      <c r="B130" s="91"/>
      <c r="C130" s="74"/>
      <c r="D130" s="74"/>
      <c r="E130" s="76"/>
      <c r="F130" s="20"/>
      <c r="G130" s="78"/>
      <c r="H130" s="76"/>
      <c r="I130" s="20"/>
      <c r="J130" s="81"/>
      <c r="K130" s="81" t="str">
        <f t="shared" si="1"/>
        <v>-</v>
      </c>
      <c r="L130" s="110"/>
      <c r="M130" s="110"/>
      <c r="N130" s="110"/>
      <c r="O130" s="110"/>
      <c r="P130" s="110"/>
      <c r="Q130" s="110"/>
      <c r="R130" s="110"/>
      <c r="S130" s="110"/>
      <c r="T130" s="84"/>
      <c r="U130" s="84"/>
      <c r="V130" s="84"/>
      <c r="W130" s="84"/>
      <c r="X130" s="84"/>
      <c r="Y130" s="87"/>
      <c r="Z130" s="71"/>
      <c r="AA130" s="89"/>
      <c r="AB130" s="71"/>
      <c r="AC130" s="71"/>
      <c r="AD130" s="92"/>
      <c r="AE130" s="71"/>
      <c r="AF130" s="71"/>
      <c r="AG130" s="71"/>
      <c r="AH130" s="71"/>
      <c r="AI130" s="71"/>
      <c r="AJ130" s="71"/>
      <c r="AK130" s="71"/>
      <c r="AL130" s="71"/>
      <c r="AM130" s="71"/>
      <c r="AN130" s="71"/>
      <c r="AO130" s="71"/>
      <c r="AP130" s="71"/>
      <c r="AQ130" s="71"/>
      <c r="AR130" s="71"/>
    </row>
    <row r="131" ht="18.75" customHeight="1">
      <c r="A131" s="73"/>
      <c r="B131" s="91"/>
      <c r="C131" s="74"/>
      <c r="D131" s="74"/>
      <c r="E131" s="76"/>
      <c r="F131" s="20"/>
      <c r="G131" s="78"/>
      <c r="H131" s="76"/>
      <c r="I131" s="20"/>
      <c r="J131" s="81"/>
      <c r="K131" s="81" t="str">
        <f t="shared" si="1"/>
        <v>-</v>
      </c>
      <c r="L131" s="110"/>
      <c r="M131" s="110"/>
      <c r="N131" s="110"/>
      <c r="O131" s="110"/>
      <c r="P131" s="110"/>
      <c r="Q131" s="110"/>
      <c r="R131" s="110"/>
      <c r="S131" s="110"/>
      <c r="T131" s="84"/>
      <c r="U131" s="84"/>
      <c r="V131" s="84"/>
      <c r="W131" s="84"/>
      <c r="X131" s="84"/>
      <c r="Y131" s="87"/>
      <c r="Z131" s="71"/>
      <c r="AA131" s="89"/>
      <c r="AB131" s="71"/>
      <c r="AC131" s="71"/>
      <c r="AD131" s="92"/>
      <c r="AE131" s="71"/>
      <c r="AF131" s="71"/>
      <c r="AG131" s="71"/>
      <c r="AH131" s="71"/>
      <c r="AI131" s="71"/>
      <c r="AJ131" s="71"/>
      <c r="AK131" s="71"/>
      <c r="AL131" s="71"/>
      <c r="AM131" s="71"/>
      <c r="AN131" s="71"/>
      <c r="AO131" s="71"/>
      <c r="AP131" s="71"/>
      <c r="AQ131" s="71"/>
      <c r="AR131" s="71"/>
    </row>
    <row r="132" ht="18.75" customHeight="1">
      <c r="A132" s="73"/>
      <c r="B132" s="91"/>
      <c r="C132" s="74"/>
      <c r="D132" s="74"/>
      <c r="E132" s="76"/>
      <c r="F132" s="20"/>
      <c r="G132" s="78"/>
      <c r="H132" s="76"/>
      <c r="I132" s="20"/>
      <c r="J132" s="81"/>
      <c r="K132" s="81" t="str">
        <f t="shared" si="1"/>
        <v>-</v>
      </c>
      <c r="L132" s="110"/>
      <c r="M132" s="110"/>
      <c r="N132" s="110"/>
      <c r="O132" s="110"/>
      <c r="P132" s="110"/>
      <c r="Q132" s="110"/>
      <c r="R132" s="110"/>
      <c r="S132" s="110"/>
      <c r="T132" s="84"/>
      <c r="U132" s="84"/>
      <c r="V132" s="84"/>
      <c r="W132" s="84"/>
      <c r="X132" s="84"/>
      <c r="Y132" s="87"/>
      <c r="Z132" s="71"/>
      <c r="AA132" s="89"/>
      <c r="AB132" s="89"/>
      <c r="AC132" s="71"/>
      <c r="AD132" s="92"/>
      <c r="AE132" s="71"/>
      <c r="AF132" s="71"/>
      <c r="AG132" s="71"/>
      <c r="AH132" s="71"/>
      <c r="AI132" s="71"/>
      <c r="AJ132" s="71"/>
      <c r="AK132" s="71"/>
      <c r="AL132" s="71"/>
      <c r="AM132" s="71"/>
      <c r="AN132" s="71"/>
      <c r="AO132" s="71"/>
      <c r="AP132" s="71"/>
      <c r="AQ132" s="71"/>
      <c r="AR132" s="71"/>
    </row>
    <row r="133" ht="18.75" customHeight="1">
      <c r="A133" s="73"/>
      <c r="B133" s="91"/>
      <c r="C133" s="74"/>
      <c r="D133" s="74"/>
      <c r="E133" s="76"/>
      <c r="F133" s="20"/>
      <c r="G133" s="78"/>
      <c r="H133" s="76"/>
      <c r="I133" s="20"/>
      <c r="J133" s="81"/>
      <c r="K133" s="81" t="str">
        <f t="shared" si="1"/>
        <v>-</v>
      </c>
      <c r="L133" s="110"/>
      <c r="M133" s="110"/>
      <c r="N133" s="110"/>
      <c r="O133" s="110"/>
      <c r="P133" s="110"/>
      <c r="Q133" s="110"/>
      <c r="R133" s="110"/>
      <c r="S133" s="110"/>
      <c r="T133" s="84"/>
      <c r="U133" s="84"/>
      <c r="V133" s="84"/>
      <c r="W133" s="84"/>
      <c r="X133" s="84"/>
      <c r="Y133" s="87"/>
      <c r="Z133" s="71"/>
      <c r="AA133" s="89"/>
      <c r="AB133" s="71"/>
      <c r="AC133" s="71"/>
      <c r="AD133" s="92"/>
      <c r="AE133" s="71"/>
      <c r="AF133" s="71"/>
      <c r="AG133" s="71"/>
      <c r="AH133" s="71"/>
      <c r="AI133" s="71"/>
      <c r="AJ133" s="71"/>
      <c r="AK133" s="71"/>
      <c r="AL133" s="71"/>
      <c r="AM133" s="71"/>
      <c r="AN133" s="71"/>
      <c r="AO133" s="71"/>
      <c r="AP133" s="71"/>
      <c r="AQ133" s="71"/>
      <c r="AR133" s="71"/>
    </row>
    <row r="134" ht="18.75" customHeight="1">
      <c r="A134" s="73"/>
      <c r="B134" s="91"/>
      <c r="C134" s="74"/>
      <c r="D134" s="74"/>
      <c r="E134" s="76"/>
      <c r="F134" s="20"/>
      <c r="G134" s="78"/>
      <c r="H134" s="76"/>
      <c r="I134" s="20"/>
      <c r="J134" s="81"/>
      <c r="K134" s="81" t="str">
        <f t="shared" si="1"/>
        <v>-</v>
      </c>
      <c r="L134" s="110"/>
      <c r="M134" s="110"/>
      <c r="N134" s="110"/>
      <c r="O134" s="110"/>
      <c r="P134" s="110"/>
      <c r="Q134" s="110"/>
      <c r="R134" s="110"/>
      <c r="S134" s="110"/>
      <c r="T134" s="84"/>
      <c r="U134" s="84"/>
      <c r="V134" s="84"/>
      <c r="W134" s="84"/>
      <c r="X134" s="84"/>
      <c r="Y134" s="87"/>
      <c r="Z134" s="71"/>
      <c r="AA134" s="89"/>
      <c r="AB134" s="71"/>
      <c r="AC134" s="71"/>
      <c r="AD134" s="92"/>
      <c r="AE134" s="71"/>
      <c r="AF134" s="71"/>
      <c r="AG134" s="71"/>
      <c r="AH134" s="71"/>
      <c r="AI134" s="71"/>
      <c r="AJ134" s="71"/>
      <c r="AK134" s="71"/>
      <c r="AL134" s="71"/>
      <c r="AM134" s="71"/>
      <c r="AN134" s="71"/>
      <c r="AO134" s="71"/>
      <c r="AP134" s="71"/>
      <c r="AQ134" s="71"/>
      <c r="AR134" s="71"/>
    </row>
    <row r="135" ht="18.75" customHeight="1">
      <c r="A135" s="73"/>
      <c r="B135" s="91"/>
      <c r="C135" s="74"/>
      <c r="D135" s="74"/>
      <c r="E135" s="76"/>
      <c r="F135" s="20"/>
      <c r="G135" s="78"/>
      <c r="H135" s="76"/>
      <c r="I135" s="20"/>
      <c r="J135" s="81"/>
      <c r="K135" s="81" t="str">
        <f t="shared" si="1"/>
        <v>-</v>
      </c>
      <c r="L135" s="110"/>
      <c r="M135" s="110"/>
      <c r="N135" s="110"/>
      <c r="O135" s="110"/>
      <c r="P135" s="110"/>
      <c r="Q135" s="110"/>
      <c r="R135" s="110"/>
      <c r="S135" s="110"/>
      <c r="T135" s="84"/>
      <c r="U135" s="84"/>
      <c r="V135" s="84"/>
      <c r="W135" s="84"/>
      <c r="X135" s="84"/>
      <c r="Y135" s="87"/>
      <c r="Z135" s="71"/>
      <c r="AA135" s="89"/>
      <c r="AB135" s="71"/>
      <c r="AC135" s="71"/>
      <c r="AD135" s="92"/>
      <c r="AE135" s="71"/>
      <c r="AF135" s="71"/>
      <c r="AG135" s="71"/>
      <c r="AH135" s="71"/>
      <c r="AI135" s="71"/>
      <c r="AJ135" s="71"/>
      <c r="AK135" s="71"/>
      <c r="AL135" s="71"/>
      <c r="AM135" s="71"/>
      <c r="AN135" s="71"/>
      <c r="AO135" s="71"/>
      <c r="AP135" s="71"/>
      <c r="AQ135" s="71"/>
      <c r="AR135" s="71"/>
    </row>
    <row r="136" ht="18.75" customHeight="1">
      <c r="A136" s="73"/>
      <c r="B136" s="91"/>
      <c r="C136" s="74"/>
      <c r="D136" s="74"/>
      <c r="E136" s="76"/>
      <c r="F136" s="20"/>
      <c r="G136" s="78"/>
      <c r="H136" s="76"/>
      <c r="I136" s="20"/>
      <c r="J136" s="81"/>
      <c r="K136" s="81" t="str">
        <f t="shared" si="1"/>
        <v>-</v>
      </c>
      <c r="L136" s="110"/>
      <c r="M136" s="110"/>
      <c r="N136" s="110"/>
      <c r="O136" s="110"/>
      <c r="P136" s="110"/>
      <c r="Q136" s="110"/>
      <c r="R136" s="110"/>
      <c r="S136" s="110"/>
      <c r="T136" s="84"/>
      <c r="U136" s="84"/>
      <c r="V136" s="84"/>
      <c r="W136" s="84"/>
      <c r="X136" s="84"/>
      <c r="Y136" s="87"/>
      <c r="Z136" s="71"/>
      <c r="AA136" s="89"/>
      <c r="AB136" s="71"/>
      <c r="AC136" s="71"/>
      <c r="AD136" s="92"/>
      <c r="AE136" s="71"/>
      <c r="AF136" s="71"/>
      <c r="AG136" s="71"/>
      <c r="AH136" s="71"/>
      <c r="AI136" s="71"/>
      <c r="AJ136" s="71"/>
      <c r="AK136" s="71"/>
      <c r="AL136" s="71"/>
      <c r="AM136" s="71"/>
      <c r="AN136" s="71"/>
      <c r="AO136" s="71"/>
      <c r="AP136" s="71"/>
      <c r="AQ136" s="71"/>
      <c r="AR136" s="71"/>
    </row>
    <row r="137" ht="18.75" customHeight="1">
      <c r="A137" s="73"/>
      <c r="B137" s="91"/>
      <c r="C137" s="74"/>
      <c r="D137" s="74"/>
      <c r="E137" s="76"/>
      <c r="F137" s="20"/>
      <c r="G137" s="78"/>
      <c r="H137" s="76"/>
      <c r="I137" s="20"/>
      <c r="J137" s="81"/>
      <c r="K137" s="81" t="str">
        <f t="shared" si="1"/>
        <v>-</v>
      </c>
      <c r="L137" s="110"/>
      <c r="M137" s="110"/>
      <c r="N137" s="110"/>
      <c r="O137" s="110"/>
      <c r="P137" s="110"/>
      <c r="Q137" s="110"/>
      <c r="R137" s="110"/>
      <c r="S137" s="110"/>
      <c r="T137" s="84"/>
      <c r="U137" s="84"/>
      <c r="V137" s="84"/>
      <c r="W137" s="84"/>
      <c r="X137" s="84"/>
      <c r="Y137" s="87"/>
      <c r="Z137" s="71"/>
      <c r="AA137" s="89"/>
      <c r="AB137" s="89"/>
      <c r="AC137" s="71"/>
      <c r="AD137" s="92"/>
      <c r="AE137" s="71"/>
      <c r="AF137" s="71"/>
      <c r="AG137" s="71"/>
      <c r="AH137" s="71"/>
      <c r="AI137" s="71"/>
      <c r="AJ137" s="71"/>
      <c r="AK137" s="71"/>
      <c r="AL137" s="71"/>
      <c r="AM137" s="71"/>
      <c r="AN137" s="71"/>
      <c r="AO137" s="71"/>
      <c r="AP137" s="71"/>
      <c r="AQ137" s="71"/>
      <c r="AR137" s="71"/>
    </row>
    <row r="138" ht="18.75" customHeight="1">
      <c r="A138" s="73"/>
      <c r="B138" s="91"/>
      <c r="C138" s="74"/>
      <c r="D138" s="74"/>
      <c r="E138" s="76"/>
      <c r="F138" s="20"/>
      <c r="G138" s="78"/>
      <c r="H138" s="76"/>
      <c r="I138" s="20"/>
      <c r="J138" s="81"/>
      <c r="K138" s="81" t="str">
        <f t="shared" si="1"/>
        <v>-</v>
      </c>
      <c r="L138" s="110"/>
      <c r="M138" s="110"/>
      <c r="N138" s="110"/>
      <c r="O138" s="110"/>
      <c r="P138" s="110"/>
      <c r="Q138" s="110"/>
      <c r="R138" s="110"/>
      <c r="S138" s="110"/>
      <c r="T138" s="84"/>
      <c r="U138" s="84"/>
      <c r="V138" s="84"/>
      <c r="W138" s="84"/>
      <c r="X138" s="84"/>
      <c r="Y138" s="87"/>
      <c r="Z138" s="71"/>
      <c r="AA138" s="89"/>
      <c r="AB138" s="89"/>
      <c r="AC138" s="71"/>
      <c r="AD138" s="92"/>
      <c r="AE138" s="71"/>
      <c r="AF138" s="71"/>
      <c r="AG138" s="71"/>
      <c r="AH138" s="71"/>
      <c r="AI138" s="71"/>
      <c r="AJ138" s="71"/>
      <c r="AK138" s="71"/>
      <c r="AL138" s="71"/>
      <c r="AM138" s="71"/>
      <c r="AN138" s="71"/>
      <c r="AO138" s="71"/>
      <c r="AP138" s="71"/>
      <c r="AQ138" s="71"/>
      <c r="AR138" s="71"/>
    </row>
    <row r="139" ht="18.75" customHeight="1">
      <c r="A139" s="73"/>
      <c r="B139" s="91"/>
      <c r="C139" s="74"/>
      <c r="D139" s="74"/>
      <c r="E139" s="76"/>
      <c r="F139" s="20"/>
      <c r="G139" s="78"/>
      <c r="H139" s="76"/>
      <c r="I139" s="20"/>
      <c r="J139" s="81"/>
      <c r="K139" s="81" t="str">
        <f t="shared" si="1"/>
        <v>-</v>
      </c>
      <c r="L139" s="110"/>
      <c r="M139" s="110"/>
      <c r="N139" s="110"/>
      <c r="O139" s="110"/>
      <c r="P139" s="110"/>
      <c r="Q139" s="110"/>
      <c r="R139" s="110"/>
      <c r="S139" s="110"/>
      <c r="T139" s="84"/>
      <c r="U139" s="84"/>
      <c r="V139" s="84"/>
      <c r="W139" s="84"/>
      <c r="X139" s="84"/>
      <c r="Y139" s="87"/>
      <c r="Z139" s="71"/>
      <c r="AA139" s="89"/>
      <c r="AB139" s="71"/>
      <c r="AC139" s="71"/>
      <c r="AD139" s="92"/>
      <c r="AE139" s="71"/>
      <c r="AF139" s="71"/>
      <c r="AG139" s="71"/>
      <c r="AH139" s="71"/>
      <c r="AI139" s="71"/>
      <c r="AJ139" s="71"/>
      <c r="AK139" s="71"/>
      <c r="AL139" s="71"/>
      <c r="AM139" s="71"/>
      <c r="AN139" s="71"/>
      <c r="AO139" s="71"/>
      <c r="AP139" s="71"/>
      <c r="AQ139" s="71"/>
      <c r="AR139" s="71"/>
    </row>
    <row r="140" ht="18.75" customHeight="1">
      <c r="A140" s="73"/>
      <c r="B140" s="91"/>
      <c r="C140" s="74"/>
      <c r="D140" s="74"/>
      <c r="E140" s="76"/>
      <c r="F140" s="20"/>
      <c r="G140" s="78"/>
      <c r="H140" s="76"/>
      <c r="I140" s="20"/>
      <c r="J140" s="81"/>
      <c r="K140" s="81" t="str">
        <f t="shared" si="1"/>
        <v>-</v>
      </c>
      <c r="L140" s="110"/>
      <c r="M140" s="110"/>
      <c r="N140" s="110"/>
      <c r="O140" s="110"/>
      <c r="P140" s="110"/>
      <c r="Q140" s="110"/>
      <c r="R140" s="110"/>
      <c r="S140" s="110"/>
      <c r="T140" s="84"/>
      <c r="U140" s="84"/>
      <c r="V140" s="84"/>
      <c r="W140" s="84"/>
      <c r="X140" s="84"/>
      <c r="Y140" s="87"/>
      <c r="Z140" s="71"/>
      <c r="AA140" s="89"/>
      <c r="AB140" s="71"/>
      <c r="AC140" s="71"/>
      <c r="AD140" s="92"/>
      <c r="AE140" s="71"/>
      <c r="AF140" s="71"/>
      <c r="AG140" s="71"/>
      <c r="AH140" s="71"/>
      <c r="AI140" s="71"/>
      <c r="AJ140" s="71"/>
      <c r="AK140" s="71"/>
      <c r="AL140" s="71"/>
      <c r="AM140" s="71"/>
      <c r="AN140" s="71"/>
      <c r="AO140" s="71"/>
      <c r="AP140" s="71"/>
      <c r="AQ140" s="71"/>
      <c r="AR140" s="71"/>
    </row>
    <row r="141" ht="18.75" customHeight="1">
      <c r="A141" s="73"/>
      <c r="B141" s="91"/>
      <c r="C141" s="74"/>
      <c r="D141" s="74"/>
      <c r="E141" s="76"/>
      <c r="F141" s="20"/>
      <c r="G141" s="78"/>
      <c r="H141" s="76"/>
      <c r="I141" s="20"/>
      <c r="J141" s="81"/>
      <c r="K141" s="81" t="str">
        <f t="shared" si="1"/>
        <v>-</v>
      </c>
      <c r="L141" s="110"/>
      <c r="M141" s="110"/>
      <c r="N141" s="110"/>
      <c r="O141" s="110"/>
      <c r="P141" s="110"/>
      <c r="Q141" s="110"/>
      <c r="R141" s="110"/>
      <c r="S141" s="110"/>
      <c r="T141" s="84"/>
      <c r="U141" s="84"/>
      <c r="V141" s="84"/>
      <c r="W141" s="84"/>
      <c r="X141" s="84"/>
      <c r="Y141" s="87"/>
      <c r="Z141" s="71"/>
      <c r="AA141" s="89"/>
      <c r="AB141" s="71"/>
      <c r="AC141" s="71"/>
      <c r="AD141" s="92"/>
      <c r="AE141" s="71"/>
      <c r="AF141" s="71"/>
      <c r="AG141" s="71"/>
      <c r="AH141" s="71"/>
      <c r="AI141" s="71"/>
      <c r="AJ141" s="71"/>
      <c r="AK141" s="71"/>
      <c r="AL141" s="71"/>
      <c r="AM141" s="71"/>
      <c r="AN141" s="71"/>
      <c r="AO141" s="71"/>
      <c r="AP141" s="71"/>
      <c r="AQ141" s="71"/>
      <c r="AR141" s="71"/>
    </row>
    <row r="142" ht="18.75" customHeight="1">
      <c r="A142" s="73"/>
      <c r="B142" s="91"/>
      <c r="C142" s="74"/>
      <c r="D142" s="74"/>
      <c r="E142" s="76"/>
      <c r="F142" s="20"/>
      <c r="G142" s="78"/>
      <c r="H142" s="76"/>
      <c r="I142" s="20"/>
      <c r="J142" s="81"/>
      <c r="K142" s="81" t="str">
        <f t="shared" si="1"/>
        <v>-</v>
      </c>
      <c r="L142" s="110"/>
      <c r="M142" s="110"/>
      <c r="N142" s="110"/>
      <c r="O142" s="110"/>
      <c r="P142" s="110"/>
      <c r="Q142" s="110"/>
      <c r="R142" s="110"/>
      <c r="S142" s="110"/>
      <c r="T142" s="84"/>
      <c r="U142" s="84"/>
      <c r="V142" s="84"/>
      <c r="W142" s="84"/>
      <c r="X142" s="84"/>
      <c r="Y142" s="87"/>
      <c r="Z142" s="71"/>
      <c r="AA142" s="89"/>
      <c r="AB142" s="71"/>
      <c r="AC142" s="71"/>
      <c r="AD142" s="92"/>
      <c r="AE142" s="71"/>
      <c r="AF142" s="71"/>
      <c r="AG142" s="71"/>
      <c r="AH142" s="71"/>
      <c r="AI142" s="71"/>
      <c r="AJ142" s="71"/>
      <c r="AK142" s="71"/>
      <c r="AL142" s="71"/>
      <c r="AM142" s="71"/>
      <c r="AN142" s="71"/>
      <c r="AO142" s="71"/>
      <c r="AP142" s="71"/>
      <c r="AQ142" s="71"/>
      <c r="AR142" s="71"/>
    </row>
    <row r="143" ht="18.75" customHeight="1">
      <c r="A143" s="73"/>
      <c r="B143" s="91"/>
      <c r="C143" s="74"/>
      <c r="D143" s="74"/>
      <c r="E143" s="76"/>
      <c r="F143" s="20"/>
      <c r="G143" s="78"/>
      <c r="H143" s="76"/>
      <c r="I143" s="20"/>
      <c r="J143" s="81"/>
      <c r="K143" s="81" t="str">
        <f t="shared" si="1"/>
        <v>-</v>
      </c>
      <c r="L143" s="110"/>
      <c r="M143" s="110"/>
      <c r="N143" s="110"/>
      <c r="O143" s="110"/>
      <c r="P143" s="110"/>
      <c r="Q143" s="110"/>
      <c r="R143" s="110"/>
      <c r="S143" s="110"/>
      <c r="T143" s="84"/>
      <c r="U143" s="84"/>
      <c r="V143" s="84"/>
      <c r="W143" s="84"/>
      <c r="X143" s="84"/>
      <c r="Y143" s="87"/>
      <c r="Z143" s="71"/>
      <c r="AA143" s="89"/>
      <c r="AB143" s="71"/>
      <c r="AC143" s="71"/>
      <c r="AD143" s="92"/>
      <c r="AE143" s="71"/>
      <c r="AF143" s="71"/>
      <c r="AG143" s="71"/>
      <c r="AH143" s="71"/>
      <c r="AI143" s="71"/>
      <c r="AJ143" s="71"/>
      <c r="AK143" s="71"/>
      <c r="AL143" s="71"/>
      <c r="AM143" s="71"/>
      <c r="AN143" s="71"/>
      <c r="AO143" s="71"/>
      <c r="AP143" s="71"/>
      <c r="AQ143" s="71"/>
      <c r="AR143" s="71"/>
    </row>
    <row r="144" ht="18.75" customHeight="1">
      <c r="A144" s="73"/>
      <c r="B144" s="91"/>
      <c r="C144" s="74"/>
      <c r="D144" s="74"/>
      <c r="E144" s="76"/>
      <c r="F144" s="20"/>
      <c r="G144" s="78"/>
      <c r="H144" s="76"/>
      <c r="I144" s="20"/>
      <c r="J144" s="81"/>
      <c r="K144" s="81" t="str">
        <f t="shared" si="1"/>
        <v>-</v>
      </c>
      <c r="L144" s="110"/>
      <c r="M144" s="110"/>
      <c r="N144" s="110"/>
      <c r="O144" s="110"/>
      <c r="P144" s="110"/>
      <c r="Q144" s="110"/>
      <c r="R144" s="110"/>
      <c r="S144" s="110"/>
      <c r="T144" s="84"/>
      <c r="U144" s="84"/>
      <c r="V144" s="84"/>
      <c r="W144" s="84"/>
      <c r="X144" s="84"/>
      <c r="Y144" s="87"/>
      <c r="Z144" s="71"/>
      <c r="AA144" s="89"/>
      <c r="AB144" s="71"/>
      <c r="AC144" s="71"/>
      <c r="AD144" s="92"/>
      <c r="AE144" s="71"/>
      <c r="AF144" s="71"/>
      <c r="AG144" s="71"/>
      <c r="AH144" s="71"/>
      <c r="AI144" s="71"/>
      <c r="AJ144" s="71"/>
      <c r="AK144" s="71"/>
      <c r="AL144" s="71"/>
      <c r="AM144" s="71"/>
      <c r="AN144" s="71"/>
      <c r="AO144" s="71"/>
      <c r="AP144" s="71"/>
      <c r="AQ144" s="71"/>
      <c r="AR144" s="71"/>
    </row>
    <row r="145" ht="18.75" customHeight="1">
      <c r="A145" s="73"/>
      <c r="B145" s="91"/>
      <c r="C145" s="74"/>
      <c r="D145" s="74"/>
      <c r="E145" s="76"/>
      <c r="F145" s="20"/>
      <c r="G145" s="78"/>
      <c r="H145" s="76"/>
      <c r="I145" s="20"/>
      <c r="J145" s="81"/>
      <c r="K145" s="81" t="str">
        <f t="shared" si="1"/>
        <v>-</v>
      </c>
      <c r="L145" s="110"/>
      <c r="M145" s="110"/>
      <c r="N145" s="110"/>
      <c r="O145" s="110"/>
      <c r="P145" s="110"/>
      <c r="Q145" s="110"/>
      <c r="R145" s="110"/>
      <c r="S145" s="110"/>
      <c r="T145" s="84"/>
      <c r="U145" s="84"/>
      <c r="V145" s="84"/>
      <c r="W145" s="84"/>
      <c r="X145" s="84"/>
      <c r="Y145" s="87"/>
      <c r="Z145" s="71"/>
      <c r="AA145" s="89"/>
      <c r="AB145" s="71"/>
      <c r="AC145" s="71"/>
      <c r="AD145" s="92"/>
      <c r="AE145" s="71"/>
      <c r="AF145" s="71"/>
      <c r="AG145" s="71"/>
      <c r="AH145" s="71"/>
      <c r="AI145" s="71"/>
      <c r="AJ145" s="71"/>
      <c r="AK145" s="71"/>
      <c r="AL145" s="71"/>
      <c r="AM145" s="71"/>
      <c r="AN145" s="71"/>
      <c r="AO145" s="71"/>
      <c r="AP145" s="71"/>
      <c r="AQ145" s="71"/>
      <c r="AR145" s="71"/>
    </row>
    <row r="146" ht="18.75" customHeight="1">
      <c r="A146" s="73"/>
      <c r="B146" s="91"/>
      <c r="C146" s="74"/>
      <c r="D146" s="74"/>
      <c r="E146" s="76"/>
      <c r="F146" s="20"/>
      <c r="G146" s="78"/>
      <c r="H146" s="76"/>
      <c r="I146" s="20"/>
      <c r="J146" s="81"/>
      <c r="K146" s="81" t="str">
        <f t="shared" si="1"/>
        <v>-</v>
      </c>
      <c r="L146" s="110"/>
      <c r="M146" s="110"/>
      <c r="N146" s="110"/>
      <c r="O146" s="110"/>
      <c r="P146" s="110"/>
      <c r="Q146" s="110"/>
      <c r="R146" s="110"/>
      <c r="S146" s="110"/>
      <c r="T146" s="84"/>
      <c r="U146" s="84"/>
      <c r="V146" s="84"/>
      <c r="W146" s="84"/>
      <c r="X146" s="84"/>
      <c r="Y146" s="87"/>
      <c r="Z146" s="71"/>
      <c r="AA146" s="89"/>
      <c r="AB146" s="71"/>
      <c r="AC146" s="71"/>
      <c r="AD146" s="92"/>
      <c r="AE146" s="71"/>
      <c r="AF146" s="71"/>
      <c r="AG146" s="71"/>
      <c r="AH146" s="71"/>
      <c r="AI146" s="71"/>
      <c r="AJ146" s="71"/>
      <c r="AK146" s="71"/>
      <c r="AL146" s="71"/>
      <c r="AM146" s="71"/>
      <c r="AN146" s="71"/>
      <c r="AO146" s="71"/>
      <c r="AP146" s="71"/>
      <c r="AQ146" s="71"/>
      <c r="AR146" s="71"/>
    </row>
    <row r="147" ht="18.75" customHeight="1">
      <c r="A147" s="73"/>
      <c r="B147" s="91"/>
      <c r="C147" s="74"/>
      <c r="D147" s="74"/>
      <c r="E147" s="76"/>
      <c r="F147" s="20"/>
      <c r="G147" s="78"/>
      <c r="H147" s="76"/>
      <c r="I147" s="20"/>
      <c r="J147" s="81"/>
      <c r="K147" s="81" t="str">
        <f t="shared" si="1"/>
        <v>-</v>
      </c>
      <c r="L147" s="110"/>
      <c r="M147" s="110"/>
      <c r="N147" s="110"/>
      <c r="O147" s="110"/>
      <c r="P147" s="110"/>
      <c r="Q147" s="110"/>
      <c r="R147" s="110"/>
      <c r="S147" s="110"/>
      <c r="T147" s="84"/>
      <c r="U147" s="84"/>
      <c r="V147" s="84"/>
      <c r="W147" s="84"/>
      <c r="X147" s="84"/>
      <c r="Y147" s="87"/>
      <c r="Z147" s="71"/>
      <c r="AA147" s="89"/>
      <c r="AB147" s="71"/>
      <c r="AC147" s="71"/>
      <c r="AD147" s="92"/>
      <c r="AE147" s="71"/>
      <c r="AF147" s="71"/>
      <c r="AG147" s="71"/>
      <c r="AH147" s="71"/>
      <c r="AI147" s="71"/>
      <c r="AJ147" s="71"/>
      <c r="AK147" s="71"/>
      <c r="AL147" s="71"/>
      <c r="AM147" s="71"/>
      <c r="AN147" s="71"/>
      <c r="AO147" s="71"/>
      <c r="AP147" s="71"/>
      <c r="AQ147" s="71"/>
      <c r="AR147" s="71"/>
    </row>
    <row r="148" ht="18.75" customHeight="1">
      <c r="A148" s="73"/>
      <c r="B148" s="91"/>
      <c r="C148" s="74"/>
      <c r="D148" s="74"/>
      <c r="E148" s="76"/>
      <c r="F148" s="20"/>
      <c r="G148" s="78"/>
      <c r="H148" s="76"/>
      <c r="I148" s="20"/>
      <c r="J148" s="81"/>
      <c r="K148" s="81" t="str">
        <f t="shared" si="1"/>
        <v>-</v>
      </c>
      <c r="L148" s="110"/>
      <c r="M148" s="110"/>
      <c r="N148" s="110"/>
      <c r="O148" s="110"/>
      <c r="P148" s="110"/>
      <c r="Q148" s="110"/>
      <c r="R148" s="110"/>
      <c r="S148" s="110"/>
      <c r="T148" s="84"/>
      <c r="U148" s="84"/>
      <c r="V148" s="84"/>
      <c r="W148" s="84"/>
      <c r="X148" s="84"/>
      <c r="Y148" s="87"/>
      <c r="Z148" s="71"/>
      <c r="AA148" s="89"/>
      <c r="AB148" s="71"/>
      <c r="AC148" s="71"/>
      <c r="AD148" s="92"/>
      <c r="AE148" s="71"/>
      <c r="AF148" s="71"/>
      <c r="AG148" s="71"/>
      <c r="AH148" s="71"/>
      <c r="AI148" s="71"/>
      <c r="AJ148" s="71"/>
      <c r="AK148" s="71"/>
      <c r="AL148" s="71"/>
      <c r="AM148" s="71"/>
      <c r="AN148" s="71"/>
      <c r="AO148" s="71"/>
      <c r="AP148" s="71"/>
      <c r="AQ148" s="71"/>
      <c r="AR148" s="71"/>
    </row>
    <row r="149" ht="18.75" customHeight="1">
      <c r="A149" s="73"/>
      <c r="B149" s="91"/>
      <c r="C149" s="74"/>
      <c r="D149" s="74"/>
      <c r="E149" s="76"/>
      <c r="F149" s="20"/>
      <c r="G149" s="78"/>
      <c r="H149" s="76"/>
      <c r="I149" s="20"/>
      <c r="J149" s="81"/>
      <c r="K149" s="81" t="str">
        <f t="shared" si="1"/>
        <v>-</v>
      </c>
      <c r="L149" s="110"/>
      <c r="M149" s="110"/>
      <c r="N149" s="110"/>
      <c r="O149" s="110"/>
      <c r="P149" s="110"/>
      <c r="Q149" s="110"/>
      <c r="R149" s="110"/>
      <c r="S149" s="110"/>
      <c r="T149" s="84"/>
      <c r="U149" s="84"/>
      <c r="V149" s="84"/>
      <c r="W149" s="84"/>
      <c r="X149" s="84"/>
      <c r="Y149" s="87"/>
      <c r="Z149" s="71"/>
      <c r="AA149" s="89"/>
      <c r="AB149" s="71"/>
      <c r="AC149" s="71"/>
      <c r="AD149" s="92"/>
      <c r="AE149" s="71"/>
      <c r="AF149" s="71"/>
      <c r="AG149" s="71"/>
      <c r="AH149" s="71"/>
      <c r="AI149" s="71"/>
      <c r="AJ149" s="71"/>
      <c r="AK149" s="71"/>
      <c r="AL149" s="71"/>
      <c r="AM149" s="71"/>
      <c r="AN149" s="71"/>
      <c r="AO149" s="71"/>
      <c r="AP149" s="71"/>
      <c r="AQ149" s="71"/>
      <c r="AR149" s="71"/>
    </row>
    <row r="150" ht="18.75" customHeight="1">
      <c r="A150" s="73"/>
      <c r="B150" s="91"/>
      <c r="C150" s="74"/>
      <c r="D150" s="74"/>
      <c r="E150" s="76"/>
      <c r="F150" s="20"/>
      <c r="G150" s="78"/>
      <c r="H150" s="76"/>
      <c r="I150" s="20"/>
      <c r="J150" s="81"/>
      <c r="K150" s="81" t="str">
        <f t="shared" si="1"/>
        <v>-</v>
      </c>
      <c r="L150" s="110"/>
      <c r="M150" s="110"/>
      <c r="N150" s="110"/>
      <c r="O150" s="110"/>
      <c r="P150" s="110"/>
      <c r="Q150" s="110"/>
      <c r="R150" s="110"/>
      <c r="S150" s="110"/>
      <c r="T150" s="84"/>
      <c r="U150" s="84"/>
      <c r="V150" s="84"/>
      <c r="W150" s="84"/>
      <c r="X150" s="84"/>
      <c r="Y150" s="87"/>
      <c r="Z150" s="71"/>
      <c r="AA150" s="89"/>
      <c r="AB150" s="71"/>
      <c r="AC150" s="71"/>
      <c r="AD150" s="92"/>
      <c r="AE150" s="71"/>
      <c r="AF150" s="71"/>
      <c r="AG150" s="71"/>
      <c r="AH150" s="71"/>
      <c r="AI150" s="71"/>
      <c r="AJ150" s="71"/>
      <c r="AK150" s="71"/>
      <c r="AL150" s="71"/>
      <c r="AM150" s="71"/>
      <c r="AN150" s="71"/>
      <c r="AO150" s="71"/>
      <c r="AP150" s="71"/>
      <c r="AQ150" s="71"/>
      <c r="AR150" s="71"/>
    </row>
    <row r="151" ht="18.75" customHeight="1">
      <c r="A151" s="73"/>
      <c r="B151" s="91"/>
      <c r="C151" s="74"/>
      <c r="D151" s="74"/>
      <c r="E151" s="76"/>
      <c r="F151" s="20"/>
      <c r="G151" s="78"/>
      <c r="H151" s="76"/>
      <c r="I151" s="20"/>
      <c r="J151" s="81"/>
      <c r="K151" s="81" t="str">
        <f t="shared" si="1"/>
        <v>-</v>
      </c>
      <c r="L151" s="110"/>
      <c r="M151" s="110"/>
      <c r="N151" s="110"/>
      <c r="O151" s="110"/>
      <c r="P151" s="110"/>
      <c r="Q151" s="110"/>
      <c r="R151" s="110"/>
      <c r="S151" s="110"/>
      <c r="T151" s="84"/>
      <c r="U151" s="84"/>
      <c r="V151" s="84"/>
      <c r="W151" s="84"/>
      <c r="X151" s="84"/>
      <c r="Y151" s="87"/>
      <c r="Z151" s="71"/>
      <c r="AA151" s="89"/>
      <c r="AB151" s="71"/>
      <c r="AC151" s="71"/>
      <c r="AD151" s="92"/>
      <c r="AE151" s="71"/>
      <c r="AF151" s="71"/>
      <c r="AG151" s="71"/>
      <c r="AH151" s="71"/>
      <c r="AI151" s="71"/>
      <c r="AJ151" s="71"/>
      <c r="AK151" s="71"/>
      <c r="AL151" s="71"/>
      <c r="AM151" s="71"/>
      <c r="AN151" s="71"/>
      <c r="AO151" s="71"/>
      <c r="AP151" s="71"/>
      <c r="AQ151" s="71"/>
      <c r="AR151" s="71"/>
    </row>
    <row r="152" ht="18.75" customHeight="1">
      <c r="A152" s="73"/>
      <c r="B152" s="91"/>
      <c r="C152" s="74"/>
      <c r="D152" s="74"/>
      <c r="E152" s="76"/>
      <c r="F152" s="20"/>
      <c r="G152" s="78"/>
      <c r="H152" s="76"/>
      <c r="I152" s="20"/>
      <c r="J152" s="81"/>
      <c r="K152" s="81" t="str">
        <f t="shared" si="1"/>
        <v>-</v>
      </c>
      <c r="L152" s="110"/>
      <c r="M152" s="110"/>
      <c r="N152" s="110"/>
      <c r="O152" s="110"/>
      <c r="P152" s="110"/>
      <c r="Q152" s="110"/>
      <c r="R152" s="110"/>
      <c r="S152" s="110"/>
      <c r="T152" s="84"/>
      <c r="U152" s="84"/>
      <c r="V152" s="84"/>
      <c r="W152" s="84"/>
      <c r="X152" s="84"/>
      <c r="Y152" s="87"/>
      <c r="Z152" s="71"/>
      <c r="AA152" s="89"/>
      <c r="AB152" s="71"/>
      <c r="AC152" s="71"/>
      <c r="AD152" s="92"/>
      <c r="AE152" s="71"/>
      <c r="AF152" s="71"/>
      <c r="AG152" s="71"/>
      <c r="AH152" s="71"/>
      <c r="AI152" s="71"/>
      <c r="AJ152" s="71"/>
      <c r="AK152" s="71"/>
      <c r="AL152" s="71"/>
      <c r="AM152" s="71"/>
      <c r="AN152" s="71"/>
      <c r="AO152" s="71"/>
      <c r="AP152" s="71"/>
      <c r="AQ152" s="71"/>
      <c r="AR152" s="71"/>
    </row>
    <row r="153" ht="18.75" customHeight="1">
      <c r="A153" s="73"/>
      <c r="B153" s="91"/>
      <c r="C153" s="74"/>
      <c r="D153" s="74"/>
      <c r="E153" s="76"/>
      <c r="F153" s="20"/>
      <c r="G153" s="78"/>
      <c r="H153" s="76"/>
      <c r="I153" s="20"/>
      <c r="J153" s="81"/>
      <c r="K153" s="81" t="str">
        <f t="shared" si="1"/>
        <v>-</v>
      </c>
      <c r="L153" s="110"/>
      <c r="M153" s="110"/>
      <c r="N153" s="110"/>
      <c r="O153" s="110"/>
      <c r="P153" s="110"/>
      <c r="Q153" s="110"/>
      <c r="R153" s="110"/>
      <c r="S153" s="110"/>
      <c r="T153" s="84"/>
      <c r="U153" s="84"/>
      <c r="V153" s="84"/>
      <c r="W153" s="84"/>
      <c r="X153" s="84"/>
      <c r="Y153" s="87"/>
      <c r="Z153" s="71"/>
      <c r="AA153" s="89"/>
      <c r="AB153" s="71"/>
      <c r="AC153" s="71"/>
      <c r="AD153" s="92"/>
      <c r="AE153" s="71"/>
      <c r="AF153" s="71"/>
      <c r="AG153" s="71"/>
      <c r="AH153" s="71"/>
      <c r="AI153" s="71"/>
      <c r="AJ153" s="71"/>
      <c r="AK153" s="71"/>
      <c r="AL153" s="71"/>
      <c r="AM153" s="71"/>
      <c r="AN153" s="71"/>
      <c r="AO153" s="71"/>
      <c r="AP153" s="71"/>
      <c r="AQ153" s="71"/>
      <c r="AR153" s="71"/>
    </row>
    <row r="154" ht="18.75" customHeight="1">
      <c r="A154" s="73"/>
      <c r="B154" s="91"/>
      <c r="C154" s="74"/>
      <c r="D154" s="74"/>
      <c r="E154" s="76"/>
      <c r="F154" s="20"/>
      <c r="G154" s="78"/>
      <c r="H154" s="76"/>
      <c r="I154" s="20"/>
      <c r="J154" s="81"/>
      <c r="K154" s="81" t="str">
        <f t="shared" si="1"/>
        <v>-</v>
      </c>
      <c r="L154" s="110"/>
      <c r="M154" s="110"/>
      <c r="N154" s="110"/>
      <c r="O154" s="110"/>
      <c r="P154" s="110"/>
      <c r="Q154" s="110"/>
      <c r="R154" s="110"/>
      <c r="S154" s="110"/>
      <c r="T154" s="84"/>
      <c r="U154" s="84"/>
      <c r="V154" s="84"/>
      <c r="W154" s="84"/>
      <c r="X154" s="84"/>
      <c r="Y154" s="87"/>
      <c r="Z154" s="71"/>
      <c r="AA154" s="89"/>
      <c r="AB154" s="71"/>
      <c r="AC154" s="71"/>
      <c r="AD154" s="92"/>
      <c r="AE154" s="71"/>
      <c r="AF154" s="71"/>
      <c r="AG154" s="71"/>
      <c r="AH154" s="71"/>
      <c r="AI154" s="71"/>
      <c r="AJ154" s="71"/>
      <c r="AK154" s="71"/>
      <c r="AL154" s="71"/>
      <c r="AM154" s="71"/>
      <c r="AN154" s="71"/>
      <c r="AO154" s="71"/>
      <c r="AP154" s="71"/>
      <c r="AQ154" s="71"/>
      <c r="AR154" s="71"/>
    </row>
    <row r="155" ht="18.75" customHeight="1">
      <c r="A155" s="73"/>
      <c r="B155" s="91"/>
      <c r="C155" s="74"/>
      <c r="D155" s="74"/>
      <c r="E155" s="76"/>
      <c r="F155" s="20"/>
      <c r="G155" s="78"/>
      <c r="H155" s="76"/>
      <c r="I155" s="20"/>
      <c r="J155" s="81"/>
      <c r="K155" s="81" t="str">
        <f t="shared" si="1"/>
        <v>-</v>
      </c>
      <c r="L155" s="110"/>
      <c r="M155" s="110"/>
      <c r="N155" s="110"/>
      <c r="O155" s="110"/>
      <c r="P155" s="110"/>
      <c r="Q155" s="110"/>
      <c r="R155" s="110"/>
      <c r="S155" s="110"/>
      <c r="T155" s="84"/>
      <c r="U155" s="84"/>
      <c r="V155" s="84"/>
      <c r="W155" s="84"/>
      <c r="X155" s="84"/>
      <c r="Y155" s="87"/>
      <c r="Z155" s="71"/>
      <c r="AA155" s="89"/>
      <c r="AB155" s="71"/>
      <c r="AC155" s="71"/>
      <c r="AD155" s="92"/>
      <c r="AE155" s="71"/>
      <c r="AF155" s="71"/>
      <c r="AG155" s="71"/>
      <c r="AH155" s="71"/>
      <c r="AI155" s="71"/>
      <c r="AJ155" s="71"/>
      <c r="AK155" s="71"/>
      <c r="AL155" s="71"/>
      <c r="AM155" s="71"/>
      <c r="AN155" s="71"/>
      <c r="AO155" s="71"/>
      <c r="AP155" s="71"/>
      <c r="AQ155" s="71"/>
      <c r="AR155" s="71"/>
    </row>
    <row r="156" ht="18.75" customHeight="1">
      <c r="A156" s="73"/>
      <c r="B156" s="91"/>
      <c r="C156" s="74"/>
      <c r="D156" s="74"/>
      <c r="E156" s="76"/>
      <c r="F156" s="20"/>
      <c r="G156" s="78"/>
      <c r="H156" s="76"/>
      <c r="I156" s="20"/>
      <c r="J156" s="81"/>
      <c r="K156" s="81" t="str">
        <f t="shared" si="1"/>
        <v>-</v>
      </c>
      <c r="L156" s="110"/>
      <c r="M156" s="110"/>
      <c r="N156" s="110"/>
      <c r="O156" s="110"/>
      <c r="P156" s="110"/>
      <c r="Q156" s="110"/>
      <c r="R156" s="110"/>
      <c r="S156" s="110"/>
      <c r="T156" s="84"/>
      <c r="U156" s="84"/>
      <c r="V156" s="84"/>
      <c r="W156" s="84"/>
      <c r="X156" s="84"/>
      <c r="Y156" s="87"/>
      <c r="Z156" s="71"/>
      <c r="AA156" s="89"/>
      <c r="AB156" s="71"/>
      <c r="AC156" s="71"/>
      <c r="AD156" s="92"/>
      <c r="AE156" s="71"/>
      <c r="AF156" s="71"/>
      <c r="AG156" s="71"/>
      <c r="AH156" s="71"/>
      <c r="AI156" s="71"/>
      <c r="AJ156" s="71"/>
      <c r="AK156" s="71"/>
      <c r="AL156" s="71"/>
      <c r="AM156" s="71"/>
      <c r="AN156" s="71"/>
      <c r="AO156" s="71"/>
      <c r="AP156" s="71"/>
      <c r="AQ156" s="71"/>
      <c r="AR156" s="71"/>
    </row>
    <row r="157" ht="18.75" customHeight="1">
      <c r="A157" s="73"/>
      <c r="B157" s="91"/>
      <c r="C157" s="74"/>
      <c r="D157" s="74"/>
      <c r="E157" s="76"/>
      <c r="F157" s="20"/>
      <c r="G157" s="78"/>
      <c r="H157" s="76"/>
      <c r="I157" s="20"/>
      <c r="J157" s="81"/>
      <c r="K157" s="81" t="str">
        <f t="shared" si="1"/>
        <v>-</v>
      </c>
      <c r="L157" s="110"/>
      <c r="M157" s="110"/>
      <c r="N157" s="110"/>
      <c r="O157" s="110"/>
      <c r="P157" s="110"/>
      <c r="Q157" s="110"/>
      <c r="R157" s="110"/>
      <c r="S157" s="110"/>
      <c r="T157" s="84"/>
      <c r="U157" s="84"/>
      <c r="V157" s="84"/>
      <c r="W157" s="84"/>
      <c r="X157" s="84"/>
      <c r="Y157" s="87"/>
      <c r="Z157" s="71"/>
      <c r="AA157" s="89"/>
      <c r="AB157" s="71"/>
      <c r="AC157" s="71"/>
      <c r="AD157" s="92"/>
      <c r="AE157" s="71"/>
      <c r="AF157" s="71"/>
      <c r="AG157" s="71"/>
      <c r="AH157" s="71"/>
      <c r="AI157" s="71"/>
      <c r="AJ157" s="71"/>
      <c r="AK157" s="71"/>
      <c r="AL157" s="71"/>
      <c r="AM157" s="71"/>
      <c r="AN157" s="71"/>
      <c r="AO157" s="71"/>
      <c r="AP157" s="71"/>
      <c r="AQ157" s="71"/>
      <c r="AR157" s="71"/>
    </row>
    <row r="158" ht="18.75" customHeight="1">
      <c r="A158" s="73"/>
      <c r="B158" s="91"/>
      <c r="C158" s="74"/>
      <c r="D158" s="74"/>
      <c r="E158" s="76"/>
      <c r="F158" s="20"/>
      <c r="G158" s="78"/>
      <c r="H158" s="76"/>
      <c r="I158" s="20"/>
      <c r="J158" s="81"/>
      <c r="K158" s="81" t="str">
        <f t="shared" si="1"/>
        <v>-</v>
      </c>
      <c r="L158" s="110"/>
      <c r="M158" s="110"/>
      <c r="N158" s="110"/>
      <c r="O158" s="110"/>
      <c r="P158" s="110"/>
      <c r="Q158" s="110"/>
      <c r="R158" s="110"/>
      <c r="S158" s="110"/>
      <c r="T158" s="84"/>
      <c r="U158" s="84"/>
      <c r="V158" s="84"/>
      <c r="W158" s="84"/>
      <c r="X158" s="84"/>
      <c r="Y158" s="87"/>
      <c r="Z158" s="71"/>
      <c r="AA158" s="89"/>
      <c r="AB158" s="71"/>
      <c r="AC158" s="71"/>
      <c r="AD158" s="92"/>
      <c r="AE158" s="71"/>
      <c r="AF158" s="71"/>
      <c r="AG158" s="71"/>
      <c r="AH158" s="71"/>
      <c r="AI158" s="71"/>
      <c r="AJ158" s="71"/>
      <c r="AK158" s="71"/>
      <c r="AL158" s="71"/>
      <c r="AM158" s="71"/>
      <c r="AN158" s="71"/>
      <c r="AO158" s="71"/>
      <c r="AP158" s="71"/>
      <c r="AQ158" s="71"/>
      <c r="AR158" s="71"/>
    </row>
    <row r="159" ht="18.75" customHeight="1">
      <c r="A159" s="73"/>
      <c r="B159" s="91"/>
      <c r="C159" s="74"/>
      <c r="D159" s="74"/>
      <c r="E159" s="76"/>
      <c r="F159" s="20"/>
      <c r="G159" s="78"/>
      <c r="H159" s="76"/>
      <c r="I159" s="20"/>
      <c r="J159" s="81"/>
      <c r="K159" s="81" t="str">
        <f t="shared" si="1"/>
        <v>-</v>
      </c>
      <c r="L159" s="110"/>
      <c r="M159" s="110"/>
      <c r="N159" s="110"/>
      <c r="O159" s="110"/>
      <c r="P159" s="110"/>
      <c r="Q159" s="110"/>
      <c r="R159" s="110"/>
      <c r="S159" s="110"/>
      <c r="T159" s="84"/>
      <c r="U159" s="84"/>
      <c r="V159" s="84"/>
      <c r="W159" s="84"/>
      <c r="X159" s="84"/>
      <c r="Y159" s="87"/>
      <c r="Z159" s="71"/>
      <c r="AA159" s="89"/>
      <c r="AB159" s="71"/>
      <c r="AC159" s="71"/>
      <c r="AD159" s="92"/>
      <c r="AE159" s="71"/>
      <c r="AF159" s="71"/>
      <c r="AG159" s="71"/>
      <c r="AH159" s="71"/>
      <c r="AI159" s="71"/>
      <c r="AJ159" s="71"/>
      <c r="AK159" s="71"/>
      <c r="AL159" s="71"/>
      <c r="AM159" s="71"/>
      <c r="AN159" s="71"/>
      <c r="AO159" s="71"/>
      <c r="AP159" s="71"/>
      <c r="AQ159" s="71"/>
      <c r="AR159" s="71"/>
    </row>
    <row r="160" ht="18.75" customHeight="1">
      <c r="A160" s="73"/>
      <c r="B160" s="91"/>
      <c r="C160" s="74"/>
      <c r="D160" s="74"/>
      <c r="E160" s="76"/>
      <c r="F160" s="20"/>
      <c r="G160" s="78"/>
      <c r="H160" s="76"/>
      <c r="I160" s="20"/>
      <c r="J160" s="81"/>
      <c r="K160" s="81" t="str">
        <f t="shared" si="1"/>
        <v>-</v>
      </c>
      <c r="L160" s="110"/>
      <c r="M160" s="110"/>
      <c r="N160" s="110"/>
      <c r="O160" s="110"/>
      <c r="P160" s="110"/>
      <c r="Q160" s="110"/>
      <c r="R160" s="110"/>
      <c r="S160" s="110"/>
      <c r="T160" s="84"/>
      <c r="U160" s="84"/>
      <c r="V160" s="84"/>
      <c r="W160" s="84"/>
      <c r="X160" s="84"/>
      <c r="Y160" s="87"/>
      <c r="Z160" s="71"/>
      <c r="AA160" s="89"/>
      <c r="AB160" s="71"/>
      <c r="AC160" s="71"/>
      <c r="AD160" s="92"/>
      <c r="AE160" s="71"/>
      <c r="AF160" s="71"/>
      <c r="AG160" s="71"/>
      <c r="AH160" s="71"/>
      <c r="AI160" s="71"/>
      <c r="AJ160" s="71"/>
      <c r="AK160" s="71"/>
      <c r="AL160" s="71"/>
      <c r="AM160" s="71"/>
      <c r="AN160" s="71"/>
      <c r="AO160" s="71"/>
      <c r="AP160" s="71"/>
      <c r="AQ160" s="71"/>
      <c r="AR160" s="71"/>
    </row>
    <row r="161" ht="18.75" customHeight="1">
      <c r="A161" s="73"/>
      <c r="B161" s="91"/>
      <c r="C161" s="74"/>
      <c r="D161" s="74"/>
      <c r="E161" s="76"/>
      <c r="F161" s="20"/>
      <c r="G161" s="78"/>
      <c r="H161" s="76"/>
      <c r="I161" s="20"/>
      <c r="J161" s="81"/>
      <c r="K161" s="81" t="str">
        <f t="shared" si="1"/>
        <v>-</v>
      </c>
      <c r="L161" s="110"/>
      <c r="M161" s="110"/>
      <c r="N161" s="110"/>
      <c r="O161" s="110"/>
      <c r="P161" s="110"/>
      <c r="Q161" s="110"/>
      <c r="R161" s="110"/>
      <c r="S161" s="110"/>
      <c r="T161" s="84"/>
      <c r="U161" s="84"/>
      <c r="V161" s="84"/>
      <c r="W161" s="84"/>
      <c r="X161" s="84"/>
      <c r="Y161" s="87"/>
      <c r="Z161" s="71"/>
      <c r="AA161" s="89"/>
      <c r="AB161" s="71"/>
      <c r="AC161" s="71"/>
      <c r="AD161" s="92"/>
      <c r="AE161" s="71"/>
      <c r="AF161" s="71"/>
      <c r="AG161" s="71"/>
      <c r="AH161" s="71"/>
      <c r="AI161" s="71"/>
      <c r="AJ161" s="71"/>
      <c r="AK161" s="71"/>
      <c r="AL161" s="71"/>
      <c r="AM161" s="71"/>
      <c r="AN161" s="71"/>
      <c r="AO161" s="71"/>
      <c r="AP161" s="71"/>
      <c r="AQ161" s="71"/>
      <c r="AR161" s="71"/>
    </row>
    <row r="162" ht="18.75" customHeight="1">
      <c r="A162" s="73"/>
      <c r="B162" s="91"/>
      <c r="C162" s="74"/>
      <c r="D162" s="74"/>
      <c r="E162" s="76"/>
      <c r="F162" s="20"/>
      <c r="G162" s="78"/>
      <c r="H162" s="76"/>
      <c r="I162" s="20"/>
      <c r="J162" s="81"/>
      <c r="K162" s="81" t="str">
        <f t="shared" si="1"/>
        <v>-</v>
      </c>
      <c r="L162" s="110"/>
      <c r="M162" s="110"/>
      <c r="N162" s="110"/>
      <c r="O162" s="110"/>
      <c r="P162" s="110"/>
      <c r="Q162" s="110"/>
      <c r="R162" s="110"/>
      <c r="S162" s="110"/>
      <c r="T162" s="84"/>
      <c r="U162" s="84"/>
      <c r="V162" s="84"/>
      <c r="W162" s="84"/>
      <c r="X162" s="84"/>
      <c r="Y162" s="87"/>
      <c r="Z162" s="71"/>
      <c r="AA162" s="89"/>
      <c r="AB162" s="71"/>
      <c r="AC162" s="71"/>
      <c r="AD162" s="92"/>
      <c r="AE162" s="71"/>
      <c r="AF162" s="71"/>
      <c r="AG162" s="71"/>
      <c r="AH162" s="71"/>
      <c r="AI162" s="71"/>
      <c r="AJ162" s="71"/>
      <c r="AK162" s="71"/>
      <c r="AL162" s="71"/>
      <c r="AM162" s="71"/>
      <c r="AN162" s="71"/>
      <c r="AO162" s="71"/>
      <c r="AP162" s="71"/>
      <c r="AQ162" s="71"/>
      <c r="AR162" s="71"/>
    </row>
    <row r="163" ht="18.75" customHeight="1">
      <c r="A163" s="73"/>
      <c r="B163" s="91"/>
      <c r="C163" s="74"/>
      <c r="D163" s="74"/>
      <c r="E163" s="76"/>
      <c r="F163" s="20"/>
      <c r="G163" s="78"/>
      <c r="H163" s="76"/>
      <c r="I163" s="20"/>
      <c r="J163" s="81"/>
      <c r="K163" s="81" t="str">
        <f t="shared" si="1"/>
        <v>-</v>
      </c>
      <c r="L163" s="110"/>
      <c r="M163" s="110"/>
      <c r="N163" s="110"/>
      <c r="O163" s="110"/>
      <c r="P163" s="110"/>
      <c r="Q163" s="110"/>
      <c r="R163" s="110"/>
      <c r="S163" s="110"/>
      <c r="T163" s="84"/>
      <c r="U163" s="84"/>
      <c r="V163" s="84"/>
      <c r="W163" s="84"/>
      <c r="X163" s="84"/>
      <c r="Y163" s="87"/>
      <c r="Z163" s="71"/>
      <c r="AA163" s="89"/>
      <c r="AB163" s="71"/>
      <c r="AC163" s="71"/>
      <c r="AD163" s="92"/>
      <c r="AE163" s="71"/>
      <c r="AF163" s="71"/>
      <c r="AG163" s="71"/>
      <c r="AH163" s="71"/>
      <c r="AI163" s="71"/>
      <c r="AJ163" s="71"/>
      <c r="AK163" s="71"/>
      <c r="AL163" s="71"/>
      <c r="AM163" s="71"/>
      <c r="AN163" s="71"/>
      <c r="AO163" s="71"/>
      <c r="AP163" s="71"/>
      <c r="AQ163" s="71"/>
      <c r="AR163" s="71"/>
    </row>
    <row r="164" ht="18.75" customHeight="1">
      <c r="A164" s="73"/>
      <c r="B164" s="91"/>
      <c r="C164" s="74"/>
      <c r="D164" s="74"/>
      <c r="E164" s="76"/>
      <c r="F164" s="20"/>
      <c r="G164" s="78"/>
      <c r="H164" s="76"/>
      <c r="I164" s="20"/>
      <c r="J164" s="81"/>
      <c r="K164" s="81" t="str">
        <f t="shared" si="1"/>
        <v>-</v>
      </c>
      <c r="L164" s="110"/>
      <c r="M164" s="110"/>
      <c r="N164" s="110"/>
      <c r="O164" s="110"/>
      <c r="P164" s="110"/>
      <c r="Q164" s="110"/>
      <c r="R164" s="110"/>
      <c r="S164" s="110"/>
      <c r="T164" s="84"/>
      <c r="U164" s="84"/>
      <c r="V164" s="84"/>
      <c r="W164" s="84"/>
      <c r="X164" s="84"/>
      <c r="Y164" s="87"/>
      <c r="Z164" s="71"/>
      <c r="AA164" s="89"/>
      <c r="AB164" s="71"/>
      <c r="AC164" s="71"/>
      <c r="AD164" s="92"/>
      <c r="AE164" s="71"/>
      <c r="AF164" s="71"/>
      <c r="AG164" s="71"/>
      <c r="AH164" s="71"/>
      <c r="AI164" s="71"/>
      <c r="AJ164" s="71"/>
      <c r="AK164" s="71"/>
      <c r="AL164" s="71"/>
      <c r="AM164" s="71"/>
      <c r="AN164" s="71"/>
      <c r="AO164" s="71"/>
      <c r="AP164" s="71"/>
      <c r="AQ164" s="71"/>
      <c r="AR164" s="71"/>
    </row>
    <row r="165" ht="18.75" customHeight="1">
      <c r="A165" s="73"/>
      <c r="B165" s="91"/>
      <c r="C165" s="74"/>
      <c r="D165" s="74"/>
      <c r="E165" s="76"/>
      <c r="F165" s="20"/>
      <c r="G165" s="78"/>
      <c r="H165" s="76"/>
      <c r="I165" s="20"/>
      <c r="J165" s="81"/>
      <c r="K165" s="81" t="str">
        <f t="shared" si="1"/>
        <v>-</v>
      </c>
      <c r="L165" s="110"/>
      <c r="M165" s="110"/>
      <c r="N165" s="110"/>
      <c r="O165" s="110"/>
      <c r="P165" s="110"/>
      <c r="Q165" s="110"/>
      <c r="R165" s="110"/>
      <c r="S165" s="110"/>
      <c r="T165" s="84"/>
      <c r="U165" s="84"/>
      <c r="V165" s="84"/>
      <c r="W165" s="84"/>
      <c r="X165" s="84"/>
      <c r="Y165" s="87"/>
      <c r="Z165" s="71"/>
      <c r="AA165" s="89"/>
      <c r="AB165" s="71"/>
      <c r="AC165" s="71"/>
      <c r="AD165" s="92"/>
      <c r="AE165" s="71"/>
      <c r="AF165" s="71"/>
      <c r="AG165" s="71"/>
      <c r="AH165" s="71"/>
      <c r="AI165" s="71"/>
      <c r="AJ165" s="71"/>
      <c r="AK165" s="71"/>
      <c r="AL165" s="71"/>
      <c r="AM165" s="71"/>
      <c r="AN165" s="71"/>
      <c r="AO165" s="71"/>
      <c r="AP165" s="71"/>
      <c r="AQ165" s="71"/>
      <c r="AR165" s="71"/>
    </row>
    <row r="166" ht="18.75" customHeight="1">
      <c r="A166" s="73"/>
      <c r="B166" s="91"/>
      <c r="C166" s="74"/>
      <c r="D166" s="74"/>
      <c r="E166" s="76"/>
      <c r="F166" s="20"/>
      <c r="G166" s="78"/>
      <c r="H166" s="76"/>
      <c r="I166" s="20"/>
      <c r="J166" s="81"/>
      <c r="K166" s="81" t="str">
        <f t="shared" si="1"/>
        <v>-</v>
      </c>
      <c r="L166" s="110"/>
      <c r="M166" s="110"/>
      <c r="N166" s="110"/>
      <c r="O166" s="110"/>
      <c r="P166" s="110"/>
      <c r="Q166" s="110"/>
      <c r="R166" s="110"/>
      <c r="S166" s="110"/>
      <c r="T166" s="84"/>
      <c r="U166" s="84"/>
      <c r="V166" s="84"/>
      <c r="W166" s="84"/>
      <c r="X166" s="84"/>
      <c r="Y166" s="87"/>
      <c r="Z166" s="71"/>
      <c r="AA166" s="89"/>
      <c r="AB166" s="71"/>
      <c r="AC166" s="71"/>
      <c r="AD166" s="92"/>
      <c r="AE166" s="71"/>
      <c r="AF166" s="71"/>
      <c r="AG166" s="71"/>
      <c r="AH166" s="71"/>
      <c r="AI166" s="71"/>
      <c r="AJ166" s="71"/>
      <c r="AK166" s="71"/>
      <c r="AL166" s="71"/>
      <c r="AM166" s="71"/>
      <c r="AN166" s="71"/>
      <c r="AO166" s="71"/>
      <c r="AP166" s="71"/>
      <c r="AQ166" s="71"/>
      <c r="AR166" s="71"/>
    </row>
    <row r="167" ht="18.75" customHeight="1">
      <c r="A167" s="73"/>
      <c r="B167" s="91"/>
      <c r="C167" s="74"/>
      <c r="D167" s="74"/>
      <c r="E167" s="76"/>
      <c r="F167" s="20"/>
      <c r="G167" s="78"/>
      <c r="H167" s="76"/>
      <c r="I167" s="20"/>
      <c r="J167" s="81"/>
      <c r="K167" s="81" t="str">
        <f t="shared" si="1"/>
        <v>-</v>
      </c>
      <c r="L167" s="110"/>
      <c r="M167" s="110"/>
      <c r="N167" s="110"/>
      <c r="O167" s="110"/>
      <c r="P167" s="110"/>
      <c r="Q167" s="110"/>
      <c r="R167" s="110"/>
      <c r="S167" s="110"/>
      <c r="T167" s="84"/>
      <c r="U167" s="84"/>
      <c r="V167" s="84"/>
      <c r="W167" s="84"/>
      <c r="X167" s="84"/>
      <c r="Y167" s="87"/>
      <c r="Z167" s="71"/>
      <c r="AA167" s="89"/>
      <c r="AB167" s="71"/>
      <c r="AC167" s="71"/>
      <c r="AD167" s="92"/>
      <c r="AE167" s="71"/>
      <c r="AF167" s="71"/>
      <c r="AG167" s="71"/>
      <c r="AH167" s="71"/>
      <c r="AI167" s="71"/>
      <c r="AJ167" s="71"/>
      <c r="AK167" s="71"/>
      <c r="AL167" s="71"/>
      <c r="AM167" s="71"/>
      <c r="AN167" s="71"/>
      <c r="AO167" s="71"/>
      <c r="AP167" s="71"/>
      <c r="AQ167" s="71"/>
      <c r="AR167" s="71"/>
    </row>
    <row r="168" ht="18.75" customHeight="1">
      <c r="A168" s="73"/>
      <c r="B168" s="91"/>
      <c r="C168" s="74"/>
      <c r="D168" s="74"/>
      <c r="E168" s="76"/>
      <c r="F168" s="20"/>
      <c r="G168" s="78"/>
      <c r="H168" s="76"/>
      <c r="I168" s="20"/>
      <c r="J168" s="81"/>
      <c r="K168" s="81" t="str">
        <f t="shared" si="1"/>
        <v>-</v>
      </c>
      <c r="L168" s="110"/>
      <c r="M168" s="110"/>
      <c r="N168" s="110"/>
      <c r="O168" s="110"/>
      <c r="P168" s="110"/>
      <c r="Q168" s="110"/>
      <c r="R168" s="110"/>
      <c r="S168" s="110"/>
      <c r="T168" s="84"/>
      <c r="U168" s="84"/>
      <c r="V168" s="84"/>
      <c r="W168" s="84"/>
      <c r="X168" s="84"/>
      <c r="Y168" s="87"/>
      <c r="Z168" s="71"/>
      <c r="AA168" s="89"/>
      <c r="AB168" s="71"/>
      <c r="AC168" s="71"/>
      <c r="AD168" s="92"/>
      <c r="AE168" s="71"/>
      <c r="AF168" s="71"/>
      <c r="AG168" s="71"/>
      <c r="AH168" s="71"/>
      <c r="AI168" s="71"/>
      <c r="AJ168" s="71"/>
      <c r="AK168" s="71"/>
      <c r="AL168" s="71"/>
      <c r="AM168" s="71"/>
      <c r="AN168" s="71"/>
      <c r="AO168" s="71"/>
      <c r="AP168" s="71"/>
      <c r="AQ168" s="71"/>
      <c r="AR168" s="71"/>
    </row>
    <row r="169" ht="18.75" customHeight="1">
      <c r="A169" s="73"/>
      <c r="B169" s="91"/>
      <c r="C169" s="74"/>
      <c r="D169" s="74"/>
      <c r="E169" s="76"/>
      <c r="F169" s="20"/>
      <c r="G169" s="78"/>
      <c r="H169" s="76"/>
      <c r="I169" s="20"/>
      <c r="J169" s="81"/>
      <c r="K169" s="81" t="str">
        <f t="shared" si="1"/>
        <v>-</v>
      </c>
      <c r="L169" s="110"/>
      <c r="M169" s="110"/>
      <c r="N169" s="110"/>
      <c r="O169" s="110"/>
      <c r="P169" s="110"/>
      <c r="Q169" s="110"/>
      <c r="R169" s="110"/>
      <c r="S169" s="110"/>
      <c r="T169" s="84"/>
      <c r="U169" s="84"/>
      <c r="V169" s="84"/>
      <c r="W169" s="84"/>
      <c r="X169" s="84"/>
      <c r="Y169" s="87"/>
      <c r="Z169" s="71"/>
      <c r="AA169" s="89"/>
      <c r="AB169" s="71"/>
      <c r="AC169" s="71"/>
      <c r="AD169" s="92"/>
      <c r="AE169" s="71"/>
      <c r="AF169" s="71"/>
      <c r="AG169" s="71"/>
      <c r="AH169" s="71"/>
      <c r="AI169" s="71"/>
      <c r="AJ169" s="71"/>
      <c r="AK169" s="71"/>
      <c r="AL169" s="71"/>
      <c r="AM169" s="71"/>
      <c r="AN169" s="71"/>
      <c r="AO169" s="71"/>
      <c r="AP169" s="71"/>
      <c r="AQ169" s="71"/>
      <c r="AR169" s="71"/>
    </row>
    <row r="170" ht="18.75" customHeight="1">
      <c r="A170" s="73"/>
      <c r="B170" s="91"/>
      <c r="C170" s="74"/>
      <c r="D170" s="74"/>
      <c r="E170" s="76"/>
      <c r="F170" s="20"/>
      <c r="G170" s="78"/>
      <c r="H170" s="76"/>
      <c r="I170" s="20"/>
      <c r="J170" s="81"/>
      <c r="K170" s="81" t="str">
        <f t="shared" si="1"/>
        <v>-</v>
      </c>
      <c r="L170" s="110"/>
      <c r="M170" s="110"/>
      <c r="N170" s="110"/>
      <c r="O170" s="110"/>
      <c r="P170" s="110"/>
      <c r="Q170" s="110"/>
      <c r="R170" s="110"/>
      <c r="S170" s="110"/>
      <c r="T170" s="84"/>
      <c r="U170" s="84"/>
      <c r="V170" s="84"/>
      <c r="W170" s="84"/>
      <c r="X170" s="84"/>
      <c r="Y170" s="87"/>
      <c r="Z170" s="71"/>
      <c r="AA170" s="89"/>
      <c r="AB170" s="71"/>
      <c r="AC170" s="71"/>
      <c r="AD170" s="92"/>
      <c r="AE170" s="71"/>
      <c r="AF170" s="71"/>
      <c r="AG170" s="71"/>
      <c r="AH170" s="71"/>
      <c r="AI170" s="71"/>
      <c r="AJ170" s="71"/>
      <c r="AK170" s="71"/>
      <c r="AL170" s="71"/>
      <c r="AM170" s="71"/>
      <c r="AN170" s="71"/>
      <c r="AO170" s="71"/>
      <c r="AP170" s="71"/>
      <c r="AQ170" s="71"/>
      <c r="AR170" s="71"/>
    </row>
    <row r="171" ht="18.75" customHeight="1">
      <c r="A171" s="73"/>
      <c r="B171" s="91"/>
      <c r="C171" s="74"/>
      <c r="D171" s="74"/>
      <c r="E171" s="76"/>
      <c r="F171" s="20"/>
      <c r="G171" s="78"/>
      <c r="H171" s="76"/>
      <c r="I171" s="20"/>
      <c r="J171" s="81"/>
      <c r="K171" s="81" t="str">
        <f t="shared" si="1"/>
        <v>-</v>
      </c>
      <c r="L171" s="110"/>
      <c r="M171" s="110"/>
      <c r="N171" s="110"/>
      <c r="O171" s="110"/>
      <c r="P171" s="110"/>
      <c r="Q171" s="110"/>
      <c r="R171" s="110"/>
      <c r="S171" s="110"/>
      <c r="T171" s="84"/>
      <c r="U171" s="84"/>
      <c r="V171" s="84"/>
      <c r="W171" s="84"/>
      <c r="X171" s="84"/>
      <c r="Y171" s="87"/>
      <c r="Z171" s="71"/>
      <c r="AA171" s="89"/>
      <c r="AB171" s="71"/>
      <c r="AC171" s="71"/>
      <c r="AD171" s="92"/>
      <c r="AE171" s="71"/>
      <c r="AF171" s="71"/>
      <c r="AG171" s="71"/>
      <c r="AH171" s="71"/>
      <c r="AI171" s="71"/>
      <c r="AJ171" s="71"/>
      <c r="AK171" s="71"/>
      <c r="AL171" s="71"/>
      <c r="AM171" s="71"/>
      <c r="AN171" s="71"/>
      <c r="AO171" s="71"/>
      <c r="AP171" s="71"/>
      <c r="AQ171" s="71"/>
      <c r="AR171" s="71"/>
    </row>
    <row r="172" ht="18.75" customHeight="1">
      <c r="A172" s="73"/>
      <c r="B172" s="91"/>
      <c r="C172" s="74"/>
      <c r="D172" s="74"/>
      <c r="E172" s="76"/>
      <c r="F172" s="20"/>
      <c r="G172" s="78"/>
      <c r="H172" s="76"/>
      <c r="I172" s="20"/>
      <c r="J172" s="81"/>
      <c r="K172" s="81" t="str">
        <f t="shared" si="1"/>
        <v>-</v>
      </c>
      <c r="L172" s="110"/>
      <c r="M172" s="110"/>
      <c r="N172" s="110"/>
      <c r="O172" s="110"/>
      <c r="P172" s="110"/>
      <c r="Q172" s="110"/>
      <c r="R172" s="110"/>
      <c r="S172" s="110"/>
      <c r="T172" s="84"/>
      <c r="U172" s="84"/>
      <c r="V172" s="84"/>
      <c r="W172" s="84"/>
      <c r="X172" s="84"/>
      <c r="Y172" s="87"/>
      <c r="Z172" s="71"/>
      <c r="AA172" s="89"/>
      <c r="AB172" s="71"/>
      <c r="AC172" s="71"/>
      <c r="AD172" s="92"/>
      <c r="AE172" s="71"/>
      <c r="AF172" s="71"/>
      <c r="AG172" s="71"/>
      <c r="AH172" s="71"/>
      <c r="AI172" s="71"/>
      <c r="AJ172" s="71"/>
      <c r="AK172" s="71"/>
      <c r="AL172" s="71"/>
      <c r="AM172" s="71"/>
      <c r="AN172" s="71"/>
      <c r="AO172" s="71"/>
      <c r="AP172" s="71"/>
      <c r="AQ172" s="71"/>
      <c r="AR172" s="71"/>
    </row>
    <row r="173" ht="18.75" customHeight="1">
      <c r="A173" s="73"/>
      <c r="B173" s="91"/>
      <c r="C173" s="74"/>
      <c r="D173" s="74"/>
      <c r="E173" s="76"/>
      <c r="F173" s="20"/>
      <c r="G173" s="78"/>
      <c r="H173" s="76"/>
      <c r="I173" s="20"/>
      <c r="J173" s="81"/>
      <c r="K173" s="81" t="str">
        <f t="shared" si="1"/>
        <v>-</v>
      </c>
      <c r="L173" s="110"/>
      <c r="M173" s="110"/>
      <c r="N173" s="110"/>
      <c r="O173" s="110"/>
      <c r="P173" s="110"/>
      <c r="Q173" s="110"/>
      <c r="R173" s="110"/>
      <c r="S173" s="110"/>
      <c r="T173" s="84"/>
      <c r="U173" s="84"/>
      <c r="V173" s="84"/>
      <c r="W173" s="84"/>
      <c r="X173" s="84"/>
      <c r="Y173" s="87"/>
      <c r="Z173" s="71"/>
      <c r="AA173" s="89"/>
      <c r="AB173" s="71"/>
      <c r="AC173" s="71"/>
      <c r="AD173" s="92"/>
      <c r="AE173" s="71"/>
      <c r="AF173" s="71"/>
      <c r="AG173" s="71"/>
      <c r="AH173" s="71"/>
      <c r="AI173" s="71"/>
      <c r="AJ173" s="71"/>
      <c r="AK173" s="71"/>
      <c r="AL173" s="71"/>
      <c r="AM173" s="71"/>
      <c r="AN173" s="71"/>
      <c r="AO173" s="71"/>
      <c r="AP173" s="71"/>
      <c r="AQ173" s="71"/>
      <c r="AR173" s="71"/>
    </row>
    <row r="174" ht="18.75" customHeight="1">
      <c r="A174" s="73"/>
      <c r="B174" s="91"/>
      <c r="C174" s="74"/>
      <c r="D174" s="74"/>
      <c r="E174" s="76"/>
      <c r="F174" s="20"/>
      <c r="G174" s="78"/>
      <c r="H174" s="76"/>
      <c r="I174" s="20"/>
      <c r="J174" s="81"/>
      <c r="K174" s="81" t="str">
        <f t="shared" si="1"/>
        <v>-</v>
      </c>
      <c r="L174" s="110"/>
      <c r="M174" s="110"/>
      <c r="N174" s="110"/>
      <c r="O174" s="110"/>
      <c r="P174" s="110"/>
      <c r="Q174" s="110"/>
      <c r="R174" s="110"/>
      <c r="S174" s="110"/>
      <c r="T174" s="84"/>
      <c r="U174" s="84"/>
      <c r="V174" s="84"/>
      <c r="W174" s="84"/>
      <c r="X174" s="84"/>
      <c r="Y174" s="87"/>
      <c r="Z174" s="71"/>
      <c r="AA174" s="89"/>
      <c r="AB174" s="71"/>
      <c r="AC174" s="71"/>
      <c r="AD174" s="92"/>
      <c r="AE174" s="71"/>
      <c r="AF174" s="71"/>
      <c r="AG174" s="71"/>
      <c r="AH174" s="71"/>
      <c r="AI174" s="71"/>
      <c r="AJ174" s="71"/>
      <c r="AK174" s="71"/>
      <c r="AL174" s="71"/>
      <c r="AM174" s="71"/>
      <c r="AN174" s="71"/>
      <c r="AO174" s="71"/>
      <c r="AP174" s="71"/>
      <c r="AQ174" s="71"/>
      <c r="AR174" s="71"/>
    </row>
    <row r="175" ht="18.75" customHeight="1">
      <c r="A175" s="73"/>
      <c r="B175" s="91"/>
      <c r="C175" s="74"/>
      <c r="D175" s="74"/>
      <c r="E175" s="76"/>
      <c r="F175" s="20"/>
      <c r="G175" s="78"/>
      <c r="H175" s="76"/>
      <c r="I175" s="20"/>
      <c r="J175" s="81"/>
      <c r="K175" s="81" t="str">
        <f t="shared" si="1"/>
        <v>-</v>
      </c>
      <c r="L175" s="110"/>
      <c r="M175" s="110"/>
      <c r="N175" s="110"/>
      <c r="O175" s="110"/>
      <c r="P175" s="110"/>
      <c r="Q175" s="110"/>
      <c r="R175" s="110"/>
      <c r="S175" s="110"/>
      <c r="T175" s="84"/>
      <c r="U175" s="84"/>
      <c r="V175" s="84"/>
      <c r="W175" s="84"/>
      <c r="X175" s="84"/>
      <c r="Y175" s="87"/>
      <c r="Z175" s="71"/>
      <c r="AA175" s="89"/>
      <c r="AB175" s="71"/>
      <c r="AC175" s="71"/>
      <c r="AD175" s="92"/>
      <c r="AE175" s="71"/>
      <c r="AF175" s="71"/>
      <c r="AG175" s="71"/>
      <c r="AH175" s="71"/>
      <c r="AI175" s="71"/>
      <c r="AJ175" s="71"/>
      <c r="AK175" s="71"/>
      <c r="AL175" s="71"/>
      <c r="AM175" s="71"/>
      <c r="AN175" s="71"/>
      <c r="AO175" s="71"/>
      <c r="AP175" s="71"/>
      <c r="AQ175" s="71"/>
      <c r="AR175" s="71"/>
    </row>
    <row r="176" ht="18.75" customHeight="1">
      <c r="A176" s="73"/>
      <c r="B176" s="91"/>
      <c r="C176" s="74"/>
      <c r="D176" s="74"/>
      <c r="E176" s="76"/>
      <c r="F176" s="20"/>
      <c r="G176" s="78"/>
      <c r="H176" s="76"/>
      <c r="I176" s="20"/>
      <c r="J176" s="81"/>
      <c r="K176" s="81" t="str">
        <f t="shared" si="1"/>
        <v>-</v>
      </c>
      <c r="L176" s="110"/>
      <c r="M176" s="110"/>
      <c r="N176" s="110"/>
      <c r="O176" s="110"/>
      <c r="P176" s="110"/>
      <c r="Q176" s="110"/>
      <c r="R176" s="110"/>
      <c r="S176" s="110"/>
      <c r="T176" s="84"/>
      <c r="U176" s="84"/>
      <c r="V176" s="84"/>
      <c r="W176" s="84"/>
      <c r="X176" s="84"/>
      <c r="Y176" s="87"/>
      <c r="Z176" s="71"/>
      <c r="AA176" s="89"/>
      <c r="AB176" s="71"/>
      <c r="AC176" s="71"/>
      <c r="AD176" s="92"/>
      <c r="AE176" s="71"/>
      <c r="AF176" s="71"/>
      <c r="AG176" s="71"/>
      <c r="AH176" s="71"/>
      <c r="AI176" s="71"/>
      <c r="AJ176" s="71"/>
      <c r="AK176" s="71"/>
      <c r="AL176" s="71"/>
      <c r="AM176" s="71"/>
      <c r="AN176" s="71"/>
      <c r="AO176" s="71"/>
      <c r="AP176" s="71"/>
      <c r="AQ176" s="71"/>
      <c r="AR176" s="71"/>
    </row>
    <row r="177" ht="18.75" customHeight="1">
      <c r="A177" s="73"/>
      <c r="B177" s="91"/>
      <c r="C177" s="74"/>
      <c r="D177" s="74"/>
      <c r="E177" s="76"/>
      <c r="F177" s="20"/>
      <c r="G177" s="78"/>
      <c r="H177" s="76"/>
      <c r="I177" s="20"/>
      <c r="J177" s="81"/>
      <c r="K177" s="81" t="str">
        <f t="shared" si="1"/>
        <v>-</v>
      </c>
      <c r="L177" s="110"/>
      <c r="M177" s="110"/>
      <c r="N177" s="110"/>
      <c r="O177" s="110"/>
      <c r="P177" s="110"/>
      <c r="Q177" s="110"/>
      <c r="R177" s="110"/>
      <c r="S177" s="110"/>
      <c r="T177" s="84"/>
      <c r="U177" s="84"/>
      <c r="V177" s="84"/>
      <c r="W177" s="84"/>
      <c r="X177" s="84"/>
      <c r="Y177" s="87"/>
      <c r="Z177" s="71"/>
      <c r="AA177" s="89"/>
      <c r="AB177" s="71"/>
      <c r="AC177" s="71"/>
      <c r="AD177" s="92"/>
      <c r="AE177" s="71"/>
      <c r="AF177" s="71"/>
      <c r="AG177" s="71"/>
      <c r="AH177" s="71"/>
      <c r="AI177" s="71"/>
      <c r="AJ177" s="71"/>
      <c r="AK177" s="71"/>
      <c r="AL177" s="71"/>
      <c r="AM177" s="71"/>
      <c r="AN177" s="71"/>
      <c r="AO177" s="71"/>
      <c r="AP177" s="71"/>
      <c r="AQ177" s="71"/>
      <c r="AR177" s="71"/>
    </row>
    <row r="178" ht="18.75" customHeight="1">
      <c r="A178" s="73"/>
      <c r="B178" s="91"/>
      <c r="C178" s="74"/>
      <c r="D178" s="74"/>
      <c r="E178" s="76"/>
      <c r="F178" s="20"/>
      <c r="G178" s="78"/>
      <c r="H178" s="76"/>
      <c r="I178" s="20"/>
      <c r="J178" s="81"/>
      <c r="K178" s="81" t="str">
        <f t="shared" si="1"/>
        <v>-</v>
      </c>
      <c r="L178" s="110"/>
      <c r="M178" s="110"/>
      <c r="N178" s="110"/>
      <c r="O178" s="110"/>
      <c r="P178" s="110"/>
      <c r="Q178" s="110"/>
      <c r="R178" s="110"/>
      <c r="S178" s="110"/>
      <c r="T178" s="84"/>
      <c r="U178" s="84"/>
      <c r="V178" s="84"/>
      <c r="W178" s="84"/>
      <c r="X178" s="84"/>
      <c r="Y178" s="87"/>
      <c r="Z178" s="71"/>
      <c r="AA178" s="89"/>
      <c r="AB178" s="71"/>
      <c r="AC178" s="71"/>
      <c r="AD178" s="92"/>
      <c r="AE178" s="71"/>
      <c r="AF178" s="71"/>
      <c r="AG178" s="71"/>
      <c r="AH178" s="71"/>
      <c r="AI178" s="71"/>
      <c r="AJ178" s="71"/>
      <c r="AK178" s="71"/>
      <c r="AL178" s="71"/>
      <c r="AM178" s="71"/>
      <c r="AN178" s="71"/>
      <c r="AO178" s="71"/>
      <c r="AP178" s="71"/>
      <c r="AQ178" s="71"/>
      <c r="AR178" s="71"/>
    </row>
    <row r="179" ht="18.75" customHeight="1">
      <c r="A179" s="73"/>
      <c r="B179" s="91"/>
      <c r="C179" s="74"/>
      <c r="D179" s="74"/>
      <c r="E179" s="76"/>
      <c r="F179" s="20"/>
      <c r="G179" s="78"/>
      <c r="H179" s="76"/>
      <c r="I179" s="20"/>
      <c r="J179" s="81"/>
      <c r="K179" s="81" t="str">
        <f t="shared" si="1"/>
        <v>-</v>
      </c>
      <c r="L179" s="110"/>
      <c r="M179" s="110"/>
      <c r="N179" s="110"/>
      <c r="O179" s="110"/>
      <c r="P179" s="110"/>
      <c r="Q179" s="110"/>
      <c r="R179" s="110"/>
      <c r="S179" s="110"/>
      <c r="T179" s="84"/>
      <c r="U179" s="84"/>
      <c r="V179" s="84"/>
      <c r="W179" s="84"/>
      <c r="X179" s="84"/>
      <c r="Y179" s="87"/>
      <c r="Z179" s="71"/>
      <c r="AA179" s="89"/>
      <c r="AB179" s="71"/>
      <c r="AC179" s="71"/>
      <c r="AD179" s="92"/>
      <c r="AE179" s="71"/>
      <c r="AF179" s="71"/>
      <c r="AG179" s="71"/>
      <c r="AH179" s="71"/>
      <c r="AI179" s="71"/>
      <c r="AJ179" s="71"/>
      <c r="AK179" s="71"/>
      <c r="AL179" s="71"/>
      <c r="AM179" s="71"/>
      <c r="AN179" s="71"/>
      <c r="AO179" s="71"/>
      <c r="AP179" s="71"/>
      <c r="AQ179" s="71"/>
      <c r="AR179" s="71"/>
    </row>
    <row r="180" ht="18.75" customHeight="1">
      <c r="A180" s="73"/>
      <c r="B180" s="91"/>
      <c r="C180" s="74"/>
      <c r="D180" s="74"/>
      <c r="E180" s="76"/>
      <c r="F180" s="20"/>
      <c r="G180" s="78"/>
      <c r="H180" s="76"/>
      <c r="I180" s="20"/>
      <c r="J180" s="81"/>
      <c r="K180" s="81" t="str">
        <f t="shared" si="1"/>
        <v>-</v>
      </c>
      <c r="L180" s="110"/>
      <c r="M180" s="110"/>
      <c r="N180" s="110"/>
      <c r="O180" s="110"/>
      <c r="P180" s="110"/>
      <c r="Q180" s="110"/>
      <c r="R180" s="110"/>
      <c r="S180" s="110"/>
      <c r="T180" s="84"/>
      <c r="U180" s="84"/>
      <c r="V180" s="84"/>
      <c r="W180" s="84"/>
      <c r="X180" s="84"/>
      <c r="Y180" s="87"/>
      <c r="Z180" s="71"/>
      <c r="AA180" s="89"/>
      <c r="AB180" s="71"/>
      <c r="AC180" s="71"/>
      <c r="AD180" s="92"/>
      <c r="AE180" s="71"/>
      <c r="AF180" s="71"/>
      <c r="AG180" s="71"/>
      <c r="AH180" s="71"/>
      <c r="AI180" s="71"/>
      <c r="AJ180" s="71"/>
      <c r="AK180" s="71"/>
      <c r="AL180" s="71"/>
      <c r="AM180" s="71"/>
      <c r="AN180" s="71"/>
      <c r="AO180" s="71"/>
      <c r="AP180" s="71"/>
      <c r="AQ180" s="71"/>
      <c r="AR180" s="71"/>
    </row>
    <row r="181" ht="18.75" customHeight="1">
      <c r="A181" s="73"/>
      <c r="B181" s="91"/>
      <c r="C181" s="74"/>
      <c r="D181" s="74"/>
      <c r="E181" s="76"/>
      <c r="F181" s="20"/>
      <c r="G181" s="78"/>
      <c r="H181" s="76"/>
      <c r="I181" s="20"/>
      <c r="J181" s="81"/>
      <c r="K181" s="81" t="str">
        <f t="shared" si="1"/>
        <v>-</v>
      </c>
      <c r="L181" s="110"/>
      <c r="M181" s="110"/>
      <c r="N181" s="110"/>
      <c r="O181" s="110"/>
      <c r="P181" s="110"/>
      <c r="Q181" s="110"/>
      <c r="R181" s="110"/>
      <c r="S181" s="110"/>
      <c r="T181" s="84"/>
      <c r="U181" s="84"/>
      <c r="V181" s="84"/>
      <c r="W181" s="84"/>
      <c r="X181" s="84"/>
      <c r="Y181" s="87"/>
      <c r="Z181" s="71"/>
      <c r="AA181" s="89"/>
      <c r="AB181" s="71"/>
      <c r="AC181" s="71"/>
      <c r="AD181" s="92"/>
      <c r="AE181" s="71"/>
      <c r="AF181" s="71"/>
      <c r="AG181" s="71"/>
      <c r="AH181" s="71"/>
      <c r="AI181" s="71"/>
      <c r="AJ181" s="71"/>
      <c r="AK181" s="71"/>
      <c r="AL181" s="71"/>
      <c r="AM181" s="71"/>
      <c r="AN181" s="71"/>
      <c r="AO181" s="71"/>
      <c r="AP181" s="71"/>
      <c r="AQ181" s="71"/>
      <c r="AR181" s="71"/>
    </row>
    <row r="182" ht="18.75" customHeight="1">
      <c r="A182" s="73"/>
      <c r="B182" s="91"/>
      <c r="C182" s="74"/>
      <c r="D182" s="74"/>
      <c r="E182" s="76"/>
      <c r="F182" s="20"/>
      <c r="G182" s="78"/>
      <c r="H182" s="76"/>
      <c r="I182" s="20"/>
      <c r="J182" s="81"/>
      <c r="K182" s="81" t="str">
        <f t="shared" si="1"/>
        <v>-</v>
      </c>
      <c r="L182" s="110"/>
      <c r="M182" s="110"/>
      <c r="N182" s="110"/>
      <c r="O182" s="110"/>
      <c r="P182" s="110"/>
      <c r="Q182" s="110"/>
      <c r="R182" s="110"/>
      <c r="S182" s="110"/>
      <c r="T182" s="84"/>
      <c r="U182" s="84"/>
      <c r="V182" s="84"/>
      <c r="W182" s="84"/>
      <c r="X182" s="84"/>
      <c r="Y182" s="87"/>
      <c r="Z182" s="71"/>
      <c r="AA182" s="89"/>
      <c r="AB182" s="71"/>
      <c r="AC182" s="71"/>
      <c r="AD182" s="92"/>
      <c r="AE182" s="71"/>
      <c r="AF182" s="71"/>
      <c r="AG182" s="71"/>
      <c r="AH182" s="71"/>
      <c r="AI182" s="71"/>
      <c r="AJ182" s="71"/>
      <c r="AK182" s="71"/>
      <c r="AL182" s="71"/>
      <c r="AM182" s="71"/>
      <c r="AN182" s="71"/>
      <c r="AO182" s="71"/>
      <c r="AP182" s="71"/>
      <c r="AQ182" s="71"/>
      <c r="AR182" s="71"/>
    </row>
    <row r="183" ht="18.75" customHeight="1">
      <c r="A183" s="73"/>
      <c r="B183" s="91"/>
      <c r="C183" s="74"/>
      <c r="D183" s="74"/>
      <c r="E183" s="76"/>
      <c r="F183" s="20"/>
      <c r="G183" s="78"/>
      <c r="H183" s="76"/>
      <c r="I183" s="20"/>
      <c r="J183" s="81"/>
      <c r="K183" s="81" t="str">
        <f t="shared" si="1"/>
        <v>-</v>
      </c>
      <c r="L183" s="110"/>
      <c r="M183" s="110"/>
      <c r="N183" s="110"/>
      <c r="O183" s="110"/>
      <c r="P183" s="110"/>
      <c r="Q183" s="110"/>
      <c r="R183" s="110"/>
      <c r="S183" s="110"/>
      <c r="T183" s="84"/>
      <c r="U183" s="84"/>
      <c r="V183" s="84"/>
      <c r="W183" s="84"/>
      <c r="X183" s="84"/>
      <c r="Y183" s="87"/>
      <c r="Z183" s="71"/>
      <c r="AA183" s="89"/>
      <c r="AB183" s="71"/>
      <c r="AC183" s="71"/>
      <c r="AD183" s="92"/>
      <c r="AE183" s="71"/>
      <c r="AF183" s="71"/>
      <c r="AG183" s="71"/>
      <c r="AH183" s="71"/>
      <c r="AI183" s="71"/>
      <c r="AJ183" s="71"/>
      <c r="AK183" s="71"/>
      <c r="AL183" s="71"/>
      <c r="AM183" s="71"/>
      <c r="AN183" s="71"/>
      <c r="AO183" s="71"/>
      <c r="AP183" s="71"/>
      <c r="AQ183" s="71"/>
      <c r="AR183" s="71"/>
    </row>
    <row r="184" ht="18.75" customHeight="1">
      <c r="A184" s="73"/>
      <c r="B184" s="91"/>
      <c r="C184" s="74"/>
      <c r="D184" s="74"/>
      <c r="E184" s="76"/>
      <c r="F184" s="20"/>
      <c r="G184" s="78"/>
      <c r="H184" s="76"/>
      <c r="I184" s="20"/>
      <c r="J184" s="81"/>
      <c r="K184" s="81" t="str">
        <f t="shared" si="1"/>
        <v>-</v>
      </c>
      <c r="L184" s="110"/>
      <c r="M184" s="110"/>
      <c r="N184" s="110"/>
      <c r="O184" s="110"/>
      <c r="P184" s="110"/>
      <c r="Q184" s="110"/>
      <c r="R184" s="110"/>
      <c r="S184" s="110"/>
      <c r="T184" s="84"/>
      <c r="U184" s="84"/>
      <c r="V184" s="84"/>
      <c r="W184" s="84"/>
      <c r="X184" s="84"/>
      <c r="Y184" s="87"/>
      <c r="Z184" s="71"/>
      <c r="AA184" s="89"/>
      <c r="AB184" s="71"/>
      <c r="AC184" s="71"/>
      <c r="AD184" s="92"/>
      <c r="AE184" s="71"/>
      <c r="AF184" s="71"/>
      <c r="AG184" s="71"/>
      <c r="AH184" s="71"/>
      <c r="AI184" s="71"/>
      <c r="AJ184" s="71"/>
      <c r="AK184" s="71"/>
      <c r="AL184" s="71"/>
      <c r="AM184" s="71"/>
      <c r="AN184" s="71"/>
      <c r="AO184" s="71"/>
      <c r="AP184" s="71"/>
      <c r="AQ184" s="71"/>
      <c r="AR184" s="71"/>
    </row>
    <row r="185" ht="18.75" customHeight="1">
      <c r="A185" s="73"/>
      <c r="B185" s="91"/>
      <c r="C185" s="74"/>
      <c r="D185" s="74"/>
      <c r="E185" s="76"/>
      <c r="F185" s="20"/>
      <c r="G185" s="78"/>
      <c r="H185" s="76"/>
      <c r="I185" s="20"/>
      <c r="J185" s="81"/>
      <c r="K185" s="81" t="str">
        <f t="shared" si="1"/>
        <v>-</v>
      </c>
      <c r="L185" s="110"/>
      <c r="M185" s="110"/>
      <c r="N185" s="110"/>
      <c r="O185" s="110"/>
      <c r="P185" s="110"/>
      <c r="Q185" s="110"/>
      <c r="R185" s="110"/>
      <c r="S185" s="110"/>
      <c r="T185" s="84"/>
      <c r="U185" s="84"/>
      <c r="V185" s="84"/>
      <c r="W185" s="84"/>
      <c r="X185" s="84"/>
      <c r="Y185" s="87"/>
      <c r="Z185" s="71"/>
      <c r="AA185" s="89"/>
      <c r="AB185" s="71"/>
      <c r="AC185" s="71"/>
      <c r="AD185" s="92"/>
      <c r="AE185" s="71"/>
      <c r="AF185" s="71"/>
      <c r="AG185" s="71"/>
      <c r="AH185" s="71"/>
      <c r="AI185" s="71"/>
      <c r="AJ185" s="71"/>
      <c r="AK185" s="71"/>
      <c r="AL185" s="71"/>
      <c r="AM185" s="71"/>
      <c r="AN185" s="71"/>
      <c r="AO185" s="71"/>
      <c r="AP185" s="71"/>
      <c r="AQ185" s="71"/>
      <c r="AR185" s="71"/>
    </row>
    <row r="186" ht="18.75" customHeight="1">
      <c r="A186" s="73"/>
      <c r="B186" s="91"/>
      <c r="C186" s="74"/>
      <c r="D186" s="74"/>
      <c r="E186" s="76"/>
      <c r="F186" s="20"/>
      <c r="G186" s="78"/>
      <c r="H186" s="76"/>
      <c r="I186" s="20"/>
      <c r="J186" s="81"/>
      <c r="K186" s="81" t="str">
        <f t="shared" si="1"/>
        <v>-</v>
      </c>
      <c r="L186" s="110"/>
      <c r="M186" s="110"/>
      <c r="N186" s="110"/>
      <c r="O186" s="110"/>
      <c r="P186" s="110"/>
      <c r="Q186" s="110"/>
      <c r="R186" s="110"/>
      <c r="S186" s="110"/>
      <c r="T186" s="84"/>
      <c r="U186" s="84"/>
      <c r="V186" s="84"/>
      <c r="W186" s="84"/>
      <c r="X186" s="84"/>
      <c r="Y186" s="87"/>
      <c r="Z186" s="71"/>
      <c r="AA186" s="89"/>
      <c r="AB186" s="71"/>
      <c r="AC186" s="71"/>
      <c r="AD186" s="92"/>
      <c r="AE186" s="71"/>
      <c r="AF186" s="71"/>
      <c r="AG186" s="71"/>
      <c r="AH186" s="71"/>
      <c r="AI186" s="71"/>
      <c r="AJ186" s="71"/>
      <c r="AK186" s="71"/>
      <c r="AL186" s="71"/>
      <c r="AM186" s="71"/>
      <c r="AN186" s="71"/>
      <c r="AO186" s="71"/>
      <c r="AP186" s="71"/>
      <c r="AQ186" s="71"/>
      <c r="AR186" s="71"/>
    </row>
    <row r="187" ht="18.75" customHeight="1">
      <c r="A187" s="73"/>
      <c r="B187" s="91"/>
      <c r="C187" s="74"/>
      <c r="D187" s="74"/>
      <c r="E187" s="76"/>
      <c r="F187" s="20"/>
      <c r="G187" s="78"/>
      <c r="H187" s="76"/>
      <c r="I187" s="20"/>
      <c r="J187" s="81"/>
      <c r="K187" s="81" t="str">
        <f t="shared" si="1"/>
        <v>-</v>
      </c>
      <c r="L187" s="110"/>
      <c r="M187" s="110"/>
      <c r="N187" s="110"/>
      <c r="O187" s="110"/>
      <c r="P187" s="110"/>
      <c r="Q187" s="110"/>
      <c r="R187" s="110"/>
      <c r="S187" s="110"/>
      <c r="T187" s="84"/>
      <c r="U187" s="84"/>
      <c r="V187" s="84"/>
      <c r="W187" s="84"/>
      <c r="X187" s="84"/>
      <c r="Y187" s="87"/>
      <c r="Z187" s="71"/>
      <c r="AA187" s="89"/>
      <c r="AB187" s="71"/>
      <c r="AC187" s="71"/>
      <c r="AD187" s="92"/>
      <c r="AE187" s="71"/>
      <c r="AF187" s="71"/>
      <c r="AG187" s="71"/>
      <c r="AH187" s="71"/>
      <c r="AI187" s="71"/>
      <c r="AJ187" s="71"/>
      <c r="AK187" s="71"/>
      <c r="AL187" s="71"/>
      <c r="AM187" s="71"/>
      <c r="AN187" s="71"/>
      <c r="AO187" s="71"/>
      <c r="AP187" s="71"/>
      <c r="AQ187" s="71"/>
      <c r="AR187" s="71"/>
    </row>
    <row r="188" ht="18.75" customHeight="1">
      <c r="A188" s="73"/>
      <c r="B188" s="91"/>
      <c r="C188" s="74"/>
      <c r="D188" s="74"/>
      <c r="E188" s="76"/>
      <c r="F188" s="20"/>
      <c r="G188" s="78"/>
      <c r="H188" s="76"/>
      <c r="I188" s="20"/>
      <c r="J188" s="81"/>
      <c r="K188" s="81" t="str">
        <f t="shared" si="1"/>
        <v>-</v>
      </c>
      <c r="L188" s="110"/>
      <c r="M188" s="110"/>
      <c r="N188" s="110"/>
      <c r="O188" s="110"/>
      <c r="P188" s="110"/>
      <c r="Q188" s="110"/>
      <c r="R188" s="110"/>
      <c r="S188" s="110"/>
      <c r="T188" s="84"/>
      <c r="U188" s="84"/>
      <c r="V188" s="84"/>
      <c r="W188" s="84"/>
      <c r="X188" s="84"/>
      <c r="Y188" s="87"/>
      <c r="Z188" s="71"/>
      <c r="AA188" s="89"/>
      <c r="AB188" s="71"/>
      <c r="AC188" s="71"/>
      <c r="AD188" s="92"/>
      <c r="AE188" s="71"/>
      <c r="AF188" s="71"/>
      <c r="AG188" s="71"/>
      <c r="AH188" s="71"/>
      <c r="AI188" s="71"/>
      <c r="AJ188" s="71"/>
      <c r="AK188" s="71"/>
      <c r="AL188" s="71"/>
      <c r="AM188" s="71"/>
      <c r="AN188" s="71"/>
      <c r="AO188" s="71"/>
      <c r="AP188" s="71"/>
      <c r="AQ188" s="71"/>
      <c r="AR188" s="71"/>
    </row>
    <row r="189" ht="18.75" customHeight="1">
      <c r="A189" s="73"/>
      <c r="B189" s="91"/>
      <c r="C189" s="74"/>
      <c r="D189" s="74"/>
      <c r="E189" s="76"/>
      <c r="F189" s="20"/>
      <c r="G189" s="78"/>
      <c r="H189" s="76"/>
      <c r="I189" s="20"/>
      <c r="J189" s="81"/>
      <c r="K189" s="81" t="str">
        <f t="shared" si="1"/>
        <v>-</v>
      </c>
      <c r="L189" s="110"/>
      <c r="M189" s="110"/>
      <c r="N189" s="110"/>
      <c r="O189" s="110"/>
      <c r="P189" s="110"/>
      <c r="Q189" s="110"/>
      <c r="R189" s="110"/>
      <c r="S189" s="110"/>
      <c r="T189" s="84"/>
      <c r="U189" s="84"/>
      <c r="V189" s="84"/>
      <c r="W189" s="84"/>
      <c r="X189" s="84"/>
      <c r="Y189" s="87"/>
      <c r="Z189" s="71"/>
      <c r="AA189" s="89"/>
      <c r="AB189" s="71"/>
      <c r="AC189" s="71"/>
      <c r="AD189" s="92"/>
      <c r="AE189" s="71"/>
      <c r="AF189" s="71"/>
      <c r="AG189" s="71"/>
      <c r="AH189" s="71"/>
      <c r="AI189" s="71"/>
      <c r="AJ189" s="71"/>
      <c r="AK189" s="71"/>
      <c r="AL189" s="71"/>
      <c r="AM189" s="71"/>
      <c r="AN189" s="71"/>
      <c r="AO189" s="71"/>
      <c r="AP189" s="71"/>
      <c r="AQ189" s="71"/>
      <c r="AR189" s="71"/>
    </row>
    <row r="190" ht="18.75" customHeight="1">
      <c r="A190" s="73"/>
      <c r="B190" s="91"/>
      <c r="C190" s="74"/>
      <c r="D190" s="74"/>
      <c r="E190" s="76"/>
      <c r="F190" s="20"/>
      <c r="G190" s="78"/>
      <c r="H190" s="76"/>
      <c r="I190" s="20"/>
      <c r="J190" s="81"/>
      <c r="K190" s="81" t="str">
        <f t="shared" si="1"/>
        <v>-</v>
      </c>
      <c r="L190" s="110"/>
      <c r="M190" s="110"/>
      <c r="N190" s="110"/>
      <c r="O190" s="110"/>
      <c r="P190" s="110"/>
      <c r="Q190" s="110"/>
      <c r="R190" s="110"/>
      <c r="S190" s="110"/>
      <c r="T190" s="84"/>
      <c r="U190" s="84"/>
      <c r="V190" s="84"/>
      <c r="W190" s="84"/>
      <c r="X190" s="84"/>
      <c r="Y190" s="87"/>
      <c r="Z190" s="71"/>
      <c r="AA190" s="89"/>
      <c r="AB190" s="71"/>
      <c r="AC190" s="71"/>
      <c r="AD190" s="92"/>
      <c r="AE190" s="71"/>
      <c r="AF190" s="71"/>
      <c r="AG190" s="71"/>
      <c r="AH190" s="71"/>
      <c r="AI190" s="71"/>
      <c r="AJ190" s="71"/>
      <c r="AK190" s="71"/>
      <c r="AL190" s="71"/>
      <c r="AM190" s="71"/>
      <c r="AN190" s="71"/>
      <c r="AO190" s="71"/>
      <c r="AP190" s="71"/>
      <c r="AQ190" s="71"/>
      <c r="AR190" s="71"/>
    </row>
    <row r="191" ht="18.75" customHeight="1">
      <c r="A191" s="73"/>
      <c r="B191" s="91"/>
      <c r="C191" s="74"/>
      <c r="D191" s="74"/>
      <c r="E191" s="76"/>
      <c r="F191" s="20"/>
      <c r="G191" s="78"/>
      <c r="H191" s="76"/>
      <c r="I191" s="20"/>
      <c r="J191" s="81"/>
      <c r="K191" s="81" t="str">
        <f t="shared" si="1"/>
        <v>-</v>
      </c>
      <c r="L191" s="110"/>
      <c r="M191" s="110"/>
      <c r="N191" s="110"/>
      <c r="O191" s="110"/>
      <c r="P191" s="110"/>
      <c r="Q191" s="110"/>
      <c r="R191" s="110"/>
      <c r="S191" s="110"/>
      <c r="T191" s="84"/>
      <c r="U191" s="84"/>
      <c r="V191" s="84"/>
      <c r="W191" s="84"/>
      <c r="X191" s="84"/>
      <c r="Y191" s="87"/>
      <c r="Z191" s="71"/>
      <c r="AA191" s="89"/>
      <c r="AB191" s="71"/>
      <c r="AC191" s="71"/>
      <c r="AD191" s="92"/>
      <c r="AE191" s="71"/>
      <c r="AF191" s="71"/>
      <c r="AG191" s="71"/>
      <c r="AH191" s="71"/>
      <c r="AI191" s="71"/>
      <c r="AJ191" s="71"/>
      <c r="AK191" s="71"/>
      <c r="AL191" s="71"/>
      <c r="AM191" s="71"/>
      <c r="AN191" s="71"/>
      <c r="AO191" s="71"/>
      <c r="AP191" s="71"/>
      <c r="AQ191" s="71"/>
      <c r="AR191" s="71"/>
    </row>
    <row r="192" ht="18.75" customHeight="1">
      <c r="A192" s="73"/>
      <c r="B192" s="91"/>
      <c r="C192" s="74"/>
      <c r="D192" s="74"/>
      <c r="E192" s="76"/>
      <c r="F192" s="20"/>
      <c r="G192" s="78"/>
      <c r="H192" s="76"/>
      <c r="I192" s="20"/>
      <c r="J192" s="81"/>
      <c r="K192" s="81" t="str">
        <f t="shared" si="1"/>
        <v>-</v>
      </c>
      <c r="L192" s="110"/>
      <c r="M192" s="110"/>
      <c r="N192" s="110"/>
      <c r="O192" s="110"/>
      <c r="P192" s="110"/>
      <c r="Q192" s="110"/>
      <c r="R192" s="110"/>
      <c r="S192" s="110"/>
      <c r="T192" s="84"/>
      <c r="U192" s="84"/>
      <c r="V192" s="84"/>
      <c r="W192" s="84"/>
      <c r="X192" s="84"/>
      <c r="Y192" s="87"/>
      <c r="Z192" s="71"/>
      <c r="AA192" s="89"/>
      <c r="AB192" s="71"/>
      <c r="AC192" s="71"/>
      <c r="AD192" s="92"/>
      <c r="AE192" s="71"/>
      <c r="AF192" s="71"/>
      <c r="AG192" s="71"/>
      <c r="AH192" s="71"/>
      <c r="AI192" s="71"/>
      <c r="AJ192" s="71"/>
      <c r="AK192" s="71"/>
      <c r="AL192" s="71"/>
      <c r="AM192" s="71"/>
      <c r="AN192" s="71"/>
      <c r="AO192" s="71"/>
      <c r="AP192" s="71"/>
      <c r="AQ192" s="71"/>
      <c r="AR192" s="71"/>
    </row>
    <row r="193" ht="18.75" customHeight="1">
      <c r="A193" s="73"/>
      <c r="B193" s="91"/>
      <c r="C193" s="74"/>
      <c r="D193" s="74"/>
      <c r="E193" s="76"/>
      <c r="F193" s="20"/>
      <c r="G193" s="78"/>
      <c r="H193" s="76"/>
      <c r="I193" s="20"/>
      <c r="J193" s="81"/>
      <c r="K193" s="81" t="str">
        <f t="shared" si="1"/>
        <v>-</v>
      </c>
      <c r="L193" s="110"/>
      <c r="M193" s="110"/>
      <c r="N193" s="110"/>
      <c r="O193" s="110"/>
      <c r="P193" s="110"/>
      <c r="Q193" s="110"/>
      <c r="R193" s="110"/>
      <c r="S193" s="110"/>
      <c r="T193" s="84"/>
      <c r="U193" s="84"/>
      <c r="V193" s="84"/>
      <c r="W193" s="84"/>
      <c r="X193" s="84"/>
      <c r="Y193" s="87"/>
      <c r="Z193" s="71"/>
      <c r="AA193" s="89"/>
      <c r="AB193" s="71"/>
      <c r="AC193" s="71"/>
      <c r="AD193" s="92"/>
      <c r="AE193" s="71"/>
      <c r="AF193" s="71"/>
      <c r="AG193" s="71"/>
      <c r="AH193" s="71"/>
      <c r="AI193" s="71"/>
      <c r="AJ193" s="71"/>
      <c r="AK193" s="71"/>
      <c r="AL193" s="71"/>
      <c r="AM193" s="71"/>
      <c r="AN193" s="71"/>
      <c r="AO193" s="71"/>
      <c r="AP193" s="71"/>
      <c r="AQ193" s="71"/>
      <c r="AR193" s="71"/>
    </row>
    <row r="194" ht="18.75" customHeight="1">
      <c r="A194" s="73"/>
      <c r="B194" s="91"/>
      <c r="C194" s="74"/>
      <c r="D194" s="74"/>
      <c r="E194" s="76"/>
      <c r="F194" s="20"/>
      <c r="G194" s="78"/>
      <c r="H194" s="76"/>
      <c r="I194" s="20"/>
      <c r="J194" s="81"/>
      <c r="K194" s="81" t="str">
        <f t="shared" si="1"/>
        <v>-</v>
      </c>
      <c r="L194" s="110"/>
      <c r="M194" s="110"/>
      <c r="N194" s="110"/>
      <c r="O194" s="110"/>
      <c r="P194" s="110"/>
      <c r="Q194" s="110"/>
      <c r="R194" s="110"/>
      <c r="S194" s="110"/>
      <c r="T194" s="84"/>
      <c r="U194" s="84"/>
      <c r="V194" s="84"/>
      <c r="W194" s="84"/>
      <c r="X194" s="84"/>
      <c r="Y194" s="87"/>
      <c r="Z194" s="71"/>
      <c r="AA194" s="89"/>
      <c r="AB194" s="71"/>
      <c r="AC194" s="71"/>
      <c r="AD194" s="92"/>
      <c r="AE194" s="71"/>
      <c r="AF194" s="71"/>
      <c r="AG194" s="71"/>
      <c r="AH194" s="71"/>
      <c r="AI194" s="71"/>
      <c r="AJ194" s="71"/>
      <c r="AK194" s="71"/>
      <c r="AL194" s="71"/>
      <c r="AM194" s="71"/>
      <c r="AN194" s="71"/>
      <c r="AO194" s="71"/>
      <c r="AP194" s="71"/>
      <c r="AQ194" s="71"/>
      <c r="AR194" s="71"/>
    </row>
    <row r="195" ht="18.75" customHeight="1">
      <c r="A195" s="73"/>
      <c r="B195" s="91"/>
      <c r="C195" s="74"/>
      <c r="D195" s="74"/>
      <c r="E195" s="76"/>
      <c r="F195" s="20"/>
      <c r="G195" s="78"/>
      <c r="H195" s="76"/>
      <c r="I195" s="20"/>
      <c r="J195" s="81"/>
      <c r="K195" s="81" t="str">
        <f t="shared" si="1"/>
        <v>-</v>
      </c>
      <c r="L195" s="110"/>
      <c r="M195" s="110"/>
      <c r="N195" s="110"/>
      <c r="O195" s="110"/>
      <c r="P195" s="110"/>
      <c r="Q195" s="110"/>
      <c r="R195" s="110"/>
      <c r="S195" s="110"/>
      <c r="T195" s="84"/>
      <c r="U195" s="84"/>
      <c r="V195" s="84"/>
      <c r="W195" s="84"/>
      <c r="X195" s="84"/>
      <c r="Y195" s="87"/>
      <c r="Z195" s="71"/>
      <c r="AA195" s="89"/>
      <c r="AB195" s="71"/>
      <c r="AC195" s="71"/>
      <c r="AD195" s="92"/>
      <c r="AE195" s="71"/>
      <c r="AF195" s="71"/>
      <c r="AG195" s="71"/>
      <c r="AH195" s="71"/>
      <c r="AI195" s="71"/>
      <c r="AJ195" s="71"/>
      <c r="AK195" s="71"/>
      <c r="AL195" s="71"/>
      <c r="AM195" s="71"/>
      <c r="AN195" s="71"/>
      <c r="AO195" s="71"/>
      <c r="AP195" s="71"/>
      <c r="AQ195" s="71"/>
      <c r="AR195" s="71"/>
    </row>
    <row r="196" ht="18.75" customHeight="1">
      <c r="A196" s="73"/>
      <c r="B196" s="91"/>
      <c r="C196" s="74"/>
      <c r="D196" s="74"/>
      <c r="E196" s="76"/>
      <c r="F196" s="20"/>
      <c r="G196" s="78"/>
      <c r="H196" s="76"/>
      <c r="I196" s="20"/>
      <c r="J196" s="81"/>
      <c r="K196" s="81" t="str">
        <f t="shared" si="1"/>
        <v>-</v>
      </c>
      <c r="L196" s="110"/>
      <c r="M196" s="110"/>
      <c r="N196" s="110"/>
      <c r="O196" s="110"/>
      <c r="P196" s="110"/>
      <c r="Q196" s="110"/>
      <c r="R196" s="110"/>
      <c r="S196" s="110"/>
      <c r="T196" s="84"/>
      <c r="U196" s="84"/>
      <c r="V196" s="84"/>
      <c r="W196" s="84"/>
      <c r="X196" s="84"/>
      <c r="Y196" s="87"/>
      <c r="Z196" s="71"/>
      <c r="AA196" s="89"/>
      <c r="AB196" s="71"/>
      <c r="AC196" s="71"/>
      <c r="AD196" s="92"/>
      <c r="AE196" s="71"/>
      <c r="AF196" s="71"/>
      <c r="AG196" s="71"/>
      <c r="AH196" s="71"/>
      <c r="AI196" s="71"/>
      <c r="AJ196" s="71"/>
      <c r="AK196" s="71"/>
      <c r="AL196" s="71"/>
      <c r="AM196" s="71"/>
      <c r="AN196" s="71"/>
      <c r="AO196" s="71"/>
      <c r="AP196" s="71"/>
      <c r="AQ196" s="71"/>
      <c r="AR196" s="71"/>
    </row>
    <row r="197" ht="18.75" customHeight="1">
      <c r="A197" s="73"/>
      <c r="B197" s="91"/>
      <c r="C197" s="74"/>
      <c r="D197" s="74"/>
      <c r="E197" s="76"/>
      <c r="F197" s="20"/>
      <c r="G197" s="78"/>
      <c r="H197" s="76"/>
      <c r="I197" s="20"/>
      <c r="J197" s="81"/>
      <c r="K197" s="81" t="str">
        <f t="shared" si="1"/>
        <v>-</v>
      </c>
      <c r="L197" s="110"/>
      <c r="M197" s="110"/>
      <c r="N197" s="110"/>
      <c r="O197" s="110"/>
      <c r="P197" s="110"/>
      <c r="Q197" s="110"/>
      <c r="R197" s="110"/>
      <c r="S197" s="110"/>
      <c r="T197" s="84"/>
      <c r="U197" s="84"/>
      <c r="V197" s="84"/>
      <c r="W197" s="84"/>
      <c r="X197" s="84"/>
      <c r="Y197" s="87"/>
      <c r="Z197" s="71"/>
      <c r="AA197" s="89"/>
      <c r="AB197" s="71"/>
      <c r="AC197" s="71"/>
      <c r="AD197" s="92"/>
      <c r="AE197" s="71"/>
      <c r="AF197" s="71"/>
      <c r="AG197" s="71"/>
      <c r="AH197" s="71"/>
      <c r="AI197" s="71"/>
      <c r="AJ197" s="71"/>
      <c r="AK197" s="71"/>
      <c r="AL197" s="71"/>
      <c r="AM197" s="71"/>
      <c r="AN197" s="71"/>
      <c r="AO197" s="71"/>
      <c r="AP197" s="71"/>
      <c r="AQ197" s="71"/>
      <c r="AR197" s="71"/>
    </row>
    <row r="198" ht="18.75" customHeight="1">
      <c r="A198" s="73"/>
      <c r="B198" s="91"/>
      <c r="C198" s="74"/>
      <c r="D198" s="74"/>
      <c r="E198" s="76"/>
      <c r="F198" s="20"/>
      <c r="G198" s="78"/>
      <c r="H198" s="76"/>
      <c r="I198" s="20"/>
      <c r="J198" s="81"/>
      <c r="K198" s="81" t="str">
        <f t="shared" si="1"/>
        <v>-</v>
      </c>
      <c r="L198" s="110"/>
      <c r="M198" s="110"/>
      <c r="N198" s="110"/>
      <c r="O198" s="110"/>
      <c r="P198" s="110"/>
      <c r="Q198" s="110"/>
      <c r="R198" s="110"/>
      <c r="S198" s="110"/>
      <c r="T198" s="84"/>
      <c r="U198" s="84"/>
      <c r="V198" s="84"/>
      <c r="W198" s="84"/>
      <c r="X198" s="84"/>
      <c r="Y198" s="87"/>
      <c r="Z198" s="71"/>
      <c r="AA198" s="89"/>
      <c r="AB198" s="71"/>
      <c r="AC198" s="71"/>
      <c r="AD198" s="92"/>
      <c r="AE198" s="71"/>
      <c r="AF198" s="71"/>
      <c r="AG198" s="71"/>
      <c r="AH198" s="71"/>
      <c r="AI198" s="71"/>
      <c r="AJ198" s="71"/>
      <c r="AK198" s="71"/>
      <c r="AL198" s="71"/>
      <c r="AM198" s="71"/>
      <c r="AN198" s="71"/>
      <c r="AO198" s="71"/>
      <c r="AP198" s="71"/>
      <c r="AQ198" s="71"/>
      <c r="AR198" s="71"/>
    </row>
    <row r="199" ht="18.75" customHeight="1">
      <c r="A199" s="73"/>
      <c r="B199" s="91"/>
      <c r="C199" s="74"/>
      <c r="D199" s="74"/>
      <c r="E199" s="76"/>
      <c r="F199" s="20"/>
      <c r="G199" s="78"/>
      <c r="H199" s="76"/>
      <c r="I199" s="20"/>
      <c r="J199" s="81"/>
      <c r="K199" s="81" t="str">
        <f t="shared" si="1"/>
        <v>-</v>
      </c>
      <c r="L199" s="110"/>
      <c r="M199" s="110"/>
      <c r="N199" s="110"/>
      <c r="O199" s="110"/>
      <c r="P199" s="110"/>
      <c r="Q199" s="110"/>
      <c r="R199" s="110"/>
      <c r="S199" s="110"/>
      <c r="T199" s="84"/>
      <c r="U199" s="84"/>
      <c r="V199" s="84"/>
      <c r="W199" s="84"/>
      <c r="X199" s="84"/>
      <c r="Y199" s="87"/>
      <c r="Z199" s="71"/>
      <c r="AA199" s="89"/>
      <c r="AB199" s="71"/>
      <c r="AC199" s="71"/>
      <c r="AD199" s="92"/>
      <c r="AE199" s="71"/>
      <c r="AF199" s="71"/>
      <c r="AG199" s="71"/>
      <c r="AH199" s="71"/>
      <c r="AI199" s="71"/>
      <c r="AJ199" s="71"/>
      <c r="AK199" s="71"/>
      <c r="AL199" s="71"/>
      <c r="AM199" s="71"/>
      <c r="AN199" s="71"/>
      <c r="AO199" s="71"/>
      <c r="AP199" s="71"/>
      <c r="AQ199" s="71"/>
      <c r="AR199" s="71"/>
    </row>
    <row r="200" ht="18.75" customHeight="1">
      <c r="A200" s="73"/>
      <c r="B200" s="91"/>
      <c r="C200" s="74"/>
      <c r="D200" s="74"/>
      <c r="E200" s="76"/>
      <c r="F200" s="20"/>
      <c r="G200" s="78"/>
      <c r="H200" s="76"/>
      <c r="I200" s="20"/>
      <c r="J200" s="81"/>
      <c r="K200" s="81" t="str">
        <f t="shared" si="1"/>
        <v>-</v>
      </c>
      <c r="L200" s="110"/>
      <c r="M200" s="110"/>
      <c r="N200" s="110"/>
      <c r="O200" s="110"/>
      <c r="P200" s="110"/>
      <c r="Q200" s="110"/>
      <c r="R200" s="110"/>
      <c r="S200" s="110"/>
      <c r="T200" s="84"/>
      <c r="U200" s="84"/>
      <c r="V200" s="84"/>
      <c r="W200" s="84"/>
      <c r="X200" s="84"/>
      <c r="Y200" s="87"/>
      <c r="Z200" s="71"/>
      <c r="AA200" s="89"/>
      <c r="AB200" s="71"/>
      <c r="AC200" s="71"/>
      <c r="AD200" s="92"/>
      <c r="AE200" s="71"/>
      <c r="AF200" s="71"/>
      <c r="AG200" s="71"/>
      <c r="AH200" s="71"/>
      <c r="AI200" s="71"/>
      <c r="AJ200" s="71"/>
      <c r="AK200" s="71"/>
      <c r="AL200" s="71"/>
      <c r="AM200" s="71"/>
      <c r="AN200" s="71"/>
      <c r="AO200" s="71"/>
      <c r="AP200" s="71"/>
      <c r="AQ200" s="71"/>
      <c r="AR200" s="71"/>
    </row>
    <row r="201" ht="18.75" customHeight="1">
      <c r="A201" s="73"/>
      <c r="B201" s="91"/>
      <c r="C201" s="74"/>
      <c r="D201" s="74"/>
      <c r="E201" s="76"/>
      <c r="F201" s="20"/>
      <c r="G201" s="78"/>
      <c r="H201" s="76"/>
      <c r="I201" s="20"/>
      <c r="J201" s="81"/>
      <c r="K201" s="81" t="str">
        <f t="shared" si="1"/>
        <v>-</v>
      </c>
      <c r="L201" s="110"/>
      <c r="M201" s="110"/>
      <c r="N201" s="110"/>
      <c r="O201" s="110"/>
      <c r="P201" s="110"/>
      <c r="Q201" s="110"/>
      <c r="R201" s="110"/>
      <c r="S201" s="110"/>
      <c r="T201" s="84"/>
      <c r="U201" s="84"/>
      <c r="V201" s="84"/>
      <c r="W201" s="84"/>
      <c r="X201" s="84"/>
      <c r="Y201" s="87"/>
      <c r="Z201" s="71"/>
      <c r="AA201" s="89"/>
      <c r="AB201" s="71"/>
      <c r="AC201" s="71"/>
      <c r="AD201" s="92"/>
      <c r="AE201" s="71"/>
      <c r="AF201" s="71"/>
      <c r="AG201" s="71"/>
      <c r="AH201" s="71"/>
      <c r="AI201" s="71"/>
      <c r="AJ201" s="71"/>
      <c r="AK201" s="71"/>
      <c r="AL201" s="71"/>
      <c r="AM201" s="71"/>
      <c r="AN201" s="71"/>
      <c r="AO201" s="71"/>
      <c r="AP201" s="71"/>
      <c r="AQ201" s="71"/>
      <c r="AR201" s="71"/>
    </row>
    <row r="202" ht="18.75" customHeight="1">
      <c r="A202" s="73"/>
      <c r="B202" s="91"/>
      <c r="C202" s="74"/>
      <c r="D202" s="74"/>
      <c r="E202" s="76"/>
      <c r="F202" s="20"/>
      <c r="G202" s="78"/>
      <c r="H202" s="76"/>
      <c r="I202" s="20"/>
      <c r="J202" s="81"/>
      <c r="K202" s="81" t="str">
        <f t="shared" si="1"/>
        <v>-</v>
      </c>
      <c r="L202" s="110"/>
      <c r="M202" s="110"/>
      <c r="N202" s="110"/>
      <c r="O202" s="110"/>
      <c r="P202" s="110"/>
      <c r="Q202" s="110"/>
      <c r="R202" s="110"/>
      <c r="S202" s="110"/>
      <c r="T202" s="84"/>
      <c r="U202" s="84"/>
      <c r="V202" s="84"/>
      <c r="W202" s="84"/>
      <c r="X202" s="84"/>
      <c r="Y202" s="87"/>
      <c r="Z202" s="71"/>
      <c r="AA202" s="89"/>
      <c r="AB202" s="71"/>
      <c r="AC202" s="71"/>
      <c r="AD202" s="92"/>
      <c r="AE202" s="71"/>
      <c r="AF202" s="71"/>
      <c r="AG202" s="71"/>
      <c r="AH202" s="71"/>
      <c r="AI202" s="71"/>
      <c r="AJ202" s="71"/>
      <c r="AK202" s="71"/>
      <c r="AL202" s="71"/>
      <c r="AM202" s="71"/>
      <c r="AN202" s="71"/>
      <c r="AO202" s="71"/>
      <c r="AP202" s="71"/>
      <c r="AQ202" s="71"/>
      <c r="AR202" s="71"/>
    </row>
    <row r="203" ht="18.75" customHeight="1">
      <c r="A203" s="73"/>
      <c r="B203" s="91"/>
      <c r="C203" s="74"/>
      <c r="D203" s="74"/>
      <c r="E203" s="76"/>
      <c r="F203" s="20"/>
      <c r="G203" s="78"/>
      <c r="H203" s="76"/>
      <c r="I203" s="20"/>
      <c r="J203" s="81"/>
      <c r="K203" s="81" t="str">
        <f t="shared" si="1"/>
        <v>-</v>
      </c>
      <c r="L203" s="110"/>
      <c r="M203" s="110"/>
      <c r="N203" s="110"/>
      <c r="O203" s="110"/>
      <c r="P203" s="110"/>
      <c r="Q203" s="110"/>
      <c r="R203" s="110"/>
      <c r="S203" s="110"/>
      <c r="T203" s="84"/>
      <c r="U203" s="84"/>
      <c r="V203" s="84"/>
      <c r="W203" s="84"/>
      <c r="X203" s="84"/>
      <c r="Y203" s="87"/>
      <c r="Z203" s="71"/>
      <c r="AA203" s="89"/>
      <c r="AB203" s="71"/>
      <c r="AC203" s="71"/>
      <c r="AD203" s="92"/>
      <c r="AE203" s="71"/>
      <c r="AF203" s="71"/>
      <c r="AG203" s="71"/>
      <c r="AH203" s="71"/>
      <c r="AI203" s="71"/>
      <c r="AJ203" s="71"/>
      <c r="AK203" s="71"/>
      <c r="AL203" s="71"/>
      <c r="AM203" s="71"/>
      <c r="AN203" s="71"/>
      <c r="AO203" s="71"/>
      <c r="AP203" s="71"/>
      <c r="AQ203" s="71"/>
      <c r="AR203" s="71"/>
    </row>
    <row r="204" ht="18.75" customHeight="1">
      <c r="A204" s="73"/>
      <c r="B204" s="91"/>
      <c r="C204" s="74"/>
      <c r="D204" s="74"/>
      <c r="E204" s="76"/>
      <c r="F204" s="20"/>
      <c r="G204" s="78"/>
      <c r="H204" s="76"/>
      <c r="I204" s="20"/>
      <c r="J204" s="81"/>
      <c r="K204" s="81" t="str">
        <f t="shared" si="1"/>
        <v>-</v>
      </c>
      <c r="L204" s="110"/>
      <c r="M204" s="110"/>
      <c r="N204" s="110"/>
      <c r="O204" s="110"/>
      <c r="P204" s="110"/>
      <c r="Q204" s="110"/>
      <c r="R204" s="110"/>
      <c r="S204" s="110"/>
      <c r="T204" s="84"/>
      <c r="U204" s="84"/>
      <c r="V204" s="84"/>
      <c r="W204" s="84"/>
      <c r="X204" s="84"/>
      <c r="Y204" s="87"/>
      <c r="Z204" s="71"/>
      <c r="AA204" s="89"/>
      <c r="AB204" s="71"/>
      <c r="AC204" s="71"/>
      <c r="AD204" s="92"/>
      <c r="AE204" s="71"/>
      <c r="AF204" s="71"/>
      <c r="AG204" s="71"/>
      <c r="AH204" s="71"/>
      <c r="AI204" s="71"/>
      <c r="AJ204" s="71"/>
      <c r="AK204" s="71"/>
      <c r="AL204" s="71"/>
      <c r="AM204" s="71"/>
      <c r="AN204" s="71"/>
      <c r="AO204" s="71"/>
      <c r="AP204" s="71"/>
      <c r="AQ204" s="71"/>
      <c r="AR204" s="71"/>
    </row>
    <row r="205" ht="18.75" customHeight="1">
      <c r="A205" s="73"/>
      <c r="B205" s="91"/>
      <c r="C205" s="74"/>
      <c r="D205" s="74"/>
      <c r="E205" s="76"/>
      <c r="F205" s="20"/>
      <c r="G205" s="78"/>
      <c r="H205" s="76"/>
      <c r="I205" s="20"/>
      <c r="J205" s="81"/>
      <c r="K205" s="81" t="str">
        <f t="shared" si="1"/>
        <v>-</v>
      </c>
      <c r="L205" s="110"/>
      <c r="M205" s="110"/>
      <c r="N205" s="110"/>
      <c r="O205" s="110"/>
      <c r="P205" s="110"/>
      <c r="Q205" s="110"/>
      <c r="R205" s="110"/>
      <c r="S205" s="110"/>
      <c r="T205" s="84"/>
      <c r="U205" s="84"/>
      <c r="V205" s="84"/>
      <c r="W205" s="84"/>
      <c r="X205" s="84"/>
      <c r="Y205" s="87"/>
      <c r="Z205" s="71"/>
      <c r="AA205" s="89"/>
      <c r="AB205" s="71"/>
      <c r="AC205" s="71"/>
      <c r="AD205" s="92"/>
      <c r="AE205" s="71"/>
      <c r="AF205" s="71"/>
      <c r="AG205" s="71"/>
      <c r="AH205" s="71"/>
      <c r="AI205" s="71"/>
      <c r="AJ205" s="71"/>
      <c r="AK205" s="71"/>
      <c r="AL205" s="71"/>
      <c r="AM205" s="71"/>
      <c r="AN205" s="71"/>
      <c r="AO205" s="71"/>
      <c r="AP205" s="71"/>
      <c r="AQ205" s="71"/>
      <c r="AR205" s="71"/>
    </row>
    <row r="206" ht="18.75" customHeight="1">
      <c r="A206" s="73"/>
      <c r="B206" s="91"/>
      <c r="C206" s="74"/>
      <c r="D206" s="74"/>
      <c r="E206" s="76"/>
      <c r="F206" s="20"/>
      <c r="G206" s="78"/>
      <c r="H206" s="76"/>
      <c r="I206" s="20"/>
      <c r="J206" s="81"/>
      <c r="K206" s="81" t="str">
        <f t="shared" si="1"/>
        <v>-</v>
      </c>
      <c r="L206" s="110"/>
      <c r="M206" s="110"/>
      <c r="N206" s="110"/>
      <c r="O206" s="110"/>
      <c r="P206" s="110"/>
      <c r="Q206" s="110"/>
      <c r="R206" s="110"/>
      <c r="S206" s="110"/>
      <c r="T206" s="84"/>
      <c r="U206" s="84"/>
      <c r="V206" s="84"/>
      <c r="W206" s="84"/>
      <c r="X206" s="84"/>
      <c r="Y206" s="87"/>
      <c r="Z206" s="71"/>
      <c r="AA206" s="89"/>
      <c r="AB206" s="71"/>
      <c r="AC206" s="71"/>
      <c r="AD206" s="92"/>
      <c r="AE206" s="71"/>
      <c r="AF206" s="71"/>
      <c r="AG206" s="71"/>
      <c r="AH206" s="71"/>
      <c r="AI206" s="71"/>
      <c r="AJ206" s="71"/>
      <c r="AK206" s="71"/>
      <c r="AL206" s="71"/>
      <c r="AM206" s="71"/>
      <c r="AN206" s="71"/>
      <c r="AO206" s="71"/>
      <c r="AP206" s="71"/>
      <c r="AQ206" s="71"/>
      <c r="AR206" s="71"/>
    </row>
    <row r="207" ht="18.75" customHeight="1">
      <c r="A207" s="73"/>
      <c r="B207" s="91"/>
      <c r="C207" s="74"/>
      <c r="D207" s="74"/>
      <c r="E207" s="76"/>
      <c r="F207" s="20"/>
      <c r="G207" s="78"/>
      <c r="H207" s="76"/>
      <c r="I207" s="20"/>
      <c r="J207" s="81"/>
      <c r="K207" s="81" t="str">
        <f t="shared" si="1"/>
        <v>-</v>
      </c>
      <c r="L207" s="110"/>
      <c r="M207" s="110"/>
      <c r="N207" s="110"/>
      <c r="O207" s="110"/>
      <c r="P207" s="110"/>
      <c r="Q207" s="110"/>
      <c r="R207" s="110"/>
      <c r="S207" s="110"/>
      <c r="T207" s="84"/>
      <c r="U207" s="84"/>
      <c r="V207" s="84"/>
      <c r="W207" s="84"/>
      <c r="X207" s="84"/>
      <c r="Y207" s="87"/>
      <c r="Z207" s="71"/>
      <c r="AA207" s="89"/>
      <c r="AB207" s="71"/>
      <c r="AC207" s="71"/>
      <c r="AD207" s="92"/>
      <c r="AE207" s="71"/>
      <c r="AF207" s="71"/>
      <c r="AG207" s="71"/>
      <c r="AH207" s="71"/>
      <c r="AI207" s="71"/>
      <c r="AJ207" s="71"/>
      <c r="AK207" s="71"/>
      <c r="AL207" s="71"/>
      <c r="AM207" s="71"/>
      <c r="AN207" s="71"/>
      <c r="AO207" s="71"/>
      <c r="AP207" s="71"/>
      <c r="AQ207" s="71"/>
      <c r="AR207" s="71"/>
    </row>
    <row r="208" ht="18.75" customHeight="1">
      <c r="A208" s="73"/>
      <c r="B208" s="91"/>
      <c r="C208" s="74"/>
      <c r="D208" s="74"/>
      <c r="E208" s="76"/>
      <c r="F208" s="20"/>
      <c r="G208" s="78"/>
      <c r="H208" s="76"/>
      <c r="I208" s="20"/>
      <c r="J208" s="81"/>
      <c r="K208" s="81" t="str">
        <f t="shared" si="1"/>
        <v>-</v>
      </c>
      <c r="L208" s="110"/>
      <c r="M208" s="110"/>
      <c r="N208" s="110"/>
      <c r="O208" s="110"/>
      <c r="P208" s="110"/>
      <c r="Q208" s="110"/>
      <c r="R208" s="110"/>
      <c r="S208" s="110"/>
      <c r="T208" s="84"/>
      <c r="U208" s="84"/>
      <c r="V208" s="84"/>
      <c r="W208" s="84"/>
      <c r="X208" s="84"/>
      <c r="Y208" s="87"/>
      <c r="Z208" s="71"/>
      <c r="AA208" s="89"/>
      <c r="AB208" s="71"/>
      <c r="AC208" s="71"/>
      <c r="AD208" s="92"/>
      <c r="AE208" s="71"/>
      <c r="AF208" s="71"/>
      <c r="AG208" s="71"/>
      <c r="AH208" s="71"/>
      <c r="AI208" s="71"/>
      <c r="AJ208" s="71"/>
      <c r="AK208" s="71"/>
      <c r="AL208" s="71"/>
      <c r="AM208" s="71"/>
      <c r="AN208" s="71"/>
      <c r="AO208" s="71"/>
      <c r="AP208" s="71"/>
      <c r="AQ208" s="71"/>
      <c r="AR208" s="71"/>
    </row>
    <row r="209" ht="18.75" customHeight="1">
      <c r="A209" s="73"/>
      <c r="B209" s="91"/>
      <c r="C209" s="74"/>
      <c r="D209" s="74"/>
      <c r="E209" s="76"/>
      <c r="F209" s="20"/>
      <c r="G209" s="78"/>
      <c r="H209" s="76"/>
      <c r="I209" s="20"/>
      <c r="J209" s="81"/>
      <c r="K209" s="81" t="str">
        <f t="shared" si="1"/>
        <v>-</v>
      </c>
      <c r="L209" s="110"/>
      <c r="M209" s="110"/>
      <c r="N209" s="110"/>
      <c r="O209" s="110"/>
      <c r="P209" s="110"/>
      <c r="Q209" s="110"/>
      <c r="R209" s="110"/>
      <c r="S209" s="110"/>
      <c r="T209" s="84"/>
      <c r="U209" s="84"/>
      <c r="V209" s="84"/>
      <c r="W209" s="84"/>
      <c r="X209" s="84"/>
      <c r="Y209" s="87"/>
      <c r="Z209" s="71"/>
      <c r="AA209" s="89"/>
      <c r="AB209" s="71"/>
      <c r="AC209" s="71"/>
      <c r="AD209" s="92"/>
      <c r="AE209" s="71"/>
      <c r="AF209" s="71"/>
      <c r="AG209" s="71"/>
      <c r="AH209" s="71"/>
      <c r="AI209" s="71"/>
      <c r="AJ209" s="71"/>
      <c r="AK209" s="71"/>
      <c r="AL209" s="71"/>
      <c r="AM209" s="71"/>
      <c r="AN209" s="71"/>
      <c r="AO209" s="71"/>
      <c r="AP209" s="71"/>
      <c r="AQ209" s="71"/>
      <c r="AR209" s="71"/>
    </row>
    <row r="210" ht="18.75" customHeight="1">
      <c r="A210" s="73"/>
      <c r="B210" s="91"/>
      <c r="C210" s="74"/>
      <c r="D210" s="74"/>
      <c r="E210" s="76"/>
      <c r="F210" s="20"/>
      <c r="G210" s="78"/>
      <c r="H210" s="76"/>
      <c r="I210" s="20"/>
      <c r="J210" s="81"/>
      <c r="K210" s="81" t="str">
        <f t="shared" si="1"/>
        <v>-</v>
      </c>
      <c r="L210" s="84"/>
      <c r="M210" s="84"/>
      <c r="N210" s="84"/>
      <c r="O210" s="84"/>
      <c r="P210" s="84"/>
      <c r="Q210" s="84"/>
      <c r="R210" s="84"/>
      <c r="S210" s="84"/>
      <c r="T210" s="84"/>
      <c r="U210" s="84"/>
      <c r="V210" s="84"/>
      <c r="W210" s="84"/>
      <c r="X210" s="84"/>
      <c r="Y210" s="87"/>
      <c r="Z210" s="71"/>
      <c r="AA210" s="89"/>
      <c r="AB210" s="71"/>
      <c r="AC210" s="71"/>
      <c r="AD210" s="92"/>
      <c r="AE210" s="71"/>
      <c r="AF210" s="71"/>
      <c r="AG210" s="71"/>
      <c r="AH210" s="71"/>
      <c r="AI210" s="71"/>
      <c r="AJ210" s="71"/>
      <c r="AK210" s="71"/>
      <c r="AL210" s="71"/>
      <c r="AM210" s="71"/>
      <c r="AN210" s="71"/>
      <c r="AO210" s="71"/>
      <c r="AP210" s="71"/>
      <c r="AQ210" s="71"/>
      <c r="AR210" s="71"/>
    </row>
    <row r="211" ht="18.75" customHeight="1">
      <c r="A211" s="73"/>
      <c r="B211" s="91"/>
      <c r="C211" s="74"/>
      <c r="D211" s="74"/>
      <c r="E211" s="76"/>
      <c r="F211" s="20"/>
      <c r="G211" s="78"/>
      <c r="H211" s="76"/>
      <c r="I211" s="20"/>
      <c r="J211" s="81"/>
      <c r="K211" s="81" t="str">
        <f t="shared" si="1"/>
        <v>-</v>
      </c>
      <c r="L211" s="84"/>
      <c r="M211" s="84"/>
      <c r="N211" s="84"/>
      <c r="O211" s="84"/>
      <c r="P211" s="84"/>
      <c r="Q211" s="84"/>
      <c r="R211" s="84"/>
      <c r="S211" s="84"/>
      <c r="T211" s="84"/>
      <c r="U211" s="84"/>
      <c r="V211" s="84"/>
      <c r="W211" s="84"/>
      <c r="X211" s="84"/>
      <c r="Y211" s="87"/>
      <c r="Z211" s="71"/>
      <c r="AA211" s="89"/>
      <c r="AB211" s="71"/>
      <c r="AC211" s="71"/>
      <c r="AD211" s="92"/>
      <c r="AE211" s="71"/>
      <c r="AF211" s="71"/>
      <c r="AG211" s="71"/>
      <c r="AH211" s="71"/>
      <c r="AI211" s="71"/>
      <c r="AJ211" s="71"/>
      <c r="AK211" s="71"/>
      <c r="AL211" s="71"/>
      <c r="AM211" s="71"/>
      <c r="AN211" s="71"/>
      <c r="AO211" s="71"/>
      <c r="AP211" s="71"/>
      <c r="AQ211" s="71"/>
      <c r="AR211" s="71"/>
    </row>
    <row r="212" ht="18.75" customHeight="1">
      <c r="A212" s="73"/>
      <c r="B212" s="91"/>
      <c r="C212" s="74"/>
      <c r="D212" s="74"/>
      <c r="E212" s="76"/>
      <c r="F212" s="20"/>
      <c r="G212" s="78"/>
      <c r="H212" s="76"/>
      <c r="I212" s="20"/>
      <c r="J212" s="81"/>
      <c r="K212" s="81" t="str">
        <f t="shared" si="1"/>
        <v>-</v>
      </c>
      <c r="L212" s="84"/>
      <c r="M212" s="84"/>
      <c r="N212" s="84"/>
      <c r="O212" s="84"/>
      <c r="P212" s="84"/>
      <c r="Q212" s="84"/>
      <c r="R212" s="84"/>
      <c r="S212" s="84"/>
      <c r="T212" s="84"/>
      <c r="U212" s="84"/>
      <c r="V212" s="84"/>
      <c r="W212" s="84"/>
      <c r="X212" s="84"/>
      <c r="Y212" s="87"/>
      <c r="Z212" s="71"/>
      <c r="AA212" s="89"/>
      <c r="AB212" s="71"/>
      <c r="AC212" s="71"/>
      <c r="AD212" s="92"/>
      <c r="AE212" s="71"/>
      <c r="AF212" s="71"/>
      <c r="AG212" s="71"/>
      <c r="AH212" s="71"/>
      <c r="AI212" s="71"/>
      <c r="AJ212" s="71"/>
      <c r="AK212" s="71"/>
      <c r="AL212" s="71"/>
      <c r="AM212" s="71"/>
      <c r="AN212" s="71"/>
      <c r="AO212" s="71"/>
      <c r="AP212" s="71"/>
      <c r="AQ212" s="71"/>
      <c r="AR212" s="71"/>
    </row>
    <row r="213" ht="18.75" customHeight="1">
      <c r="A213" s="73"/>
      <c r="B213" s="91"/>
      <c r="C213" s="74"/>
      <c r="D213" s="74"/>
      <c r="E213" s="76"/>
      <c r="F213" s="20"/>
      <c r="G213" s="78"/>
      <c r="H213" s="76"/>
      <c r="I213" s="20"/>
      <c r="J213" s="81"/>
      <c r="K213" s="81" t="str">
        <f t="shared" si="1"/>
        <v>-</v>
      </c>
      <c r="L213" s="84"/>
      <c r="M213" s="84"/>
      <c r="N213" s="84"/>
      <c r="O213" s="84"/>
      <c r="P213" s="84"/>
      <c r="Q213" s="84"/>
      <c r="R213" s="84"/>
      <c r="S213" s="84"/>
      <c r="T213" s="84"/>
      <c r="U213" s="84"/>
      <c r="V213" s="84"/>
      <c r="W213" s="84"/>
      <c r="X213" s="84"/>
      <c r="Y213" s="87"/>
      <c r="Z213" s="71"/>
      <c r="AA213" s="89"/>
      <c r="AB213" s="71"/>
      <c r="AC213" s="71"/>
      <c r="AD213" s="92"/>
      <c r="AE213" s="71"/>
      <c r="AF213" s="71"/>
      <c r="AG213" s="71"/>
      <c r="AH213" s="71"/>
      <c r="AI213" s="71"/>
      <c r="AJ213" s="71"/>
      <c r="AK213" s="71"/>
      <c r="AL213" s="71"/>
      <c r="AM213" s="71"/>
      <c r="AN213" s="71"/>
      <c r="AO213" s="71"/>
      <c r="AP213" s="71"/>
      <c r="AQ213" s="71"/>
      <c r="AR213" s="71"/>
    </row>
    <row r="214" ht="18.75" customHeight="1">
      <c r="A214" s="73"/>
      <c r="B214" s="91"/>
      <c r="C214" s="74"/>
      <c r="D214" s="74"/>
      <c r="E214" s="76"/>
      <c r="F214" s="20"/>
      <c r="G214" s="78"/>
      <c r="H214" s="76"/>
      <c r="I214" s="20"/>
      <c r="J214" s="81"/>
      <c r="K214" s="81" t="str">
        <f t="shared" si="1"/>
        <v>-</v>
      </c>
      <c r="L214" s="84"/>
      <c r="M214" s="84"/>
      <c r="N214" s="84"/>
      <c r="O214" s="84"/>
      <c r="P214" s="84"/>
      <c r="Q214" s="84"/>
      <c r="R214" s="84"/>
      <c r="S214" s="84"/>
      <c r="T214" s="84"/>
      <c r="U214" s="84"/>
      <c r="V214" s="84"/>
      <c r="W214" s="84"/>
      <c r="X214" s="84"/>
      <c r="Y214" s="87"/>
      <c r="Z214" s="71"/>
      <c r="AA214" s="89"/>
      <c r="AB214" s="71"/>
      <c r="AC214" s="71"/>
      <c r="AD214" s="92"/>
      <c r="AE214" s="71"/>
      <c r="AF214" s="71"/>
      <c r="AG214" s="71"/>
      <c r="AH214" s="71"/>
      <c r="AI214" s="71"/>
      <c r="AJ214" s="71"/>
      <c r="AK214" s="71"/>
      <c r="AL214" s="71"/>
      <c r="AM214" s="71"/>
      <c r="AN214" s="71"/>
      <c r="AO214" s="71"/>
      <c r="AP214" s="71"/>
      <c r="AQ214" s="71"/>
      <c r="AR214" s="71"/>
    </row>
    <row r="215" ht="18.75" customHeight="1">
      <c r="A215" s="73"/>
      <c r="B215" s="91"/>
      <c r="C215" s="74"/>
      <c r="D215" s="74"/>
      <c r="E215" s="76"/>
      <c r="F215" s="20"/>
      <c r="G215" s="78"/>
      <c r="H215" s="76"/>
      <c r="I215" s="20"/>
      <c r="J215" s="81"/>
      <c r="K215" s="81" t="str">
        <f t="shared" si="1"/>
        <v>-</v>
      </c>
      <c r="L215" s="84"/>
      <c r="M215" s="84"/>
      <c r="N215" s="84"/>
      <c r="O215" s="84"/>
      <c r="P215" s="84"/>
      <c r="Q215" s="84"/>
      <c r="R215" s="84"/>
      <c r="S215" s="84"/>
      <c r="T215" s="84"/>
      <c r="U215" s="84"/>
      <c r="V215" s="84"/>
      <c r="W215" s="84"/>
      <c r="X215" s="84"/>
      <c r="Y215" s="87"/>
      <c r="Z215" s="71"/>
      <c r="AA215" s="89"/>
      <c r="AB215" s="71"/>
      <c r="AC215" s="71"/>
      <c r="AD215" s="92"/>
      <c r="AE215" s="71"/>
      <c r="AF215" s="71"/>
      <c r="AG215" s="71"/>
      <c r="AH215" s="71"/>
      <c r="AI215" s="71"/>
      <c r="AJ215" s="71"/>
      <c r="AK215" s="71"/>
      <c r="AL215" s="71"/>
      <c r="AM215" s="71"/>
      <c r="AN215" s="71"/>
      <c r="AO215" s="71"/>
      <c r="AP215" s="71"/>
      <c r="AQ215" s="71"/>
      <c r="AR215" s="71"/>
    </row>
    <row r="216" ht="18.75" customHeight="1">
      <c r="A216" s="73"/>
      <c r="B216" s="91"/>
      <c r="C216" s="74"/>
      <c r="D216" s="74"/>
      <c r="E216" s="76"/>
      <c r="F216" s="20"/>
      <c r="G216" s="78"/>
      <c r="H216" s="76"/>
      <c r="I216" s="20"/>
      <c r="J216" s="81"/>
      <c r="K216" s="81" t="str">
        <f t="shared" si="1"/>
        <v>-</v>
      </c>
      <c r="L216" s="110"/>
      <c r="M216" s="110"/>
      <c r="N216" s="110"/>
      <c r="O216" s="110"/>
      <c r="P216" s="110"/>
      <c r="Q216" s="110"/>
      <c r="R216" s="110"/>
      <c r="S216" s="110"/>
      <c r="T216" s="84"/>
      <c r="U216" s="84"/>
      <c r="V216" s="84"/>
      <c r="W216" s="84"/>
      <c r="X216" s="84"/>
      <c r="Y216" s="87"/>
      <c r="Z216" s="71"/>
      <c r="AA216" s="89"/>
      <c r="AB216" s="71"/>
      <c r="AC216" s="71"/>
      <c r="AD216" s="92"/>
      <c r="AE216" s="71"/>
      <c r="AF216" s="71"/>
      <c r="AG216" s="71"/>
      <c r="AH216" s="71"/>
      <c r="AI216" s="71"/>
      <c r="AJ216" s="71"/>
      <c r="AK216" s="71"/>
      <c r="AL216" s="71"/>
      <c r="AM216" s="71"/>
      <c r="AN216" s="71"/>
      <c r="AO216" s="71"/>
      <c r="AP216" s="71"/>
      <c r="AQ216" s="71"/>
      <c r="AR216" s="71"/>
    </row>
    <row r="217" ht="18.75" customHeight="1">
      <c r="A217" s="73"/>
      <c r="B217" s="91"/>
      <c r="C217" s="74"/>
      <c r="D217" s="74"/>
      <c r="E217" s="76"/>
      <c r="F217" s="20"/>
      <c r="G217" s="78"/>
      <c r="H217" s="76"/>
      <c r="I217" s="20"/>
      <c r="J217" s="81"/>
      <c r="K217" s="81" t="str">
        <f t="shared" si="1"/>
        <v>-</v>
      </c>
      <c r="L217" s="110"/>
      <c r="M217" s="110"/>
      <c r="N217" s="110"/>
      <c r="O217" s="110"/>
      <c r="P217" s="110"/>
      <c r="Q217" s="110"/>
      <c r="R217" s="110"/>
      <c r="S217" s="110"/>
      <c r="T217" s="84"/>
      <c r="U217" s="84"/>
      <c r="V217" s="84"/>
      <c r="W217" s="84"/>
      <c r="X217" s="84"/>
      <c r="Y217" s="87"/>
      <c r="Z217" s="71"/>
      <c r="AA217" s="89"/>
      <c r="AB217" s="71"/>
      <c r="AC217" s="71"/>
      <c r="AD217" s="92"/>
      <c r="AE217" s="71"/>
      <c r="AF217" s="71"/>
      <c r="AG217" s="71"/>
      <c r="AH217" s="71"/>
      <c r="AI217" s="71"/>
      <c r="AJ217" s="71"/>
      <c r="AK217" s="71"/>
      <c r="AL217" s="71"/>
      <c r="AM217" s="71"/>
      <c r="AN217" s="71"/>
      <c r="AO217" s="71"/>
      <c r="AP217" s="71"/>
      <c r="AQ217" s="71"/>
      <c r="AR217" s="71"/>
    </row>
    <row r="218" ht="18.75" customHeight="1">
      <c r="A218" s="73"/>
      <c r="B218" s="91"/>
      <c r="C218" s="74"/>
      <c r="D218" s="74"/>
      <c r="E218" s="76"/>
      <c r="F218" s="20"/>
      <c r="G218" s="78"/>
      <c r="H218" s="76"/>
      <c r="I218" s="20"/>
      <c r="J218" s="81"/>
      <c r="K218" s="81" t="str">
        <f t="shared" si="1"/>
        <v>-</v>
      </c>
      <c r="L218" s="110"/>
      <c r="M218" s="110"/>
      <c r="N218" s="110"/>
      <c r="O218" s="110"/>
      <c r="P218" s="110"/>
      <c r="Q218" s="110"/>
      <c r="R218" s="110"/>
      <c r="S218" s="110"/>
      <c r="T218" s="84"/>
      <c r="U218" s="84"/>
      <c r="V218" s="84"/>
      <c r="W218" s="84"/>
      <c r="X218" s="84"/>
      <c r="Y218" s="87"/>
      <c r="Z218" s="71"/>
      <c r="AA218" s="89"/>
      <c r="AB218" s="71"/>
      <c r="AC218" s="71"/>
      <c r="AD218" s="92"/>
      <c r="AE218" s="71"/>
      <c r="AF218" s="71"/>
      <c r="AG218" s="71"/>
      <c r="AH218" s="71"/>
      <c r="AI218" s="71"/>
      <c r="AJ218" s="71"/>
      <c r="AK218" s="71"/>
      <c r="AL218" s="71"/>
      <c r="AM218" s="71"/>
      <c r="AN218" s="71"/>
      <c r="AO218" s="71"/>
      <c r="AP218" s="71"/>
      <c r="AQ218" s="71"/>
      <c r="AR218" s="71"/>
    </row>
    <row r="219" ht="18.75" customHeight="1">
      <c r="A219" s="73"/>
      <c r="B219" s="91"/>
      <c r="C219" s="74"/>
      <c r="D219" s="74"/>
      <c r="E219" s="76"/>
      <c r="F219" s="20"/>
      <c r="G219" s="78"/>
      <c r="H219" s="76"/>
      <c r="I219" s="20"/>
      <c r="J219" s="81"/>
      <c r="K219" s="81" t="str">
        <f t="shared" si="1"/>
        <v>-</v>
      </c>
      <c r="L219" s="110"/>
      <c r="M219" s="110"/>
      <c r="N219" s="110"/>
      <c r="O219" s="110"/>
      <c r="P219" s="110"/>
      <c r="Q219" s="110"/>
      <c r="R219" s="110"/>
      <c r="S219" s="110"/>
      <c r="T219" s="84"/>
      <c r="U219" s="84"/>
      <c r="V219" s="84"/>
      <c r="W219" s="84"/>
      <c r="X219" s="84"/>
      <c r="Y219" s="87"/>
      <c r="Z219" s="71"/>
      <c r="AA219" s="89"/>
      <c r="AB219" s="71"/>
      <c r="AC219" s="71"/>
      <c r="AD219" s="92"/>
      <c r="AE219" s="71"/>
      <c r="AF219" s="71"/>
      <c r="AG219" s="71"/>
      <c r="AH219" s="71"/>
      <c r="AI219" s="71"/>
      <c r="AJ219" s="71"/>
      <c r="AK219" s="71"/>
      <c r="AL219" s="71"/>
      <c r="AM219" s="71"/>
      <c r="AN219" s="71"/>
      <c r="AO219" s="71"/>
      <c r="AP219" s="71"/>
      <c r="AQ219" s="71"/>
      <c r="AR219" s="71"/>
    </row>
    <row r="220" ht="18.75" customHeight="1">
      <c r="A220" s="73"/>
      <c r="B220" s="91"/>
      <c r="C220" s="74"/>
      <c r="D220" s="74"/>
      <c r="E220" s="76"/>
      <c r="F220" s="20"/>
      <c r="G220" s="78"/>
      <c r="H220" s="76"/>
      <c r="I220" s="20"/>
      <c r="J220" s="81"/>
      <c r="K220" s="81" t="str">
        <f t="shared" si="1"/>
        <v>-</v>
      </c>
      <c r="L220" s="110"/>
      <c r="M220" s="110"/>
      <c r="N220" s="110"/>
      <c r="O220" s="110"/>
      <c r="P220" s="110"/>
      <c r="Q220" s="110"/>
      <c r="R220" s="110"/>
      <c r="S220" s="110"/>
      <c r="T220" s="84"/>
      <c r="U220" s="84"/>
      <c r="V220" s="84"/>
      <c r="W220" s="84"/>
      <c r="X220" s="84"/>
      <c r="Y220" s="87"/>
      <c r="Z220" s="71"/>
      <c r="AA220" s="89"/>
      <c r="AB220" s="71"/>
      <c r="AC220" s="71"/>
      <c r="AD220" s="92"/>
      <c r="AE220" s="71"/>
      <c r="AF220" s="71"/>
      <c r="AG220" s="71"/>
      <c r="AH220" s="71"/>
      <c r="AI220" s="71"/>
      <c r="AJ220" s="71"/>
      <c r="AK220" s="71"/>
      <c r="AL220" s="71"/>
      <c r="AM220" s="71"/>
      <c r="AN220" s="71"/>
      <c r="AO220" s="71"/>
      <c r="AP220" s="71"/>
      <c r="AQ220" s="71"/>
      <c r="AR220" s="71"/>
    </row>
    <row r="221" ht="18.75" customHeight="1">
      <c r="A221" s="73"/>
      <c r="B221" s="91"/>
      <c r="C221" s="74"/>
      <c r="D221" s="74"/>
      <c r="E221" s="76"/>
      <c r="F221" s="20"/>
      <c r="G221" s="78"/>
      <c r="H221" s="76"/>
      <c r="I221" s="20"/>
      <c r="J221" s="81"/>
      <c r="K221" s="81" t="str">
        <f t="shared" si="1"/>
        <v>-</v>
      </c>
      <c r="L221" s="110"/>
      <c r="M221" s="110"/>
      <c r="N221" s="110"/>
      <c r="O221" s="110"/>
      <c r="P221" s="110"/>
      <c r="Q221" s="110"/>
      <c r="R221" s="110"/>
      <c r="S221" s="110"/>
      <c r="T221" s="84"/>
      <c r="U221" s="84"/>
      <c r="V221" s="84"/>
      <c r="W221" s="84"/>
      <c r="X221" s="84"/>
      <c r="Y221" s="87"/>
      <c r="Z221" s="71"/>
      <c r="AA221" s="89"/>
      <c r="AB221" s="71"/>
      <c r="AC221" s="71"/>
      <c r="AD221" s="92"/>
      <c r="AE221" s="71"/>
      <c r="AF221" s="71"/>
      <c r="AG221" s="71"/>
      <c r="AH221" s="71"/>
      <c r="AI221" s="71"/>
      <c r="AJ221" s="71"/>
      <c r="AK221" s="71"/>
      <c r="AL221" s="71"/>
      <c r="AM221" s="71"/>
      <c r="AN221" s="71"/>
      <c r="AO221" s="71"/>
      <c r="AP221" s="71"/>
      <c r="AQ221" s="71"/>
      <c r="AR221" s="71"/>
    </row>
    <row r="222" ht="18.75" customHeight="1">
      <c r="A222" s="73"/>
      <c r="B222" s="91"/>
      <c r="C222" s="74"/>
      <c r="D222" s="74"/>
      <c r="E222" s="76"/>
      <c r="F222" s="20"/>
      <c r="G222" s="78"/>
      <c r="H222" s="76"/>
      <c r="I222" s="20"/>
      <c r="J222" s="81"/>
      <c r="K222" s="81" t="str">
        <f t="shared" si="1"/>
        <v>-</v>
      </c>
      <c r="L222" s="110"/>
      <c r="M222" s="110"/>
      <c r="N222" s="110"/>
      <c r="O222" s="110"/>
      <c r="P222" s="110"/>
      <c r="Q222" s="110"/>
      <c r="R222" s="110"/>
      <c r="S222" s="110"/>
      <c r="T222" s="84"/>
      <c r="U222" s="84"/>
      <c r="V222" s="84"/>
      <c r="W222" s="84"/>
      <c r="X222" s="84"/>
      <c r="Y222" s="87"/>
      <c r="Z222" s="71"/>
      <c r="AA222" s="89"/>
      <c r="AB222" s="71"/>
      <c r="AC222" s="71"/>
      <c r="AD222" s="92"/>
      <c r="AE222" s="71"/>
      <c r="AF222" s="71"/>
      <c r="AG222" s="71"/>
      <c r="AH222" s="71"/>
      <c r="AI222" s="71"/>
      <c r="AJ222" s="71"/>
      <c r="AK222" s="71"/>
      <c r="AL222" s="71"/>
      <c r="AM222" s="71"/>
      <c r="AN222" s="71"/>
      <c r="AO222" s="71"/>
      <c r="AP222" s="71"/>
      <c r="AQ222" s="71"/>
      <c r="AR222" s="71"/>
    </row>
    <row r="223" ht="18.75" customHeight="1">
      <c r="A223" s="73"/>
      <c r="B223" s="91"/>
      <c r="C223" s="74"/>
      <c r="D223" s="74"/>
      <c r="E223" s="76"/>
      <c r="F223" s="20"/>
      <c r="G223" s="78"/>
      <c r="H223" s="76"/>
      <c r="I223" s="20"/>
      <c r="J223" s="81"/>
      <c r="K223" s="81" t="str">
        <f t="shared" si="1"/>
        <v>-</v>
      </c>
      <c r="L223" s="110"/>
      <c r="M223" s="110"/>
      <c r="N223" s="110"/>
      <c r="O223" s="110"/>
      <c r="P223" s="110"/>
      <c r="Q223" s="110"/>
      <c r="R223" s="110"/>
      <c r="S223" s="110"/>
      <c r="T223" s="84"/>
      <c r="U223" s="84"/>
      <c r="V223" s="84"/>
      <c r="W223" s="84"/>
      <c r="X223" s="84"/>
      <c r="Y223" s="87"/>
      <c r="Z223" s="71"/>
      <c r="AA223" s="89"/>
      <c r="AB223" s="71"/>
      <c r="AC223" s="71"/>
      <c r="AD223" s="92"/>
      <c r="AE223" s="71"/>
      <c r="AF223" s="71"/>
      <c r="AG223" s="71"/>
      <c r="AH223" s="71"/>
      <c r="AI223" s="71"/>
      <c r="AJ223" s="71"/>
      <c r="AK223" s="71"/>
      <c r="AL223" s="71"/>
      <c r="AM223" s="71"/>
      <c r="AN223" s="71"/>
      <c r="AO223" s="71"/>
      <c r="AP223" s="71"/>
      <c r="AQ223" s="71"/>
      <c r="AR223" s="71"/>
    </row>
    <row r="224" ht="18.75" customHeight="1">
      <c r="A224" s="73"/>
      <c r="B224" s="91"/>
      <c r="C224" s="74"/>
      <c r="D224" s="74"/>
      <c r="E224" s="76"/>
      <c r="F224" s="20"/>
      <c r="G224" s="78"/>
      <c r="H224" s="76"/>
      <c r="I224" s="20"/>
      <c r="J224" s="81"/>
      <c r="K224" s="81" t="str">
        <f t="shared" si="1"/>
        <v>-</v>
      </c>
      <c r="L224" s="110"/>
      <c r="M224" s="110"/>
      <c r="N224" s="110"/>
      <c r="O224" s="110"/>
      <c r="P224" s="110"/>
      <c r="Q224" s="110"/>
      <c r="R224" s="110"/>
      <c r="S224" s="110"/>
      <c r="T224" s="84"/>
      <c r="U224" s="84"/>
      <c r="V224" s="84"/>
      <c r="W224" s="84"/>
      <c r="X224" s="84"/>
      <c r="Y224" s="87"/>
      <c r="Z224" s="71"/>
      <c r="AA224" s="89"/>
      <c r="AB224" s="71"/>
      <c r="AC224" s="71"/>
      <c r="AD224" s="92"/>
      <c r="AE224" s="71"/>
      <c r="AF224" s="71"/>
      <c r="AG224" s="71"/>
      <c r="AH224" s="71"/>
      <c r="AI224" s="71"/>
      <c r="AJ224" s="71"/>
      <c r="AK224" s="71"/>
      <c r="AL224" s="71"/>
      <c r="AM224" s="71"/>
      <c r="AN224" s="71"/>
      <c r="AO224" s="71"/>
      <c r="AP224" s="71"/>
      <c r="AQ224" s="71"/>
      <c r="AR224" s="71"/>
    </row>
    <row r="225" ht="18.75" customHeight="1">
      <c r="A225" s="73"/>
      <c r="B225" s="91"/>
      <c r="C225" s="74"/>
      <c r="D225" s="74"/>
      <c r="E225" s="76"/>
      <c r="F225" s="20"/>
      <c r="G225" s="78"/>
      <c r="H225" s="76"/>
      <c r="I225" s="20"/>
      <c r="J225" s="81"/>
      <c r="K225" s="81" t="str">
        <f t="shared" si="1"/>
        <v>-</v>
      </c>
      <c r="L225" s="110"/>
      <c r="M225" s="110"/>
      <c r="N225" s="110"/>
      <c r="O225" s="110"/>
      <c r="P225" s="110"/>
      <c r="Q225" s="110"/>
      <c r="R225" s="110"/>
      <c r="S225" s="110"/>
      <c r="T225" s="84"/>
      <c r="U225" s="84"/>
      <c r="V225" s="84"/>
      <c r="W225" s="84"/>
      <c r="X225" s="84"/>
      <c r="Y225" s="87"/>
      <c r="Z225" s="71"/>
      <c r="AA225" s="89"/>
      <c r="AB225" s="71"/>
      <c r="AC225" s="71"/>
      <c r="AD225" s="92"/>
      <c r="AE225" s="71"/>
      <c r="AF225" s="71"/>
      <c r="AG225" s="71"/>
      <c r="AH225" s="71"/>
      <c r="AI225" s="71"/>
      <c r="AJ225" s="71"/>
      <c r="AK225" s="71"/>
      <c r="AL225" s="71"/>
      <c r="AM225" s="71"/>
      <c r="AN225" s="71"/>
      <c r="AO225" s="71"/>
      <c r="AP225" s="71"/>
      <c r="AQ225" s="71"/>
      <c r="AR225" s="71"/>
    </row>
    <row r="226" ht="18.75" customHeight="1">
      <c r="A226" s="73"/>
      <c r="B226" s="91"/>
      <c r="C226" s="74"/>
      <c r="D226" s="74"/>
      <c r="E226" s="76"/>
      <c r="F226" s="20"/>
      <c r="G226" s="78"/>
      <c r="H226" s="76"/>
      <c r="I226" s="20"/>
      <c r="J226" s="81"/>
      <c r="K226" s="81" t="str">
        <f t="shared" si="1"/>
        <v>-</v>
      </c>
      <c r="L226" s="110"/>
      <c r="M226" s="110"/>
      <c r="N226" s="110"/>
      <c r="O226" s="110"/>
      <c r="P226" s="110"/>
      <c r="Q226" s="110"/>
      <c r="R226" s="110"/>
      <c r="S226" s="110"/>
      <c r="T226" s="84"/>
      <c r="U226" s="84"/>
      <c r="V226" s="84"/>
      <c r="W226" s="84"/>
      <c r="X226" s="84"/>
      <c r="Y226" s="87"/>
      <c r="Z226" s="71"/>
      <c r="AA226" s="89"/>
      <c r="AB226" s="71"/>
      <c r="AC226" s="71"/>
      <c r="AD226" s="92"/>
      <c r="AE226" s="71"/>
      <c r="AF226" s="71"/>
      <c r="AG226" s="71"/>
      <c r="AH226" s="71"/>
      <c r="AI226" s="71"/>
      <c r="AJ226" s="71"/>
      <c r="AK226" s="71"/>
      <c r="AL226" s="71"/>
      <c r="AM226" s="71"/>
      <c r="AN226" s="71"/>
      <c r="AO226" s="71"/>
      <c r="AP226" s="71"/>
      <c r="AQ226" s="71"/>
      <c r="AR226" s="71"/>
    </row>
    <row r="227" ht="18.75" customHeight="1">
      <c r="A227" s="73"/>
      <c r="B227" s="91"/>
      <c r="C227" s="74"/>
      <c r="D227" s="74"/>
      <c r="E227" s="76"/>
      <c r="F227" s="20"/>
      <c r="G227" s="78"/>
      <c r="H227" s="76"/>
      <c r="I227" s="20"/>
      <c r="J227" s="81"/>
      <c r="K227" s="81" t="str">
        <f t="shared" si="1"/>
        <v>-</v>
      </c>
      <c r="L227" s="110"/>
      <c r="M227" s="110"/>
      <c r="N227" s="110"/>
      <c r="O227" s="110"/>
      <c r="P227" s="110"/>
      <c r="Q227" s="110"/>
      <c r="R227" s="110"/>
      <c r="S227" s="110"/>
      <c r="T227" s="84"/>
      <c r="U227" s="84"/>
      <c r="V227" s="84"/>
      <c r="W227" s="84"/>
      <c r="X227" s="84"/>
      <c r="Y227" s="87"/>
      <c r="Z227" s="71"/>
      <c r="AA227" s="89"/>
      <c r="AB227" s="71"/>
      <c r="AC227" s="71"/>
      <c r="AD227" s="92"/>
      <c r="AE227" s="71"/>
      <c r="AF227" s="71"/>
      <c r="AG227" s="71"/>
      <c r="AH227" s="71"/>
      <c r="AI227" s="71"/>
      <c r="AJ227" s="71"/>
      <c r="AK227" s="71"/>
      <c r="AL227" s="71"/>
      <c r="AM227" s="71"/>
      <c r="AN227" s="71"/>
      <c r="AO227" s="71"/>
      <c r="AP227" s="71"/>
      <c r="AQ227" s="71"/>
      <c r="AR227" s="71"/>
    </row>
    <row r="228" ht="18.75" customHeight="1">
      <c r="A228" s="73"/>
      <c r="B228" s="91"/>
      <c r="C228" s="74"/>
      <c r="D228" s="74"/>
      <c r="E228" s="76"/>
      <c r="F228" s="20"/>
      <c r="G228" s="78"/>
      <c r="H228" s="76"/>
      <c r="I228" s="20"/>
      <c r="J228" s="81"/>
      <c r="K228" s="81" t="str">
        <f t="shared" si="1"/>
        <v>-</v>
      </c>
      <c r="L228" s="110"/>
      <c r="M228" s="110"/>
      <c r="N228" s="110"/>
      <c r="O228" s="110"/>
      <c r="P228" s="110"/>
      <c r="Q228" s="110"/>
      <c r="R228" s="110"/>
      <c r="S228" s="110"/>
      <c r="T228" s="84"/>
      <c r="U228" s="84"/>
      <c r="V228" s="84"/>
      <c r="W228" s="84"/>
      <c r="X228" s="84"/>
      <c r="Y228" s="87"/>
      <c r="Z228" s="71"/>
      <c r="AA228" s="89"/>
      <c r="AB228" s="71"/>
      <c r="AC228" s="71"/>
      <c r="AD228" s="92"/>
      <c r="AE228" s="71"/>
      <c r="AF228" s="71"/>
      <c r="AG228" s="71"/>
      <c r="AH228" s="71"/>
      <c r="AI228" s="71"/>
      <c r="AJ228" s="71"/>
      <c r="AK228" s="71"/>
      <c r="AL228" s="71"/>
      <c r="AM228" s="71"/>
      <c r="AN228" s="71"/>
      <c r="AO228" s="71"/>
      <c r="AP228" s="71"/>
      <c r="AQ228" s="71"/>
      <c r="AR228" s="71"/>
    </row>
    <row r="229" ht="18.75" customHeight="1">
      <c r="A229" s="73"/>
      <c r="B229" s="91"/>
      <c r="C229" s="74"/>
      <c r="D229" s="74"/>
      <c r="E229" s="76"/>
      <c r="F229" s="20"/>
      <c r="G229" s="78"/>
      <c r="H229" s="76"/>
      <c r="I229" s="20"/>
      <c r="J229" s="81"/>
      <c r="K229" s="81" t="str">
        <f t="shared" si="1"/>
        <v>-</v>
      </c>
      <c r="L229" s="110"/>
      <c r="M229" s="110"/>
      <c r="N229" s="110"/>
      <c r="O229" s="110"/>
      <c r="P229" s="110"/>
      <c r="Q229" s="110"/>
      <c r="R229" s="110"/>
      <c r="S229" s="110"/>
      <c r="T229" s="84"/>
      <c r="U229" s="84"/>
      <c r="V229" s="84"/>
      <c r="W229" s="84"/>
      <c r="X229" s="84"/>
      <c r="Y229" s="87"/>
      <c r="Z229" s="71"/>
      <c r="AA229" s="89"/>
      <c r="AB229" s="71"/>
      <c r="AC229" s="71"/>
      <c r="AD229" s="92"/>
      <c r="AE229" s="71"/>
      <c r="AF229" s="71"/>
      <c r="AG229" s="71"/>
      <c r="AH229" s="71"/>
      <c r="AI229" s="71"/>
      <c r="AJ229" s="71"/>
      <c r="AK229" s="71"/>
      <c r="AL229" s="71"/>
      <c r="AM229" s="71"/>
      <c r="AN229" s="71"/>
      <c r="AO229" s="71"/>
      <c r="AP229" s="71"/>
      <c r="AQ229" s="71"/>
      <c r="AR229" s="71"/>
    </row>
    <row r="230" ht="18.75" customHeight="1">
      <c r="A230" s="73"/>
      <c r="B230" s="91"/>
      <c r="C230" s="74"/>
      <c r="D230" s="74"/>
      <c r="E230" s="76"/>
      <c r="F230" s="20"/>
      <c r="G230" s="78"/>
      <c r="H230" s="76"/>
      <c r="I230" s="20"/>
      <c r="J230" s="81"/>
      <c r="K230" s="81" t="str">
        <f t="shared" si="1"/>
        <v>-</v>
      </c>
      <c r="L230" s="110"/>
      <c r="M230" s="110"/>
      <c r="N230" s="110"/>
      <c r="O230" s="110"/>
      <c r="P230" s="110"/>
      <c r="Q230" s="110"/>
      <c r="R230" s="110"/>
      <c r="S230" s="110"/>
      <c r="T230" s="84"/>
      <c r="U230" s="84"/>
      <c r="V230" s="84"/>
      <c r="W230" s="84"/>
      <c r="X230" s="84"/>
      <c r="Y230" s="87"/>
      <c r="Z230" s="71"/>
      <c r="AA230" s="89"/>
      <c r="AB230" s="71"/>
      <c r="AC230" s="71"/>
      <c r="AD230" s="92"/>
      <c r="AE230" s="71"/>
      <c r="AF230" s="71"/>
      <c r="AG230" s="71"/>
      <c r="AH230" s="71"/>
      <c r="AI230" s="71"/>
      <c r="AJ230" s="71"/>
      <c r="AK230" s="71"/>
      <c r="AL230" s="71"/>
      <c r="AM230" s="71"/>
      <c r="AN230" s="71"/>
      <c r="AO230" s="71"/>
      <c r="AP230" s="71"/>
      <c r="AQ230" s="71"/>
      <c r="AR230" s="71"/>
    </row>
    <row r="231" ht="18.75" customHeight="1">
      <c r="A231" s="73"/>
      <c r="B231" s="91"/>
      <c r="C231" s="74"/>
      <c r="D231" s="74"/>
      <c r="E231" s="76"/>
      <c r="F231" s="20"/>
      <c r="G231" s="78"/>
      <c r="H231" s="76"/>
      <c r="I231" s="20"/>
      <c r="J231" s="81"/>
      <c r="K231" s="81" t="str">
        <f t="shared" si="1"/>
        <v>-</v>
      </c>
      <c r="L231" s="110"/>
      <c r="M231" s="110"/>
      <c r="N231" s="110"/>
      <c r="O231" s="110"/>
      <c r="P231" s="110"/>
      <c r="Q231" s="110"/>
      <c r="R231" s="110"/>
      <c r="S231" s="110"/>
      <c r="T231" s="84"/>
      <c r="U231" s="84"/>
      <c r="V231" s="84"/>
      <c r="W231" s="84"/>
      <c r="X231" s="84"/>
      <c r="Y231" s="87"/>
      <c r="Z231" s="71"/>
      <c r="AA231" s="89"/>
      <c r="AB231" s="71"/>
      <c r="AC231" s="71"/>
      <c r="AD231" s="92"/>
      <c r="AE231" s="71"/>
      <c r="AF231" s="71"/>
      <c r="AG231" s="71"/>
      <c r="AH231" s="71"/>
      <c r="AI231" s="71"/>
      <c r="AJ231" s="71"/>
      <c r="AK231" s="71"/>
      <c r="AL231" s="71"/>
      <c r="AM231" s="71"/>
      <c r="AN231" s="71"/>
      <c r="AO231" s="71"/>
      <c r="AP231" s="71"/>
      <c r="AQ231" s="71"/>
      <c r="AR231" s="71"/>
    </row>
    <row r="232" ht="18.75" customHeight="1">
      <c r="A232" s="73"/>
      <c r="B232" s="91"/>
      <c r="C232" s="74"/>
      <c r="D232" s="74"/>
      <c r="E232" s="76"/>
      <c r="F232" s="20"/>
      <c r="G232" s="78"/>
      <c r="H232" s="76"/>
      <c r="I232" s="20"/>
      <c r="J232" s="81"/>
      <c r="K232" s="81" t="str">
        <f t="shared" si="1"/>
        <v>-</v>
      </c>
      <c r="L232" s="110"/>
      <c r="M232" s="110"/>
      <c r="N232" s="110"/>
      <c r="O232" s="110"/>
      <c r="P232" s="110"/>
      <c r="Q232" s="110"/>
      <c r="R232" s="110"/>
      <c r="S232" s="110"/>
      <c r="T232" s="84"/>
      <c r="U232" s="84"/>
      <c r="V232" s="84"/>
      <c r="W232" s="84"/>
      <c r="X232" s="84"/>
      <c r="Y232" s="87"/>
      <c r="Z232" s="71"/>
      <c r="AA232" s="89"/>
      <c r="AB232" s="71"/>
      <c r="AC232" s="71"/>
      <c r="AD232" s="92"/>
      <c r="AE232" s="71"/>
      <c r="AF232" s="71"/>
      <c r="AG232" s="71"/>
      <c r="AH232" s="71"/>
      <c r="AI232" s="71"/>
      <c r="AJ232" s="71"/>
      <c r="AK232" s="71"/>
      <c r="AL232" s="71"/>
      <c r="AM232" s="71"/>
      <c r="AN232" s="71"/>
      <c r="AO232" s="71"/>
      <c r="AP232" s="71"/>
      <c r="AQ232" s="71"/>
      <c r="AR232" s="71"/>
    </row>
    <row r="233" ht="18.75" customHeight="1">
      <c r="A233" s="73"/>
      <c r="B233" s="91"/>
      <c r="C233" s="74"/>
      <c r="D233" s="74"/>
      <c r="E233" s="76"/>
      <c r="F233" s="20"/>
      <c r="G233" s="78"/>
      <c r="H233" s="76"/>
      <c r="I233" s="20"/>
      <c r="J233" s="81"/>
      <c r="K233" s="81" t="str">
        <f t="shared" si="1"/>
        <v>-</v>
      </c>
      <c r="L233" s="110"/>
      <c r="M233" s="110"/>
      <c r="N233" s="110"/>
      <c r="O233" s="110"/>
      <c r="P233" s="110"/>
      <c r="Q233" s="110"/>
      <c r="R233" s="110"/>
      <c r="S233" s="110"/>
      <c r="T233" s="84"/>
      <c r="U233" s="84"/>
      <c r="V233" s="84"/>
      <c r="W233" s="84"/>
      <c r="X233" s="84"/>
      <c r="Y233" s="87"/>
      <c r="Z233" s="71"/>
      <c r="AA233" s="89"/>
      <c r="AB233" s="71"/>
      <c r="AC233" s="71"/>
      <c r="AD233" s="92"/>
      <c r="AE233" s="71"/>
      <c r="AF233" s="71"/>
      <c r="AG233" s="71"/>
      <c r="AH233" s="71"/>
      <c r="AI233" s="71"/>
      <c r="AJ233" s="71"/>
      <c r="AK233" s="71"/>
      <c r="AL233" s="71"/>
      <c r="AM233" s="71"/>
      <c r="AN233" s="71"/>
      <c r="AO233" s="71"/>
      <c r="AP233" s="71"/>
      <c r="AQ233" s="71"/>
      <c r="AR233" s="71"/>
    </row>
    <row r="234" ht="18.75" customHeight="1">
      <c r="A234" s="73"/>
      <c r="B234" s="91"/>
      <c r="C234" s="74"/>
      <c r="D234" s="74"/>
      <c r="E234" s="76"/>
      <c r="F234" s="20"/>
      <c r="G234" s="78"/>
      <c r="H234" s="76"/>
      <c r="I234" s="20"/>
      <c r="J234" s="81"/>
      <c r="K234" s="81" t="str">
        <f t="shared" si="1"/>
        <v>-</v>
      </c>
      <c r="L234" s="110"/>
      <c r="M234" s="110"/>
      <c r="N234" s="110"/>
      <c r="O234" s="110"/>
      <c r="P234" s="110"/>
      <c r="Q234" s="110"/>
      <c r="R234" s="110"/>
      <c r="S234" s="110"/>
      <c r="T234" s="84"/>
      <c r="U234" s="84"/>
      <c r="V234" s="84"/>
      <c r="W234" s="84"/>
      <c r="X234" s="84"/>
      <c r="Y234" s="87"/>
      <c r="Z234" s="71"/>
      <c r="AA234" s="89"/>
      <c r="AB234" s="71"/>
      <c r="AC234" s="71"/>
      <c r="AD234" s="92"/>
      <c r="AE234" s="71"/>
      <c r="AF234" s="71"/>
      <c r="AG234" s="71"/>
      <c r="AH234" s="71"/>
      <c r="AI234" s="71"/>
      <c r="AJ234" s="71"/>
      <c r="AK234" s="71"/>
      <c r="AL234" s="71"/>
      <c r="AM234" s="71"/>
      <c r="AN234" s="71"/>
      <c r="AO234" s="71"/>
      <c r="AP234" s="71"/>
      <c r="AQ234" s="71"/>
      <c r="AR234" s="71"/>
    </row>
    <row r="235" ht="18.75" customHeight="1">
      <c r="A235" s="73"/>
      <c r="B235" s="91"/>
      <c r="C235" s="74"/>
      <c r="D235" s="74"/>
      <c r="E235" s="76"/>
      <c r="F235" s="20"/>
      <c r="G235" s="78"/>
      <c r="H235" s="76"/>
      <c r="I235" s="20"/>
      <c r="J235" s="81"/>
      <c r="K235" s="81" t="str">
        <f t="shared" si="1"/>
        <v>-</v>
      </c>
      <c r="L235" s="110"/>
      <c r="M235" s="110"/>
      <c r="N235" s="110"/>
      <c r="O235" s="110"/>
      <c r="P235" s="110"/>
      <c r="Q235" s="110"/>
      <c r="R235" s="110"/>
      <c r="S235" s="110"/>
      <c r="T235" s="84"/>
      <c r="U235" s="84"/>
      <c r="V235" s="84"/>
      <c r="W235" s="84"/>
      <c r="X235" s="84"/>
      <c r="Y235" s="87"/>
      <c r="Z235" s="71"/>
      <c r="AA235" s="89"/>
      <c r="AB235" s="71"/>
      <c r="AC235" s="71"/>
      <c r="AD235" s="92"/>
      <c r="AE235" s="71"/>
      <c r="AF235" s="71"/>
      <c r="AG235" s="71"/>
      <c r="AH235" s="71"/>
      <c r="AI235" s="71"/>
      <c r="AJ235" s="71"/>
      <c r="AK235" s="71"/>
      <c r="AL235" s="71"/>
      <c r="AM235" s="71"/>
      <c r="AN235" s="71"/>
      <c r="AO235" s="71"/>
      <c r="AP235" s="71"/>
      <c r="AQ235" s="71"/>
      <c r="AR235" s="71"/>
    </row>
    <row r="236" ht="18.75" customHeight="1">
      <c r="A236" s="73"/>
      <c r="B236" s="91"/>
      <c r="C236" s="74"/>
      <c r="D236" s="74"/>
      <c r="E236" s="76"/>
      <c r="F236" s="20"/>
      <c r="G236" s="78"/>
      <c r="H236" s="76"/>
      <c r="I236" s="20"/>
      <c r="J236" s="81"/>
      <c r="K236" s="81" t="str">
        <f t="shared" si="1"/>
        <v>-</v>
      </c>
      <c r="L236" s="110"/>
      <c r="M236" s="110"/>
      <c r="N236" s="110"/>
      <c r="O236" s="110"/>
      <c r="P236" s="110"/>
      <c r="Q236" s="110"/>
      <c r="R236" s="110"/>
      <c r="S236" s="110"/>
      <c r="T236" s="84"/>
      <c r="U236" s="84"/>
      <c r="V236" s="84"/>
      <c r="W236" s="84"/>
      <c r="X236" s="84"/>
      <c r="Y236" s="87"/>
      <c r="Z236" s="71"/>
      <c r="AA236" s="89"/>
      <c r="AB236" s="71"/>
      <c r="AC236" s="71"/>
      <c r="AD236" s="92"/>
      <c r="AE236" s="71"/>
      <c r="AF236" s="71"/>
      <c r="AG236" s="71"/>
      <c r="AH236" s="71"/>
      <c r="AI236" s="71"/>
      <c r="AJ236" s="71"/>
      <c r="AK236" s="71"/>
      <c r="AL236" s="71"/>
      <c r="AM236" s="71"/>
      <c r="AN236" s="71"/>
      <c r="AO236" s="71"/>
      <c r="AP236" s="71"/>
      <c r="AQ236" s="71"/>
      <c r="AR236" s="71"/>
    </row>
    <row r="237" ht="18.75" customHeight="1">
      <c r="A237" s="73"/>
      <c r="B237" s="91"/>
      <c r="C237" s="74"/>
      <c r="D237" s="74"/>
      <c r="E237" s="76"/>
      <c r="F237" s="20"/>
      <c r="G237" s="78"/>
      <c r="H237" s="76"/>
      <c r="I237" s="20"/>
      <c r="J237" s="81"/>
      <c r="K237" s="81" t="str">
        <f t="shared" si="1"/>
        <v>-</v>
      </c>
      <c r="L237" s="110"/>
      <c r="M237" s="110"/>
      <c r="N237" s="110"/>
      <c r="O237" s="110"/>
      <c r="P237" s="110"/>
      <c r="Q237" s="110"/>
      <c r="R237" s="110"/>
      <c r="S237" s="110"/>
      <c r="T237" s="84"/>
      <c r="U237" s="84"/>
      <c r="V237" s="84"/>
      <c r="W237" s="84"/>
      <c r="X237" s="84"/>
      <c r="Y237" s="87"/>
      <c r="Z237" s="71"/>
      <c r="AA237" s="89"/>
      <c r="AB237" s="71"/>
      <c r="AC237" s="71"/>
      <c r="AD237" s="92"/>
      <c r="AE237" s="71"/>
      <c r="AF237" s="71"/>
      <c r="AG237" s="71"/>
      <c r="AH237" s="71"/>
      <c r="AI237" s="71"/>
      <c r="AJ237" s="71"/>
      <c r="AK237" s="71"/>
      <c r="AL237" s="71"/>
      <c r="AM237" s="71"/>
      <c r="AN237" s="71"/>
      <c r="AO237" s="71"/>
      <c r="AP237" s="71"/>
      <c r="AQ237" s="71"/>
      <c r="AR237" s="71"/>
    </row>
    <row r="238" ht="18.75" customHeight="1">
      <c r="A238" s="73"/>
      <c r="B238" s="91"/>
      <c r="C238" s="74"/>
      <c r="D238" s="74"/>
      <c r="E238" s="76"/>
      <c r="F238" s="20"/>
      <c r="G238" s="78"/>
      <c r="H238" s="76"/>
      <c r="I238" s="20"/>
      <c r="J238" s="81"/>
      <c r="K238" s="81" t="str">
        <f t="shared" si="1"/>
        <v>-</v>
      </c>
      <c r="L238" s="110"/>
      <c r="M238" s="110"/>
      <c r="N238" s="110"/>
      <c r="O238" s="110"/>
      <c r="P238" s="110"/>
      <c r="Q238" s="110"/>
      <c r="R238" s="110"/>
      <c r="S238" s="110"/>
      <c r="T238" s="84"/>
      <c r="U238" s="84"/>
      <c r="V238" s="84"/>
      <c r="W238" s="84"/>
      <c r="X238" s="84"/>
      <c r="Y238" s="87"/>
      <c r="Z238" s="71"/>
      <c r="AA238" s="89"/>
      <c r="AB238" s="71"/>
      <c r="AC238" s="71"/>
      <c r="AD238" s="92"/>
      <c r="AE238" s="71"/>
      <c r="AF238" s="71"/>
      <c r="AG238" s="71"/>
      <c r="AH238" s="71"/>
      <c r="AI238" s="71"/>
      <c r="AJ238" s="71"/>
      <c r="AK238" s="71"/>
      <c r="AL238" s="71"/>
      <c r="AM238" s="71"/>
      <c r="AN238" s="71"/>
      <c r="AO238" s="71"/>
      <c r="AP238" s="71"/>
      <c r="AQ238" s="71"/>
      <c r="AR238" s="71"/>
    </row>
    <row r="239" ht="18.75" customHeight="1">
      <c r="A239" s="73"/>
      <c r="B239" s="91"/>
      <c r="C239" s="74"/>
      <c r="D239" s="74"/>
      <c r="E239" s="76"/>
      <c r="F239" s="20"/>
      <c r="G239" s="78"/>
      <c r="H239" s="76"/>
      <c r="I239" s="20"/>
      <c r="J239" s="81"/>
      <c r="K239" s="81" t="str">
        <f t="shared" si="1"/>
        <v>-</v>
      </c>
      <c r="L239" s="110"/>
      <c r="M239" s="110"/>
      <c r="N239" s="110"/>
      <c r="O239" s="110"/>
      <c r="P239" s="110"/>
      <c r="Q239" s="110"/>
      <c r="R239" s="110"/>
      <c r="S239" s="110"/>
      <c r="T239" s="84"/>
      <c r="U239" s="84"/>
      <c r="V239" s="84"/>
      <c r="W239" s="84"/>
      <c r="X239" s="84"/>
      <c r="Y239" s="87"/>
      <c r="Z239" s="71"/>
      <c r="AA239" s="89"/>
      <c r="AB239" s="71"/>
      <c r="AC239" s="71"/>
      <c r="AD239" s="92"/>
      <c r="AE239" s="71"/>
      <c r="AF239" s="71"/>
      <c r="AG239" s="71"/>
      <c r="AH239" s="71"/>
      <c r="AI239" s="71"/>
      <c r="AJ239" s="71"/>
      <c r="AK239" s="71"/>
      <c r="AL239" s="71"/>
      <c r="AM239" s="71"/>
      <c r="AN239" s="71"/>
      <c r="AO239" s="71"/>
      <c r="AP239" s="71"/>
      <c r="AQ239" s="71"/>
      <c r="AR239" s="71"/>
    </row>
    <row r="240" ht="18.75" customHeight="1">
      <c r="A240" s="73"/>
      <c r="B240" s="91"/>
      <c r="C240" s="74"/>
      <c r="D240" s="74"/>
      <c r="E240" s="76"/>
      <c r="F240" s="20"/>
      <c r="G240" s="78"/>
      <c r="H240" s="76"/>
      <c r="I240" s="20"/>
      <c r="J240" s="81"/>
      <c r="K240" s="81" t="str">
        <f t="shared" si="1"/>
        <v>-</v>
      </c>
      <c r="L240" s="110"/>
      <c r="M240" s="110"/>
      <c r="N240" s="110"/>
      <c r="O240" s="110"/>
      <c r="P240" s="110"/>
      <c r="Q240" s="110"/>
      <c r="R240" s="110"/>
      <c r="S240" s="110"/>
      <c r="T240" s="84"/>
      <c r="U240" s="84"/>
      <c r="V240" s="84"/>
      <c r="W240" s="84"/>
      <c r="X240" s="84"/>
      <c r="Y240" s="87"/>
      <c r="Z240" s="71"/>
      <c r="AA240" s="89"/>
      <c r="AB240" s="71"/>
      <c r="AC240" s="71"/>
      <c r="AD240" s="92"/>
      <c r="AE240" s="71"/>
      <c r="AF240" s="71"/>
      <c r="AG240" s="71"/>
      <c r="AH240" s="71"/>
      <c r="AI240" s="71"/>
      <c r="AJ240" s="71"/>
      <c r="AK240" s="71"/>
      <c r="AL240" s="71"/>
      <c r="AM240" s="71"/>
      <c r="AN240" s="71"/>
      <c r="AO240" s="71"/>
      <c r="AP240" s="71"/>
      <c r="AQ240" s="71"/>
      <c r="AR240" s="71"/>
    </row>
    <row r="241" ht="18.75" customHeight="1">
      <c r="A241" s="73"/>
      <c r="B241" s="91"/>
      <c r="C241" s="74"/>
      <c r="D241" s="74"/>
      <c r="E241" s="76"/>
      <c r="F241" s="20"/>
      <c r="G241" s="78"/>
      <c r="H241" s="76"/>
      <c r="I241" s="20"/>
      <c r="J241" s="81"/>
      <c r="K241" s="81" t="str">
        <f t="shared" si="1"/>
        <v>-</v>
      </c>
      <c r="L241" s="110"/>
      <c r="M241" s="110"/>
      <c r="N241" s="110"/>
      <c r="O241" s="110"/>
      <c r="P241" s="110"/>
      <c r="Q241" s="110"/>
      <c r="R241" s="110"/>
      <c r="S241" s="110"/>
      <c r="T241" s="84"/>
      <c r="U241" s="84"/>
      <c r="V241" s="84"/>
      <c r="W241" s="84"/>
      <c r="X241" s="84"/>
      <c r="Y241" s="87"/>
      <c r="Z241" s="71"/>
      <c r="AA241" s="89"/>
      <c r="AB241" s="71"/>
      <c r="AC241" s="71"/>
      <c r="AD241" s="92"/>
      <c r="AE241" s="71"/>
      <c r="AF241" s="71"/>
      <c r="AG241" s="71"/>
      <c r="AH241" s="71"/>
      <c r="AI241" s="71"/>
      <c r="AJ241" s="71"/>
      <c r="AK241" s="71"/>
      <c r="AL241" s="71"/>
      <c r="AM241" s="71"/>
      <c r="AN241" s="71"/>
      <c r="AO241" s="71"/>
      <c r="AP241" s="71"/>
      <c r="AQ241" s="71"/>
      <c r="AR241" s="71"/>
    </row>
    <row r="242" ht="18.75" customHeight="1">
      <c r="A242" s="73"/>
      <c r="B242" s="91"/>
      <c r="C242" s="74"/>
      <c r="D242" s="74"/>
      <c r="E242" s="76"/>
      <c r="F242" s="20"/>
      <c r="G242" s="78"/>
      <c r="H242" s="76"/>
      <c r="I242" s="20"/>
      <c r="J242" s="81"/>
      <c r="K242" s="81" t="str">
        <f t="shared" si="1"/>
        <v>-</v>
      </c>
      <c r="L242" s="110"/>
      <c r="M242" s="110"/>
      <c r="N242" s="110"/>
      <c r="O242" s="110"/>
      <c r="P242" s="110"/>
      <c r="Q242" s="110"/>
      <c r="R242" s="110"/>
      <c r="S242" s="110"/>
      <c r="T242" s="84"/>
      <c r="U242" s="84"/>
      <c r="V242" s="84"/>
      <c r="W242" s="84"/>
      <c r="X242" s="84"/>
      <c r="Y242" s="87"/>
      <c r="Z242" s="71"/>
      <c r="AA242" s="89"/>
      <c r="AB242" s="71"/>
      <c r="AC242" s="71"/>
      <c r="AD242" s="92"/>
      <c r="AE242" s="71"/>
      <c r="AF242" s="71"/>
      <c r="AG242" s="71"/>
      <c r="AH242" s="71"/>
      <c r="AI242" s="71"/>
      <c r="AJ242" s="71"/>
      <c r="AK242" s="71"/>
      <c r="AL242" s="71"/>
      <c r="AM242" s="71"/>
      <c r="AN242" s="71"/>
      <c r="AO242" s="71"/>
      <c r="AP242" s="71"/>
      <c r="AQ242" s="71"/>
      <c r="AR242" s="71"/>
    </row>
    <row r="243" ht="18.75" customHeight="1">
      <c r="A243" s="73"/>
      <c r="B243" s="91"/>
      <c r="C243" s="74"/>
      <c r="D243" s="74"/>
      <c r="E243" s="76"/>
      <c r="F243" s="20"/>
      <c r="G243" s="78"/>
      <c r="H243" s="76"/>
      <c r="I243" s="20"/>
      <c r="J243" s="81"/>
      <c r="K243" s="81" t="str">
        <f t="shared" si="1"/>
        <v>-</v>
      </c>
      <c r="L243" s="110"/>
      <c r="M243" s="110"/>
      <c r="N243" s="110"/>
      <c r="O243" s="110"/>
      <c r="P243" s="110"/>
      <c r="Q243" s="110"/>
      <c r="R243" s="110"/>
      <c r="S243" s="110"/>
      <c r="T243" s="84"/>
      <c r="U243" s="84"/>
      <c r="V243" s="84"/>
      <c r="W243" s="84"/>
      <c r="X243" s="84"/>
      <c r="Y243" s="87"/>
      <c r="Z243" s="71"/>
      <c r="AA243" s="89"/>
      <c r="AB243" s="71"/>
      <c r="AC243" s="71"/>
      <c r="AD243" s="92"/>
      <c r="AE243" s="71"/>
      <c r="AF243" s="71"/>
      <c r="AG243" s="71"/>
      <c r="AH243" s="71"/>
      <c r="AI243" s="71"/>
      <c r="AJ243" s="71"/>
      <c r="AK243" s="71"/>
      <c r="AL243" s="71"/>
      <c r="AM243" s="71"/>
      <c r="AN243" s="71"/>
      <c r="AO243" s="71"/>
      <c r="AP243" s="71"/>
      <c r="AQ243" s="71"/>
      <c r="AR243" s="71"/>
    </row>
    <row r="244" ht="18.75" customHeight="1">
      <c r="A244" s="73"/>
      <c r="B244" s="91"/>
      <c r="C244" s="74"/>
      <c r="D244" s="74"/>
      <c r="E244" s="76"/>
      <c r="F244" s="20"/>
      <c r="G244" s="78"/>
      <c r="H244" s="76"/>
      <c r="I244" s="20"/>
      <c r="J244" s="81"/>
      <c r="K244" s="81" t="str">
        <f t="shared" si="1"/>
        <v>-</v>
      </c>
      <c r="L244" s="110"/>
      <c r="M244" s="110"/>
      <c r="N244" s="110"/>
      <c r="O244" s="110"/>
      <c r="P244" s="110"/>
      <c r="Q244" s="110"/>
      <c r="R244" s="110"/>
      <c r="S244" s="110"/>
      <c r="T244" s="84"/>
      <c r="U244" s="84"/>
      <c r="V244" s="84"/>
      <c r="W244" s="84"/>
      <c r="X244" s="84"/>
      <c r="Y244" s="87"/>
      <c r="Z244" s="71"/>
      <c r="AA244" s="89"/>
      <c r="AB244" s="71"/>
      <c r="AC244" s="71"/>
      <c r="AD244" s="92"/>
      <c r="AE244" s="71"/>
      <c r="AF244" s="71"/>
      <c r="AG244" s="71"/>
      <c r="AH244" s="71"/>
      <c r="AI244" s="71"/>
      <c r="AJ244" s="71"/>
      <c r="AK244" s="71"/>
      <c r="AL244" s="71"/>
      <c r="AM244" s="71"/>
      <c r="AN244" s="71"/>
      <c r="AO244" s="71"/>
      <c r="AP244" s="71"/>
      <c r="AQ244" s="71"/>
      <c r="AR244" s="71"/>
    </row>
    <row r="245" ht="18.75" customHeight="1">
      <c r="A245" s="73"/>
      <c r="B245" s="91"/>
      <c r="C245" s="74"/>
      <c r="D245" s="74"/>
      <c r="E245" s="76"/>
      <c r="F245" s="20"/>
      <c r="G245" s="78"/>
      <c r="H245" s="76"/>
      <c r="I245" s="20"/>
      <c r="J245" s="81"/>
      <c r="K245" s="81" t="str">
        <f t="shared" si="1"/>
        <v>-</v>
      </c>
      <c r="L245" s="110"/>
      <c r="M245" s="110"/>
      <c r="N245" s="110"/>
      <c r="O245" s="110"/>
      <c r="P245" s="110"/>
      <c r="Q245" s="110"/>
      <c r="R245" s="110"/>
      <c r="S245" s="110"/>
      <c r="T245" s="84"/>
      <c r="U245" s="84"/>
      <c r="V245" s="84"/>
      <c r="W245" s="84"/>
      <c r="X245" s="84"/>
      <c r="Y245" s="87"/>
      <c r="Z245" s="71"/>
      <c r="AA245" s="89"/>
      <c r="AB245" s="71"/>
      <c r="AC245" s="71"/>
      <c r="AD245" s="92"/>
      <c r="AE245" s="71"/>
      <c r="AF245" s="71"/>
      <c r="AG245" s="71"/>
      <c r="AH245" s="71"/>
      <c r="AI245" s="71"/>
      <c r="AJ245" s="71"/>
      <c r="AK245" s="71"/>
      <c r="AL245" s="71"/>
      <c r="AM245" s="71"/>
      <c r="AN245" s="71"/>
      <c r="AO245" s="71"/>
      <c r="AP245" s="71"/>
      <c r="AQ245" s="71"/>
      <c r="AR245" s="71"/>
    </row>
    <row r="246" ht="18.75" customHeight="1">
      <c r="A246" s="73"/>
      <c r="B246" s="91"/>
      <c r="C246" s="74"/>
      <c r="D246" s="74"/>
      <c r="E246" s="76"/>
      <c r="F246" s="20"/>
      <c r="G246" s="78"/>
      <c r="H246" s="76"/>
      <c r="I246" s="20"/>
      <c r="J246" s="81"/>
      <c r="K246" s="81" t="str">
        <f t="shared" si="1"/>
        <v>-</v>
      </c>
      <c r="L246" s="110"/>
      <c r="M246" s="110"/>
      <c r="N246" s="110"/>
      <c r="O246" s="110"/>
      <c r="P246" s="110"/>
      <c r="Q246" s="110"/>
      <c r="R246" s="110"/>
      <c r="S246" s="110"/>
      <c r="T246" s="84"/>
      <c r="U246" s="84"/>
      <c r="V246" s="84"/>
      <c r="W246" s="84"/>
      <c r="X246" s="84"/>
      <c r="Y246" s="87"/>
      <c r="Z246" s="71"/>
      <c r="AA246" s="89"/>
      <c r="AB246" s="71"/>
      <c r="AC246" s="71"/>
      <c r="AD246" s="92"/>
      <c r="AE246" s="71"/>
      <c r="AF246" s="71"/>
      <c r="AG246" s="71"/>
      <c r="AH246" s="71"/>
      <c r="AI246" s="71"/>
      <c r="AJ246" s="71"/>
      <c r="AK246" s="71"/>
      <c r="AL246" s="71"/>
      <c r="AM246" s="71"/>
      <c r="AN246" s="71"/>
      <c r="AO246" s="71"/>
      <c r="AP246" s="71"/>
      <c r="AQ246" s="71"/>
      <c r="AR246" s="71"/>
    </row>
    <row r="247" ht="18.75" customHeight="1">
      <c r="A247" s="73"/>
      <c r="B247" s="91"/>
      <c r="C247" s="74"/>
      <c r="D247" s="74"/>
      <c r="E247" s="76"/>
      <c r="F247" s="20"/>
      <c r="G247" s="78"/>
      <c r="H247" s="76"/>
      <c r="I247" s="20"/>
      <c r="J247" s="81"/>
      <c r="K247" s="81" t="str">
        <f t="shared" si="1"/>
        <v>-</v>
      </c>
      <c r="L247" s="110"/>
      <c r="M247" s="110"/>
      <c r="N247" s="110"/>
      <c r="O247" s="110"/>
      <c r="P247" s="110"/>
      <c r="Q247" s="110"/>
      <c r="R247" s="110"/>
      <c r="S247" s="110"/>
      <c r="T247" s="84"/>
      <c r="U247" s="84"/>
      <c r="V247" s="84"/>
      <c r="W247" s="84"/>
      <c r="X247" s="84"/>
      <c r="Y247" s="87"/>
      <c r="Z247" s="71"/>
      <c r="AA247" s="89"/>
      <c r="AB247" s="71"/>
      <c r="AC247" s="71"/>
      <c r="AD247" s="92"/>
      <c r="AE247" s="71"/>
      <c r="AF247" s="71"/>
      <c r="AG247" s="71"/>
      <c r="AH247" s="71"/>
      <c r="AI247" s="71"/>
      <c r="AJ247" s="71"/>
      <c r="AK247" s="71"/>
      <c r="AL247" s="71"/>
      <c r="AM247" s="71"/>
      <c r="AN247" s="71"/>
      <c r="AO247" s="71"/>
      <c r="AP247" s="71"/>
      <c r="AQ247" s="71"/>
      <c r="AR247" s="71"/>
    </row>
    <row r="248" ht="18.75" customHeight="1">
      <c r="A248" s="73"/>
      <c r="B248" s="91"/>
      <c r="C248" s="74"/>
      <c r="D248" s="74"/>
      <c r="E248" s="76"/>
      <c r="F248" s="20"/>
      <c r="G248" s="78"/>
      <c r="H248" s="76"/>
      <c r="I248" s="20"/>
      <c r="J248" s="81"/>
      <c r="K248" s="81" t="str">
        <f t="shared" si="1"/>
        <v>-</v>
      </c>
      <c r="L248" s="110"/>
      <c r="M248" s="110"/>
      <c r="N248" s="110"/>
      <c r="O248" s="110"/>
      <c r="P248" s="110"/>
      <c r="Q248" s="110"/>
      <c r="R248" s="110"/>
      <c r="S248" s="110"/>
      <c r="T248" s="84"/>
      <c r="U248" s="84"/>
      <c r="V248" s="84"/>
      <c r="W248" s="84"/>
      <c r="X248" s="84"/>
      <c r="Y248" s="87"/>
      <c r="Z248" s="71"/>
      <c r="AA248" s="89"/>
      <c r="AB248" s="71"/>
      <c r="AC248" s="71"/>
      <c r="AD248" s="92"/>
      <c r="AE248" s="71"/>
      <c r="AF248" s="71"/>
      <c r="AG248" s="71"/>
      <c r="AH248" s="71"/>
      <c r="AI248" s="71"/>
      <c r="AJ248" s="71"/>
      <c r="AK248" s="71"/>
      <c r="AL248" s="71"/>
      <c r="AM248" s="71"/>
      <c r="AN248" s="71"/>
      <c r="AO248" s="71"/>
      <c r="AP248" s="71"/>
      <c r="AQ248" s="71"/>
      <c r="AR248" s="71"/>
    </row>
    <row r="249" ht="18.75" customHeight="1">
      <c r="A249" s="73"/>
      <c r="B249" s="91"/>
      <c r="C249" s="74"/>
      <c r="D249" s="74"/>
      <c r="E249" s="76"/>
      <c r="F249" s="20"/>
      <c r="G249" s="78"/>
      <c r="H249" s="76"/>
      <c r="I249" s="20"/>
      <c r="J249" s="81"/>
      <c r="K249" s="81" t="str">
        <f t="shared" si="1"/>
        <v>-</v>
      </c>
      <c r="L249" s="110"/>
      <c r="M249" s="110"/>
      <c r="N249" s="110"/>
      <c r="O249" s="110"/>
      <c r="P249" s="110"/>
      <c r="Q249" s="110"/>
      <c r="R249" s="110"/>
      <c r="S249" s="110"/>
      <c r="T249" s="84"/>
      <c r="U249" s="84"/>
      <c r="V249" s="84"/>
      <c r="W249" s="84"/>
      <c r="X249" s="84"/>
      <c r="Y249" s="87"/>
      <c r="Z249" s="71"/>
      <c r="AA249" s="89"/>
      <c r="AB249" s="71"/>
      <c r="AC249" s="71"/>
      <c r="AD249" s="92"/>
      <c r="AE249" s="71"/>
      <c r="AF249" s="71"/>
      <c r="AG249" s="71"/>
      <c r="AH249" s="71"/>
      <c r="AI249" s="71"/>
      <c r="AJ249" s="71"/>
      <c r="AK249" s="71"/>
      <c r="AL249" s="71"/>
      <c r="AM249" s="71"/>
      <c r="AN249" s="71"/>
      <c r="AO249" s="71"/>
      <c r="AP249" s="71"/>
      <c r="AQ249" s="71"/>
      <c r="AR249" s="71"/>
    </row>
    <row r="250" ht="18.75" customHeight="1">
      <c r="A250" s="73"/>
      <c r="B250" s="91"/>
      <c r="C250" s="74"/>
      <c r="D250" s="74"/>
      <c r="E250" s="76"/>
      <c r="F250" s="20"/>
      <c r="G250" s="78"/>
      <c r="H250" s="76"/>
      <c r="I250" s="20"/>
      <c r="J250" s="81"/>
      <c r="K250" s="81" t="str">
        <f t="shared" si="1"/>
        <v>-</v>
      </c>
      <c r="L250" s="110"/>
      <c r="M250" s="110"/>
      <c r="N250" s="110"/>
      <c r="O250" s="110"/>
      <c r="P250" s="110"/>
      <c r="Q250" s="110"/>
      <c r="R250" s="110"/>
      <c r="S250" s="110"/>
      <c r="T250" s="84"/>
      <c r="U250" s="84"/>
      <c r="V250" s="84"/>
      <c r="W250" s="84"/>
      <c r="X250" s="84"/>
      <c r="Y250" s="87"/>
      <c r="Z250" s="71"/>
      <c r="AA250" s="89"/>
      <c r="AB250" s="71"/>
      <c r="AC250" s="71"/>
      <c r="AD250" s="92"/>
      <c r="AE250" s="71"/>
      <c r="AF250" s="71"/>
      <c r="AG250" s="71"/>
      <c r="AH250" s="71"/>
      <c r="AI250" s="71"/>
      <c r="AJ250" s="71"/>
      <c r="AK250" s="71"/>
      <c r="AL250" s="71"/>
      <c r="AM250" s="71"/>
      <c r="AN250" s="71"/>
      <c r="AO250" s="71"/>
      <c r="AP250" s="71"/>
      <c r="AQ250" s="71"/>
      <c r="AR250" s="71"/>
    </row>
    <row r="251" ht="18.75" customHeight="1">
      <c r="A251" s="73"/>
      <c r="B251" s="91"/>
      <c r="C251" s="74"/>
      <c r="D251" s="74"/>
      <c r="E251" s="76"/>
      <c r="F251" s="20"/>
      <c r="G251" s="78"/>
      <c r="H251" s="76"/>
      <c r="I251" s="20"/>
      <c r="J251" s="81"/>
      <c r="K251" s="81" t="str">
        <f t="shared" si="1"/>
        <v>-</v>
      </c>
      <c r="L251" s="110"/>
      <c r="M251" s="110"/>
      <c r="N251" s="110"/>
      <c r="O251" s="110"/>
      <c r="P251" s="110"/>
      <c r="Q251" s="110"/>
      <c r="R251" s="110"/>
      <c r="S251" s="110"/>
      <c r="T251" s="84"/>
      <c r="U251" s="84"/>
      <c r="V251" s="84"/>
      <c r="W251" s="84"/>
      <c r="X251" s="84"/>
      <c r="Y251" s="87"/>
      <c r="Z251" s="71"/>
      <c r="AA251" s="89"/>
      <c r="AB251" s="71"/>
      <c r="AC251" s="71"/>
      <c r="AD251" s="92"/>
      <c r="AE251" s="71"/>
      <c r="AF251" s="71"/>
      <c r="AG251" s="71"/>
      <c r="AH251" s="71"/>
      <c r="AI251" s="71"/>
      <c r="AJ251" s="71"/>
      <c r="AK251" s="71"/>
      <c r="AL251" s="71"/>
      <c r="AM251" s="71"/>
      <c r="AN251" s="71"/>
      <c r="AO251" s="71"/>
      <c r="AP251" s="71"/>
      <c r="AQ251" s="71"/>
      <c r="AR251" s="71"/>
    </row>
    <row r="252" ht="18.75" customHeight="1">
      <c r="A252" s="73"/>
      <c r="B252" s="91"/>
      <c r="C252" s="74"/>
      <c r="D252" s="74"/>
      <c r="E252" s="76"/>
      <c r="F252" s="20"/>
      <c r="G252" s="78"/>
      <c r="H252" s="76"/>
      <c r="I252" s="20"/>
      <c r="J252" s="81"/>
      <c r="K252" s="81" t="str">
        <f t="shared" si="1"/>
        <v>-</v>
      </c>
      <c r="L252" s="110"/>
      <c r="M252" s="110"/>
      <c r="N252" s="110"/>
      <c r="O252" s="110"/>
      <c r="P252" s="110"/>
      <c r="Q252" s="110"/>
      <c r="R252" s="110"/>
      <c r="S252" s="110"/>
      <c r="T252" s="84"/>
      <c r="U252" s="84"/>
      <c r="V252" s="84"/>
      <c r="W252" s="84"/>
      <c r="X252" s="84"/>
      <c r="Y252" s="87"/>
      <c r="Z252" s="71"/>
      <c r="AA252" s="89"/>
      <c r="AB252" s="71"/>
      <c r="AC252" s="71"/>
      <c r="AD252" s="92"/>
      <c r="AE252" s="71"/>
      <c r="AF252" s="71"/>
      <c r="AG252" s="71"/>
      <c r="AH252" s="71"/>
      <c r="AI252" s="71"/>
      <c r="AJ252" s="71"/>
      <c r="AK252" s="71"/>
      <c r="AL252" s="71"/>
      <c r="AM252" s="71"/>
      <c r="AN252" s="71"/>
      <c r="AO252" s="71"/>
      <c r="AP252" s="71"/>
      <c r="AQ252" s="71"/>
      <c r="AR252" s="71"/>
    </row>
    <row r="253" ht="18.75" customHeight="1">
      <c r="A253" s="73"/>
      <c r="B253" s="91"/>
      <c r="C253" s="74"/>
      <c r="D253" s="74"/>
      <c r="E253" s="76"/>
      <c r="F253" s="20"/>
      <c r="G253" s="78"/>
      <c r="H253" s="76"/>
      <c r="I253" s="20"/>
      <c r="J253" s="81"/>
      <c r="K253" s="81" t="str">
        <f t="shared" si="1"/>
        <v>-</v>
      </c>
      <c r="L253" s="110"/>
      <c r="M253" s="110"/>
      <c r="N253" s="110"/>
      <c r="O253" s="110"/>
      <c r="P253" s="110"/>
      <c r="Q253" s="110"/>
      <c r="R253" s="110"/>
      <c r="S253" s="110"/>
      <c r="T253" s="84"/>
      <c r="U253" s="84"/>
      <c r="V253" s="84"/>
      <c r="W253" s="84"/>
      <c r="X253" s="84"/>
      <c r="Y253" s="87"/>
      <c r="Z253" s="71"/>
      <c r="AA253" s="89"/>
      <c r="AB253" s="71"/>
      <c r="AC253" s="71"/>
      <c r="AD253" s="92"/>
      <c r="AE253" s="71"/>
      <c r="AF253" s="71"/>
      <c r="AG253" s="71"/>
      <c r="AH253" s="71"/>
      <c r="AI253" s="71"/>
      <c r="AJ253" s="71"/>
      <c r="AK253" s="71"/>
      <c r="AL253" s="71"/>
      <c r="AM253" s="71"/>
      <c r="AN253" s="71"/>
      <c r="AO253" s="71"/>
      <c r="AP253" s="71"/>
      <c r="AQ253" s="71"/>
      <c r="AR253" s="71"/>
    </row>
    <row r="254" ht="18.75" customHeight="1">
      <c r="A254" s="73"/>
      <c r="B254" s="91"/>
      <c r="C254" s="74"/>
      <c r="D254" s="74"/>
      <c r="E254" s="76"/>
      <c r="F254" s="20"/>
      <c r="G254" s="78"/>
      <c r="H254" s="76"/>
      <c r="I254" s="20"/>
      <c r="J254" s="81"/>
      <c r="K254" s="81" t="str">
        <f t="shared" si="1"/>
        <v>-</v>
      </c>
      <c r="L254" s="110"/>
      <c r="M254" s="110"/>
      <c r="N254" s="110"/>
      <c r="O254" s="110"/>
      <c r="P254" s="110"/>
      <c r="Q254" s="110"/>
      <c r="R254" s="110"/>
      <c r="S254" s="110"/>
      <c r="T254" s="84"/>
      <c r="U254" s="84"/>
      <c r="V254" s="84"/>
      <c r="W254" s="84"/>
      <c r="X254" s="84"/>
      <c r="Y254" s="87"/>
      <c r="Z254" s="71"/>
      <c r="AA254" s="89"/>
      <c r="AB254" s="71"/>
      <c r="AC254" s="71"/>
      <c r="AD254" s="92"/>
      <c r="AE254" s="71"/>
      <c r="AF254" s="71"/>
      <c r="AG254" s="71"/>
      <c r="AH254" s="71"/>
      <c r="AI254" s="71"/>
      <c r="AJ254" s="71"/>
      <c r="AK254" s="71"/>
      <c r="AL254" s="71"/>
      <c r="AM254" s="71"/>
      <c r="AN254" s="71"/>
      <c r="AO254" s="71"/>
      <c r="AP254" s="71"/>
      <c r="AQ254" s="71"/>
      <c r="AR254" s="71"/>
    </row>
    <row r="255" ht="18.75" customHeight="1">
      <c r="A255" s="73"/>
      <c r="B255" s="91"/>
      <c r="C255" s="74"/>
      <c r="D255" s="74"/>
      <c r="E255" s="76"/>
      <c r="F255" s="20"/>
      <c r="G255" s="78"/>
      <c r="H255" s="76"/>
      <c r="I255" s="20"/>
      <c r="J255" s="81"/>
      <c r="K255" s="81" t="str">
        <f t="shared" si="1"/>
        <v>-</v>
      </c>
      <c r="L255" s="110"/>
      <c r="M255" s="110"/>
      <c r="N255" s="110"/>
      <c r="O255" s="110"/>
      <c r="P255" s="110"/>
      <c r="Q255" s="110"/>
      <c r="R255" s="110"/>
      <c r="S255" s="110"/>
      <c r="T255" s="84"/>
      <c r="U255" s="84"/>
      <c r="V255" s="84"/>
      <c r="W255" s="84"/>
      <c r="X255" s="84"/>
      <c r="Y255" s="87"/>
      <c r="Z255" s="71"/>
      <c r="AA255" s="89"/>
      <c r="AB255" s="71"/>
      <c r="AC255" s="71"/>
      <c r="AD255" s="92"/>
      <c r="AE255" s="71"/>
      <c r="AF255" s="71"/>
      <c r="AG255" s="71"/>
      <c r="AH255" s="71"/>
      <c r="AI255" s="71"/>
      <c r="AJ255" s="71"/>
      <c r="AK255" s="71"/>
      <c r="AL255" s="71"/>
      <c r="AM255" s="71"/>
      <c r="AN255" s="71"/>
      <c r="AO255" s="71"/>
      <c r="AP255" s="71"/>
      <c r="AQ255" s="71"/>
      <c r="AR255" s="71"/>
    </row>
    <row r="256" ht="18.75" customHeight="1">
      <c r="A256" s="73"/>
      <c r="B256" s="91"/>
      <c r="C256" s="74"/>
      <c r="D256" s="74"/>
      <c r="E256" s="76"/>
      <c r="F256" s="20"/>
      <c r="G256" s="78"/>
      <c r="H256" s="76"/>
      <c r="I256" s="20"/>
      <c r="J256" s="81"/>
      <c r="K256" s="81" t="str">
        <f t="shared" si="1"/>
        <v>-</v>
      </c>
      <c r="L256" s="110"/>
      <c r="M256" s="110"/>
      <c r="N256" s="110"/>
      <c r="O256" s="110"/>
      <c r="P256" s="110"/>
      <c r="Q256" s="110"/>
      <c r="R256" s="110"/>
      <c r="S256" s="110"/>
      <c r="T256" s="84"/>
      <c r="U256" s="84"/>
      <c r="V256" s="84"/>
      <c r="W256" s="84"/>
      <c r="X256" s="84"/>
      <c r="Y256" s="87"/>
      <c r="Z256" s="71"/>
      <c r="AA256" s="89"/>
      <c r="AB256" s="71"/>
      <c r="AC256" s="71"/>
      <c r="AD256" s="92"/>
      <c r="AE256" s="71"/>
      <c r="AF256" s="71"/>
      <c r="AG256" s="71"/>
      <c r="AH256" s="71"/>
      <c r="AI256" s="71"/>
      <c r="AJ256" s="71"/>
      <c r="AK256" s="71"/>
      <c r="AL256" s="71"/>
      <c r="AM256" s="71"/>
      <c r="AN256" s="71"/>
      <c r="AO256" s="71"/>
      <c r="AP256" s="71"/>
      <c r="AQ256" s="71"/>
      <c r="AR256" s="71"/>
    </row>
    <row r="257" ht="18.75" customHeight="1">
      <c r="A257" s="73"/>
      <c r="B257" s="91"/>
      <c r="C257" s="74"/>
      <c r="D257" s="74"/>
      <c r="E257" s="76"/>
      <c r="F257" s="20"/>
      <c r="G257" s="78"/>
      <c r="H257" s="76"/>
      <c r="I257" s="20"/>
      <c r="J257" s="81"/>
      <c r="K257" s="81" t="str">
        <f t="shared" si="1"/>
        <v>-</v>
      </c>
      <c r="L257" s="110"/>
      <c r="M257" s="110"/>
      <c r="N257" s="110"/>
      <c r="O257" s="110"/>
      <c r="P257" s="110"/>
      <c r="Q257" s="110"/>
      <c r="R257" s="110"/>
      <c r="S257" s="110"/>
      <c r="T257" s="84"/>
      <c r="U257" s="84"/>
      <c r="V257" s="84"/>
      <c r="W257" s="84"/>
      <c r="X257" s="84"/>
      <c r="Y257" s="87"/>
      <c r="Z257" s="71"/>
      <c r="AA257" s="89"/>
      <c r="AB257" s="71"/>
      <c r="AC257" s="71"/>
      <c r="AD257" s="92"/>
      <c r="AE257" s="71"/>
      <c r="AF257" s="71"/>
      <c r="AG257" s="71"/>
      <c r="AH257" s="71"/>
      <c r="AI257" s="71"/>
      <c r="AJ257" s="71"/>
      <c r="AK257" s="71"/>
      <c r="AL257" s="71"/>
      <c r="AM257" s="71"/>
      <c r="AN257" s="71"/>
      <c r="AO257" s="71"/>
      <c r="AP257" s="71"/>
      <c r="AQ257" s="71"/>
      <c r="AR257" s="71"/>
    </row>
    <row r="258" ht="18.75" customHeight="1">
      <c r="A258" s="73"/>
      <c r="B258" s="91"/>
      <c r="C258" s="74"/>
      <c r="D258" s="74"/>
      <c r="E258" s="76"/>
      <c r="F258" s="20"/>
      <c r="G258" s="78"/>
      <c r="H258" s="76"/>
      <c r="I258" s="20"/>
      <c r="J258" s="81"/>
      <c r="K258" s="81" t="str">
        <f t="shared" si="1"/>
        <v>-</v>
      </c>
      <c r="L258" s="110"/>
      <c r="M258" s="110"/>
      <c r="N258" s="110"/>
      <c r="O258" s="110"/>
      <c r="P258" s="110"/>
      <c r="Q258" s="110"/>
      <c r="R258" s="110"/>
      <c r="S258" s="110"/>
      <c r="T258" s="84"/>
      <c r="U258" s="84"/>
      <c r="V258" s="84"/>
      <c r="W258" s="84"/>
      <c r="X258" s="84"/>
      <c r="Y258" s="87"/>
      <c r="Z258" s="71"/>
      <c r="AA258" s="89"/>
      <c r="AB258" s="71"/>
      <c r="AC258" s="71"/>
      <c r="AD258" s="92"/>
      <c r="AE258" s="71"/>
      <c r="AF258" s="71"/>
      <c r="AG258" s="71"/>
      <c r="AH258" s="71"/>
      <c r="AI258" s="71"/>
      <c r="AJ258" s="71"/>
      <c r="AK258" s="71"/>
      <c r="AL258" s="71"/>
      <c r="AM258" s="71"/>
      <c r="AN258" s="71"/>
      <c r="AO258" s="71"/>
      <c r="AP258" s="71"/>
      <c r="AQ258" s="71"/>
      <c r="AR258" s="71"/>
    </row>
    <row r="259" ht="18.75" customHeight="1">
      <c r="A259" s="73"/>
      <c r="B259" s="91"/>
      <c r="C259" s="74"/>
      <c r="D259" s="74"/>
      <c r="E259" s="76"/>
      <c r="F259" s="20"/>
      <c r="G259" s="78"/>
      <c r="H259" s="76"/>
      <c r="I259" s="20"/>
      <c r="J259" s="81"/>
      <c r="K259" s="81" t="str">
        <f t="shared" si="1"/>
        <v>-</v>
      </c>
      <c r="L259" s="110"/>
      <c r="M259" s="110"/>
      <c r="N259" s="110"/>
      <c r="O259" s="110"/>
      <c r="P259" s="110"/>
      <c r="Q259" s="110"/>
      <c r="R259" s="110"/>
      <c r="S259" s="110"/>
      <c r="T259" s="84"/>
      <c r="U259" s="84"/>
      <c r="V259" s="84"/>
      <c r="W259" s="84"/>
      <c r="X259" s="84"/>
      <c r="Y259" s="87"/>
      <c r="Z259" s="71"/>
      <c r="AA259" s="89"/>
      <c r="AB259" s="71"/>
      <c r="AC259" s="71"/>
      <c r="AD259" s="92"/>
      <c r="AE259" s="71"/>
      <c r="AF259" s="71"/>
      <c r="AG259" s="71"/>
      <c r="AH259" s="71"/>
      <c r="AI259" s="71"/>
      <c r="AJ259" s="71"/>
      <c r="AK259" s="71"/>
      <c r="AL259" s="71"/>
      <c r="AM259" s="71"/>
      <c r="AN259" s="71"/>
      <c r="AO259" s="71"/>
      <c r="AP259" s="71"/>
      <c r="AQ259" s="71"/>
      <c r="AR259" s="71"/>
    </row>
    <row r="260" ht="18.75" customHeight="1">
      <c r="A260" s="73"/>
      <c r="B260" s="91"/>
      <c r="C260" s="74"/>
      <c r="D260" s="74"/>
      <c r="E260" s="76"/>
      <c r="F260" s="20"/>
      <c r="G260" s="78"/>
      <c r="H260" s="76"/>
      <c r="I260" s="20"/>
      <c r="J260" s="81"/>
      <c r="K260" s="81" t="str">
        <f t="shared" si="1"/>
        <v>-</v>
      </c>
      <c r="L260" s="110"/>
      <c r="M260" s="110"/>
      <c r="N260" s="110"/>
      <c r="O260" s="110"/>
      <c r="P260" s="110"/>
      <c r="Q260" s="110"/>
      <c r="R260" s="110"/>
      <c r="S260" s="110"/>
      <c r="T260" s="84"/>
      <c r="U260" s="84"/>
      <c r="V260" s="84"/>
      <c r="W260" s="84"/>
      <c r="X260" s="84"/>
      <c r="Y260" s="87"/>
      <c r="Z260" s="71"/>
      <c r="AA260" s="89"/>
      <c r="AB260" s="71"/>
      <c r="AC260" s="71"/>
      <c r="AD260" s="92"/>
      <c r="AE260" s="71"/>
      <c r="AF260" s="71"/>
      <c r="AG260" s="71"/>
      <c r="AH260" s="71"/>
      <c r="AI260" s="71"/>
      <c r="AJ260" s="71"/>
      <c r="AK260" s="71"/>
      <c r="AL260" s="71"/>
      <c r="AM260" s="71"/>
      <c r="AN260" s="71"/>
      <c r="AO260" s="71"/>
      <c r="AP260" s="71"/>
      <c r="AQ260" s="71"/>
      <c r="AR260" s="71"/>
    </row>
    <row r="261" ht="18.75" customHeight="1">
      <c r="A261" s="73"/>
      <c r="B261" s="91"/>
      <c r="C261" s="74"/>
      <c r="D261" s="74"/>
      <c r="E261" s="76"/>
      <c r="F261" s="20"/>
      <c r="G261" s="78"/>
      <c r="H261" s="76"/>
      <c r="I261" s="20"/>
      <c r="J261" s="81"/>
      <c r="K261" s="81" t="str">
        <f t="shared" si="1"/>
        <v>-</v>
      </c>
      <c r="L261" s="110"/>
      <c r="M261" s="110"/>
      <c r="N261" s="110"/>
      <c r="O261" s="110"/>
      <c r="P261" s="110"/>
      <c r="Q261" s="110"/>
      <c r="R261" s="110"/>
      <c r="S261" s="110"/>
      <c r="T261" s="84"/>
      <c r="U261" s="84"/>
      <c r="V261" s="84"/>
      <c r="W261" s="84"/>
      <c r="X261" s="84"/>
      <c r="Y261" s="87"/>
      <c r="Z261" s="71"/>
      <c r="AA261" s="89"/>
      <c r="AB261" s="71"/>
      <c r="AC261" s="71"/>
      <c r="AD261" s="92"/>
      <c r="AE261" s="71"/>
      <c r="AF261" s="71"/>
      <c r="AG261" s="71"/>
      <c r="AH261" s="71"/>
      <c r="AI261" s="71"/>
      <c r="AJ261" s="71"/>
      <c r="AK261" s="71"/>
      <c r="AL261" s="71"/>
      <c r="AM261" s="71"/>
      <c r="AN261" s="71"/>
      <c r="AO261" s="71"/>
      <c r="AP261" s="71"/>
      <c r="AQ261" s="71"/>
      <c r="AR261" s="71"/>
    </row>
    <row r="262" ht="18.75" customHeight="1">
      <c r="A262" s="73"/>
      <c r="B262" s="91"/>
      <c r="C262" s="74"/>
      <c r="D262" s="74"/>
      <c r="E262" s="76"/>
      <c r="F262" s="20"/>
      <c r="G262" s="78"/>
      <c r="H262" s="76"/>
      <c r="I262" s="20"/>
      <c r="J262" s="81"/>
      <c r="K262" s="81" t="str">
        <f t="shared" si="1"/>
        <v>-</v>
      </c>
      <c r="L262" s="110"/>
      <c r="M262" s="110"/>
      <c r="N262" s="110"/>
      <c r="O262" s="110"/>
      <c r="P262" s="110"/>
      <c r="Q262" s="110"/>
      <c r="R262" s="110"/>
      <c r="S262" s="110"/>
      <c r="T262" s="84"/>
      <c r="U262" s="84"/>
      <c r="V262" s="84"/>
      <c r="W262" s="84"/>
      <c r="X262" s="84"/>
      <c r="Y262" s="87"/>
      <c r="Z262" s="71"/>
      <c r="AA262" s="89"/>
      <c r="AB262" s="71"/>
      <c r="AC262" s="71"/>
      <c r="AD262" s="92"/>
      <c r="AE262" s="71"/>
      <c r="AF262" s="71"/>
      <c r="AG262" s="71"/>
      <c r="AH262" s="71"/>
      <c r="AI262" s="71"/>
      <c r="AJ262" s="71"/>
      <c r="AK262" s="71"/>
      <c r="AL262" s="71"/>
      <c r="AM262" s="71"/>
      <c r="AN262" s="71"/>
      <c r="AO262" s="71"/>
      <c r="AP262" s="71"/>
      <c r="AQ262" s="71"/>
      <c r="AR262" s="71"/>
    </row>
    <row r="263" ht="18.75" customHeight="1">
      <c r="A263" s="73"/>
      <c r="B263" s="91"/>
      <c r="C263" s="74"/>
      <c r="D263" s="74"/>
      <c r="E263" s="76"/>
      <c r="F263" s="20"/>
      <c r="G263" s="78"/>
      <c r="H263" s="76"/>
      <c r="I263" s="20"/>
      <c r="J263" s="81"/>
      <c r="K263" s="81" t="str">
        <f t="shared" si="1"/>
        <v>-</v>
      </c>
      <c r="L263" s="110"/>
      <c r="M263" s="110"/>
      <c r="N263" s="110"/>
      <c r="O263" s="110"/>
      <c r="P263" s="110"/>
      <c r="Q263" s="110"/>
      <c r="R263" s="110"/>
      <c r="S263" s="110"/>
      <c r="T263" s="84"/>
      <c r="U263" s="84"/>
      <c r="V263" s="84"/>
      <c r="W263" s="84"/>
      <c r="X263" s="84"/>
      <c r="Y263" s="87"/>
      <c r="Z263" s="71"/>
      <c r="AA263" s="89"/>
      <c r="AB263" s="71"/>
      <c r="AC263" s="71"/>
      <c r="AD263" s="92"/>
      <c r="AE263" s="71"/>
      <c r="AF263" s="71"/>
      <c r="AG263" s="71"/>
      <c r="AH263" s="71"/>
      <c r="AI263" s="71"/>
      <c r="AJ263" s="71"/>
      <c r="AK263" s="71"/>
      <c r="AL263" s="71"/>
      <c r="AM263" s="71"/>
      <c r="AN263" s="71"/>
      <c r="AO263" s="71"/>
      <c r="AP263" s="71"/>
      <c r="AQ263" s="71"/>
      <c r="AR263" s="71"/>
    </row>
    <row r="264" ht="18.75" customHeight="1">
      <c r="A264" s="73"/>
      <c r="B264" s="91"/>
      <c r="C264" s="74"/>
      <c r="D264" s="74"/>
      <c r="E264" s="76"/>
      <c r="F264" s="20"/>
      <c r="G264" s="78"/>
      <c r="H264" s="76"/>
      <c r="I264" s="20"/>
      <c r="J264" s="81"/>
      <c r="K264" s="81" t="str">
        <f t="shared" si="1"/>
        <v>-</v>
      </c>
      <c r="L264" s="110"/>
      <c r="M264" s="110"/>
      <c r="N264" s="110"/>
      <c r="O264" s="110"/>
      <c r="P264" s="110"/>
      <c r="Q264" s="110"/>
      <c r="R264" s="110"/>
      <c r="S264" s="110"/>
      <c r="T264" s="84"/>
      <c r="U264" s="84"/>
      <c r="V264" s="84"/>
      <c r="W264" s="84"/>
      <c r="X264" s="84"/>
      <c r="Y264" s="87"/>
      <c r="Z264" s="71"/>
      <c r="AA264" s="89"/>
      <c r="AB264" s="71"/>
      <c r="AC264" s="71"/>
      <c r="AD264" s="92"/>
      <c r="AE264" s="71"/>
      <c r="AF264" s="71"/>
      <c r="AG264" s="71"/>
      <c r="AH264" s="71"/>
      <c r="AI264" s="71"/>
      <c r="AJ264" s="71"/>
      <c r="AK264" s="71"/>
      <c r="AL264" s="71"/>
      <c r="AM264" s="71"/>
      <c r="AN264" s="71"/>
      <c r="AO264" s="71"/>
      <c r="AP264" s="71"/>
      <c r="AQ264" s="71"/>
      <c r="AR264" s="71"/>
    </row>
    <row r="265" ht="18.75" customHeight="1">
      <c r="A265" s="73"/>
      <c r="B265" s="91"/>
      <c r="C265" s="74"/>
      <c r="D265" s="74"/>
      <c r="E265" s="76"/>
      <c r="F265" s="20"/>
      <c r="G265" s="78"/>
      <c r="H265" s="76"/>
      <c r="I265" s="20"/>
      <c r="J265" s="81"/>
      <c r="K265" s="81" t="str">
        <f t="shared" si="1"/>
        <v>-</v>
      </c>
      <c r="L265" s="110"/>
      <c r="M265" s="110"/>
      <c r="N265" s="110"/>
      <c r="O265" s="110"/>
      <c r="P265" s="110"/>
      <c r="Q265" s="110"/>
      <c r="R265" s="110"/>
      <c r="S265" s="110"/>
      <c r="T265" s="84"/>
      <c r="U265" s="84"/>
      <c r="V265" s="84"/>
      <c r="W265" s="84"/>
      <c r="X265" s="84"/>
      <c r="Y265" s="87"/>
      <c r="Z265" s="71"/>
      <c r="AA265" s="89"/>
      <c r="AB265" s="71"/>
      <c r="AC265" s="71"/>
      <c r="AD265" s="92"/>
      <c r="AE265" s="71"/>
      <c r="AF265" s="71"/>
      <c r="AG265" s="71"/>
      <c r="AH265" s="71"/>
      <c r="AI265" s="71"/>
      <c r="AJ265" s="71"/>
      <c r="AK265" s="71"/>
      <c r="AL265" s="71"/>
      <c r="AM265" s="71"/>
      <c r="AN265" s="71"/>
      <c r="AO265" s="71"/>
      <c r="AP265" s="71"/>
      <c r="AQ265" s="71"/>
      <c r="AR265" s="71"/>
    </row>
    <row r="266" ht="18.75" customHeight="1">
      <c r="A266" s="73"/>
      <c r="B266" s="91"/>
      <c r="C266" s="74"/>
      <c r="D266" s="74"/>
      <c r="E266" s="76"/>
      <c r="F266" s="20"/>
      <c r="G266" s="78"/>
      <c r="H266" s="76"/>
      <c r="I266" s="20"/>
      <c r="J266" s="81"/>
      <c r="K266" s="81" t="str">
        <f t="shared" si="1"/>
        <v>-</v>
      </c>
      <c r="L266" s="110"/>
      <c r="M266" s="110"/>
      <c r="N266" s="110"/>
      <c r="O266" s="110"/>
      <c r="P266" s="110"/>
      <c r="Q266" s="110"/>
      <c r="R266" s="110"/>
      <c r="S266" s="110"/>
      <c r="T266" s="84"/>
      <c r="U266" s="84"/>
      <c r="V266" s="84"/>
      <c r="W266" s="84"/>
      <c r="X266" s="84"/>
      <c r="Y266" s="87"/>
      <c r="Z266" s="71"/>
      <c r="AA266" s="89"/>
      <c r="AB266" s="71"/>
      <c r="AC266" s="71"/>
      <c r="AD266" s="92"/>
      <c r="AE266" s="71"/>
      <c r="AF266" s="71"/>
      <c r="AG266" s="71"/>
      <c r="AH266" s="71"/>
      <c r="AI266" s="71"/>
      <c r="AJ266" s="71"/>
      <c r="AK266" s="71"/>
      <c r="AL266" s="71"/>
      <c r="AM266" s="71"/>
      <c r="AN266" s="71"/>
      <c r="AO266" s="71"/>
      <c r="AP266" s="71"/>
      <c r="AQ266" s="71"/>
      <c r="AR266" s="71"/>
    </row>
    <row r="267" ht="18.75" customHeight="1">
      <c r="A267" s="73"/>
      <c r="B267" s="91"/>
      <c r="C267" s="74"/>
      <c r="D267" s="74"/>
      <c r="E267" s="76"/>
      <c r="F267" s="20"/>
      <c r="G267" s="78"/>
      <c r="H267" s="76"/>
      <c r="I267" s="20"/>
      <c r="J267" s="81"/>
      <c r="K267" s="81" t="str">
        <f t="shared" si="1"/>
        <v>-</v>
      </c>
      <c r="L267" s="110"/>
      <c r="M267" s="110"/>
      <c r="N267" s="110"/>
      <c r="O267" s="110"/>
      <c r="P267" s="110"/>
      <c r="Q267" s="110"/>
      <c r="R267" s="110"/>
      <c r="S267" s="110"/>
      <c r="T267" s="84"/>
      <c r="U267" s="84"/>
      <c r="V267" s="84"/>
      <c r="W267" s="84"/>
      <c r="X267" s="84"/>
      <c r="Y267" s="87"/>
      <c r="Z267" s="71"/>
      <c r="AA267" s="89"/>
      <c r="AB267" s="71"/>
      <c r="AC267" s="71"/>
      <c r="AD267" s="92"/>
      <c r="AE267" s="71"/>
      <c r="AF267" s="71"/>
      <c r="AG267" s="71"/>
      <c r="AH267" s="71"/>
      <c r="AI267" s="71"/>
      <c r="AJ267" s="71"/>
      <c r="AK267" s="71"/>
      <c r="AL267" s="71"/>
      <c r="AM267" s="71"/>
      <c r="AN267" s="71"/>
      <c r="AO267" s="71"/>
      <c r="AP267" s="71"/>
      <c r="AQ267" s="71"/>
      <c r="AR267" s="71"/>
    </row>
    <row r="268" ht="18.75" customHeight="1">
      <c r="A268" s="73"/>
      <c r="B268" s="91"/>
      <c r="C268" s="74"/>
      <c r="D268" s="74"/>
      <c r="E268" s="76"/>
      <c r="F268" s="20"/>
      <c r="G268" s="78"/>
      <c r="H268" s="76"/>
      <c r="I268" s="20"/>
      <c r="J268" s="81"/>
      <c r="K268" s="81" t="str">
        <f t="shared" si="1"/>
        <v>-</v>
      </c>
      <c r="L268" s="110"/>
      <c r="M268" s="110"/>
      <c r="N268" s="110"/>
      <c r="O268" s="110"/>
      <c r="P268" s="110"/>
      <c r="Q268" s="110"/>
      <c r="R268" s="110"/>
      <c r="S268" s="110"/>
      <c r="T268" s="84"/>
      <c r="U268" s="84"/>
      <c r="V268" s="84"/>
      <c r="W268" s="84"/>
      <c r="X268" s="84"/>
      <c r="Y268" s="87"/>
      <c r="Z268" s="71"/>
      <c r="AA268" s="89"/>
      <c r="AB268" s="71"/>
      <c r="AC268" s="71"/>
      <c r="AD268" s="92"/>
      <c r="AE268" s="71"/>
      <c r="AF268" s="71"/>
      <c r="AG268" s="71"/>
      <c r="AH268" s="71"/>
      <c r="AI268" s="71"/>
      <c r="AJ268" s="71"/>
      <c r="AK268" s="71"/>
      <c r="AL268" s="71"/>
      <c r="AM268" s="71"/>
      <c r="AN268" s="71"/>
      <c r="AO268" s="71"/>
      <c r="AP268" s="71"/>
      <c r="AQ268" s="71"/>
      <c r="AR268" s="71"/>
    </row>
    <row r="269" ht="18.75" customHeight="1">
      <c r="A269" s="73"/>
      <c r="B269" s="91"/>
      <c r="C269" s="74"/>
      <c r="D269" s="74"/>
      <c r="E269" s="76"/>
      <c r="F269" s="20"/>
      <c r="G269" s="78"/>
      <c r="H269" s="76"/>
      <c r="I269" s="20"/>
      <c r="J269" s="81"/>
      <c r="K269" s="81" t="str">
        <f t="shared" si="1"/>
        <v>-</v>
      </c>
      <c r="L269" s="110"/>
      <c r="M269" s="110"/>
      <c r="N269" s="110"/>
      <c r="O269" s="110"/>
      <c r="P269" s="110"/>
      <c r="Q269" s="110"/>
      <c r="R269" s="110"/>
      <c r="S269" s="110"/>
      <c r="T269" s="84"/>
      <c r="U269" s="84"/>
      <c r="V269" s="84"/>
      <c r="W269" s="84"/>
      <c r="X269" s="84"/>
      <c r="Y269" s="87"/>
      <c r="Z269" s="71"/>
      <c r="AA269" s="89"/>
      <c r="AB269" s="71"/>
      <c r="AC269" s="71"/>
      <c r="AD269" s="92"/>
      <c r="AE269" s="71"/>
      <c r="AF269" s="71"/>
      <c r="AG269" s="71"/>
      <c r="AH269" s="71"/>
      <c r="AI269" s="71"/>
      <c r="AJ269" s="71"/>
      <c r="AK269" s="71"/>
      <c r="AL269" s="71"/>
      <c r="AM269" s="71"/>
      <c r="AN269" s="71"/>
      <c r="AO269" s="71"/>
      <c r="AP269" s="71"/>
      <c r="AQ269" s="71"/>
      <c r="AR269" s="71"/>
    </row>
    <row r="270" ht="18.75" customHeight="1">
      <c r="A270" s="73"/>
      <c r="B270" s="91"/>
      <c r="C270" s="74"/>
      <c r="D270" s="74"/>
      <c r="E270" s="76"/>
      <c r="F270" s="20"/>
      <c r="G270" s="78"/>
      <c r="H270" s="76"/>
      <c r="I270" s="20"/>
      <c r="J270" s="81"/>
      <c r="K270" s="81" t="str">
        <f t="shared" si="1"/>
        <v>-</v>
      </c>
      <c r="L270" s="110"/>
      <c r="M270" s="110"/>
      <c r="N270" s="110"/>
      <c r="O270" s="110"/>
      <c r="P270" s="110"/>
      <c r="Q270" s="110"/>
      <c r="R270" s="110"/>
      <c r="S270" s="110"/>
      <c r="T270" s="84"/>
      <c r="U270" s="84"/>
      <c r="V270" s="84"/>
      <c r="W270" s="84"/>
      <c r="X270" s="84"/>
      <c r="Y270" s="87"/>
      <c r="Z270" s="71"/>
      <c r="AA270" s="89"/>
      <c r="AB270" s="71"/>
      <c r="AC270" s="71"/>
      <c r="AD270" s="92"/>
      <c r="AE270" s="71"/>
      <c r="AF270" s="71"/>
      <c r="AG270" s="71"/>
      <c r="AH270" s="71"/>
      <c r="AI270" s="71"/>
      <c r="AJ270" s="71"/>
      <c r="AK270" s="71"/>
      <c r="AL270" s="71"/>
      <c r="AM270" s="71"/>
      <c r="AN270" s="71"/>
      <c r="AO270" s="71"/>
      <c r="AP270" s="71"/>
      <c r="AQ270" s="71"/>
      <c r="AR270" s="71"/>
    </row>
    <row r="271" ht="18.75" customHeight="1">
      <c r="A271" s="73"/>
      <c r="B271" s="91"/>
      <c r="C271" s="74"/>
      <c r="D271" s="74"/>
      <c r="E271" s="76"/>
      <c r="F271" s="20"/>
      <c r="G271" s="78"/>
      <c r="H271" s="76"/>
      <c r="I271" s="20"/>
      <c r="J271" s="81"/>
      <c r="K271" s="81" t="str">
        <f t="shared" si="1"/>
        <v>-</v>
      </c>
      <c r="L271" s="110"/>
      <c r="M271" s="110"/>
      <c r="N271" s="110"/>
      <c r="O271" s="110"/>
      <c r="P271" s="110"/>
      <c r="Q271" s="110"/>
      <c r="R271" s="110"/>
      <c r="S271" s="110"/>
      <c r="T271" s="84"/>
      <c r="U271" s="84"/>
      <c r="V271" s="84"/>
      <c r="W271" s="84"/>
      <c r="X271" s="84"/>
      <c r="Y271" s="87"/>
      <c r="Z271" s="71"/>
      <c r="AA271" s="89"/>
      <c r="AB271" s="71"/>
      <c r="AC271" s="71"/>
      <c r="AD271" s="92"/>
      <c r="AE271" s="71"/>
      <c r="AF271" s="71"/>
      <c r="AG271" s="71"/>
      <c r="AH271" s="71"/>
      <c r="AI271" s="71"/>
      <c r="AJ271" s="71"/>
      <c r="AK271" s="71"/>
      <c r="AL271" s="71"/>
      <c r="AM271" s="71"/>
      <c r="AN271" s="71"/>
      <c r="AO271" s="71"/>
      <c r="AP271" s="71"/>
      <c r="AQ271" s="71"/>
      <c r="AR271" s="71"/>
    </row>
    <row r="272" ht="18.75" customHeight="1">
      <c r="A272" s="73"/>
      <c r="B272" s="91"/>
      <c r="C272" s="74"/>
      <c r="D272" s="74"/>
      <c r="E272" s="76"/>
      <c r="F272" s="20"/>
      <c r="G272" s="78"/>
      <c r="H272" s="76"/>
      <c r="I272" s="20"/>
      <c r="J272" s="81"/>
      <c r="K272" s="81" t="str">
        <f t="shared" si="1"/>
        <v>-</v>
      </c>
      <c r="L272" s="110"/>
      <c r="M272" s="110"/>
      <c r="N272" s="110"/>
      <c r="O272" s="110"/>
      <c r="P272" s="110"/>
      <c r="Q272" s="110"/>
      <c r="R272" s="110"/>
      <c r="S272" s="110"/>
      <c r="T272" s="84"/>
      <c r="U272" s="84"/>
      <c r="V272" s="84"/>
      <c r="W272" s="84"/>
      <c r="X272" s="84"/>
      <c r="Y272" s="87"/>
      <c r="Z272" s="71"/>
      <c r="AA272" s="89"/>
      <c r="AB272" s="71"/>
      <c r="AC272" s="71"/>
      <c r="AD272" s="92"/>
      <c r="AE272" s="71"/>
      <c r="AF272" s="71"/>
      <c r="AG272" s="71"/>
      <c r="AH272" s="71"/>
      <c r="AI272" s="71"/>
      <c r="AJ272" s="71"/>
      <c r="AK272" s="71"/>
      <c r="AL272" s="71"/>
      <c r="AM272" s="71"/>
      <c r="AN272" s="71"/>
      <c r="AO272" s="71"/>
      <c r="AP272" s="71"/>
      <c r="AQ272" s="71"/>
      <c r="AR272" s="71"/>
    </row>
    <row r="273" ht="18.75" customHeight="1">
      <c r="A273" s="73"/>
      <c r="B273" s="91"/>
      <c r="C273" s="74"/>
      <c r="D273" s="74"/>
      <c r="E273" s="76"/>
      <c r="F273" s="20"/>
      <c r="G273" s="78"/>
      <c r="H273" s="76"/>
      <c r="I273" s="20"/>
      <c r="J273" s="81"/>
      <c r="K273" s="81" t="str">
        <f t="shared" si="1"/>
        <v>-</v>
      </c>
      <c r="L273" s="110"/>
      <c r="M273" s="110"/>
      <c r="N273" s="110"/>
      <c r="O273" s="110"/>
      <c r="P273" s="110"/>
      <c r="Q273" s="110"/>
      <c r="R273" s="110"/>
      <c r="S273" s="110"/>
      <c r="T273" s="84"/>
      <c r="U273" s="84"/>
      <c r="V273" s="84"/>
      <c r="W273" s="84"/>
      <c r="X273" s="84"/>
      <c r="Y273" s="87"/>
      <c r="Z273" s="71"/>
      <c r="AA273" s="89"/>
      <c r="AB273" s="71"/>
      <c r="AC273" s="71"/>
      <c r="AD273" s="92"/>
      <c r="AE273" s="71"/>
      <c r="AF273" s="71"/>
      <c r="AG273" s="71"/>
      <c r="AH273" s="71"/>
      <c r="AI273" s="71"/>
      <c r="AJ273" s="71"/>
      <c r="AK273" s="71"/>
      <c r="AL273" s="71"/>
      <c r="AM273" s="71"/>
      <c r="AN273" s="71"/>
      <c r="AO273" s="71"/>
      <c r="AP273" s="71"/>
      <c r="AQ273" s="71"/>
      <c r="AR273" s="71"/>
    </row>
    <row r="274" ht="18.75" customHeight="1">
      <c r="A274" s="73"/>
      <c r="B274" s="91"/>
      <c r="C274" s="74"/>
      <c r="D274" s="74"/>
      <c r="E274" s="76"/>
      <c r="F274" s="20"/>
      <c r="G274" s="78"/>
      <c r="H274" s="76"/>
      <c r="I274" s="20"/>
      <c r="J274" s="81"/>
      <c r="K274" s="81" t="str">
        <f t="shared" si="1"/>
        <v>-</v>
      </c>
      <c r="L274" s="110"/>
      <c r="M274" s="110"/>
      <c r="N274" s="110"/>
      <c r="O274" s="110"/>
      <c r="P274" s="110"/>
      <c r="Q274" s="110"/>
      <c r="R274" s="110"/>
      <c r="S274" s="110"/>
      <c r="T274" s="84"/>
      <c r="U274" s="84"/>
      <c r="V274" s="84"/>
      <c r="W274" s="84"/>
      <c r="X274" s="84"/>
      <c r="Y274" s="87"/>
      <c r="Z274" s="71"/>
      <c r="AA274" s="89"/>
      <c r="AB274" s="71"/>
      <c r="AC274" s="71"/>
      <c r="AD274" s="92"/>
      <c r="AE274" s="71"/>
      <c r="AF274" s="71"/>
      <c r="AG274" s="71"/>
      <c r="AH274" s="71"/>
      <c r="AI274" s="71"/>
      <c r="AJ274" s="71"/>
      <c r="AK274" s="71"/>
      <c r="AL274" s="71"/>
      <c r="AM274" s="71"/>
      <c r="AN274" s="71"/>
      <c r="AO274" s="71"/>
      <c r="AP274" s="71"/>
      <c r="AQ274" s="71"/>
      <c r="AR274" s="71"/>
    </row>
    <row r="275" ht="18.75" customHeight="1">
      <c r="A275" s="73"/>
      <c r="B275" s="91"/>
      <c r="C275" s="74"/>
      <c r="D275" s="74"/>
      <c r="E275" s="76"/>
      <c r="F275" s="20"/>
      <c r="G275" s="78"/>
      <c r="H275" s="76"/>
      <c r="I275" s="20"/>
      <c r="J275" s="81"/>
      <c r="K275" s="81" t="str">
        <f t="shared" si="1"/>
        <v>-</v>
      </c>
      <c r="L275" s="110"/>
      <c r="M275" s="110"/>
      <c r="N275" s="110"/>
      <c r="O275" s="110"/>
      <c r="P275" s="110"/>
      <c r="Q275" s="110"/>
      <c r="R275" s="110"/>
      <c r="S275" s="110"/>
      <c r="T275" s="84"/>
      <c r="U275" s="84"/>
      <c r="V275" s="84"/>
      <c r="W275" s="84"/>
      <c r="X275" s="84"/>
      <c r="Y275" s="87"/>
      <c r="Z275" s="71"/>
      <c r="AA275" s="89"/>
      <c r="AB275" s="71"/>
      <c r="AC275" s="71"/>
      <c r="AD275" s="92"/>
      <c r="AE275" s="71"/>
      <c r="AF275" s="71"/>
      <c r="AG275" s="71"/>
      <c r="AH275" s="71"/>
      <c r="AI275" s="71"/>
      <c r="AJ275" s="71"/>
      <c r="AK275" s="71"/>
      <c r="AL275" s="71"/>
      <c r="AM275" s="71"/>
      <c r="AN275" s="71"/>
      <c r="AO275" s="71"/>
      <c r="AP275" s="71"/>
      <c r="AQ275" s="71"/>
      <c r="AR275" s="71"/>
    </row>
    <row r="276" ht="18.75" customHeight="1">
      <c r="A276" s="73"/>
      <c r="B276" s="91"/>
      <c r="C276" s="74"/>
      <c r="D276" s="74"/>
      <c r="E276" s="76"/>
      <c r="F276" s="20"/>
      <c r="G276" s="78"/>
      <c r="H276" s="76"/>
      <c r="I276" s="20"/>
      <c r="J276" s="81"/>
      <c r="K276" s="81" t="str">
        <f t="shared" si="1"/>
        <v>-</v>
      </c>
      <c r="L276" s="110"/>
      <c r="M276" s="110"/>
      <c r="N276" s="110"/>
      <c r="O276" s="110"/>
      <c r="P276" s="110"/>
      <c r="Q276" s="110"/>
      <c r="R276" s="110"/>
      <c r="S276" s="110"/>
      <c r="T276" s="84"/>
      <c r="U276" s="84"/>
      <c r="V276" s="84"/>
      <c r="W276" s="84"/>
      <c r="X276" s="84"/>
      <c r="Y276" s="87"/>
      <c r="Z276" s="71"/>
      <c r="AA276" s="89"/>
      <c r="AB276" s="71"/>
      <c r="AC276" s="71"/>
      <c r="AD276" s="92"/>
      <c r="AE276" s="71"/>
      <c r="AF276" s="71"/>
      <c r="AG276" s="71"/>
      <c r="AH276" s="71"/>
      <c r="AI276" s="71"/>
      <c r="AJ276" s="71"/>
      <c r="AK276" s="71"/>
      <c r="AL276" s="71"/>
      <c r="AM276" s="71"/>
      <c r="AN276" s="71"/>
      <c r="AO276" s="71"/>
      <c r="AP276" s="71"/>
      <c r="AQ276" s="71"/>
      <c r="AR276" s="71"/>
    </row>
    <row r="277" ht="18.75" customHeight="1">
      <c r="A277" s="73"/>
      <c r="B277" s="91"/>
      <c r="C277" s="74"/>
      <c r="D277" s="74"/>
      <c r="E277" s="76"/>
      <c r="F277" s="20"/>
      <c r="G277" s="78"/>
      <c r="H277" s="76"/>
      <c r="I277" s="20"/>
      <c r="J277" s="81"/>
      <c r="K277" s="81" t="str">
        <f t="shared" si="1"/>
        <v>-</v>
      </c>
      <c r="L277" s="110"/>
      <c r="M277" s="110"/>
      <c r="N277" s="110"/>
      <c r="O277" s="110"/>
      <c r="P277" s="110"/>
      <c r="Q277" s="110"/>
      <c r="R277" s="110"/>
      <c r="S277" s="110"/>
      <c r="T277" s="84"/>
      <c r="U277" s="84"/>
      <c r="V277" s="84"/>
      <c r="W277" s="84"/>
      <c r="X277" s="84"/>
      <c r="Y277" s="87"/>
      <c r="Z277" s="71"/>
      <c r="AA277" s="89"/>
      <c r="AB277" s="71"/>
      <c r="AC277" s="71"/>
      <c r="AD277" s="92"/>
      <c r="AE277" s="71"/>
      <c r="AF277" s="71"/>
      <c r="AG277" s="71"/>
      <c r="AH277" s="71"/>
      <c r="AI277" s="71"/>
      <c r="AJ277" s="71"/>
      <c r="AK277" s="71"/>
      <c r="AL277" s="71"/>
      <c r="AM277" s="71"/>
      <c r="AN277" s="71"/>
      <c r="AO277" s="71"/>
      <c r="AP277" s="71"/>
      <c r="AQ277" s="71"/>
      <c r="AR277" s="71"/>
    </row>
    <row r="278" ht="18.75" customHeight="1">
      <c r="A278" s="73"/>
      <c r="B278" s="91"/>
      <c r="C278" s="74"/>
      <c r="D278" s="74"/>
      <c r="E278" s="76"/>
      <c r="F278" s="20"/>
      <c r="G278" s="78"/>
      <c r="H278" s="76"/>
      <c r="I278" s="20"/>
      <c r="J278" s="81"/>
      <c r="K278" s="81" t="str">
        <f t="shared" si="1"/>
        <v>-</v>
      </c>
      <c r="L278" s="110"/>
      <c r="M278" s="110"/>
      <c r="N278" s="110"/>
      <c r="O278" s="110"/>
      <c r="P278" s="110"/>
      <c r="Q278" s="110"/>
      <c r="R278" s="110"/>
      <c r="S278" s="110"/>
      <c r="T278" s="84"/>
      <c r="U278" s="84"/>
      <c r="V278" s="84"/>
      <c r="W278" s="84"/>
      <c r="X278" s="84"/>
      <c r="Y278" s="87"/>
      <c r="Z278" s="71"/>
      <c r="AA278" s="89"/>
      <c r="AB278" s="71"/>
      <c r="AC278" s="71"/>
      <c r="AD278" s="92"/>
      <c r="AE278" s="71"/>
      <c r="AF278" s="71"/>
      <c r="AG278" s="71"/>
      <c r="AH278" s="71"/>
      <c r="AI278" s="71"/>
      <c r="AJ278" s="71"/>
      <c r="AK278" s="71"/>
      <c r="AL278" s="71"/>
      <c r="AM278" s="71"/>
      <c r="AN278" s="71"/>
      <c r="AO278" s="71"/>
      <c r="AP278" s="71"/>
      <c r="AQ278" s="71"/>
      <c r="AR278" s="71"/>
    </row>
    <row r="279" ht="18.75" customHeight="1">
      <c r="A279" s="73"/>
      <c r="B279" s="91"/>
      <c r="C279" s="74"/>
      <c r="D279" s="74"/>
      <c r="E279" s="76"/>
      <c r="F279" s="20"/>
      <c r="G279" s="78"/>
      <c r="H279" s="76"/>
      <c r="I279" s="20"/>
      <c r="J279" s="81"/>
      <c r="K279" s="81" t="str">
        <f t="shared" si="1"/>
        <v>-</v>
      </c>
      <c r="L279" s="110"/>
      <c r="M279" s="110"/>
      <c r="N279" s="110"/>
      <c r="O279" s="110"/>
      <c r="P279" s="110"/>
      <c r="Q279" s="110"/>
      <c r="R279" s="110"/>
      <c r="S279" s="110"/>
      <c r="T279" s="84"/>
      <c r="U279" s="84"/>
      <c r="V279" s="84"/>
      <c r="W279" s="84"/>
      <c r="X279" s="84"/>
      <c r="Y279" s="87"/>
      <c r="Z279" s="71"/>
      <c r="AA279" s="89"/>
      <c r="AB279" s="71"/>
      <c r="AC279" s="71"/>
      <c r="AD279" s="92"/>
      <c r="AE279" s="71"/>
      <c r="AF279" s="71"/>
      <c r="AG279" s="71"/>
      <c r="AH279" s="71"/>
      <c r="AI279" s="71"/>
      <c r="AJ279" s="71"/>
      <c r="AK279" s="71"/>
      <c r="AL279" s="71"/>
      <c r="AM279" s="71"/>
      <c r="AN279" s="71"/>
      <c r="AO279" s="71"/>
      <c r="AP279" s="71"/>
      <c r="AQ279" s="71"/>
      <c r="AR279" s="71"/>
    </row>
    <row r="280" ht="18.75" customHeight="1">
      <c r="A280" s="73"/>
      <c r="B280" s="91"/>
      <c r="C280" s="74"/>
      <c r="D280" s="74"/>
      <c r="E280" s="76"/>
      <c r="F280" s="20"/>
      <c r="G280" s="78"/>
      <c r="H280" s="76"/>
      <c r="I280" s="20"/>
      <c r="J280" s="81"/>
      <c r="K280" s="81" t="str">
        <f t="shared" si="1"/>
        <v>-</v>
      </c>
      <c r="L280" s="110"/>
      <c r="M280" s="110"/>
      <c r="N280" s="110"/>
      <c r="O280" s="110"/>
      <c r="P280" s="110"/>
      <c r="Q280" s="110"/>
      <c r="R280" s="110"/>
      <c r="S280" s="110"/>
      <c r="T280" s="84"/>
      <c r="U280" s="84"/>
      <c r="V280" s="84"/>
      <c r="W280" s="84"/>
      <c r="X280" s="84"/>
      <c r="Y280" s="87"/>
      <c r="Z280" s="71"/>
      <c r="AA280" s="89"/>
      <c r="AB280" s="71"/>
      <c r="AC280" s="71"/>
      <c r="AD280" s="92"/>
      <c r="AE280" s="71"/>
      <c r="AF280" s="71"/>
      <c r="AG280" s="71"/>
      <c r="AH280" s="71"/>
      <c r="AI280" s="71"/>
      <c r="AJ280" s="71"/>
      <c r="AK280" s="71"/>
      <c r="AL280" s="71"/>
      <c r="AM280" s="71"/>
      <c r="AN280" s="71"/>
      <c r="AO280" s="71"/>
      <c r="AP280" s="71"/>
      <c r="AQ280" s="71"/>
      <c r="AR280" s="71"/>
    </row>
    <row r="281" ht="18.75" customHeight="1">
      <c r="A281" s="73"/>
      <c r="B281" s="91"/>
      <c r="C281" s="74"/>
      <c r="D281" s="74"/>
      <c r="E281" s="76"/>
      <c r="F281" s="20"/>
      <c r="G281" s="78"/>
      <c r="H281" s="76"/>
      <c r="I281" s="20"/>
      <c r="J281" s="81"/>
      <c r="K281" s="81" t="str">
        <f t="shared" si="1"/>
        <v>-</v>
      </c>
      <c r="L281" s="110"/>
      <c r="M281" s="110"/>
      <c r="N281" s="110"/>
      <c r="O281" s="110"/>
      <c r="P281" s="110"/>
      <c r="Q281" s="110"/>
      <c r="R281" s="110"/>
      <c r="S281" s="110"/>
      <c r="T281" s="84"/>
      <c r="U281" s="84"/>
      <c r="V281" s="84"/>
      <c r="W281" s="84"/>
      <c r="X281" s="84"/>
      <c r="Y281" s="87"/>
      <c r="Z281" s="71"/>
      <c r="AA281" s="89"/>
      <c r="AB281" s="71"/>
      <c r="AC281" s="71"/>
      <c r="AD281" s="92"/>
      <c r="AE281" s="71"/>
      <c r="AF281" s="71"/>
      <c r="AG281" s="71"/>
      <c r="AH281" s="71"/>
      <c r="AI281" s="71"/>
      <c r="AJ281" s="71"/>
      <c r="AK281" s="71"/>
      <c r="AL281" s="71"/>
      <c r="AM281" s="71"/>
      <c r="AN281" s="71"/>
      <c r="AO281" s="71"/>
      <c r="AP281" s="71"/>
      <c r="AQ281" s="71"/>
      <c r="AR281" s="71"/>
    </row>
    <row r="282" ht="18.75" customHeight="1">
      <c r="A282" s="73"/>
      <c r="B282" s="91"/>
      <c r="C282" s="74"/>
      <c r="D282" s="74"/>
      <c r="E282" s="76"/>
      <c r="F282" s="20"/>
      <c r="G282" s="78"/>
      <c r="H282" s="76"/>
      <c r="I282" s="20"/>
      <c r="J282" s="81"/>
      <c r="K282" s="81" t="str">
        <f t="shared" si="1"/>
        <v>-</v>
      </c>
      <c r="L282" s="110"/>
      <c r="M282" s="110"/>
      <c r="N282" s="110"/>
      <c r="O282" s="110"/>
      <c r="P282" s="110"/>
      <c r="Q282" s="110"/>
      <c r="R282" s="110"/>
      <c r="S282" s="110"/>
      <c r="T282" s="84"/>
      <c r="U282" s="84"/>
      <c r="V282" s="84"/>
      <c r="W282" s="84"/>
      <c r="X282" s="84"/>
      <c r="Y282" s="87"/>
      <c r="Z282" s="71"/>
      <c r="AA282" s="89"/>
      <c r="AB282" s="71"/>
      <c r="AC282" s="71"/>
      <c r="AD282" s="92"/>
      <c r="AE282" s="71"/>
      <c r="AF282" s="71"/>
      <c r="AG282" s="71"/>
      <c r="AH282" s="71"/>
      <c r="AI282" s="71"/>
      <c r="AJ282" s="71"/>
      <c r="AK282" s="71"/>
      <c r="AL282" s="71"/>
      <c r="AM282" s="71"/>
      <c r="AN282" s="71"/>
      <c r="AO282" s="71"/>
      <c r="AP282" s="71"/>
      <c r="AQ282" s="71"/>
      <c r="AR282" s="71"/>
    </row>
    <row r="283" ht="18.75" customHeight="1">
      <c r="A283" s="73"/>
      <c r="B283" s="91"/>
      <c r="C283" s="74"/>
      <c r="D283" s="74"/>
      <c r="E283" s="76"/>
      <c r="F283" s="20"/>
      <c r="G283" s="78"/>
      <c r="H283" s="76"/>
      <c r="I283" s="20"/>
      <c r="J283" s="81"/>
      <c r="K283" s="81" t="str">
        <f t="shared" si="1"/>
        <v>-</v>
      </c>
      <c r="L283" s="110"/>
      <c r="M283" s="110"/>
      <c r="N283" s="110"/>
      <c r="O283" s="110"/>
      <c r="P283" s="110"/>
      <c r="Q283" s="110"/>
      <c r="R283" s="110"/>
      <c r="S283" s="110"/>
      <c r="T283" s="84"/>
      <c r="U283" s="84"/>
      <c r="V283" s="84"/>
      <c r="W283" s="84"/>
      <c r="X283" s="84"/>
      <c r="Y283" s="87"/>
      <c r="Z283" s="71"/>
      <c r="AA283" s="89"/>
      <c r="AB283" s="71"/>
      <c r="AC283" s="71"/>
      <c r="AD283" s="92"/>
      <c r="AE283" s="71"/>
      <c r="AF283" s="71"/>
      <c r="AG283" s="71"/>
      <c r="AH283" s="71"/>
      <c r="AI283" s="71"/>
      <c r="AJ283" s="71"/>
      <c r="AK283" s="71"/>
      <c r="AL283" s="71"/>
      <c r="AM283" s="71"/>
      <c r="AN283" s="71"/>
      <c r="AO283" s="71"/>
      <c r="AP283" s="71"/>
      <c r="AQ283" s="71"/>
      <c r="AR283" s="71"/>
    </row>
    <row r="284" ht="18.75" customHeight="1">
      <c r="A284" s="73"/>
      <c r="B284" s="91"/>
      <c r="C284" s="74"/>
      <c r="D284" s="74"/>
      <c r="E284" s="76"/>
      <c r="F284" s="20"/>
      <c r="G284" s="78"/>
      <c r="H284" s="76"/>
      <c r="I284" s="20"/>
      <c r="J284" s="81"/>
      <c r="K284" s="81" t="str">
        <f t="shared" si="1"/>
        <v>-</v>
      </c>
      <c r="L284" s="110"/>
      <c r="M284" s="110"/>
      <c r="N284" s="110"/>
      <c r="O284" s="110"/>
      <c r="P284" s="110"/>
      <c r="Q284" s="110"/>
      <c r="R284" s="110"/>
      <c r="S284" s="110"/>
      <c r="T284" s="84"/>
      <c r="U284" s="84"/>
      <c r="V284" s="84"/>
      <c r="W284" s="84"/>
      <c r="X284" s="84"/>
      <c r="Y284" s="87"/>
      <c r="Z284" s="71"/>
      <c r="AA284" s="89"/>
      <c r="AB284" s="71"/>
      <c r="AC284" s="71"/>
      <c r="AD284" s="92"/>
      <c r="AE284" s="71"/>
      <c r="AF284" s="71"/>
      <c r="AG284" s="71"/>
      <c r="AH284" s="71"/>
      <c r="AI284" s="71"/>
      <c r="AJ284" s="71"/>
      <c r="AK284" s="71"/>
      <c r="AL284" s="71"/>
      <c r="AM284" s="71"/>
      <c r="AN284" s="71"/>
      <c r="AO284" s="71"/>
      <c r="AP284" s="71"/>
      <c r="AQ284" s="71"/>
      <c r="AR284" s="71"/>
    </row>
    <row r="285" ht="18.75" customHeight="1">
      <c r="A285" s="73"/>
      <c r="B285" s="91"/>
      <c r="C285" s="74"/>
      <c r="D285" s="74"/>
      <c r="E285" s="76"/>
      <c r="F285" s="20"/>
      <c r="G285" s="78"/>
      <c r="H285" s="76"/>
      <c r="I285" s="20"/>
      <c r="J285" s="81"/>
      <c r="K285" s="81" t="str">
        <f t="shared" si="1"/>
        <v>-</v>
      </c>
      <c r="L285" s="110"/>
      <c r="M285" s="110"/>
      <c r="N285" s="110"/>
      <c r="O285" s="110"/>
      <c r="P285" s="110"/>
      <c r="Q285" s="110"/>
      <c r="R285" s="110"/>
      <c r="S285" s="110"/>
      <c r="T285" s="84"/>
      <c r="U285" s="84"/>
      <c r="V285" s="84"/>
      <c r="W285" s="84"/>
      <c r="X285" s="84"/>
      <c r="Y285" s="87"/>
      <c r="Z285" s="71"/>
      <c r="AA285" s="89"/>
      <c r="AB285" s="71"/>
      <c r="AC285" s="71"/>
      <c r="AD285" s="92"/>
      <c r="AE285" s="71"/>
      <c r="AF285" s="71"/>
      <c r="AG285" s="71"/>
      <c r="AH285" s="71"/>
      <c r="AI285" s="71"/>
      <c r="AJ285" s="71"/>
      <c r="AK285" s="71"/>
      <c r="AL285" s="71"/>
      <c r="AM285" s="71"/>
      <c r="AN285" s="71"/>
      <c r="AO285" s="71"/>
      <c r="AP285" s="71"/>
      <c r="AQ285" s="71"/>
      <c r="AR285" s="71"/>
    </row>
    <row r="286" ht="18.75" customHeight="1">
      <c r="A286" s="73"/>
      <c r="B286" s="91"/>
      <c r="C286" s="74"/>
      <c r="D286" s="74"/>
      <c r="E286" s="76"/>
      <c r="F286" s="20"/>
      <c r="G286" s="78"/>
      <c r="H286" s="76"/>
      <c r="I286" s="20"/>
      <c r="J286" s="81"/>
      <c r="K286" s="81" t="str">
        <f t="shared" si="1"/>
        <v>-</v>
      </c>
      <c r="L286" s="110"/>
      <c r="M286" s="110"/>
      <c r="N286" s="110"/>
      <c r="O286" s="110"/>
      <c r="P286" s="110"/>
      <c r="Q286" s="110"/>
      <c r="R286" s="110"/>
      <c r="S286" s="110"/>
      <c r="T286" s="84"/>
      <c r="U286" s="84"/>
      <c r="V286" s="84"/>
      <c r="W286" s="84"/>
      <c r="X286" s="84"/>
      <c r="Y286" s="87"/>
      <c r="Z286" s="71"/>
      <c r="AA286" s="89"/>
      <c r="AB286" s="71"/>
      <c r="AC286" s="71"/>
      <c r="AD286" s="92"/>
      <c r="AE286" s="71"/>
      <c r="AF286" s="71"/>
      <c r="AG286" s="71"/>
      <c r="AH286" s="71"/>
      <c r="AI286" s="71"/>
      <c r="AJ286" s="71"/>
      <c r="AK286" s="71"/>
      <c r="AL286" s="71"/>
      <c r="AM286" s="71"/>
      <c r="AN286" s="71"/>
      <c r="AO286" s="71"/>
      <c r="AP286" s="71"/>
      <c r="AQ286" s="71"/>
      <c r="AR286" s="71"/>
    </row>
    <row r="287" ht="18.75" customHeight="1">
      <c r="A287" s="73"/>
      <c r="B287" s="91"/>
      <c r="C287" s="74"/>
      <c r="D287" s="74"/>
      <c r="E287" s="76"/>
      <c r="F287" s="20"/>
      <c r="G287" s="78"/>
      <c r="H287" s="76"/>
      <c r="I287" s="20"/>
      <c r="J287" s="81"/>
      <c r="K287" s="81" t="str">
        <f t="shared" si="1"/>
        <v>-</v>
      </c>
      <c r="L287" s="110"/>
      <c r="M287" s="110"/>
      <c r="N287" s="110"/>
      <c r="O287" s="110"/>
      <c r="P287" s="110"/>
      <c r="Q287" s="110"/>
      <c r="R287" s="110"/>
      <c r="S287" s="110"/>
      <c r="T287" s="84"/>
      <c r="U287" s="84"/>
      <c r="V287" s="84"/>
      <c r="W287" s="84"/>
      <c r="X287" s="84"/>
      <c r="Y287" s="87"/>
      <c r="Z287" s="71"/>
      <c r="AA287" s="89"/>
      <c r="AB287" s="71"/>
      <c r="AC287" s="71"/>
      <c r="AD287" s="92"/>
      <c r="AE287" s="71"/>
      <c r="AF287" s="71"/>
      <c r="AG287" s="71"/>
      <c r="AH287" s="71"/>
      <c r="AI287" s="71"/>
      <c r="AJ287" s="71"/>
      <c r="AK287" s="71"/>
      <c r="AL287" s="71"/>
      <c r="AM287" s="71"/>
      <c r="AN287" s="71"/>
      <c r="AO287" s="71"/>
      <c r="AP287" s="71"/>
      <c r="AQ287" s="71"/>
      <c r="AR287" s="71"/>
    </row>
    <row r="288" ht="18.75" customHeight="1">
      <c r="A288" s="73"/>
      <c r="B288" s="91"/>
      <c r="C288" s="74"/>
      <c r="D288" s="74"/>
      <c r="E288" s="76"/>
      <c r="F288" s="20"/>
      <c r="G288" s="78"/>
      <c r="H288" s="76"/>
      <c r="I288" s="20"/>
      <c r="J288" s="81"/>
      <c r="K288" s="81" t="str">
        <f t="shared" si="1"/>
        <v>-</v>
      </c>
      <c r="L288" s="110"/>
      <c r="M288" s="110"/>
      <c r="N288" s="110"/>
      <c r="O288" s="110"/>
      <c r="P288" s="110"/>
      <c r="Q288" s="110"/>
      <c r="R288" s="110"/>
      <c r="S288" s="110"/>
      <c r="T288" s="84"/>
      <c r="U288" s="84"/>
      <c r="V288" s="84"/>
      <c r="W288" s="84"/>
      <c r="X288" s="84"/>
      <c r="Y288" s="87"/>
      <c r="Z288" s="71"/>
      <c r="AA288" s="89"/>
      <c r="AB288" s="71"/>
      <c r="AC288" s="71"/>
      <c r="AD288" s="92"/>
      <c r="AE288" s="71"/>
      <c r="AF288" s="71"/>
      <c r="AG288" s="71"/>
      <c r="AH288" s="71"/>
      <c r="AI288" s="71"/>
      <c r="AJ288" s="71"/>
      <c r="AK288" s="71"/>
      <c r="AL288" s="71"/>
      <c r="AM288" s="71"/>
      <c r="AN288" s="71"/>
      <c r="AO288" s="71"/>
      <c r="AP288" s="71"/>
      <c r="AQ288" s="71"/>
      <c r="AR288" s="71"/>
    </row>
    <row r="289" ht="18.75" customHeight="1">
      <c r="A289" s="73"/>
      <c r="B289" s="91"/>
      <c r="C289" s="74"/>
      <c r="D289" s="74"/>
      <c r="E289" s="76"/>
      <c r="F289" s="20"/>
      <c r="G289" s="78"/>
      <c r="H289" s="76"/>
      <c r="I289" s="20"/>
      <c r="J289" s="81"/>
      <c r="K289" s="81" t="str">
        <f t="shared" si="1"/>
        <v>-</v>
      </c>
      <c r="L289" s="110"/>
      <c r="M289" s="110"/>
      <c r="N289" s="110"/>
      <c r="O289" s="110"/>
      <c r="P289" s="110"/>
      <c r="Q289" s="110"/>
      <c r="R289" s="110"/>
      <c r="S289" s="110"/>
      <c r="T289" s="84"/>
      <c r="U289" s="84"/>
      <c r="V289" s="84"/>
      <c r="W289" s="84"/>
      <c r="X289" s="84"/>
      <c r="Y289" s="87"/>
      <c r="Z289" s="71"/>
      <c r="AA289" s="89"/>
      <c r="AB289" s="71"/>
      <c r="AC289" s="71"/>
      <c r="AD289" s="92"/>
      <c r="AE289" s="71"/>
      <c r="AF289" s="71"/>
      <c r="AG289" s="71"/>
      <c r="AH289" s="71"/>
      <c r="AI289" s="71"/>
      <c r="AJ289" s="71"/>
      <c r="AK289" s="71"/>
      <c r="AL289" s="71"/>
      <c r="AM289" s="71"/>
      <c r="AN289" s="71"/>
      <c r="AO289" s="71"/>
      <c r="AP289" s="71"/>
      <c r="AQ289" s="71"/>
      <c r="AR289" s="71"/>
    </row>
    <row r="290" ht="18.75" customHeight="1">
      <c r="A290" s="73"/>
      <c r="B290" s="91"/>
      <c r="C290" s="74"/>
      <c r="D290" s="74"/>
      <c r="E290" s="76"/>
      <c r="F290" s="20"/>
      <c r="G290" s="78"/>
      <c r="H290" s="76"/>
      <c r="I290" s="20"/>
      <c r="J290" s="81"/>
      <c r="K290" s="81" t="str">
        <f t="shared" si="1"/>
        <v>-</v>
      </c>
      <c r="L290" s="110"/>
      <c r="M290" s="110"/>
      <c r="N290" s="110"/>
      <c r="O290" s="110"/>
      <c r="P290" s="110"/>
      <c r="Q290" s="110"/>
      <c r="R290" s="110"/>
      <c r="S290" s="110"/>
      <c r="T290" s="84"/>
      <c r="U290" s="84"/>
      <c r="V290" s="84"/>
      <c r="W290" s="84"/>
      <c r="X290" s="84"/>
      <c r="Y290" s="87"/>
      <c r="Z290" s="71"/>
      <c r="AA290" s="89"/>
      <c r="AB290" s="71"/>
      <c r="AC290" s="71"/>
      <c r="AD290" s="92"/>
      <c r="AE290" s="71"/>
      <c r="AF290" s="71"/>
      <c r="AG290" s="71"/>
      <c r="AH290" s="71"/>
      <c r="AI290" s="71"/>
      <c r="AJ290" s="71"/>
      <c r="AK290" s="71"/>
      <c r="AL290" s="71"/>
      <c r="AM290" s="71"/>
      <c r="AN290" s="71"/>
      <c r="AO290" s="71"/>
      <c r="AP290" s="71"/>
      <c r="AQ290" s="71"/>
      <c r="AR290" s="71"/>
    </row>
    <row r="291" ht="18.75" customHeight="1">
      <c r="A291" s="73"/>
      <c r="B291" s="91"/>
      <c r="C291" s="74"/>
      <c r="D291" s="74"/>
      <c r="E291" s="76"/>
      <c r="F291" s="20"/>
      <c r="G291" s="78"/>
      <c r="H291" s="76"/>
      <c r="I291" s="20"/>
      <c r="J291" s="81"/>
      <c r="K291" s="81" t="str">
        <f t="shared" si="1"/>
        <v>-</v>
      </c>
      <c r="L291" s="110"/>
      <c r="M291" s="110"/>
      <c r="N291" s="110"/>
      <c r="O291" s="110"/>
      <c r="P291" s="110"/>
      <c r="Q291" s="110"/>
      <c r="R291" s="110"/>
      <c r="S291" s="110"/>
      <c r="T291" s="84"/>
      <c r="U291" s="84"/>
      <c r="V291" s="84"/>
      <c r="W291" s="84"/>
      <c r="X291" s="84"/>
      <c r="Y291" s="87"/>
      <c r="Z291" s="71"/>
      <c r="AA291" s="89"/>
      <c r="AB291" s="71"/>
      <c r="AC291" s="71"/>
      <c r="AD291" s="92"/>
      <c r="AE291" s="71"/>
      <c r="AF291" s="71"/>
      <c r="AG291" s="71"/>
      <c r="AH291" s="71"/>
      <c r="AI291" s="71"/>
      <c r="AJ291" s="71"/>
      <c r="AK291" s="71"/>
      <c r="AL291" s="71"/>
      <c r="AM291" s="71"/>
      <c r="AN291" s="71"/>
      <c r="AO291" s="71"/>
      <c r="AP291" s="71"/>
      <c r="AQ291" s="71"/>
      <c r="AR291" s="71"/>
    </row>
    <row r="292" ht="18.75" customHeight="1">
      <c r="A292" s="73"/>
      <c r="B292" s="91"/>
      <c r="C292" s="74"/>
      <c r="D292" s="74"/>
      <c r="E292" s="76"/>
      <c r="F292" s="20"/>
      <c r="G292" s="78"/>
      <c r="H292" s="76"/>
      <c r="I292" s="20"/>
      <c r="J292" s="81"/>
      <c r="K292" s="81" t="str">
        <f t="shared" si="1"/>
        <v>-</v>
      </c>
      <c r="L292" s="110"/>
      <c r="M292" s="110"/>
      <c r="N292" s="110"/>
      <c r="O292" s="110"/>
      <c r="P292" s="110"/>
      <c r="Q292" s="110"/>
      <c r="R292" s="110"/>
      <c r="S292" s="110"/>
      <c r="T292" s="84"/>
      <c r="U292" s="84"/>
      <c r="V292" s="84"/>
      <c r="W292" s="84"/>
      <c r="X292" s="84"/>
      <c r="Y292" s="87"/>
      <c r="Z292" s="71"/>
      <c r="AA292" s="89"/>
      <c r="AB292" s="71"/>
      <c r="AC292" s="71"/>
      <c r="AD292" s="92"/>
      <c r="AE292" s="71"/>
      <c r="AF292" s="71"/>
      <c r="AG292" s="71"/>
      <c r="AH292" s="71"/>
      <c r="AI292" s="71"/>
      <c r="AJ292" s="71"/>
      <c r="AK292" s="71"/>
      <c r="AL292" s="71"/>
      <c r="AM292" s="71"/>
      <c r="AN292" s="71"/>
      <c r="AO292" s="71"/>
      <c r="AP292" s="71"/>
      <c r="AQ292" s="71"/>
      <c r="AR292" s="71"/>
    </row>
    <row r="293" ht="18.75" customHeight="1">
      <c r="A293" s="73"/>
      <c r="B293" s="91"/>
      <c r="C293" s="74"/>
      <c r="D293" s="74"/>
      <c r="E293" s="76"/>
      <c r="F293" s="20"/>
      <c r="G293" s="78"/>
      <c r="H293" s="76"/>
      <c r="I293" s="20"/>
      <c r="J293" s="81"/>
      <c r="K293" s="81" t="str">
        <f t="shared" si="1"/>
        <v>-</v>
      </c>
      <c r="L293" s="110"/>
      <c r="M293" s="110"/>
      <c r="N293" s="110"/>
      <c r="O293" s="110"/>
      <c r="P293" s="110"/>
      <c r="Q293" s="110"/>
      <c r="R293" s="110"/>
      <c r="S293" s="110"/>
      <c r="T293" s="84"/>
      <c r="U293" s="84"/>
      <c r="V293" s="84"/>
      <c r="W293" s="84"/>
      <c r="X293" s="84"/>
      <c r="Y293" s="87"/>
      <c r="Z293" s="71"/>
      <c r="AA293" s="89"/>
      <c r="AB293" s="71"/>
      <c r="AC293" s="71"/>
      <c r="AD293" s="92"/>
      <c r="AE293" s="71"/>
      <c r="AF293" s="71"/>
      <c r="AG293" s="71"/>
      <c r="AH293" s="71"/>
      <c r="AI293" s="71"/>
      <c r="AJ293" s="71"/>
      <c r="AK293" s="71"/>
      <c r="AL293" s="71"/>
      <c r="AM293" s="71"/>
      <c r="AN293" s="71"/>
      <c r="AO293" s="71"/>
      <c r="AP293" s="71"/>
      <c r="AQ293" s="71"/>
      <c r="AR293" s="71"/>
    </row>
    <row r="294" ht="18.75" customHeight="1">
      <c r="A294" s="73"/>
      <c r="B294" s="91"/>
      <c r="C294" s="74"/>
      <c r="D294" s="74"/>
      <c r="E294" s="76"/>
      <c r="F294" s="20"/>
      <c r="G294" s="78"/>
      <c r="H294" s="76"/>
      <c r="I294" s="20"/>
      <c r="J294" s="81"/>
      <c r="K294" s="81" t="str">
        <f t="shared" si="1"/>
        <v>-</v>
      </c>
      <c r="L294" s="110"/>
      <c r="M294" s="110"/>
      <c r="N294" s="110"/>
      <c r="O294" s="110"/>
      <c r="P294" s="110"/>
      <c r="Q294" s="110"/>
      <c r="R294" s="110"/>
      <c r="S294" s="110"/>
      <c r="T294" s="84"/>
      <c r="U294" s="84"/>
      <c r="V294" s="84"/>
      <c r="W294" s="84"/>
      <c r="X294" s="84"/>
      <c r="Y294" s="87"/>
      <c r="Z294" s="71"/>
      <c r="AA294" s="89"/>
      <c r="AB294" s="71"/>
      <c r="AC294" s="71"/>
      <c r="AD294" s="92"/>
      <c r="AE294" s="71"/>
      <c r="AF294" s="71"/>
      <c r="AG294" s="71"/>
      <c r="AH294" s="71"/>
      <c r="AI294" s="71"/>
      <c r="AJ294" s="71"/>
      <c r="AK294" s="71"/>
      <c r="AL294" s="71"/>
      <c r="AM294" s="71"/>
      <c r="AN294" s="71"/>
      <c r="AO294" s="71"/>
      <c r="AP294" s="71"/>
      <c r="AQ294" s="71"/>
      <c r="AR294" s="71"/>
    </row>
    <row r="295" ht="18.75" customHeight="1">
      <c r="A295" s="73"/>
      <c r="B295" s="91"/>
      <c r="C295" s="74"/>
      <c r="D295" s="74"/>
      <c r="E295" s="76"/>
      <c r="F295" s="20"/>
      <c r="G295" s="78"/>
      <c r="H295" s="76"/>
      <c r="I295" s="20"/>
      <c r="J295" s="81"/>
      <c r="K295" s="81" t="str">
        <f t="shared" si="1"/>
        <v>-</v>
      </c>
      <c r="L295" s="110"/>
      <c r="M295" s="110"/>
      <c r="N295" s="110"/>
      <c r="O295" s="110"/>
      <c r="P295" s="110"/>
      <c r="Q295" s="110"/>
      <c r="R295" s="110"/>
      <c r="S295" s="110"/>
      <c r="T295" s="84"/>
      <c r="U295" s="84"/>
      <c r="V295" s="84"/>
      <c r="W295" s="84"/>
      <c r="X295" s="84"/>
      <c r="Y295" s="87"/>
      <c r="Z295" s="71"/>
      <c r="AA295" s="89"/>
      <c r="AB295" s="71"/>
      <c r="AC295" s="71"/>
      <c r="AD295" s="92"/>
      <c r="AE295" s="71"/>
      <c r="AF295" s="71"/>
      <c r="AG295" s="71"/>
      <c r="AH295" s="71"/>
      <c r="AI295" s="71"/>
      <c r="AJ295" s="71"/>
      <c r="AK295" s="71"/>
      <c r="AL295" s="71"/>
      <c r="AM295" s="71"/>
      <c r="AN295" s="71"/>
      <c r="AO295" s="71"/>
      <c r="AP295" s="71"/>
      <c r="AQ295" s="71"/>
      <c r="AR295" s="71"/>
    </row>
    <row r="296" ht="18.75" customHeight="1">
      <c r="A296" s="73"/>
      <c r="B296" s="91"/>
      <c r="C296" s="74"/>
      <c r="D296" s="74"/>
      <c r="E296" s="76"/>
      <c r="F296" s="20"/>
      <c r="G296" s="78"/>
      <c r="H296" s="76"/>
      <c r="I296" s="20"/>
      <c r="J296" s="81"/>
      <c r="K296" s="81" t="str">
        <f t="shared" si="1"/>
        <v>-</v>
      </c>
      <c r="L296" s="110"/>
      <c r="M296" s="110"/>
      <c r="N296" s="110"/>
      <c r="O296" s="110"/>
      <c r="P296" s="110"/>
      <c r="Q296" s="110"/>
      <c r="R296" s="110"/>
      <c r="S296" s="110"/>
      <c r="T296" s="84"/>
      <c r="U296" s="84"/>
      <c r="V296" s="84"/>
      <c r="W296" s="84"/>
      <c r="X296" s="84"/>
      <c r="Y296" s="87"/>
      <c r="Z296" s="71"/>
      <c r="AA296" s="89"/>
      <c r="AB296" s="71"/>
      <c r="AC296" s="71"/>
      <c r="AD296" s="92"/>
      <c r="AE296" s="71"/>
      <c r="AF296" s="71"/>
      <c r="AG296" s="71"/>
      <c r="AH296" s="71"/>
      <c r="AI296" s="71"/>
      <c r="AJ296" s="71"/>
      <c r="AK296" s="71"/>
      <c r="AL296" s="71"/>
      <c r="AM296" s="71"/>
      <c r="AN296" s="71"/>
      <c r="AO296" s="71"/>
      <c r="AP296" s="71"/>
      <c r="AQ296" s="71"/>
      <c r="AR296" s="71"/>
    </row>
    <row r="297" ht="18.75" customHeight="1">
      <c r="A297" s="73"/>
      <c r="B297" s="91"/>
      <c r="C297" s="74"/>
      <c r="D297" s="74"/>
      <c r="E297" s="76"/>
      <c r="F297" s="20"/>
      <c r="G297" s="78"/>
      <c r="H297" s="76"/>
      <c r="I297" s="20"/>
      <c r="J297" s="81"/>
      <c r="K297" s="81" t="str">
        <f t="shared" si="1"/>
        <v>-</v>
      </c>
      <c r="L297" s="110"/>
      <c r="M297" s="110"/>
      <c r="N297" s="110"/>
      <c r="O297" s="110"/>
      <c r="P297" s="110"/>
      <c r="Q297" s="110"/>
      <c r="R297" s="110"/>
      <c r="S297" s="110"/>
      <c r="T297" s="84"/>
      <c r="U297" s="84"/>
      <c r="V297" s="84"/>
      <c r="W297" s="84"/>
      <c r="X297" s="84"/>
      <c r="Y297" s="87"/>
      <c r="Z297" s="71"/>
      <c r="AA297" s="89"/>
      <c r="AB297" s="71"/>
      <c r="AC297" s="71"/>
      <c r="AD297" s="92"/>
      <c r="AE297" s="71"/>
      <c r="AF297" s="71"/>
      <c r="AG297" s="71"/>
      <c r="AH297" s="71"/>
      <c r="AI297" s="71"/>
      <c r="AJ297" s="71"/>
      <c r="AK297" s="71"/>
      <c r="AL297" s="71"/>
      <c r="AM297" s="71"/>
      <c r="AN297" s="71"/>
      <c r="AO297" s="71"/>
      <c r="AP297" s="71"/>
      <c r="AQ297" s="71"/>
      <c r="AR297" s="71"/>
    </row>
    <row r="298" ht="18.75" customHeight="1">
      <c r="A298" s="73"/>
      <c r="B298" s="91"/>
      <c r="C298" s="74"/>
      <c r="D298" s="74"/>
      <c r="E298" s="76"/>
      <c r="F298" s="20"/>
      <c r="G298" s="78"/>
      <c r="H298" s="76"/>
      <c r="I298" s="20"/>
      <c r="J298" s="81"/>
      <c r="K298" s="81" t="str">
        <f t="shared" si="1"/>
        <v>-</v>
      </c>
      <c r="L298" s="110"/>
      <c r="M298" s="110"/>
      <c r="N298" s="110"/>
      <c r="O298" s="110"/>
      <c r="P298" s="110"/>
      <c r="Q298" s="110"/>
      <c r="R298" s="110"/>
      <c r="S298" s="110"/>
      <c r="T298" s="84"/>
      <c r="U298" s="84"/>
      <c r="V298" s="84"/>
      <c r="W298" s="84"/>
      <c r="X298" s="84"/>
      <c r="Y298" s="87"/>
      <c r="Z298" s="71"/>
      <c r="AA298" s="89"/>
      <c r="AB298" s="71"/>
      <c r="AC298" s="71"/>
      <c r="AD298" s="92"/>
      <c r="AE298" s="71"/>
      <c r="AF298" s="71"/>
      <c r="AG298" s="71"/>
      <c r="AH298" s="71"/>
      <c r="AI298" s="71"/>
      <c r="AJ298" s="71"/>
      <c r="AK298" s="71"/>
      <c r="AL298" s="71"/>
      <c r="AM298" s="71"/>
      <c r="AN298" s="71"/>
      <c r="AO298" s="71"/>
      <c r="AP298" s="71"/>
      <c r="AQ298" s="71"/>
      <c r="AR298" s="71"/>
    </row>
    <row r="299" ht="18.75" customHeight="1">
      <c r="A299" s="73"/>
      <c r="B299" s="91"/>
      <c r="C299" s="74"/>
      <c r="D299" s="74"/>
      <c r="E299" s="76"/>
      <c r="F299" s="20"/>
      <c r="G299" s="78"/>
      <c r="H299" s="76"/>
      <c r="I299" s="20"/>
      <c r="J299" s="81"/>
      <c r="K299" s="81" t="str">
        <f t="shared" si="1"/>
        <v>-</v>
      </c>
      <c r="L299" s="110"/>
      <c r="M299" s="110"/>
      <c r="N299" s="110"/>
      <c r="O299" s="110"/>
      <c r="P299" s="110"/>
      <c r="Q299" s="110"/>
      <c r="R299" s="110"/>
      <c r="S299" s="110"/>
      <c r="T299" s="84"/>
      <c r="U299" s="84"/>
      <c r="V299" s="84"/>
      <c r="W299" s="84"/>
      <c r="X299" s="84"/>
      <c r="Y299" s="87"/>
      <c r="Z299" s="71"/>
      <c r="AA299" s="71"/>
      <c r="AB299" s="71"/>
      <c r="AC299" s="71"/>
      <c r="AD299" s="92"/>
      <c r="AE299" s="71"/>
      <c r="AF299" s="71"/>
      <c r="AG299" s="71"/>
      <c r="AH299" s="71"/>
      <c r="AI299" s="71"/>
      <c r="AJ299" s="71"/>
      <c r="AK299" s="71"/>
      <c r="AL299" s="71"/>
      <c r="AM299" s="71"/>
      <c r="AN299" s="71"/>
      <c r="AO299" s="71"/>
      <c r="AP299" s="71"/>
      <c r="AQ299" s="71"/>
      <c r="AR299" s="71"/>
    </row>
    <row r="300" ht="18.75" customHeight="1">
      <c r="A300" s="62" t="str">
        <f>web_scraping!C1</f>
        <v>14:36</v>
      </c>
      <c r="B300" s="91"/>
      <c r="C300" s="74"/>
      <c r="D300" s="74"/>
      <c r="E300" s="76"/>
      <c r="F300" s="20"/>
      <c r="G300" s="78"/>
      <c r="H300" s="76"/>
      <c r="I300" s="20"/>
      <c r="J300" s="81"/>
      <c r="K300" s="81" t="str">
        <f t="shared" si="1"/>
        <v>-</v>
      </c>
      <c r="L300" s="110"/>
      <c r="M300" s="110"/>
      <c r="N300" s="110"/>
      <c r="O300" s="110"/>
      <c r="P300" s="110"/>
      <c r="Q300" s="110"/>
      <c r="R300" s="110"/>
      <c r="S300" s="110"/>
      <c r="T300" s="84"/>
      <c r="U300" s="84"/>
      <c r="V300" s="84"/>
      <c r="W300" s="84"/>
      <c r="X300" s="84"/>
      <c r="Y300" s="87"/>
      <c r="Z300" s="71"/>
      <c r="AA300" s="71"/>
      <c r="AB300" s="71"/>
      <c r="AC300" s="71"/>
      <c r="AD300" s="92"/>
      <c r="AE300" s="71"/>
      <c r="AF300" s="71"/>
      <c r="AG300" s="71"/>
      <c r="AH300" s="71"/>
      <c r="AI300" s="71"/>
      <c r="AJ300" s="71"/>
      <c r="AK300" s="71"/>
      <c r="AL300" s="71"/>
      <c r="AM300" s="71"/>
      <c r="AN300" s="71"/>
      <c r="AO300" s="71"/>
      <c r="AP300" s="71"/>
      <c r="AQ300" s="71"/>
      <c r="AR300" s="71"/>
    </row>
    <row r="301" ht="18.75" customHeight="1">
      <c r="A301" s="73"/>
      <c r="B301" s="91"/>
      <c r="C301" s="121"/>
      <c r="D301" s="121"/>
      <c r="E301" s="122"/>
      <c r="F301" s="122"/>
      <c r="G301" s="122"/>
      <c r="H301" s="122"/>
      <c r="I301" s="122"/>
      <c r="J301" s="89"/>
      <c r="K301" s="89"/>
      <c r="L301" s="71"/>
      <c r="M301" s="71"/>
      <c r="N301" s="71"/>
      <c r="O301" s="71"/>
      <c r="P301" s="71"/>
      <c r="Q301" s="71"/>
      <c r="R301" s="71"/>
      <c r="S301" s="71"/>
      <c r="T301" s="89"/>
      <c r="U301" s="89"/>
      <c r="V301" s="89"/>
      <c r="W301" s="89"/>
      <c r="X301" s="89"/>
      <c r="Y301" s="89"/>
      <c r="Z301" s="71"/>
      <c r="AA301" s="123"/>
      <c r="AB301" s="71"/>
      <c r="AC301" s="71"/>
      <c r="AD301" s="92"/>
      <c r="AE301" s="71"/>
      <c r="AF301" s="71"/>
      <c r="AG301" s="71"/>
      <c r="AH301" s="71"/>
      <c r="AI301" s="71"/>
      <c r="AJ301" s="71"/>
      <c r="AK301" s="71"/>
      <c r="AL301" s="71"/>
      <c r="AM301" s="71"/>
      <c r="AN301" s="71"/>
      <c r="AO301" s="71"/>
      <c r="AP301" s="71"/>
      <c r="AQ301" s="71"/>
      <c r="AR301" s="71"/>
    </row>
  </sheetData>
  <customSheetViews>
    <customSheetView guid="{C8AD01DC-FB25-4BD3-A2D6-272D1E1C7E06}" filter="1" showAutoFilter="1">
      <autoFilter ref="$C$5:$Y$74">
        <filterColumn colId="8">
          <filters/>
        </filterColumn>
        <sortState ref="C5:Y74">
          <sortCondition ref="J5:J74"/>
          <sortCondition descending="1" ref="K5:K74"/>
        </sortState>
      </autoFilter>
    </customSheetView>
    <customSheetView guid="{AF8ACF72-2AFA-412B-AB41-0B168D97A800}" filter="1" showAutoFilter="1">
      <autoFilter ref="$C$5:$Y$74">
        <filterColumn colId="8">
          <filters/>
        </filterColumn>
        <sortState ref="C5:Y74">
          <sortCondition descending="1" ref="K5:K74"/>
        </sortState>
      </autoFilter>
    </customSheetView>
    <customSheetView guid="{66025DA8-ADDE-47E6-A323-E28371BBAD20}" filter="1" showAutoFilter="1">
      <autoFilter ref="$C$5:$Y$74">
        <filterColumn colId="4">
          <filters/>
        </filterColumn>
        <sortState ref="C5:Y74">
          <sortCondition descending="1" ref="G5:G74"/>
          <sortCondition ref="I5:I74"/>
        </sortState>
      </autoFilter>
    </customSheetView>
  </customSheetViews>
  <mergeCells count="608">
    <mergeCell ref="H24:I24"/>
    <mergeCell ref="H26:I26"/>
    <mergeCell ref="H28:I28"/>
    <mergeCell ref="H27:I27"/>
    <mergeCell ref="H25:I25"/>
    <mergeCell ref="H50:I50"/>
    <mergeCell ref="H48:I48"/>
    <mergeCell ref="H49:I49"/>
    <mergeCell ref="H47:I47"/>
    <mergeCell ref="H41:I41"/>
    <mergeCell ref="H42:I42"/>
    <mergeCell ref="H39:I39"/>
    <mergeCell ref="H40:I40"/>
    <mergeCell ref="H44:I44"/>
    <mergeCell ref="H45:I45"/>
    <mergeCell ref="H20:I20"/>
    <mergeCell ref="H19:I19"/>
    <mergeCell ref="H18:I18"/>
    <mergeCell ref="H17:I17"/>
    <mergeCell ref="H37:I37"/>
    <mergeCell ref="H38:I38"/>
    <mergeCell ref="H14:I14"/>
    <mergeCell ref="H16:I16"/>
    <mergeCell ref="H15:I15"/>
    <mergeCell ref="H21:I21"/>
    <mergeCell ref="H46:I46"/>
    <mergeCell ref="H43:I43"/>
    <mergeCell ref="H36:I36"/>
    <mergeCell ref="E49:F49"/>
    <mergeCell ref="E48:F48"/>
    <mergeCell ref="E47:F47"/>
    <mergeCell ref="E51:F51"/>
    <mergeCell ref="E50:F50"/>
    <mergeCell ref="E37:F37"/>
    <mergeCell ref="E38:F38"/>
    <mergeCell ref="E40:F40"/>
    <mergeCell ref="E41:F41"/>
    <mergeCell ref="E46:F46"/>
    <mergeCell ref="E63:F63"/>
    <mergeCell ref="E64:F64"/>
    <mergeCell ref="E65:F65"/>
    <mergeCell ref="E62:F62"/>
    <mergeCell ref="E70:F70"/>
    <mergeCell ref="E66:F66"/>
    <mergeCell ref="E68:F68"/>
    <mergeCell ref="E67:F67"/>
    <mergeCell ref="H65:I65"/>
    <mergeCell ref="H61:I61"/>
    <mergeCell ref="H69:I69"/>
    <mergeCell ref="E69:F69"/>
    <mergeCell ref="H9:I9"/>
    <mergeCell ref="H13:I13"/>
    <mergeCell ref="H12:I12"/>
    <mergeCell ref="H11:I11"/>
    <mergeCell ref="H10:I10"/>
    <mergeCell ref="E20:F20"/>
    <mergeCell ref="E21:F21"/>
    <mergeCell ref="H8:I8"/>
    <mergeCell ref="E15:F15"/>
    <mergeCell ref="E24:F24"/>
    <mergeCell ref="E25:F25"/>
    <mergeCell ref="E26:F26"/>
    <mergeCell ref="E23:F23"/>
    <mergeCell ref="E22:F22"/>
    <mergeCell ref="O2:P2"/>
    <mergeCell ref="K2:M2"/>
    <mergeCell ref="H63:I63"/>
    <mergeCell ref="H64:I64"/>
    <mergeCell ref="H56:I56"/>
    <mergeCell ref="H57:I57"/>
    <mergeCell ref="E52:F52"/>
    <mergeCell ref="E54:F54"/>
    <mergeCell ref="E53:F53"/>
    <mergeCell ref="E55:F55"/>
    <mergeCell ref="H2:I2"/>
    <mergeCell ref="H1:I1"/>
    <mergeCell ref="E1:F1"/>
    <mergeCell ref="E2:F2"/>
    <mergeCell ref="H7:I7"/>
    <mergeCell ref="H6:I6"/>
    <mergeCell ref="E6:F6"/>
    <mergeCell ref="E5:F5"/>
    <mergeCell ref="E12:F12"/>
    <mergeCell ref="E11:F11"/>
    <mergeCell ref="E9:F9"/>
    <mergeCell ref="E10:F10"/>
    <mergeCell ref="E27:F27"/>
    <mergeCell ref="E31:F31"/>
    <mergeCell ref="E130:F130"/>
    <mergeCell ref="E129:F129"/>
    <mergeCell ref="E127:F127"/>
    <mergeCell ref="E128:F128"/>
    <mergeCell ref="E108:F108"/>
    <mergeCell ref="E107:F107"/>
    <mergeCell ref="E106:F106"/>
    <mergeCell ref="E105:F105"/>
    <mergeCell ref="E114:F114"/>
    <mergeCell ref="E113:F113"/>
    <mergeCell ref="E104:F104"/>
    <mergeCell ref="E102:F102"/>
    <mergeCell ref="E103:F103"/>
    <mergeCell ref="E101:F101"/>
    <mergeCell ref="E125:F125"/>
    <mergeCell ref="E109:F109"/>
    <mergeCell ref="E126:F126"/>
    <mergeCell ref="E36:F36"/>
    <mergeCell ref="E39:F39"/>
    <mergeCell ref="E79:F79"/>
    <mergeCell ref="E80:F80"/>
    <mergeCell ref="E72:F72"/>
    <mergeCell ref="E73:F73"/>
    <mergeCell ref="E82:F82"/>
    <mergeCell ref="E81:F81"/>
    <mergeCell ref="E76:F76"/>
    <mergeCell ref="E78:F78"/>
    <mergeCell ref="E77:F77"/>
    <mergeCell ref="E85:F85"/>
    <mergeCell ref="E84:F84"/>
    <mergeCell ref="E83:F83"/>
    <mergeCell ref="E71:F71"/>
    <mergeCell ref="E74:F74"/>
    <mergeCell ref="E75:F75"/>
    <mergeCell ref="E16:F16"/>
    <mergeCell ref="E90:F90"/>
    <mergeCell ref="E92:F92"/>
    <mergeCell ref="E91:F91"/>
    <mergeCell ref="E94:F94"/>
    <mergeCell ref="E89:F89"/>
    <mergeCell ref="E88:F88"/>
    <mergeCell ref="E87:F87"/>
    <mergeCell ref="E100:F100"/>
    <mergeCell ref="E86:F86"/>
    <mergeCell ref="E97:F97"/>
    <mergeCell ref="E93:F93"/>
    <mergeCell ref="H149:I149"/>
    <mergeCell ref="H148:I148"/>
    <mergeCell ref="H151:I151"/>
    <mergeCell ref="H145:I145"/>
    <mergeCell ref="H146:I146"/>
    <mergeCell ref="H150:I150"/>
    <mergeCell ref="H143:I143"/>
    <mergeCell ref="H144:I144"/>
    <mergeCell ref="H142:I142"/>
    <mergeCell ref="H147:I147"/>
    <mergeCell ref="E42:F42"/>
    <mergeCell ref="E45:F45"/>
    <mergeCell ref="E34:F34"/>
    <mergeCell ref="E35:F35"/>
    <mergeCell ref="H34:I34"/>
    <mergeCell ref="H33:I33"/>
    <mergeCell ref="H35:I35"/>
    <mergeCell ref="E32:F32"/>
    <mergeCell ref="E33:F33"/>
    <mergeCell ref="E132:F132"/>
    <mergeCell ref="E131:F131"/>
    <mergeCell ref="E134:F134"/>
    <mergeCell ref="E133:F133"/>
    <mergeCell ref="H108:I108"/>
    <mergeCell ref="H124:I124"/>
    <mergeCell ref="H125:I125"/>
    <mergeCell ref="H120:I120"/>
    <mergeCell ref="H126:I126"/>
    <mergeCell ref="H128:I128"/>
    <mergeCell ref="H127:I127"/>
    <mergeCell ref="E99:F99"/>
    <mergeCell ref="E98:F98"/>
    <mergeCell ref="H140:I140"/>
    <mergeCell ref="H141:I141"/>
    <mergeCell ref="H163:I163"/>
    <mergeCell ref="H164:I164"/>
    <mergeCell ref="H152:I152"/>
    <mergeCell ref="H153:I153"/>
    <mergeCell ref="H154:I154"/>
    <mergeCell ref="H156:I156"/>
    <mergeCell ref="H155:I155"/>
    <mergeCell ref="E58:F58"/>
    <mergeCell ref="E59:F59"/>
    <mergeCell ref="E60:F60"/>
    <mergeCell ref="E61:F61"/>
    <mergeCell ref="E57:F57"/>
    <mergeCell ref="E56:F56"/>
    <mergeCell ref="E19:F19"/>
    <mergeCell ref="E17:F17"/>
    <mergeCell ref="E18:F18"/>
    <mergeCell ref="E13:F13"/>
    <mergeCell ref="E14:F14"/>
    <mergeCell ref="E7:F7"/>
    <mergeCell ref="E8:F8"/>
    <mergeCell ref="B3:C3"/>
    <mergeCell ref="A4:B4"/>
    <mergeCell ref="C4:D4"/>
    <mergeCell ref="B1:C2"/>
    <mergeCell ref="E95:F95"/>
    <mergeCell ref="E96:F96"/>
    <mergeCell ref="E44:F44"/>
    <mergeCell ref="E43:F43"/>
    <mergeCell ref="H232:I232"/>
    <mergeCell ref="H233:I233"/>
    <mergeCell ref="H235:I235"/>
    <mergeCell ref="H234:I234"/>
    <mergeCell ref="H237:I237"/>
    <mergeCell ref="H236:I236"/>
    <mergeCell ref="H229:I229"/>
    <mergeCell ref="H231:I231"/>
    <mergeCell ref="H240:I240"/>
    <mergeCell ref="H243:I243"/>
    <mergeCell ref="H241:I241"/>
    <mergeCell ref="H242:I242"/>
    <mergeCell ref="H230:I230"/>
    <mergeCell ref="H184:I184"/>
    <mergeCell ref="H183:I183"/>
    <mergeCell ref="H172:I172"/>
    <mergeCell ref="H185:I185"/>
    <mergeCell ref="H179:I179"/>
    <mergeCell ref="H178:I178"/>
    <mergeCell ref="H181:I181"/>
    <mergeCell ref="H177:I177"/>
    <mergeCell ref="H180:I180"/>
    <mergeCell ref="H208:I208"/>
    <mergeCell ref="H210:I210"/>
    <mergeCell ref="H209:I209"/>
    <mergeCell ref="H168:I168"/>
    <mergeCell ref="H170:I170"/>
    <mergeCell ref="H169:I169"/>
    <mergeCell ref="H199:I199"/>
    <mergeCell ref="H200:I200"/>
    <mergeCell ref="H107:I107"/>
    <mergeCell ref="H104:I104"/>
    <mergeCell ref="H204:I204"/>
    <mergeCell ref="H205:I205"/>
    <mergeCell ref="H198:I198"/>
    <mergeCell ref="H203:I203"/>
    <mergeCell ref="H182:I182"/>
    <mergeCell ref="H29:I29"/>
    <mergeCell ref="H30:I30"/>
    <mergeCell ref="E30:F30"/>
    <mergeCell ref="E28:F28"/>
    <mergeCell ref="E29:F29"/>
    <mergeCell ref="H23:I23"/>
    <mergeCell ref="H22:I22"/>
    <mergeCell ref="H31:I31"/>
    <mergeCell ref="H32:I32"/>
    <mergeCell ref="K4:L4"/>
    <mergeCell ref="M4:Q4"/>
    <mergeCell ref="H71:I71"/>
    <mergeCell ref="H70:I70"/>
    <mergeCell ref="O1:P1"/>
    <mergeCell ref="H5:I5"/>
    <mergeCell ref="R2:S2"/>
    <mergeCell ref="R1:S1"/>
    <mergeCell ref="K1:M1"/>
    <mergeCell ref="E269:F269"/>
    <mergeCell ref="H270:I270"/>
    <mergeCell ref="H271:I271"/>
    <mergeCell ref="H268:I268"/>
    <mergeCell ref="H267:I267"/>
    <mergeCell ref="E263:F263"/>
    <mergeCell ref="E262:F262"/>
    <mergeCell ref="E264:F264"/>
    <mergeCell ref="E266:F266"/>
    <mergeCell ref="E267:F267"/>
    <mergeCell ref="E259:F259"/>
    <mergeCell ref="E258:F258"/>
    <mergeCell ref="H256:I256"/>
    <mergeCell ref="H254:I254"/>
    <mergeCell ref="H255:I255"/>
    <mergeCell ref="H253:I253"/>
    <mergeCell ref="H251:I251"/>
    <mergeCell ref="H252:I252"/>
    <mergeCell ref="H263:I263"/>
    <mergeCell ref="H262:I262"/>
    <mergeCell ref="H264:I264"/>
    <mergeCell ref="H265:I265"/>
    <mergeCell ref="H266:I266"/>
    <mergeCell ref="E260:F260"/>
    <mergeCell ref="E261:F261"/>
    <mergeCell ref="H260:I260"/>
    <mergeCell ref="H261:I261"/>
    <mergeCell ref="H259:I259"/>
    <mergeCell ref="H257:I257"/>
    <mergeCell ref="H258:I258"/>
    <mergeCell ref="E111:F111"/>
    <mergeCell ref="E110:F110"/>
    <mergeCell ref="E116:F116"/>
    <mergeCell ref="E115:F115"/>
    <mergeCell ref="E118:F118"/>
    <mergeCell ref="E119:F119"/>
    <mergeCell ref="E121:F121"/>
    <mergeCell ref="E120:F120"/>
    <mergeCell ref="E124:F124"/>
    <mergeCell ref="E123:F123"/>
    <mergeCell ref="E117:F117"/>
    <mergeCell ref="E112:F112"/>
    <mergeCell ref="E122:F122"/>
    <mergeCell ref="H162:I162"/>
    <mergeCell ref="H165:I165"/>
    <mergeCell ref="H161:I161"/>
    <mergeCell ref="H166:I166"/>
    <mergeCell ref="H197:I197"/>
    <mergeCell ref="H196:I196"/>
    <mergeCell ref="H193:I193"/>
    <mergeCell ref="H157:I157"/>
    <mergeCell ref="H158:I158"/>
    <mergeCell ref="H159:I159"/>
    <mergeCell ref="H160:I160"/>
    <mergeCell ref="H202:I202"/>
    <mergeCell ref="H201:I201"/>
    <mergeCell ref="H207:I207"/>
    <mergeCell ref="H206:I206"/>
    <mergeCell ref="H213:I213"/>
    <mergeCell ref="H214:I214"/>
    <mergeCell ref="H215:I215"/>
    <mergeCell ref="H212:I212"/>
    <mergeCell ref="H211:I211"/>
    <mergeCell ref="H220:I220"/>
    <mergeCell ref="H219:I219"/>
    <mergeCell ref="H217:I217"/>
    <mergeCell ref="H218:I218"/>
    <mergeCell ref="H216:I216"/>
    <mergeCell ref="H228:I228"/>
    <mergeCell ref="H227:I227"/>
    <mergeCell ref="H226:I226"/>
    <mergeCell ref="H225:I225"/>
    <mergeCell ref="H224:I224"/>
    <mergeCell ref="H222:I222"/>
    <mergeCell ref="H223:I223"/>
    <mergeCell ref="H221:I221"/>
    <mergeCell ref="H239:I239"/>
    <mergeCell ref="H238:I238"/>
    <mergeCell ref="H131:I131"/>
    <mergeCell ref="H130:I130"/>
    <mergeCell ref="H244:I244"/>
    <mergeCell ref="H245:I245"/>
    <mergeCell ref="H247:I247"/>
    <mergeCell ref="H246:I246"/>
    <mergeCell ref="H250:I250"/>
    <mergeCell ref="H248:I248"/>
    <mergeCell ref="H249:I249"/>
    <mergeCell ref="H195:I195"/>
    <mergeCell ref="H194:I194"/>
    <mergeCell ref="H167:I167"/>
    <mergeCell ref="H171:I171"/>
    <mergeCell ref="H176:I176"/>
    <mergeCell ref="H175:I175"/>
    <mergeCell ref="H173:I173"/>
    <mergeCell ref="H174:I174"/>
    <mergeCell ref="H186:I186"/>
    <mergeCell ref="H188:I188"/>
    <mergeCell ref="H187:I187"/>
    <mergeCell ref="H190:I190"/>
    <mergeCell ref="H191:I191"/>
    <mergeCell ref="H192:I192"/>
    <mergeCell ref="H189:I189"/>
    <mergeCell ref="H86:I86"/>
    <mergeCell ref="H87:I87"/>
    <mergeCell ref="H91:I91"/>
    <mergeCell ref="H92:I92"/>
    <mergeCell ref="H97:I97"/>
    <mergeCell ref="H96:I96"/>
    <mergeCell ref="H93:I93"/>
    <mergeCell ref="H83:I83"/>
    <mergeCell ref="H89:I89"/>
    <mergeCell ref="H90:I90"/>
    <mergeCell ref="H88:I88"/>
    <mergeCell ref="H132:I132"/>
    <mergeCell ref="H129:I129"/>
    <mergeCell ref="H118:I118"/>
    <mergeCell ref="H117:I117"/>
    <mergeCell ref="H116:I116"/>
    <mergeCell ref="H119:I119"/>
    <mergeCell ref="H94:I94"/>
    <mergeCell ref="H95:I95"/>
    <mergeCell ref="H139:I139"/>
    <mergeCell ref="H138:I138"/>
    <mergeCell ref="H137:I137"/>
    <mergeCell ref="H101:I101"/>
    <mergeCell ref="H102:I102"/>
    <mergeCell ref="H123:I123"/>
    <mergeCell ref="H135:I135"/>
    <mergeCell ref="H136:I136"/>
    <mergeCell ref="H134:I134"/>
    <mergeCell ref="H133:I133"/>
    <mergeCell ref="H112:I112"/>
    <mergeCell ref="H111:I111"/>
    <mergeCell ref="H110:I110"/>
    <mergeCell ref="H109:I109"/>
    <mergeCell ref="H105:I105"/>
    <mergeCell ref="H106:I106"/>
    <mergeCell ref="H113:I113"/>
    <mergeCell ref="H115:I115"/>
    <mergeCell ref="H114:I114"/>
    <mergeCell ref="H122:I122"/>
    <mergeCell ref="H121:I121"/>
    <mergeCell ref="H75:I75"/>
    <mergeCell ref="H74:I74"/>
    <mergeCell ref="H72:I72"/>
    <mergeCell ref="H73:I73"/>
    <mergeCell ref="H76:I76"/>
    <mergeCell ref="H77:I77"/>
    <mergeCell ref="H78:I78"/>
    <mergeCell ref="H80:I80"/>
    <mergeCell ref="H79:I79"/>
    <mergeCell ref="H99:I99"/>
    <mergeCell ref="H98:I98"/>
    <mergeCell ref="H67:I67"/>
    <mergeCell ref="H68:I68"/>
    <mergeCell ref="H66:I66"/>
    <mergeCell ref="H59:I59"/>
    <mergeCell ref="H58:I58"/>
    <mergeCell ref="H103:I103"/>
    <mergeCell ref="H100:I100"/>
    <mergeCell ref="H60:I60"/>
    <mergeCell ref="H52:I52"/>
    <mergeCell ref="H51:I51"/>
    <mergeCell ref="H53:I53"/>
    <mergeCell ref="H55:I55"/>
    <mergeCell ref="H54:I54"/>
    <mergeCell ref="H62:I62"/>
    <mergeCell ref="H84:I84"/>
    <mergeCell ref="H85:I85"/>
    <mergeCell ref="H81:I81"/>
    <mergeCell ref="H82:I82"/>
    <mergeCell ref="H274:I274"/>
    <mergeCell ref="H272:I272"/>
    <mergeCell ref="H273:I273"/>
    <mergeCell ref="H299:I299"/>
    <mergeCell ref="H298:I298"/>
    <mergeCell ref="H300:I300"/>
    <mergeCell ref="H296:I296"/>
    <mergeCell ref="H297:I297"/>
    <mergeCell ref="H295:I295"/>
    <mergeCell ref="H276:I276"/>
    <mergeCell ref="H277:I277"/>
    <mergeCell ref="H289:I289"/>
    <mergeCell ref="H288:I288"/>
    <mergeCell ref="H286:I286"/>
    <mergeCell ref="H287:I287"/>
    <mergeCell ref="H290:I290"/>
    <mergeCell ref="H291:I291"/>
    <mergeCell ref="H292:I292"/>
    <mergeCell ref="H293:I293"/>
    <mergeCell ref="H294:I294"/>
    <mergeCell ref="H283:I283"/>
    <mergeCell ref="H284:I284"/>
    <mergeCell ref="H285:I285"/>
    <mergeCell ref="H278:I278"/>
    <mergeCell ref="H279:I279"/>
    <mergeCell ref="H282:I282"/>
    <mergeCell ref="H280:I280"/>
    <mergeCell ref="H281:I281"/>
    <mergeCell ref="H269:I269"/>
    <mergeCell ref="H275:I275"/>
    <mergeCell ref="E233:F233"/>
    <mergeCell ref="E232:F232"/>
    <mergeCell ref="E237:F237"/>
    <mergeCell ref="E234:F234"/>
    <mergeCell ref="E235:F235"/>
    <mergeCell ref="E215:F215"/>
    <mergeCell ref="E218:F218"/>
    <mergeCell ref="E219:F219"/>
    <mergeCell ref="E220:F220"/>
    <mergeCell ref="E217:F217"/>
    <mergeCell ref="E216:F216"/>
    <mergeCell ref="E221:F221"/>
    <mergeCell ref="E222:F222"/>
    <mergeCell ref="E240:F240"/>
    <mergeCell ref="E242:F242"/>
    <mergeCell ref="E172:F172"/>
    <mergeCell ref="E171:F171"/>
    <mergeCell ref="E173:F173"/>
    <mergeCell ref="E174:F174"/>
    <mergeCell ref="E175:F175"/>
    <mergeCell ref="E176:F176"/>
    <mergeCell ref="E179:F179"/>
    <mergeCell ref="E178:F178"/>
    <mergeCell ref="E202:F202"/>
    <mergeCell ref="E198:F198"/>
    <mergeCell ref="E199:F199"/>
    <mergeCell ref="E200:F200"/>
    <mergeCell ref="E201:F201"/>
    <mergeCell ref="E281:F281"/>
    <mergeCell ref="E282:F282"/>
    <mergeCell ref="E276:F276"/>
    <mergeCell ref="E277:F277"/>
    <mergeCell ref="E273:F273"/>
    <mergeCell ref="E272:F272"/>
    <mergeCell ref="E268:F268"/>
    <mergeCell ref="E265:F265"/>
    <mergeCell ref="E274:F274"/>
    <mergeCell ref="E271:F271"/>
    <mergeCell ref="E256:F256"/>
    <mergeCell ref="E257:F257"/>
    <mergeCell ref="E280:F280"/>
    <mergeCell ref="E279:F279"/>
    <mergeCell ref="E275:F275"/>
    <mergeCell ref="E278:F278"/>
    <mergeCell ref="E270:F270"/>
    <mergeCell ref="E288:F288"/>
    <mergeCell ref="E289:F289"/>
    <mergeCell ref="E296:F296"/>
    <mergeCell ref="E299:F299"/>
    <mergeCell ref="E298:F298"/>
    <mergeCell ref="E293:F293"/>
    <mergeCell ref="E294:F294"/>
    <mergeCell ref="E300:F300"/>
    <mergeCell ref="E297:F297"/>
    <mergeCell ref="E183:F183"/>
    <mergeCell ref="E181:F181"/>
    <mergeCell ref="E182:F182"/>
    <mergeCell ref="E184:F184"/>
    <mergeCell ref="E185:F185"/>
    <mergeCell ref="E189:F189"/>
    <mergeCell ref="E188:F188"/>
    <mergeCell ref="E187:F187"/>
    <mergeCell ref="E186:F186"/>
    <mergeCell ref="E197:F197"/>
    <mergeCell ref="E196:F196"/>
    <mergeCell ref="E190:F190"/>
    <mergeCell ref="E191:F191"/>
    <mergeCell ref="E193:F193"/>
    <mergeCell ref="E192:F192"/>
    <mergeCell ref="E195:F195"/>
    <mergeCell ref="E194:F194"/>
    <mergeCell ref="E146:F146"/>
    <mergeCell ref="E143:F143"/>
    <mergeCell ref="E145:F145"/>
    <mergeCell ref="E144:F144"/>
    <mergeCell ref="E161:F161"/>
    <mergeCell ref="E157:F157"/>
    <mergeCell ref="E158:F158"/>
    <mergeCell ref="E160:F160"/>
    <mergeCell ref="E159:F159"/>
    <mergeCell ref="E169:F169"/>
    <mergeCell ref="E170:F170"/>
    <mergeCell ref="E167:F167"/>
    <mergeCell ref="E177:F177"/>
    <mergeCell ref="E180:F180"/>
    <mergeCell ref="E168:F168"/>
    <mergeCell ref="E162:F162"/>
    <mergeCell ref="E150:F150"/>
    <mergeCell ref="E141:F141"/>
    <mergeCell ref="E142:F142"/>
    <mergeCell ref="E165:F165"/>
    <mergeCell ref="E166:F166"/>
    <mergeCell ref="E152:F152"/>
    <mergeCell ref="E151:F151"/>
    <mergeCell ref="E147:F147"/>
    <mergeCell ref="E149:F149"/>
    <mergeCell ref="E148:F148"/>
    <mergeCell ref="E135:F135"/>
    <mergeCell ref="E137:F137"/>
    <mergeCell ref="E136:F136"/>
    <mergeCell ref="E140:F140"/>
    <mergeCell ref="E139:F139"/>
    <mergeCell ref="E138:F138"/>
    <mergeCell ref="E155:F155"/>
    <mergeCell ref="E156:F156"/>
    <mergeCell ref="E163:F163"/>
    <mergeCell ref="E164:F164"/>
    <mergeCell ref="E154:F154"/>
    <mergeCell ref="E153:F153"/>
    <mergeCell ref="E209:F209"/>
    <mergeCell ref="E207:F207"/>
    <mergeCell ref="E208:F208"/>
    <mergeCell ref="E206:F206"/>
    <mergeCell ref="E205:F205"/>
    <mergeCell ref="E214:F214"/>
    <mergeCell ref="E213:F213"/>
    <mergeCell ref="E212:F212"/>
    <mergeCell ref="E211:F211"/>
    <mergeCell ref="E210:F210"/>
    <mergeCell ref="E204:F204"/>
    <mergeCell ref="E203:F203"/>
    <mergeCell ref="E252:F252"/>
    <mergeCell ref="E247:F247"/>
    <mergeCell ref="E231:F231"/>
    <mergeCell ref="E230:F230"/>
    <mergeCell ref="E223:F223"/>
    <mergeCell ref="E238:F238"/>
    <mergeCell ref="E255:F255"/>
    <mergeCell ref="E224:F224"/>
    <mergeCell ref="E236:F236"/>
    <mergeCell ref="E225:F225"/>
    <mergeCell ref="E239:F239"/>
    <mergeCell ref="E243:F243"/>
    <mergeCell ref="E241:F241"/>
    <mergeCell ref="E244:F244"/>
    <mergeCell ref="E246:F246"/>
    <mergeCell ref="E245:F245"/>
    <mergeCell ref="E227:F227"/>
    <mergeCell ref="E226:F226"/>
    <mergeCell ref="E229:F229"/>
    <mergeCell ref="E228:F228"/>
    <mergeCell ref="E254:F254"/>
    <mergeCell ref="E253:F253"/>
    <mergeCell ref="E250:F250"/>
    <mergeCell ref="E249:F249"/>
    <mergeCell ref="E251:F251"/>
    <mergeCell ref="E248:F248"/>
    <mergeCell ref="E292:F292"/>
    <mergeCell ref="E291:F291"/>
    <mergeCell ref="E283:F283"/>
    <mergeCell ref="E295:F295"/>
    <mergeCell ref="E285:F285"/>
    <mergeCell ref="E284:F284"/>
    <mergeCell ref="E286:F286"/>
    <mergeCell ref="E287:F287"/>
    <mergeCell ref="E290:F290"/>
  </mergeCells>
  <conditionalFormatting sqref="J6:Y301">
    <cfRule type="cellIs" dxfId="0" priority="1" operator="equal">
      <formula>100</formula>
    </cfRule>
  </conditionalFormatting>
  <conditionalFormatting sqref="J6:Y301">
    <cfRule type="cellIs" dxfId="1" priority="2" operator="between">
      <formula>99</formula>
      <formula>95</formula>
    </cfRule>
  </conditionalFormatting>
  <conditionalFormatting sqref="J6:Y301">
    <cfRule type="cellIs" dxfId="2" priority="3" operator="between">
      <formula>94</formula>
      <formula>75</formula>
    </cfRule>
  </conditionalFormatting>
  <conditionalFormatting sqref="J6:Y301">
    <cfRule type="cellIs" dxfId="3" priority="4" operator="between">
      <formula>74</formula>
      <formula>50</formula>
    </cfRule>
  </conditionalFormatting>
  <conditionalFormatting sqref="J6:Y301">
    <cfRule type="cellIs" dxfId="4" priority="5" operator="between">
      <formula>49</formula>
      <formula>25</formula>
    </cfRule>
  </conditionalFormatting>
  <conditionalFormatting sqref="J6:Y301">
    <cfRule type="cellIs" dxfId="5" priority="6" operator="lessThan">
      <formula>25</formula>
    </cfRule>
  </conditionalFormatting>
  <conditionalFormatting sqref="B1:C2">
    <cfRule type="containsText" dxfId="6" priority="7" operator="containsText" text="fetching..">
      <formula>NOT(ISERROR(SEARCH(("fetching.."),(B1))))</formula>
    </cfRule>
  </conditionalFormatting>
  <conditionalFormatting sqref="B1:C2">
    <cfRule type="containsText" dxfId="7" priority="8" operator="containsText" text="fetch">
      <formula>NOT(ISERROR(SEARCH(("fetch"),(B1))))</formula>
    </cfRule>
  </conditionalFormatting>
  <conditionalFormatting sqref="C4:D4">
    <cfRule type="cellIs" dxfId="8" priority="9" operator="equal">
      <formula>"None :-)"</formula>
    </cfRule>
  </conditionalFormatting>
  <conditionalFormatting sqref="K2:M2">
    <cfRule type="cellIs" dxfId="9" priority="10" operator="equal">
      <formula>"WARCRAFT LOGS API KEY MISSING"</formula>
    </cfRule>
  </conditionalFormatting>
  <conditionalFormatting sqref="K1:M1">
    <cfRule type="containsBlanks" dxfId="6" priority="11">
      <formula>LEN(TRIM(K1))=0</formula>
    </cfRule>
  </conditionalFormatting>
  <dataValidations>
    <dataValidation type="list" allowBlank="1" sqref="H2">
      <formula1>"Normal,Heroic,Mythic"</formula1>
    </dataValidation>
    <dataValidation type="list" allowBlank="1" showInputMessage="1" showErrorMessage="1" prompt="Amount of bosses to fetch. Keep equal to the amount in current tier to speed up execution. No errors if not equal or higher, but stops fetching after the specified amount of bosses." sqref="R2">
      <formula1>"1,2,3,4,5,6,7,8,9,10,11,12,13,14"</formula1>
    </dataValidation>
    <dataValidation type="list" allowBlank="1" showInputMessage="1" showErrorMessage="1" prompt="Base is with no patches e.g. base = 8.0, First patch = 8.1 or 8.05 etc for that tier. Equivalent to the panes on WarcraftLogs page.                                                                                                         If patch doesn't ex" sqref="O2">
      <formula1>"Base,First Patch,Second Patch"</formula1>
    </dataValidation>
    <dataValidation type="list" allowBlank="1" sqref="E2">
      <formula1>"None,Death Knight,Demon Hunter,Druid,Hunter,Mage,Monk,Paladin,Priest,Rogue,Shaman,Warlock,Warrior,All Page 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6" max="6" width="5.0"/>
    <col customWidth="1" min="12" max="12" width="5.71"/>
    <col customWidth="1" min="18" max="18" width="5.86"/>
    <col customWidth="1" min="24" max="24" width="5.14"/>
    <col customWidth="1" min="30" max="30" width="6.29"/>
    <col customWidth="1" min="36" max="36" width="6.43"/>
    <col customWidth="1" min="42" max="42" width="5.29"/>
    <col customWidth="1" min="48" max="48" width="5.71"/>
    <col customWidth="1" min="54" max="54" width="5.71"/>
    <col customWidth="1" min="60" max="60" width="5.57"/>
    <col customWidth="1" min="66" max="66" width="5.29"/>
    <col customWidth="1" min="72" max="72" width="5.14"/>
  </cols>
  <sheetData>
    <row r="1">
      <c r="A1">
        <f>IFS(LFG!E2 = "None", 0, LFG!E2 = "Death Knight", 1, LFG!E2 = "Demon Hunter", 2, LFG!E2 = "Druid", 3, LFG!E2 = "Hunter", 4, LFG!E2 = "Mage", 5, LFG!E2 = "Monk", 6, LFG!E2 = "Paladin", 7, LFG!E2 = "Priest", 8, LFG!E2 = "Rogue", 9, LFG!E2 = "Shaman", 10, LFG!E2 = "Warlock", 11, LFG!E2 = "Warrior", 12, LFG!E2 = "All Page 1", 13)</f>
        <v>0</v>
      </c>
      <c r="B1" s="1" t="s">
        <v>0</v>
      </c>
      <c r="C1" s="2" t="str">
        <f>CONCATENATE(Hour(Now()), ":", IF(Minute(Now()) &lt; 10, CONCATENATE("0", Minute(Now())), Minute(Now())))</f>
        <v>14:36</v>
      </c>
      <c r="D1" s="1" t="s">
        <v>1</v>
      </c>
      <c r="E1" s="3"/>
      <c r="F1" s="4"/>
      <c r="G1" s="5" t="str">
        <f>IFERROR(__xludf.DUMMYFUNCTION("IF(RegExMatch(A6,""Google Import Error""),""DK 1, "",""NO"")"),"NO")</f>
        <v>NO</v>
      </c>
      <c r="H1" s="7" t="str">
        <f>IFERROR(__xludf.DUMMYFUNCTION("IF(RegExMatch(G6,""Google Import Error""),""DH 1, "",""NO"")"),"NO")</f>
        <v>NO</v>
      </c>
      <c r="I1" s="7" t="str">
        <f>IFERROR(__xludf.DUMMYFUNCTION("IF(RegExMatch(M6,""Google Import Error""),""Druid 1, "",""NO"")"),"NO")</f>
        <v>NO</v>
      </c>
      <c r="J1" s="8" t="str">
        <f>IFERROR(__xludf.DUMMYFUNCTION("IF(RegExMatch(S6,""Google Import Error""),""Hunter 1, "",""NO"")"),"NO")</f>
        <v>NO</v>
      </c>
      <c r="K1" s="8" t="str">
        <f>IFERROR(__xludf.DUMMYFUNCTION("IF(RegExMatch(Y6,""Google Import Error""),""Mage 1, "",""NO"")"),"NO")</f>
        <v>NO</v>
      </c>
      <c r="L1" s="8" t="str">
        <f>IFERROR(__xludf.DUMMYFUNCTION("IF(RegExMatch(AE6,""Google Import Error""),""Monk 1, "",""NO"")"),"NO")</f>
        <v>NO</v>
      </c>
      <c r="M1" s="8" t="str">
        <f>IFERROR(__xludf.DUMMYFUNCTION("IF(RegExMatch(AK6,""Google Import Error""),""Paladin 1, "",""NO"")"),"NO")</f>
        <v>NO</v>
      </c>
      <c r="N1" s="8" t="str">
        <f>IFERROR(__xludf.DUMMYFUNCTION("IF(RegExMatch(AQ6,""Google Import Error""),""Priest 1, "",""NO"")"),"NO")</f>
        <v>NO</v>
      </c>
      <c r="O1" s="8" t="str">
        <f>IFERROR(__xludf.DUMMYFUNCTION("IF(RegExMatch(AW6,""Google Import Error""),""Rogue 1, "",""NO"")"),"NO")</f>
        <v>NO</v>
      </c>
      <c r="P1" s="8" t="str">
        <f>IFERROR(__xludf.DUMMYFUNCTION("IF(RegExMatch(BC6,""Google Import Error""),""Shaman 1, "",""NO"")"),"NO")</f>
        <v>NO</v>
      </c>
      <c r="Q1" s="8" t="str">
        <f>IFERROR(__xludf.DUMMYFUNCTION("IF(RegExMatch(BI6,""Google Import Error""),""Warlock 1, "",""NO"")"),"NO")</f>
        <v>NO</v>
      </c>
      <c r="R1" s="11" t="str">
        <f>IFERROR(__xludf.DUMMYFUNCTION("IF(RegExMatch(BO6,""Google Import Error""),""Warrior 1, "",""NO"")"),"NO")</f>
        <v>NO</v>
      </c>
      <c r="S1" s="13" t="str">
        <f>IFERROR(__xludf.DUMMYFUNCTION("FILTER(G1:R1, G1:R1&lt;&gt;""NO"")"),"#N/A")</f>
        <v>#N/A</v>
      </c>
      <c r="T1" s="15"/>
      <c r="AB1" s="16"/>
      <c r="AC1" s="16"/>
      <c r="AD1" s="16"/>
      <c r="AE1" s="18" t="str">
        <f>IFERROR(__xludf.DUMMYFUNCTION("FILTER(G2:R2, G2:R2&lt;&gt;""NO"")"),"DH 2, ")</f>
        <v>DH 2, </v>
      </c>
      <c r="AF1" s="16" t="str">
        <f>IFERROR(__xludf.DUMMYFUNCTION("""COMPUTED_VALUE"""),"Shaman 2, ")</f>
        <v>Shaman 2, </v>
      </c>
      <c r="AG1" s="16"/>
      <c r="AH1" s="22"/>
      <c r="AI1" s="16"/>
      <c r="AJ1" s="16"/>
      <c r="AK1" s="16"/>
      <c r="AL1" s="16"/>
      <c r="AM1" s="16"/>
      <c r="AN1" s="16"/>
      <c r="AO1" s="16"/>
      <c r="AP1" s="16" t="str">
        <f>IFERROR(__xludf.DUMMYFUNCTION("FILTER(G3:R3, G3:R3&lt;&gt;""NO"")"),"DK 3, ")</f>
        <v>DK 3, </v>
      </c>
      <c r="AQ1" s="18"/>
      <c r="AR1" s="16"/>
      <c r="AS1" s="16"/>
      <c r="AT1" s="16"/>
      <c r="AU1" s="16"/>
      <c r="AV1" s="16"/>
      <c r="AW1" s="18"/>
      <c r="AX1" s="16"/>
      <c r="AY1" s="16"/>
      <c r="AZ1" s="25"/>
      <c r="BA1" s="16"/>
      <c r="BB1" s="16"/>
      <c r="BC1" s="18"/>
      <c r="BD1" s="16"/>
      <c r="BE1" s="16"/>
      <c r="BF1" s="25"/>
      <c r="BG1" s="16"/>
      <c r="BH1" s="16"/>
      <c r="BI1" s="18"/>
      <c r="BJ1" s="16"/>
      <c r="BK1" s="16"/>
      <c r="BL1" s="25"/>
      <c r="BM1" s="16"/>
      <c r="BN1" s="16"/>
      <c r="BO1" s="18"/>
      <c r="BP1" s="16"/>
      <c r="BQ1" s="16"/>
      <c r="BR1" s="25"/>
      <c r="BS1" s="16"/>
      <c r="BT1" s="16"/>
      <c r="BU1" s="18"/>
      <c r="BV1" s="18"/>
      <c r="BW1" s="18"/>
      <c r="BX1" s="18"/>
      <c r="BY1" s="18"/>
      <c r="BZ1" s="18"/>
    </row>
    <row r="2">
      <c r="A2">
        <f>IFS(LFG!H2 = "Mythic", 5, LFG!H2 = "Heroic", 4, LFG!H2 = "Normal", 3)
</f>
        <v>5</v>
      </c>
      <c r="B2" s="1" t="s">
        <v>2</v>
      </c>
      <c r="C2" s="31">
        <f>COUNTA(LFG!AA6:AA281)</f>
        <v>0</v>
      </c>
      <c r="D2" s="32" t="s">
        <v>8</v>
      </c>
      <c r="G2" s="33" t="str">
        <f>IFERROR(__xludf.DUMMYFUNCTION("IF(RegExMatch(A29,""Google Import Error""),""DK 2, "",""NO"")"),"NO")</f>
        <v>NO</v>
      </c>
      <c r="H2" s="35" t="str">
        <f>IFERROR(__xludf.DUMMYFUNCTION("IF(RegExMatch(G29,""Google Import Error""),""DH 2, "",""NO"")"),"DH 2, ")</f>
        <v>DH 2, </v>
      </c>
      <c r="I2" s="35" t="str">
        <f>IFERROR(__xludf.DUMMYFUNCTION("IF(RegExMatch(M29,""Google Import Error""),""Druid 2, "",""NO"")"),"NO")</f>
        <v>NO</v>
      </c>
      <c r="J2" s="37" t="str">
        <f>IFERROR(__xludf.DUMMYFUNCTION("IF(RegExMatch(S29,""Google Import Error""),""Hunter 2, "",""NO"")"),"NO")</f>
        <v>NO</v>
      </c>
      <c r="K2" s="37" t="str">
        <f>IFERROR(__xludf.DUMMYFUNCTION("IF(RegExMatch(Y29,""Google Import Error""),""Mage 2, "",""NO"")"),"NO")</f>
        <v>NO</v>
      </c>
      <c r="L2" s="37" t="str">
        <f>IFERROR(__xludf.DUMMYFUNCTION("IF(RegExMatch(AE29,""Google Import Error""),""Monk 2, "",""NO"")"),"NO")</f>
        <v>NO</v>
      </c>
      <c r="M2" s="37" t="str">
        <f>IFERROR(__xludf.DUMMYFUNCTION("IF(RegExMatch(AK29,""Google Import Error""),""Paladin 2, "",""NO"")"),"NO")</f>
        <v>NO</v>
      </c>
      <c r="N2" s="37" t="str">
        <f>IFERROR(__xludf.DUMMYFUNCTION("IF(RegExMatch(AQ29,""Google Import Error""),""Priest 2, "",""NO"")"),"NO")</f>
        <v>NO</v>
      </c>
      <c r="O2" s="37" t="str">
        <f>IFERROR(__xludf.DUMMYFUNCTION("IF(RegExMatch(AW29,""Google Import Error""),""Rogue 2, "",""NO"")"),"NO")</f>
        <v>NO</v>
      </c>
      <c r="P2" s="37" t="str">
        <f>IFERROR(__xludf.DUMMYFUNCTION("IF(RegExMatch(BC29,""Google Import Error""),""Shaman 2, "",""NO"")"),"Shaman 2, ")</f>
        <v>Shaman 2, </v>
      </c>
      <c r="Q2" s="37" t="str">
        <f>IFERROR(__xludf.DUMMYFUNCTION("IF(RegExMatch(BI29,""Google Import Error""),""Warlock 2, "",""NO"")"),"NO")</f>
        <v>NO</v>
      </c>
      <c r="R2" s="39" t="str">
        <f>IFERROR(__xludf.DUMMYFUNCTION("IF(RegExMatch(BO29,""Google Import Error""),""Warrior 2, "",""NO"")"),"NO")</f>
        <v>NO</v>
      </c>
      <c r="S2" s="15"/>
      <c r="T2" s="15"/>
      <c r="AB2" s="16"/>
      <c r="AC2" s="16"/>
      <c r="AD2" s="16"/>
      <c r="AE2" s="18"/>
      <c r="AF2" s="16"/>
      <c r="AG2" s="16"/>
      <c r="AH2" s="16"/>
      <c r="AI2" s="16"/>
      <c r="AJ2" s="16"/>
      <c r="AK2" s="16"/>
      <c r="AL2" s="16"/>
      <c r="AM2" s="16"/>
      <c r="AN2" s="16"/>
      <c r="AO2" s="16"/>
      <c r="AP2" s="16"/>
      <c r="AQ2" s="18"/>
      <c r="AR2" s="16"/>
      <c r="AS2" s="16"/>
      <c r="AT2" s="16"/>
      <c r="AU2" s="16"/>
      <c r="AV2" s="16"/>
      <c r="AW2" s="18"/>
      <c r="AX2" s="16"/>
      <c r="AY2" s="16"/>
      <c r="AZ2" s="25"/>
      <c r="BA2" s="16"/>
      <c r="BB2" s="16"/>
      <c r="BC2" s="18"/>
      <c r="BD2" s="16"/>
      <c r="BE2" s="16"/>
      <c r="BF2" s="25"/>
      <c r="BG2" s="16"/>
      <c r="BH2" s="16"/>
      <c r="BI2" s="18"/>
      <c r="BJ2" s="16"/>
      <c r="BK2" s="16"/>
      <c r="BL2" s="25"/>
      <c r="BM2" s="16"/>
      <c r="BN2" s="16"/>
      <c r="BO2" s="18"/>
      <c r="BP2" s="16"/>
      <c r="BQ2" s="16"/>
      <c r="BR2" s="25"/>
      <c r="BS2" s="16"/>
      <c r="BT2" s="16"/>
      <c r="BU2" s="18"/>
      <c r="BV2" s="18"/>
      <c r="BW2" s="18"/>
      <c r="BX2" s="18"/>
      <c r="BY2" s="18"/>
      <c r="BZ2" s="18"/>
    </row>
    <row r="3">
      <c r="A3" s="42">
        <f>Minute(Now())</f>
        <v>36</v>
      </c>
      <c r="B3" s="44" t="s">
        <v>14</v>
      </c>
      <c r="C3" s="45">
        <v>0.0</v>
      </c>
      <c r="D3" s="32" t="s">
        <v>16</v>
      </c>
      <c r="G3" s="47" t="str">
        <f>IFERROR(__xludf.DUMMYFUNCTION("IF(RegExMatch(A52,""Google Import Error""),""DK 3, "",""NO"")"),"DK 3, ")</f>
        <v>DK 3, </v>
      </c>
      <c r="H3" s="49" t="str">
        <f>IFERROR(__xludf.DUMMYFUNCTION("IF(RegExMatch(G52,""Google Import Error""),""DH 3, "",""NO"")"),"NO")</f>
        <v>NO</v>
      </c>
      <c r="I3" s="49" t="str">
        <f>IFERROR(__xludf.DUMMYFUNCTION("IF(RegExMatch(M52,""Google Import Error""),""Druid 3, "",""NO"")"),"NO")</f>
        <v>NO</v>
      </c>
      <c r="J3" s="51" t="str">
        <f>IFERROR(__xludf.DUMMYFUNCTION("IF(RegExMatch(S52,""Google Import Error""),""Hunter 3, "",""NO"")"),"NO")</f>
        <v>NO</v>
      </c>
      <c r="K3" s="51" t="str">
        <f>IFERROR(__xludf.DUMMYFUNCTION("IF(RegExMatch(Y52,""Google Import Error""),""Mage 3, "",""NO"")"),"NO")</f>
        <v>NO</v>
      </c>
      <c r="L3" s="51" t="str">
        <f>IFERROR(__xludf.DUMMYFUNCTION("IF(RegExMatch(AE52,""Google Import Error""),""Monk 3, "",""NO"")"),"NO")</f>
        <v>NO</v>
      </c>
      <c r="M3" s="51" t="str">
        <f>IFERROR(__xludf.DUMMYFUNCTION("IF(RegExMatch(AK52,""Google Import Error""),""Paladin 3, "",""NO"")"),"NO")</f>
        <v>NO</v>
      </c>
      <c r="N3" s="51" t="str">
        <f>IFERROR(__xludf.DUMMYFUNCTION("IF(RegExMatch(AQ52,""Google Import Error""),""Priest 3, "",""NO"")"),"NO")</f>
        <v>NO</v>
      </c>
      <c r="O3" s="51" t="str">
        <f>IFERROR(__xludf.DUMMYFUNCTION("IF(RegExMatch(AW52,""Google Import Error""),""Rogue 3, "",""NO"")"),"NO")</f>
        <v>NO</v>
      </c>
      <c r="P3" s="51" t="str">
        <f>IFERROR(__xludf.DUMMYFUNCTION("IF(RegExMatch(BC52,""Google Import Error""),""Shaman 3, "",""NO"")"),"NO")</f>
        <v>NO</v>
      </c>
      <c r="Q3" s="51" t="str">
        <f>IFERROR(__xludf.DUMMYFUNCTION("IF(RegExMatch(BI52,""Google Import Error""),""Warlock 3, "",""NO"")"),"NO")</f>
        <v>NO</v>
      </c>
      <c r="R3" s="55" t="str">
        <f>IFERROR(__xludf.DUMMYFUNCTION("IF(RegExMatch(BO52,""Google Import Error""),""Warrior 3, "",""NO"")"),"NO")</f>
        <v>NO</v>
      </c>
      <c r="S3" s="56"/>
      <c r="T3" s="15"/>
      <c r="AB3" s="16"/>
      <c r="AC3" s="16"/>
      <c r="AD3" s="16"/>
      <c r="AE3" s="18"/>
      <c r="AF3" s="16"/>
      <c r="AG3" s="16"/>
      <c r="AH3" s="16"/>
      <c r="AI3" s="16"/>
      <c r="AJ3" s="16"/>
      <c r="AK3" s="16"/>
      <c r="AL3" s="16"/>
      <c r="AM3" s="16"/>
      <c r="AN3" s="16"/>
      <c r="AO3" s="16"/>
      <c r="AP3" s="16"/>
      <c r="AQ3" s="18"/>
      <c r="AR3" s="16"/>
      <c r="AS3" s="16"/>
      <c r="AT3" s="16"/>
      <c r="AU3" s="16"/>
      <c r="AV3" s="16"/>
      <c r="AW3" s="18"/>
      <c r="AX3" s="16"/>
      <c r="AY3" s="16"/>
      <c r="AZ3" s="25"/>
      <c r="BA3" s="16"/>
      <c r="BB3" s="16"/>
      <c r="BC3" s="18"/>
      <c r="BD3" s="16"/>
      <c r="BE3" s="16"/>
      <c r="BF3" s="25"/>
      <c r="BG3" s="16"/>
      <c r="BH3" s="16"/>
      <c r="BI3" s="18"/>
      <c r="BJ3" s="16"/>
      <c r="BK3" s="16"/>
      <c r="BL3" s="25"/>
      <c r="BM3" s="16"/>
      <c r="BN3" s="16"/>
      <c r="BO3" s="18"/>
      <c r="BP3" s="16"/>
      <c r="BQ3" s="16"/>
      <c r="BR3" s="25"/>
      <c r="BS3" s="16"/>
      <c r="BT3" s="16"/>
      <c r="BU3" s="18"/>
      <c r="BV3" s="18"/>
      <c r="BW3" s="18"/>
      <c r="BX3" s="18"/>
      <c r="BY3" s="18"/>
      <c r="BZ3" s="18"/>
    </row>
    <row r="4">
      <c r="A4">
        <f>IFS(LFG!O2 = "Base", 1, LFG!O2 = "First Patch", 2, LFG!O2 = "Second Patch", 3)
</f>
        <v>1</v>
      </c>
      <c r="B4" s="1" t="s">
        <v>3</v>
      </c>
      <c r="C4">
        <f>IFS(LFG!E2 = "All Page 1", 281, LFG!E2 = "None", 281, LFG!E2 &lt;&gt; "All Page 1", 74)
</f>
        <v>281</v>
      </c>
      <c r="D4" s="32" t="s">
        <v>28</v>
      </c>
      <c r="G4" s="68"/>
      <c r="H4" s="68"/>
      <c r="I4" s="70"/>
      <c r="J4" s="68"/>
      <c r="K4" s="68"/>
      <c r="L4" s="68"/>
      <c r="M4" s="68"/>
      <c r="N4" s="68"/>
      <c r="O4" s="68"/>
      <c r="P4" s="68"/>
      <c r="Q4" s="68"/>
      <c r="R4" s="68"/>
      <c r="AB4" s="16"/>
      <c r="AC4" s="16"/>
      <c r="AD4" s="16"/>
      <c r="AE4" s="18"/>
      <c r="AF4" s="16"/>
      <c r="AG4" s="16"/>
      <c r="AH4" s="16"/>
      <c r="AI4" s="16"/>
      <c r="AJ4" s="16"/>
      <c r="AK4" s="16"/>
      <c r="AL4" s="16"/>
      <c r="AM4" s="16"/>
      <c r="AN4" s="16"/>
      <c r="AO4" s="16"/>
      <c r="AP4" s="16"/>
      <c r="AQ4" s="18"/>
      <c r="AR4" s="16"/>
      <c r="AS4" s="16"/>
      <c r="AT4" s="16"/>
      <c r="AU4" s="16"/>
      <c r="AV4" s="16"/>
      <c r="AW4" s="18"/>
      <c r="AX4" s="16"/>
      <c r="AY4" s="16"/>
      <c r="AZ4" s="25"/>
      <c r="BA4" s="16"/>
      <c r="BB4" s="16"/>
      <c r="BC4" s="18"/>
      <c r="BD4" s="16"/>
      <c r="BE4" s="16"/>
      <c r="BF4" s="25"/>
      <c r="BG4" s="16"/>
      <c r="BH4" s="16"/>
      <c r="BI4" s="18"/>
      <c r="BJ4" s="16"/>
      <c r="BK4" s="16"/>
      <c r="BL4" s="25"/>
      <c r="BM4" s="16"/>
      <c r="BN4" s="16"/>
      <c r="BO4" s="18"/>
      <c r="BP4" s="16"/>
      <c r="BQ4" s="16"/>
      <c r="BR4" s="25"/>
      <c r="BS4" s="16"/>
      <c r="BT4" s="16"/>
      <c r="BU4" s="18"/>
      <c r="BV4" s="18"/>
      <c r="BW4" s="18"/>
      <c r="BX4" s="18"/>
      <c r="BY4" s="18"/>
      <c r="BZ4" s="18"/>
    </row>
    <row r="5">
      <c r="A5" s="75" t="s">
        <v>30</v>
      </c>
      <c r="B5" s="77"/>
      <c r="C5" s="79"/>
      <c r="D5" s="79"/>
      <c r="E5" s="79"/>
      <c r="F5" s="79"/>
      <c r="G5" s="80"/>
      <c r="H5" s="80"/>
      <c r="I5" s="80"/>
      <c r="J5" s="79"/>
      <c r="K5" s="79"/>
      <c r="L5" s="79"/>
      <c r="M5" s="79"/>
      <c r="N5" s="79"/>
      <c r="O5" s="79"/>
      <c r="P5" s="79"/>
      <c r="Q5" s="79"/>
      <c r="R5" s="79"/>
      <c r="S5" s="79"/>
      <c r="T5" s="79"/>
      <c r="U5" s="79"/>
      <c r="V5" s="79"/>
      <c r="W5" s="79"/>
      <c r="X5" s="79"/>
      <c r="Y5" s="79"/>
      <c r="Z5" s="79"/>
      <c r="AA5" s="79"/>
      <c r="AB5" s="82"/>
      <c r="AC5" s="82"/>
      <c r="AD5" s="82"/>
      <c r="AE5" s="83"/>
      <c r="AF5" s="82"/>
      <c r="AG5" s="82"/>
      <c r="AH5" s="82"/>
      <c r="AI5" s="82"/>
      <c r="AJ5" s="82"/>
      <c r="AK5" s="82"/>
      <c r="AL5" s="82"/>
      <c r="AM5" s="82"/>
      <c r="AN5" s="82"/>
      <c r="AO5" s="82"/>
      <c r="AP5" s="82"/>
      <c r="AQ5" s="83"/>
      <c r="AR5" s="82"/>
      <c r="AS5" s="82"/>
      <c r="AT5" s="82"/>
      <c r="AU5" s="82"/>
      <c r="AV5" s="82"/>
      <c r="AW5" s="83"/>
      <c r="AX5" s="82"/>
      <c r="AY5" s="82"/>
      <c r="AZ5" s="85"/>
      <c r="BA5" s="82"/>
      <c r="BB5" s="82"/>
      <c r="BC5" s="83"/>
      <c r="BD5" s="82"/>
      <c r="BE5" s="82"/>
      <c r="BF5" s="85"/>
      <c r="BG5" s="82"/>
      <c r="BH5" s="82"/>
      <c r="BI5" s="83"/>
      <c r="BJ5" s="82"/>
      <c r="BK5" s="82"/>
      <c r="BL5" s="85"/>
      <c r="BM5" s="82"/>
      <c r="BN5" s="82"/>
      <c r="BO5" s="83"/>
      <c r="BP5" s="82"/>
      <c r="BQ5" s="82"/>
      <c r="BR5" s="85"/>
      <c r="BS5" s="82"/>
      <c r="BT5" s="82"/>
      <c r="BU5" s="83"/>
      <c r="BV5" s="82"/>
      <c r="BW5" s="82"/>
      <c r="BX5" s="85"/>
      <c r="BY5" s="82"/>
      <c r="BZ5" s="82"/>
    </row>
    <row r="6">
      <c r="A6" t="str">
        <f>IFERROR(__xludf.DUMMYFUNCTION("IFERROR(QUERY(IMPORTHTML(""https://www.wowprogress.com/gearscore/en/char_rating/prev/1/class.deathknight/lfg.1/raids_week./lang.en#char_rating"", ""table"", 1), ""SELECT Col1, Col2, Col4, Col5, Col6 OFFSET 1"", 0), IFERROR(QUERY(IMPORTHTML(""https://www.w"&amp;"owprogress.com/gearscore/en/char_rating/next/-1/class.deathknight/lfg.1/raids_week./lang.en#char_rating"", ""table"", 1), ""SELECT Col1, Col2, Col4, Col5, Col6 OFFSET 1"", 0), CONCATENATE(""Google Import Error at min: "", TO_TEXT(A3))))"),"Cnemod")</f>
        <v>Cnemod</v>
      </c>
      <c r="B6" t="str">
        <f>IFERROR(__xludf.DUMMYFUNCTION("""COMPUTED_VALUE"""),"Tilting at Windmills")</f>
        <v>Tilting at Windmills</v>
      </c>
      <c r="C6" t="str">
        <f>IFERROR(__xludf.DUMMYFUNCTION("""COMPUTED_VALUE"""),"Ravencrest")</f>
        <v>Ravencrest</v>
      </c>
      <c r="D6">
        <f>IFERROR(__xludf.DUMMYFUNCTION("""COMPUTED_VALUE"""),416.81)</f>
        <v>416.81</v>
      </c>
      <c r="E6" s="93" t="str">
        <f>IFERROR(__xludf.DUMMYFUNCTION("""COMPUTED_VALUE"""),"7 days ago")</f>
        <v>7 days ago</v>
      </c>
      <c r="F6" s="94"/>
      <c r="G6" t="str">
        <f>IFERROR(__xludf.DUMMYFUNCTION("IFERROR(QUERY(IMPORTHTML(""https://www.wowprogress.com/gearscore/en/char_rating/prev/1/class.demon_hunter/lfg.1/raids_week./lang.en#char_rating"", ""table"", 1), ""SELECT Col1, Col2, Col4, Col5, Col6 OFFSET 1"", 0), IFERROR(QUERY(IMPORTHTML(""https://www."&amp;"wowprogress.com/gearscore/en/char_rating/next/-1/class.demon_hunter/lfg.1/raids_week./lang.en#char_rating"", ""table"", 1), ""SELECT Col1, Col2, Col4, Col5, Col6 OFFSET 1"", 0), CONCATENATE(""Google Import Error at min: "", TO_TEXT(A3))))"),"Kocvrr")</f>
        <v>Kocvrr</v>
      </c>
      <c r="H6" t="str">
        <f>IFERROR(__xludf.DUMMYFUNCTION("""COMPUTED_VALUE"""),"Vengeance Incarnate")</f>
        <v>Vengeance Incarnate</v>
      </c>
      <c r="I6" t="str">
        <f>IFERROR(__xludf.DUMMYFUNCTION("""COMPUTED_VALUE"""),"Burning Legion")</f>
        <v>Burning Legion</v>
      </c>
      <c r="J6">
        <f>IFERROR(__xludf.DUMMYFUNCTION("""COMPUTED_VALUE"""),412.94)</f>
        <v>412.94</v>
      </c>
      <c r="K6" t="str">
        <f>IFERROR(__xludf.DUMMYFUNCTION("""COMPUTED_VALUE"""),"3 days ago")</f>
        <v>3 days ago</v>
      </c>
      <c r="L6" s="95"/>
      <c r="M6" t="str">
        <f>IFERROR(__xludf.DUMMYFUNCTION("IFERROR(QUERY(IMPORTHTML(""https://www.wowprogress.com/gearscore/en/char_rating/prev/1/class.druid/lfg.1/raids_week./lang.en#char_rating"", ""table"", 1), ""SELECT Col1, Col2, Col4, Col5, Col6 OFFSET 1"", 0), IFERROR(QUERY(IMPORTHTML(""https://www.wowprog"&amp;"ress.com/gearscore/en/char_rating/next/-1/class.druid/lfg.1/raids_week./lang.en#char_rating"", ""table"", 1), ""SELECT Col1, Col2, Col4, Col5, Col6 OFFSET 1"", 0), CONCATENATE(""Google Import Error at min: "", TO_TEXT(A3))))"),"Mythraeth")</f>
        <v>Mythraeth</v>
      </c>
      <c r="N6" t="str">
        <f>IFERROR(__xludf.DUMMYFUNCTION("""COMPUTED_VALUE"""),"")</f>
        <v/>
      </c>
      <c r="O6" t="str">
        <f>IFERROR(__xludf.DUMMYFUNCTION("""COMPUTED_VALUE"""),"Tarren Mill")</f>
        <v>Tarren Mill</v>
      </c>
      <c r="P6">
        <f>IFERROR(__xludf.DUMMYFUNCTION("""COMPUTED_VALUE"""),413.31)</f>
        <v>413.31</v>
      </c>
      <c r="Q6" t="str">
        <f>IFERROR(__xludf.DUMMYFUNCTION("""COMPUTED_VALUE"""),"26 days ago")</f>
        <v>26 days ago</v>
      </c>
      <c r="R6" s="96"/>
      <c r="S6" t="str">
        <f>IFERROR(__xludf.DUMMYFUNCTION("IFERROR(QUERY(IMPORTHTML(""https://www.wowprogress.com/gearscore/en/char_rating/prev/1/class.hunter/lfg.1/raids_week./lang.en#char_rating"", ""table"", 1), ""SELECT Col1, Col2, Col4, Col5, Col6 OFFSET 1"", 0), IFERROR(QUERY(IMPORTHTML(""https://www.wowpro"&amp;"gress.com/gearscore/en/char_rating/next/-1/class.hunter/lfg.1/raids_week./lang.en#char_rating"", ""table"", 1), ""SELECT Col1, Col2, Col4, Col5, Col6 OFFSET 1"", 0), CONCATENATE(""Google Import Error at min: "", TO_TEXT(A3))))"),"Butterinho")</f>
        <v>Butterinho</v>
      </c>
      <c r="T6" t="str">
        <f>IFERROR(__xludf.DUMMYFUNCTION("""COMPUTED_VALUE"""),"Vengeance Incarnate")</f>
        <v>Vengeance Incarnate</v>
      </c>
      <c r="U6" t="str">
        <f>IFERROR(__xludf.DUMMYFUNCTION("""COMPUTED_VALUE"""),"Burning Legion")</f>
        <v>Burning Legion</v>
      </c>
      <c r="V6">
        <f>IFERROR(__xludf.DUMMYFUNCTION("""COMPUTED_VALUE"""),413.31)</f>
        <v>413.31</v>
      </c>
      <c r="W6" t="str">
        <f>IFERROR(__xludf.DUMMYFUNCTION("""COMPUTED_VALUE"""),"2 days ago")</f>
        <v>2 days ago</v>
      </c>
      <c r="X6" s="97"/>
      <c r="Y6" s="98" t="str">
        <f>IFERROR(__xludf.DUMMYFUNCTION("IFERROR(QUERY(IMPORTHTML(""https://www.wowprogress.com/gearscore/en/char_rating/prev/1/class.mage/lfg.1/raids_week./lang.en#char_rating"", ""table"", 1), ""SELECT Col1, Col2, Col4, Col5, Col6 OFFSET 1"", 0), IFERROR(QUERY(IMPORTHTML(""https://www.wowprogr"&amp;"ess.com/gearscore/en/char_rating/next/-1/class.mage/lfg.1/raids_week./lang.en#char_rating"", ""table"", 1), ""SELECT Col1, Col2, Col4, Col5, Col6 OFFSET 1"", 0), CONCATENATE(""Google Import Error at min: "", TO_TEXT(A3))))"),"Cual")</f>
        <v>Cual</v>
      </c>
      <c r="Z6" s="16" t="str">
        <f>IFERROR(__xludf.DUMMYFUNCTION("""COMPUTED_VALUE"""),"")</f>
        <v/>
      </c>
      <c r="AA6" s="16" t="str">
        <f>IFERROR(__xludf.DUMMYFUNCTION("""COMPUTED_VALUE"""),"Twisting Nether")</f>
        <v>Twisting Nether</v>
      </c>
      <c r="AB6" s="18">
        <f>IFERROR(__xludf.DUMMYFUNCTION("""COMPUTED_VALUE"""),414.63)</f>
        <v>414.63</v>
      </c>
      <c r="AC6" s="16" t="str">
        <f>IFERROR(__xludf.DUMMYFUNCTION("""COMPUTED_VALUE"""),"1 day ago")</f>
        <v>1 day ago</v>
      </c>
      <c r="AD6" s="99"/>
      <c r="AE6" s="22" t="str">
        <f>IFERROR(__xludf.DUMMYFUNCTION("IFERROR(QUERY(IMPORTHTML(""https://www.wowprogress.com/gearscore/en/char_rating/prev/1/class.monk/lfg.1/raids_week./lang.en#char_rating"", ""table"", 1), ""SELECT Col1, Col2, Col4, Col5, Col6 OFFSET 1"", 0), IFERROR(QUERY(IMPORTHTML(""https://www.wowprogr"&amp;"ess.com/gearscore/en/char_rating/next/-1/class.monk/lfg.1/raids_week./lang.en#char_rating"", ""table"", 1), ""SELECT Col1, Col2, Col4, Col5, Col6 OFFSET 1"", 0), CONCATENATE(""Google Import Error at min: "", TO_TEXT(A3))))"),"Munky")</f>
        <v>Munky</v>
      </c>
      <c r="AF6" s="16" t="str">
        <f>IFERROR(__xludf.DUMMYFUNCTION("""COMPUTED_VALUE"""),"Team Epic")</f>
        <v>Team Epic</v>
      </c>
      <c r="AG6" s="16" t="str">
        <f>IFERROR(__xludf.DUMMYFUNCTION("""COMPUTED_VALUE"""),"Steamwheedle Cartel")</f>
        <v>Steamwheedle Cartel</v>
      </c>
      <c r="AH6" s="16">
        <f>IFERROR(__xludf.DUMMYFUNCTION("""COMPUTED_VALUE"""),413.38)</f>
        <v>413.38</v>
      </c>
      <c r="AI6" s="16" t="str">
        <f>IFERROR(__xludf.DUMMYFUNCTION("""COMPUTED_VALUE"""),"2 days ago")</f>
        <v>2 days ago</v>
      </c>
      <c r="AJ6" s="100"/>
      <c r="AK6" s="16" t="str">
        <f>IFERROR(__xludf.DUMMYFUNCTION("IFERROR(QUERY(IMPORTHTML(""https://www.wowprogress.com/gearscore/en/char_rating/prev/1/class.paladin/lfg.1/raids_week./lang.en#char_rating"", ""table"", 1), ""SELECT Col1, Col2, Col4, Col5, Col6 OFFSET 1"", 0), IFERROR(QUERY(IMPORTHTML(""https://www.wowpr"&amp;"ogress.com/gearscore/en/char_rating/next/-1/class.paladin/lfg.1/raids_week./lang.en#char_rating"", ""table"", 1), ""SELECT Col1, Col2, Col4, Col5, Col6 OFFSET 1"", 0), CONCATENATE(""Google Import Error at min: "", TO_TEXT(A3))))"),"Ëroth")</f>
        <v>Ëroth</v>
      </c>
      <c r="AL6" s="16" t="str">
        <f>IFERROR(__xludf.DUMMYFUNCTION("""COMPUTED_VALUE"""),"Sylvanas Refugees")</f>
        <v>Sylvanas Refugees</v>
      </c>
      <c r="AM6" s="16" t="str">
        <f>IFERROR(__xludf.DUMMYFUNCTION("""COMPUTED_VALUE"""),"Ravencrest")</f>
        <v>Ravencrest</v>
      </c>
      <c r="AN6" s="18">
        <f>IFERROR(__xludf.DUMMYFUNCTION("""COMPUTED_VALUE"""),413.81)</f>
        <v>413.81</v>
      </c>
      <c r="AO6" s="16" t="str">
        <f>IFERROR(__xludf.DUMMYFUNCTION("""COMPUTED_VALUE"""),"12 days ago")</f>
        <v>12 days ago</v>
      </c>
      <c r="AP6" s="101"/>
      <c r="AQ6" s="16" t="str">
        <f>IFERROR(__xludf.DUMMYFUNCTION("IFERROR(QUERY(IMPORTHTML(""https://www.wowprogress.com/gearscore/en/char_rating/prev/1/class.priest/lfg.1/raids_week./lang.en#char_rating"", ""table"", 1), ""SELECT Col1, Col2, Col4, Col5, Col6 OFFSET 1"", 0), IFERROR(QUERY(IMPORTHTML(""https://www.wowpro"&amp;"gress.com/gearscore/en/char_rating/next/-1/class.priest/lfg.1/raids_week./lang.en#char_rating"", ""table"", 1), ""SELECT Col1, Col2, Col4, Col5, Col6 OFFSET 1"", 0), CONCATENATE(""Google Import Error at min: "", TO_TEXT(A3))))"),"Eyrion")</f>
        <v>Eyrion</v>
      </c>
      <c r="AR6" s="16" t="str">
        <f>IFERROR(__xludf.DUMMYFUNCTION("""COMPUTED_VALUE"""),"")</f>
        <v/>
      </c>
      <c r="AS6" s="16" t="str">
        <f>IFERROR(__xludf.DUMMYFUNCTION("""COMPUTED_VALUE"""),"Twisting Nether")</f>
        <v>Twisting Nether</v>
      </c>
      <c r="AT6" s="18">
        <f>IFERROR(__xludf.DUMMYFUNCTION("""COMPUTED_VALUE"""),413.75)</f>
        <v>413.75</v>
      </c>
      <c r="AU6" s="16" t="str">
        <f>IFERROR(__xludf.DUMMYFUNCTION("""COMPUTED_VALUE"""),"1 day ago")</f>
        <v>1 day ago</v>
      </c>
      <c r="AV6" s="102"/>
      <c r="AW6" s="25" t="str">
        <f>IFERROR(__xludf.DUMMYFUNCTION("IFERROR(QUERY(IMPORTHTML(""https://www.wowprogress.com/gearscore/en/char_rating/prev/1/class.rogue/lfg.1/raids_week./lang.en#char_rating"", ""table"", 1), ""SELECT Col1, Col2, Col4, Col5, Col6 OFFSET 1"", 0), IFERROR(QUERY(IMPORTHTML(""https://www.wowprog"&amp;"ress.com/gearscore/en/char_rating/next/-1/class.rogue/lfg.1/raids_week./lang.en#char_rating"", ""table"", 1), ""SELECT Col1, Col2, Col4, Col5, Col6 OFFSET 1"", 0), CONCATENATE(""Google Import Error at min: "", TO_TEXT(A3))))
"),"Dadjokes")</f>
        <v>Dadjokes</v>
      </c>
      <c r="AX6" s="16" t="str">
        <f>IFERROR(__xludf.DUMMYFUNCTION("""COMPUTED_VALUE"""),"Basement Dwellers")</f>
        <v>Basement Dwellers</v>
      </c>
      <c r="AY6" s="16" t="str">
        <f>IFERROR(__xludf.DUMMYFUNCTION("""COMPUTED_VALUE"""),"Kazzak")</f>
        <v>Kazzak</v>
      </c>
      <c r="AZ6" s="18">
        <f>IFERROR(__xludf.DUMMYFUNCTION("""COMPUTED_VALUE"""),414.19)</f>
        <v>414.19</v>
      </c>
      <c r="BA6" s="16" t="str">
        <f>IFERROR(__xludf.DUMMYFUNCTION("""COMPUTED_VALUE"""),"2 days ago")</f>
        <v>2 days ago</v>
      </c>
      <c r="BB6" s="103"/>
      <c r="BC6" s="25" t="str">
        <f>IFERROR(__xludf.DUMMYFUNCTION("IFERROR(QUERY(IMPORTHTML(""https://www.wowprogress.com/gearscore/en/char_rating/prev/1/class.shaman/lfg.1/raids_week./lang.en#char_rating"", ""table"", 1), ""SELECT Col1, Col2, Col4, Col5, Col6 OFFSET 1"", 0), IFERROR(QUERY(IMPORTHTML(""https://www.wowpro"&amp;"gress.com/gearscore/en/char_rating/next/-1/class.shaman/lfg.1/raids_week./lang.en#char_rating"", ""table"", 1), ""SELECT Col1, Col2, Col4, Col5, Col6 OFFSET 1"", 0), CONCATENATE(""Google Import Error at min: "", TO_TEXT(A3))))
"),"Bodygard")</f>
        <v>Bodygard</v>
      </c>
      <c r="BD6" s="16" t="str">
        <f>IFERROR(__xludf.DUMMYFUNCTION("""COMPUTED_VALUE"""),"Elevation")</f>
        <v>Elevation</v>
      </c>
      <c r="BE6" s="16" t="str">
        <f>IFERROR(__xludf.DUMMYFUNCTION("""COMPUTED_VALUE"""),"Ravencrest")</f>
        <v>Ravencrest</v>
      </c>
      <c r="BF6" s="18">
        <f>IFERROR(__xludf.DUMMYFUNCTION("""COMPUTED_VALUE"""),413.38)</f>
        <v>413.38</v>
      </c>
      <c r="BG6" s="16" t="str">
        <f>IFERROR(__xludf.DUMMYFUNCTION("""COMPUTED_VALUE"""),"2 days ago")</f>
        <v>2 days ago</v>
      </c>
      <c r="BH6" s="104"/>
      <c r="BI6" s="25" t="str">
        <f>IFERROR(__xludf.DUMMYFUNCTION("IFERROR(QUERY(IMPORTHTML(""https://www.wowprogress.com/gearscore/en/char_rating/prev/1/class.warlock/lfg.1/raids_week./lang.en#char_rating"", ""table"", 1), ""SELECT Col1, Col2, Col4, Col5, Col6 OFFSET 1"", 0), IFERROR(QUERY(IMPORTHTML(""https://www.wowpr"&amp;"ogress.com/gearscore/en/char_rating/next/-1/class.warlock/lfg.1/raids_week./lang.en#char_rating"", ""table"", 1), ""SELECT Col1, Col2, Col4, Col5, Col6 OFFSET 1"", 0), CONCATENATE(""Google Import Error at min: "", TO_TEXT(A3))))"),"Däng")</f>
        <v>Däng</v>
      </c>
      <c r="BJ6" s="16" t="str">
        <f>IFERROR(__xludf.DUMMYFUNCTION("""COMPUTED_VALUE"""),"High Five")</f>
        <v>High Five</v>
      </c>
      <c r="BK6" s="16" t="str">
        <f>IFERROR(__xludf.DUMMYFUNCTION("""COMPUTED_VALUE"""),"Draenor")</f>
        <v>Draenor</v>
      </c>
      <c r="BL6" s="18">
        <f>IFERROR(__xludf.DUMMYFUNCTION("""COMPUTED_VALUE"""),414.06)</f>
        <v>414.06</v>
      </c>
      <c r="BM6" s="16" t="str">
        <f>IFERROR(__xludf.DUMMYFUNCTION("""COMPUTED_VALUE"""),"12 days ago")</f>
        <v>12 days ago</v>
      </c>
      <c r="BN6" s="105"/>
      <c r="BO6" s="25" t="str">
        <f>IFERROR(__xludf.DUMMYFUNCTION("IFERROR(QUERY(IMPORTHTML(""https://www.wowprogress.com/gearscore/en/char_rating/prev/1/class.warrior/lfg.1/raids_week./lang.en#char_rating"", ""table"", 1), ""SELECT Col1, Col2, Col4, Col5, Col6 OFFSET 1"", 0), IFERROR(QUERY(IMPORTHTML(""https://www.wowpr"&amp;"ogress.com/gearscore/en/char_rating/next/-1/class.warrior/lfg.1/raids_week./lang.en#char_rating"", ""table"", 1), ""SELECT Col1, Col2, Col4, Col5, Col6 OFFSET 1"", 0), CONCATENATE(""Google Import Error at min: "", TO_TEXT(A3))))
"),"Ñìlsson")</f>
        <v>Ñìlsson</v>
      </c>
      <c r="BP6" s="16" t="str">
        <f>IFERROR(__xludf.DUMMYFUNCTION("""COMPUTED_VALUE"""),"Arctic Avengers")</f>
        <v>Arctic Avengers</v>
      </c>
      <c r="BQ6" s="16" t="str">
        <f>IFERROR(__xludf.DUMMYFUNCTION("""COMPUTED_VALUE"""),"Ravencrest")</f>
        <v>Ravencrest</v>
      </c>
      <c r="BR6" s="18">
        <f>IFERROR(__xludf.DUMMYFUNCTION("""COMPUTED_VALUE"""),415.69)</f>
        <v>415.69</v>
      </c>
      <c r="BS6" s="16" t="str">
        <f>IFERROR(__xludf.DUMMYFUNCTION("""COMPUTED_VALUE"""),"17 days ago")</f>
        <v>17 days ago</v>
      </c>
      <c r="BT6" s="106"/>
      <c r="BU6" s="107" t="str">
        <f t="shared" ref="BU6:BY6" si="1">A6</f>
        <v>Cnemod</v>
      </c>
      <c r="BV6" s="107" t="str">
        <f t="shared" si="1"/>
        <v>Tilting at Windmills</v>
      </c>
      <c r="BW6" s="107" t="str">
        <f t="shared" si="1"/>
        <v>Ravencrest</v>
      </c>
      <c r="BX6" s="107">
        <f t="shared" si="1"/>
        <v>416.81</v>
      </c>
      <c r="BY6" s="107" t="str">
        <f t="shared" si="1"/>
        <v>7 days ago</v>
      </c>
      <c r="BZ6" s="108"/>
    </row>
    <row r="7">
      <c r="A7" t="str">
        <f>IFERROR(__xludf.DUMMYFUNCTION("""COMPUTED_VALUE"""),"Anothor")</f>
        <v>Anothor</v>
      </c>
      <c r="B7" t="str">
        <f>IFERROR(__xludf.DUMMYFUNCTION("""COMPUTED_VALUE"""),"Team Epic")</f>
        <v>Team Epic</v>
      </c>
      <c r="C7" t="str">
        <f>IFERROR(__xludf.DUMMYFUNCTION("""COMPUTED_VALUE"""),"Moonglade")</f>
        <v>Moonglade</v>
      </c>
      <c r="D7">
        <f>IFERROR(__xludf.DUMMYFUNCTION("""COMPUTED_VALUE"""),414.31)</f>
        <v>414.31</v>
      </c>
      <c r="E7" t="str">
        <f>IFERROR(__xludf.DUMMYFUNCTION("""COMPUTED_VALUE"""),"15 hours ago")</f>
        <v>15 hours ago</v>
      </c>
      <c r="F7" s="94"/>
      <c r="G7" t="str">
        <f>IFERROR(__xludf.DUMMYFUNCTION("""COMPUTED_VALUE"""),"Nyoll")</f>
        <v>Nyoll</v>
      </c>
      <c r="H7" t="str">
        <f>IFERROR(__xludf.DUMMYFUNCTION("""COMPUTED_VALUE"""),"Innominatum")</f>
        <v>Innominatum</v>
      </c>
      <c r="I7" t="str">
        <f>IFERROR(__xludf.DUMMYFUNCTION("""COMPUTED_VALUE"""),"Twisting Nether")</f>
        <v>Twisting Nether</v>
      </c>
      <c r="J7">
        <f>IFERROR(__xludf.DUMMYFUNCTION("""COMPUTED_VALUE"""),412.88)</f>
        <v>412.88</v>
      </c>
      <c r="K7" t="str">
        <f>IFERROR(__xludf.DUMMYFUNCTION("""COMPUTED_VALUE"""),"13 days ago")</f>
        <v>13 days ago</v>
      </c>
      <c r="L7" s="95"/>
      <c r="M7" t="str">
        <f>IFERROR(__xludf.DUMMYFUNCTION("""COMPUTED_VALUE"""),"Eternalize")</f>
        <v>Eternalize</v>
      </c>
      <c r="N7" t="str">
        <f>IFERROR(__xludf.DUMMYFUNCTION("""COMPUTED_VALUE"""),"Safety Dance")</f>
        <v>Safety Dance</v>
      </c>
      <c r="O7" t="str">
        <f>IFERROR(__xludf.DUMMYFUNCTION("""COMPUTED_VALUE"""),"Burning Legion")</f>
        <v>Burning Legion</v>
      </c>
      <c r="P7">
        <f>IFERROR(__xludf.DUMMYFUNCTION("""COMPUTED_VALUE"""),411.75)</f>
        <v>411.75</v>
      </c>
      <c r="Q7" t="str">
        <f>IFERROR(__xludf.DUMMYFUNCTION("""COMPUTED_VALUE"""),"4 days ago")</f>
        <v>4 days ago</v>
      </c>
      <c r="R7" s="96"/>
      <c r="S7" t="str">
        <f>IFERROR(__xludf.DUMMYFUNCTION("""COMPUTED_VALUE"""),"Mazaw")</f>
        <v>Mazaw</v>
      </c>
      <c r="T7" t="str">
        <f>IFERROR(__xludf.DUMMYFUNCTION("""COMPUTED_VALUE"""),"The Knife")</f>
        <v>The Knife</v>
      </c>
      <c r="U7" t="str">
        <f>IFERROR(__xludf.DUMMYFUNCTION("""COMPUTED_VALUE"""),"Burning Legion")</f>
        <v>Burning Legion</v>
      </c>
      <c r="V7">
        <f>IFERROR(__xludf.DUMMYFUNCTION("""COMPUTED_VALUE"""),412.94)</f>
        <v>412.94</v>
      </c>
      <c r="W7" t="str">
        <f>IFERROR(__xludf.DUMMYFUNCTION("""COMPUTED_VALUE"""),"3 days ago")</f>
        <v>3 days ago</v>
      </c>
      <c r="X7" s="97"/>
      <c r="Y7" s="16" t="str">
        <f>IFERROR(__xludf.DUMMYFUNCTION("""COMPUTED_VALUE"""),"Strowman")</f>
        <v>Strowman</v>
      </c>
      <c r="Z7" s="16" t="str">
        <f>IFERROR(__xludf.DUMMYFUNCTION("""COMPUTED_VALUE"""),"Just Kill the Boss")</f>
        <v>Just Kill the Boss</v>
      </c>
      <c r="AA7" s="16" t="str">
        <f>IFERROR(__xludf.DUMMYFUNCTION("""COMPUTED_VALUE"""),"Kazzak")</f>
        <v>Kazzak</v>
      </c>
      <c r="AB7" s="18">
        <f>IFERROR(__xludf.DUMMYFUNCTION("""COMPUTED_VALUE"""),414.19)</f>
        <v>414.19</v>
      </c>
      <c r="AC7" s="16" t="str">
        <f>IFERROR(__xludf.DUMMYFUNCTION("""COMPUTED_VALUE"""),"1 day ago")</f>
        <v>1 day ago</v>
      </c>
      <c r="AD7" s="99"/>
      <c r="AE7" s="16" t="str">
        <f>IFERROR(__xludf.DUMMYFUNCTION("""COMPUTED_VALUE"""),"Carl")</f>
        <v>Carl</v>
      </c>
      <c r="AF7" s="16" t="str">
        <f>IFERROR(__xludf.DUMMYFUNCTION("""COMPUTED_VALUE"""),"Team Epic")</f>
        <v>Team Epic</v>
      </c>
      <c r="AG7" s="16" t="str">
        <f>IFERROR(__xludf.DUMMYFUNCTION("""COMPUTED_VALUE"""),"Steamwheedle Cartel")</f>
        <v>Steamwheedle Cartel</v>
      </c>
      <c r="AH7" s="16">
        <f>IFERROR(__xludf.DUMMYFUNCTION("""COMPUTED_VALUE"""),412.5)</f>
        <v>412.5</v>
      </c>
      <c r="AI7" s="16" t="str">
        <f>IFERROR(__xludf.DUMMYFUNCTION("""COMPUTED_VALUE"""),"1 day ago")</f>
        <v>1 day ago</v>
      </c>
      <c r="AJ7" s="100"/>
      <c r="AK7" s="16" t="str">
        <f>IFERROR(__xludf.DUMMYFUNCTION("""COMPUTED_VALUE"""),"Truehearted")</f>
        <v>Truehearted</v>
      </c>
      <c r="AL7" s="16" t="str">
        <f>IFERROR(__xludf.DUMMYFUNCTION("""COMPUTED_VALUE"""),"Safety Dance")</f>
        <v>Safety Dance</v>
      </c>
      <c r="AM7" s="16" t="str">
        <f>IFERROR(__xludf.DUMMYFUNCTION("""COMPUTED_VALUE"""),"Argent Dawn")</f>
        <v>Argent Dawn</v>
      </c>
      <c r="AN7" s="18">
        <f>IFERROR(__xludf.DUMMYFUNCTION("""COMPUTED_VALUE"""),412.81)</f>
        <v>412.81</v>
      </c>
      <c r="AO7" s="16" t="str">
        <f>IFERROR(__xludf.DUMMYFUNCTION("""COMPUTED_VALUE"""),"7 days ago")</f>
        <v>7 days ago</v>
      </c>
      <c r="AP7" s="101"/>
      <c r="AQ7" s="16" t="str">
        <f>IFERROR(__xludf.DUMMYFUNCTION("""COMPUTED_VALUE"""),"Silmämies")</f>
        <v>Silmämies</v>
      </c>
      <c r="AR7" s="16" t="str">
        <f>IFERROR(__xludf.DUMMYFUNCTION("""COMPUTED_VALUE"""),"KHG")</f>
        <v>KHG</v>
      </c>
      <c r="AS7" s="16" t="str">
        <f>IFERROR(__xludf.DUMMYFUNCTION("""COMPUTED_VALUE"""),"Stormreaver")</f>
        <v>Stormreaver</v>
      </c>
      <c r="AT7" s="18">
        <f>IFERROR(__xludf.DUMMYFUNCTION("""COMPUTED_VALUE"""),410.69)</f>
        <v>410.69</v>
      </c>
      <c r="AU7" s="16" t="str">
        <f>IFERROR(__xludf.DUMMYFUNCTION("""COMPUTED_VALUE"""),"2 days ago")</f>
        <v>2 days ago</v>
      </c>
      <c r="AV7" s="102"/>
      <c r="AW7" s="25" t="str">
        <f>IFERROR(__xludf.DUMMYFUNCTION("""COMPUTED_VALUE"""),"Rise")</f>
        <v>Rise</v>
      </c>
      <c r="AX7" s="16" t="str">
        <f>IFERROR(__xludf.DUMMYFUNCTION("""COMPUTED_VALUE"""),"Time")</f>
        <v>Time</v>
      </c>
      <c r="AY7" s="16" t="str">
        <f>IFERROR(__xludf.DUMMYFUNCTION("""COMPUTED_VALUE"""),"Tarren Mill")</f>
        <v>Tarren Mill</v>
      </c>
      <c r="AZ7" s="18">
        <f>IFERROR(__xludf.DUMMYFUNCTION("""COMPUTED_VALUE"""),413.63)</f>
        <v>413.63</v>
      </c>
      <c r="BA7" s="16" t="str">
        <f>IFERROR(__xludf.DUMMYFUNCTION("""COMPUTED_VALUE"""),"21 day ago")</f>
        <v>21 day ago</v>
      </c>
      <c r="BB7" s="103"/>
      <c r="BC7" s="25" t="str">
        <f>IFERROR(__xludf.DUMMYFUNCTION("""COMPUTED_VALUE"""),"Craineysha")</f>
        <v>Craineysha</v>
      </c>
      <c r="BD7" s="16" t="str">
        <f>IFERROR(__xludf.DUMMYFUNCTION("""COMPUTED_VALUE"""),"The Phantom Troupe")</f>
        <v>The Phantom Troupe</v>
      </c>
      <c r="BE7" s="16" t="str">
        <f>IFERROR(__xludf.DUMMYFUNCTION("""COMPUTED_VALUE"""),"Draenor")</f>
        <v>Draenor</v>
      </c>
      <c r="BF7" s="18">
        <f>IFERROR(__xludf.DUMMYFUNCTION("""COMPUTED_VALUE"""),412.19)</f>
        <v>412.19</v>
      </c>
      <c r="BG7" s="16" t="str">
        <f>IFERROR(__xludf.DUMMYFUNCTION("""COMPUTED_VALUE"""),"5 days ago")</f>
        <v>5 days ago</v>
      </c>
      <c r="BH7" s="104"/>
      <c r="BI7" s="25" t="str">
        <f>IFERROR(__xludf.DUMMYFUNCTION("""COMPUTED_VALUE"""),"Najty")</f>
        <v>Najty</v>
      </c>
      <c r="BJ7" s="16" t="str">
        <f>IFERROR(__xludf.DUMMYFUNCTION("""COMPUTED_VALUE"""),"Lagom")</f>
        <v>Lagom</v>
      </c>
      <c r="BK7" s="16" t="str">
        <f>IFERROR(__xludf.DUMMYFUNCTION("""COMPUTED_VALUE"""),"Kazzak")</f>
        <v>Kazzak</v>
      </c>
      <c r="BL7" s="18">
        <f>IFERROR(__xludf.DUMMYFUNCTION("""COMPUTED_VALUE"""),412.06)</f>
        <v>412.06</v>
      </c>
      <c r="BM7" s="16" t="str">
        <f>IFERROR(__xludf.DUMMYFUNCTION("""COMPUTED_VALUE"""),"9 days ago")</f>
        <v>9 days ago</v>
      </c>
      <c r="BN7" s="105"/>
      <c r="BO7" s="25" t="str">
        <f>IFERROR(__xludf.DUMMYFUNCTION("""COMPUTED_VALUE"""),"Ghoras")</f>
        <v>Ghoras</v>
      </c>
      <c r="BP7" s="16" t="str">
        <f>IFERROR(__xludf.DUMMYFUNCTION("""COMPUTED_VALUE"""),"The Danish Bacon C..")</f>
        <v>The Danish Bacon C..</v>
      </c>
      <c r="BQ7" s="16" t="str">
        <f>IFERROR(__xludf.DUMMYFUNCTION("""COMPUTED_VALUE"""),"Ravencrest")</f>
        <v>Ravencrest</v>
      </c>
      <c r="BR7" s="18">
        <f>IFERROR(__xludf.DUMMYFUNCTION("""COMPUTED_VALUE"""),412.19)</f>
        <v>412.19</v>
      </c>
      <c r="BS7" s="16" t="str">
        <f>IFERROR(__xludf.DUMMYFUNCTION("""COMPUTED_VALUE"""),"6 days ago")</f>
        <v>6 days ago</v>
      </c>
      <c r="BT7" s="106"/>
      <c r="BU7" s="107" t="str">
        <f t="shared" ref="BU7:BY7" si="2">A7</f>
        <v>Anothor</v>
      </c>
      <c r="BV7" s="107" t="str">
        <f t="shared" si="2"/>
        <v>Team Epic</v>
      </c>
      <c r="BW7" s="107" t="str">
        <f t="shared" si="2"/>
        <v>Moonglade</v>
      </c>
      <c r="BX7" s="107">
        <f t="shared" si="2"/>
        <v>414.31</v>
      </c>
      <c r="BY7" s="107" t="str">
        <f t="shared" si="2"/>
        <v>15 hours ago</v>
      </c>
      <c r="BZ7" s="108"/>
    </row>
    <row r="8">
      <c r="A8" t="str">
        <f>IFERROR(__xludf.DUMMYFUNCTION("""COMPUTED_VALUE"""),"Alieneks")</f>
        <v>Alieneks</v>
      </c>
      <c r="B8" t="str">
        <f>IFERROR(__xludf.DUMMYFUNCTION("""COMPUTED_VALUE"""),"SSC CREW")</f>
        <v>SSC CREW</v>
      </c>
      <c r="C8" t="str">
        <f>IFERROR(__xludf.DUMMYFUNCTION("""COMPUTED_VALUE"""),"Kazzak")</f>
        <v>Kazzak</v>
      </c>
      <c r="D8">
        <f>IFERROR(__xludf.DUMMYFUNCTION("""COMPUTED_VALUE"""),412.88)</f>
        <v>412.88</v>
      </c>
      <c r="E8" t="str">
        <f>IFERROR(__xludf.DUMMYFUNCTION("""COMPUTED_VALUE"""),"12 days ago")</f>
        <v>12 days ago</v>
      </c>
      <c r="F8" s="94"/>
      <c r="G8" t="str">
        <f>IFERROR(__xludf.DUMMYFUNCTION("""COMPUTED_VALUE"""),"Femalelol")</f>
        <v>Femalelol</v>
      </c>
      <c r="H8" t="str">
        <f>IFERROR(__xludf.DUMMYFUNCTION("""COMPUTED_VALUE"""),"Solacium")</f>
        <v>Solacium</v>
      </c>
      <c r="I8" t="str">
        <f>IFERROR(__xludf.DUMMYFUNCTION("""COMPUTED_VALUE"""),"Kazzak")</f>
        <v>Kazzak</v>
      </c>
      <c r="J8">
        <f>IFERROR(__xludf.DUMMYFUNCTION("""COMPUTED_VALUE"""),412.75)</f>
        <v>412.75</v>
      </c>
      <c r="K8" t="str">
        <f>IFERROR(__xludf.DUMMYFUNCTION("""COMPUTED_VALUE"""),"17 days ago")</f>
        <v>17 days ago</v>
      </c>
      <c r="L8" s="95"/>
      <c r="M8" t="str">
        <f>IFERROR(__xludf.DUMMYFUNCTION("""COMPUTED_VALUE"""),"Boomkin")</f>
        <v>Boomkin</v>
      </c>
      <c r="N8" t="str">
        <f>IFERROR(__xludf.DUMMYFUNCTION("""COMPUTED_VALUE"""),"Team Epic")</f>
        <v>Team Epic</v>
      </c>
      <c r="O8" t="str">
        <f>IFERROR(__xludf.DUMMYFUNCTION("""COMPUTED_VALUE"""),"Steamwheedle Cartel")</f>
        <v>Steamwheedle Cartel</v>
      </c>
      <c r="P8">
        <f>IFERROR(__xludf.DUMMYFUNCTION("""COMPUTED_VALUE"""),411.5)</f>
        <v>411.5</v>
      </c>
      <c r="Q8" t="str">
        <f>IFERROR(__xludf.DUMMYFUNCTION("""COMPUTED_VALUE"""),"16 hours ago")</f>
        <v>16 hours ago</v>
      </c>
      <c r="R8" s="96"/>
      <c r="S8" t="str">
        <f>IFERROR(__xludf.DUMMYFUNCTION("""COMPUTED_VALUE"""),"Kite")</f>
        <v>Kite</v>
      </c>
      <c r="T8" t="str">
        <f>IFERROR(__xludf.DUMMYFUNCTION("""COMPUTED_VALUE"""),"Innominatum")</f>
        <v>Innominatum</v>
      </c>
      <c r="U8" t="str">
        <f>IFERROR(__xludf.DUMMYFUNCTION("""COMPUTED_VALUE"""),"Twisting Nether")</f>
        <v>Twisting Nether</v>
      </c>
      <c r="V8">
        <f>IFERROR(__xludf.DUMMYFUNCTION("""COMPUTED_VALUE"""),411.19)</f>
        <v>411.19</v>
      </c>
      <c r="W8" t="str">
        <f>IFERROR(__xludf.DUMMYFUNCTION("""COMPUTED_VALUE"""),"14 days ago")</f>
        <v>14 days ago</v>
      </c>
      <c r="X8" s="97"/>
      <c r="Y8" s="16" t="str">
        <f>IFERROR(__xludf.DUMMYFUNCTION("""COMPUTED_VALUE"""),"Dragdoma")</f>
        <v>Dragdoma</v>
      </c>
      <c r="Z8" s="16" t="str">
        <f>IFERROR(__xludf.DUMMYFUNCTION("""COMPUTED_VALUE"""),"")</f>
        <v/>
      </c>
      <c r="AA8" s="16" t="str">
        <f>IFERROR(__xludf.DUMMYFUNCTION("""COMPUTED_VALUE"""),"Terokkar")</f>
        <v>Terokkar</v>
      </c>
      <c r="AB8" s="18">
        <f>IFERROR(__xludf.DUMMYFUNCTION("""COMPUTED_VALUE"""),414.06)</f>
        <v>414.06</v>
      </c>
      <c r="AC8" s="16" t="str">
        <f>IFERROR(__xludf.DUMMYFUNCTION("""COMPUTED_VALUE"""),"1 day ago")</f>
        <v>1 day ago</v>
      </c>
      <c r="AD8" s="99"/>
      <c r="AE8" s="16" t="str">
        <f>IFERROR(__xludf.DUMMYFUNCTION("""COMPUTED_VALUE"""),"Tobakm")</f>
        <v>Tobakm</v>
      </c>
      <c r="AF8" s="16" t="str">
        <f>IFERROR(__xludf.DUMMYFUNCTION("""COMPUTED_VALUE"""),"")</f>
        <v/>
      </c>
      <c r="AG8" s="16" t="str">
        <f>IFERROR(__xludf.DUMMYFUNCTION("""COMPUTED_VALUE"""),"Defias Brotherhood")</f>
        <v>Defias Brotherhood</v>
      </c>
      <c r="AH8" s="16">
        <f>IFERROR(__xludf.DUMMYFUNCTION("""COMPUTED_VALUE"""),412.31)</f>
        <v>412.31</v>
      </c>
      <c r="AI8" s="16" t="str">
        <f>IFERROR(__xludf.DUMMYFUNCTION("""COMPUTED_VALUE"""),"23 hours ago")</f>
        <v>23 hours ago</v>
      </c>
      <c r="AJ8" s="100"/>
      <c r="AK8" s="16" t="str">
        <f>IFERROR(__xludf.DUMMYFUNCTION("""COMPUTED_VALUE"""),"Fibbo")</f>
        <v>Fibbo</v>
      </c>
      <c r="AL8" s="16" t="str">
        <f>IFERROR(__xludf.DUMMYFUNCTION("""COMPUTED_VALUE"""),"Fysikbasserne")</f>
        <v>Fysikbasserne</v>
      </c>
      <c r="AM8" s="16" t="str">
        <f>IFERROR(__xludf.DUMMYFUNCTION("""COMPUTED_VALUE"""),"Outland")</f>
        <v>Outland</v>
      </c>
      <c r="AN8" s="18">
        <f>IFERROR(__xludf.DUMMYFUNCTION("""COMPUTED_VALUE"""),412.5)</f>
        <v>412.5</v>
      </c>
      <c r="AO8" s="16" t="str">
        <f>IFERROR(__xludf.DUMMYFUNCTION("""COMPUTED_VALUE"""),"16 days ago")</f>
        <v>16 days ago</v>
      </c>
      <c r="AP8" s="101"/>
      <c r="AQ8" s="16" t="str">
        <f>IFERROR(__xludf.DUMMYFUNCTION("""COMPUTED_VALUE"""),"Consanguine")</f>
        <v>Consanguine</v>
      </c>
      <c r="AR8" s="16" t="str">
        <f>IFERROR(__xludf.DUMMYFUNCTION("""COMPUTED_VALUE"""),"Fysikbasserne")</f>
        <v>Fysikbasserne</v>
      </c>
      <c r="AS8" s="16" t="str">
        <f>IFERROR(__xludf.DUMMYFUNCTION("""COMPUTED_VALUE"""),"Outland")</f>
        <v>Outland</v>
      </c>
      <c r="AT8" s="18">
        <f>IFERROR(__xludf.DUMMYFUNCTION("""COMPUTED_VALUE"""),410.69)</f>
        <v>410.69</v>
      </c>
      <c r="AU8" s="16" t="str">
        <f>IFERROR(__xludf.DUMMYFUNCTION("""COMPUTED_VALUE"""),"9 days ago")</f>
        <v>9 days ago</v>
      </c>
      <c r="AV8" s="102"/>
      <c r="AW8" s="25" t="str">
        <f>IFERROR(__xludf.DUMMYFUNCTION("""COMPUTED_VALUE"""),"Vvin")</f>
        <v>Vvin</v>
      </c>
      <c r="AX8" s="16" t="str">
        <f>IFERROR(__xludf.DUMMYFUNCTION("""COMPUTED_VALUE"""),"Alternative")</f>
        <v>Alternative</v>
      </c>
      <c r="AY8" s="16" t="str">
        <f>IFERROR(__xludf.DUMMYFUNCTION("""COMPUTED_VALUE"""),"Kazzak")</f>
        <v>Kazzak</v>
      </c>
      <c r="AZ8" s="18">
        <f>IFERROR(__xludf.DUMMYFUNCTION("""COMPUTED_VALUE"""),412.38)</f>
        <v>412.38</v>
      </c>
      <c r="BA8" s="16" t="str">
        <f>IFERROR(__xludf.DUMMYFUNCTION("""COMPUTED_VALUE"""),"20 days ago")</f>
        <v>20 days ago</v>
      </c>
      <c r="BB8" s="103"/>
      <c r="BC8" s="25" t="str">
        <f>IFERROR(__xludf.DUMMYFUNCTION("""COMPUTED_VALUE"""),"Qoxxy")</f>
        <v>Qoxxy</v>
      </c>
      <c r="BD8" s="16" t="str">
        <f>IFERROR(__xludf.DUMMYFUNCTION("""COMPUTED_VALUE"""),"")</f>
        <v/>
      </c>
      <c r="BE8" s="16" t="str">
        <f>IFERROR(__xludf.DUMMYFUNCTION("""COMPUTED_VALUE"""),"Draenor")</f>
        <v>Draenor</v>
      </c>
      <c r="BF8" s="18">
        <f>IFERROR(__xludf.DUMMYFUNCTION("""COMPUTED_VALUE"""),411.5)</f>
        <v>411.5</v>
      </c>
      <c r="BG8" s="16" t="str">
        <f>IFERROR(__xludf.DUMMYFUNCTION("""COMPUTED_VALUE"""),"7 days ago")</f>
        <v>7 days ago</v>
      </c>
      <c r="BH8" s="104"/>
      <c r="BI8" s="25" t="str">
        <f>IFERROR(__xludf.DUMMYFUNCTION("""COMPUTED_VALUE"""),"Sejay")</f>
        <v>Sejay</v>
      </c>
      <c r="BJ8" s="16" t="str">
        <f>IFERROR(__xludf.DUMMYFUNCTION("""COMPUTED_VALUE"""),"Coach")</f>
        <v>Coach</v>
      </c>
      <c r="BK8" s="16" t="str">
        <f>IFERROR(__xludf.DUMMYFUNCTION("""COMPUTED_VALUE"""),"Kazzak")</f>
        <v>Kazzak</v>
      </c>
      <c r="BL8" s="18">
        <f>IFERROR(__xludf.DUMMYFUNCTION("""COMPUTED_VALUE"""),411.69)</f>
        <v>411.69</v>
      </c>
      <c r="BM8" s="16" t="str">
        <f>IFERROR(__xludf.DUMMYFUNCTION("""COMPUTED_VALUE"""),"1 day ago")</f>
        <v>1 day ago</v>
      </c>
      <c r="BN8" s="105"/>
      <c r="BO8" s="25" t="str">
        <f>IFERROR(__xludf.DUMMYFUNCTION("""COMPUTED_VALUE"""),"Zurol")</f>
        <v>Zurol</v>
      </c>
      <c r="BP8" s="16" t="str">
        <f>IFERROR(__xludf.DUMMYFUNCTION("""COMPUTED_VALUE"""),"")</f>
        <v/>
      </c>
      <c r="BQ8" s="16" t="str">
        <f>IFERROR(__xludf.DUMMYFUNCTION("""COMPUTED_VALUE"""),"Draenor")</f>
        <v>Draenor</v>
      </c>
      <c r="BR8" s="18">
        <f>IFERROR(__xludf.DUMMYFUNCTION("""COMPUTED_VALUE"""),412.0)</f>
        <v>412</v>
      </c>
      <c r="BS8" s="16" t="str">
        <f>IFERROR(__xludf.DUMMYFUNCTION("""COMPUTED_VALUE"""),"5 days ago")</f>
        <v>5 days ago</v>
      </c>
      <c r="BT8" s="106"/>
      <c r="BU8" s="107" t="str">
        <f t="shared" ref="BU8:BY8" si="3">A8</f>
        <v>Alieneks</v>
      </c>
      <c r="BV8" s="107" t="str">
        <f t="shared" si="3"/>
        <v>SSC CREW</v>
      </c>
      <c r="BW8" s="107" t="str">
        <f t="shared" si="3"/>
        <v>Kazzak</v>
      </c>
      <c r="BX8" s="107">
        <f t="shared" si="3"/>
        <v>412.88</v>
      </c>
      <c r="BY8" s="107" t="str">
        <f t="shared" si="3"/>
        <v>12 days ago</v>
      </c>
      <c r="BZ8" s="108"/>
    </row>
    <row r="9">
      <c r="A9" t="str">
        <f>IFERROR(__xludf.DUMMYFUNCTION("""COMPUTED_VALUE"""),"Aivenarion")</f>
        <v>Aivenarion</v>
      </c>
      <c r="B9" t="str">
        <f>IFERROR(__xludf.DUMMYFUNCTION("""COMPUTED_VALUE"""),"Fresh")</f>
        <v>Fresh</v>
      </c>
      <c r="C9" t="str">
        <f>IFERROR(__xludf.DUMMYFUNCTION("""COMPUTED_VALUE"""),"Draenor")</f>
        <v>Draenor</v>
      </c>
      <c r="D9">
        <f>IFERROR(__xludf.DUMMYFUNCTION("""COMPUTED_VALUE"""),412.63)</f>
        <v>412.63</v>
      </c>
      <c r="E9" t="str">
        <f>IFERROR(__xludf.DUMMYFUNCTION("""COMPUTED_VALUE"""),"6 days ago")</f>
        <v>6 days ago</v>
      </c>
      <c r="F9" s="94"/>
      <c r="G9" t="str">
        <f>IFERROR(__xludf.DUMMYFUNCTION("""COMPUTED_VALUE"""),"Lacia")</f>
        <v>Lacia</v>
      </c>
      <c r="H9" t="str">
        <f>IFERROR(__xludf.DUMMYFUNCTION("""COMPUTED_VALUE"""),"")</f>
        <v/>
      </c>
      <c r="I9" t="str">
        <f>IFERROR(__xludf.DUMMYFUNCTION("""COMPUTED_VALUE"""),"Terokkar")</f>
        <v>Terokkar</v>
      </c>
      <c r="J9">
        <f>IFERROR(__xludf.DUMMYFUNCTION("""COMPUTED_VALUE"""),412.75)</f>
        <v>412.75</v>
      </c>
      <c r="K9" t="str">
        <f>IFERROR(__xludf.DUMMYFUNCTION("""COMPUTED_VALUE"""),"5 days ago")</f>
        <v>5 days ago</v>
      </c>
      <c r="L9" s="95"/>
      <c r="M9" t="str">
        <f>IFERROR(__xludf.DUMMYFUNCTION("""COMPUTED_VALUE"""),"Jellyxd")</f>
        <v>Jellyxd</v>
      </c>
      <c r="N9" t="str">
        <f>IFERROR(__xludf.DUMMYFUNCTION("""COMPUTED_VALUE"""),"Acoustic")</f>
        <v>Acoustic</v>
      </c>
      <c r="O9" t="str">
        <f>IFERROR(__xludf.DUMMYFUNCTION("""COMPUTED_VALUE"""),"Twisting Nether")</f>
        <v>Twisting Nether</v>
      </c>
      <c r="P9">
        <f>IFERROR(__xludf.DUMMYFUNCTION("""COMPUTED_VALUE"""),411.25)</f>
        <v>411.25</v>
      </c>
      <c r="Q9" t="str">
        <f>IFERROR(__xludf.DUMMYFUNCTION("""COMPUTED_VALUE"""),"2 hours ago")</f>
        <v>2 hours ago</v>
      </c>
      <c r="R9" s="96"/>
      <c r="S9" t="str">
        <f>IFERROR(__xludf.DUMMYFUNCTION("""COMPUTED_VALUE"""),"Dingxi")</f>
        <v>Dingxi</v>
      </c>
      <c r="T9" t="str">
        <f>IFERROR(__xludf.DUMMYFUNCTION("""COMPUTED_VALUE"""),"")</f>
        <v/>
      </c>
      <c r="U9" t="str">
        <f>IFERROR(__xludf.DUMMYFUNCTION("""COMPUTED_VALUE"""),"Ravencrest")</f>
        <v>Ravencrest</v>
      </c>
      <c r="V9">
        <f>IFERROR(__xludf.DUMMYFUNCTION("""COMPUTED_VALUE"""),411.13)</f>
        <v>411.13</v>
      </c>
      <c r="W9" t="str">
        <f>IFERROR(__xludf.DUMMYFUNCTION("""COMPUTED_VALUE"""),"1 day ago")</f>
        <v>1 day ago</v>
      </c>
      <c r="X9" s="97"/>
      <c r="Y9" s="16" t="str">
        <f>IFERROR(__xludf.DUMMYFUNCTION("""COMPUTED_VALUE"""),"Marchqt")</f>
        <v>Marchqt</v>
      </c>
      <c r="Z9" s="16" t="str">
        <f>IFERROR(__xludf.DUMMYFUNCTION("""COMPUTED_VALUE"""),"The Harvest")</f>
        <v>The Harvest</v>
      </c>
      <c r="AA9" s="16" t="str">
        <f>IFERROR(__xludf.DUMMYFUNCTION("""COMPUTED_VALUE"""),"Twisting Nether")</f>
        <v>Twisting Nether</v>
      </c>
      <c r="AB9" s="18">
        <f>IFERROR(__xludf.DUMMYFUNCTION("""COMPUTED_VALUE"""),413.69)</f>
        <v>413.69</v>
      </c>
      <c r="AC9" s="16" t="str">
        <f>IFERROR(__xludf.DUMMYFUNCTION("""COMPUTED_VALUE"""),"3 days ago")</f>
        <v>3 days ago</v>
      </c>
      <c r="AD9" s="99"/>
      <c r="AE9" s="16" t="str">
        <f>IFERROR(__xludf.DUMMYFUNCTION("""COMPUTED_VALUE"""),"Teoll")</f>
        <v>Teoll</v>
      </c>
      <c r="AF9" s="16" t="str">
        <f>IFERROR(__xludf.DUMMYFUNCTION("""COMPUTED_VALUE"""),"")</f>
        <v/>
      </c>
      <c r="AG9" s="16" t="str">
        <f>IFERROR(__xludf.DUMMYFUNCTION("""COMPUTED_VALUE"""),"Twisting Nether")</f>
        <v>Twisting Nether</v>
      </c>
      <c r="AH9" s="16">
        <f>IFERROR(__xludf.DUMMYFUNCTION("""COMPUTED_VALUE"""),412.06)</f>
        <v>412.06</v>
      </c>
      <c r="AI9" s="16" t="str">
        <f>IFERROR(__xludf.DUMMYFUNCTION("""COMPUTED_VALUE"""),"9 days ago")</f>
        <v>9 days ago</v>
      </c>
      <c r="AJ9" s="100"/>
      <c r="AK9" s="16" t="str">
        <f>IFERROR(__xludf.DUMMYFUNCTION("""COMPUTED_VALUE"""),"Läcyn")</f>
        <v>Läcyn</v>
      </c>
      <c r="AL9" s="16" t="str">
        <f>IFERROR(__xludf.DUMMYFUNCTION("""COMPUTED_VALUE"""),"Perfection")</f>
        <v>Perfection</v>
      </c>
      <c r="AM9" s="16" t="str">
        <f>IFERROR(__xludf.DUMMYFUNCTION("""COMPUTED_VALUE"""),"Tarren Mill")</f>
        <v>Tarren Mill</v>
      </c>
      <c r="AN9" s="18">
        <f>IFERROR(__xludf.DUMMYFUNCTION("""COMPUTED_VALUE"""),411.63)</f>
        <v>411.63</v>
      </c>
      <c r="AO9" s="16" t="str">
        <f>IFERROR(__xludf.DUMMYFUNCTION("""COMPUTED_VALUE"""),"17 days ago")</f>
        <v>17 days ago</v>
      </c>
      <c r="AP9" s="101"/>
      <c r="AQ9" s="16" t="str">
        <f>IFERROR(__xludf.DUMMYFUNCTION("""COMPUTED_VALUE"""),"Zupsy")</f>
        <v>Zupsy</v>
      </c>
      <c r="AR9" s="16" t="str">
        <f>IFERROR(__xludf.DUMMYFUNCTION("""COMPUTED_VALUE"""),"Method Plus")</f>
        <v>Method Plus</v>
      </c>
      <c r="AS9" s="16" t="str">
        <f>IFERROR(__xludf.DUMMYFUNCTION("""COMPUTED_VALUE"""),"Ragnaros")</f>
        <v>Ragnaros</v>
      </c>
      <c r="AT9" s="18">
        <f>IFERROR(__xludf.DUMMYFUNCTION("""COMPUTED_VALUE"""),410.31)</f>
        <v>410.31</v>
      </c>
      <c r="AU9" s="16" t="str">
        <f>IFERROR(__xludf.DUMMYFUNCTION("""COMPUTED_VALUE"""),"11 days ago")</f>
        <v>11 days ago</v>
      </c>
      <c r="AV9" s="102"/>
      <c r="AW9" s="25" t="str">
        <f>IFERROR(__xludf.DUMMYFUNCTION("""COMPUTED_VALUE"""),"Nozaw")</f>
        <v>Nozaw</v>
      </c>
      <c r="AX9" s="16" t="str">
        <f>IFERROR(__xludf.DUMMYFUNCTION("""COMPUTED_VALUE"""),"Plaga")</f>
        <v>Plaga</v>
      </c>
      <c r="AY9" s="16" t="str">
        <f>IFERROR(__xludf.DUMMYFUNCTION("""COMPUTED_VALUE"""),"Burning Legion")</f>
        <v>Burning Legion</v>
      </c>
      <c r="AZ9" s="18">
        <f>IFERROR(__xludf.DUMMYFUNCTION("""COMPUTED_VALUE"""),411.69)</f>
        <v>411.69</v>
      </c>
      <c r="BA9" s="16" t="str">
        <f>IFERROR(__xludf.DUMMYFUNCTION("""COMPUTED_VALUE"""),"28 days ago")</f>
        <v>28 days ago</v>
      </c>
      <c r="BB9" s="103"/>
      <c r="BC9" s="25" t="str">
        <f>IFERROR(__xludf.DUMMYFUNCTION("""COMPUTED_VALUE"""),"Droeloè")</f>
        <v>Droeloè</v>
      </c>
      <c r="BD9" s="16" t="str">
        <f>IFERROR(__xludf.DUMMYFUNCTION("""COMPUTED_VALUE"""),"")</f>
        <v/>
      </c>
      <c r="BE9" s="16" t="str">
        <f>IFERROR(__xludf.DUMMYFUNCTION("""COMPUTED_VALUE"""),"Draenor")</f>
        <v>Draenor</v>
      </c>
      <c r="BF9" s="18">
        <f>IFERROR(__xludf.DUMMYFUNCTION("""COMPUTED_VALUE"""),411.5)</f>
        <v>411.5</v>
      </c>
      <c r="BG9" s="16" t="str">
        <f>IFERROR(__xludf.DUMMYFUNCTION("""COMPUTED_VALUE"""),"2 days ago")</f>
        <v>2 days ago</v>
      </c>
      <c r="BH9" s="104"/>
      <c r="BI9" s="25" t="str">
        <f>IFERROR(__xludf.DUMMYFUNCTION("""COMPUTED_VALUE"""),"Wlocksey")</f>
        <v>Wlocksey</v>
      </c>
      <c r="BJ9" s="16" t="str">
        <f>IFERROR(__xludf.DUMMYFUNCTION("""COMPUTED_VALUE"""),"GOT BEEF")</f>
        <v>GOT BEEF</v>
      </c>
      <c r="BK9" s="16" t="str">
        <f>IFERROR(__xludf.DUMMYFUNCTION("""COMPUTED_VALUE"""),"Draenor")</f>
        <v>Draenor</v>
      </c>
      <c r="BL9" s="18">
        <f>IFERROR(__xludf.DUMMYFUNCTION("""COMPUTED_VALUE"""),409.94)</f>
        <v>409.94</v>
      </c>
      <c r="BM9" s="16" t="str">
        <f>IFERROR(__xludf.DUMMYFUNCTION("""COMPUTED_VALUE"""),"1 day ago")</f>
        <v>1 day ago</v>
      </c>
      <c r="BN9" s="105"/>
      <c r="BO9" s="25" t="str">
        <f>IFERROR(__xludf.DUMMYFUNCTION("""COMPUTED_VALUE"""),"Biigshaaq")</f>
        <v>Biigshaaq</v>
      </c>
      <c r="BP9" s="16" t="str">
        <f>IFERROR(__xludf.DUMMYFUNCTION("""COMPUTED_VALUE"""),"Acoustic")</f>
        <v>Acoustic</v>
      </c>
      <c r="BQ9" s="16" t="str">
        <f>IFERROR(__xludf.DUMMYFUNCTION("""COMPUTED_VALUE"""),"Twisting Nether")</f>
        <v>Twisting Nether</v>
      </c>
      <c r="BR9" s="18">
        <f>IFERROR(__xludf.DUMMYFUNCTION("""COMPUTED_VALUE"""),411.5)</f>
        <v>411.5</v>
      </c>
      <c r="BS9" s="16" t="str">
        <f>IFERROR(__xludf.DUMMYFUNCTION("""COMPUTED_VALUE"""),"32 minutes ago")</f>
        <v>32 minutes ago</v>
      </c>
      <c r="BT9" s="106"/>
      <c r="BU9" s="107" t="str">
        <f t="shared" ref="BU9:BY9" si="4">A9</f>
        <v>Aivenarion</v>
      </c>
      <c r="BV9" s="107" t="str">
        <f t="shared" si="4"/>
        <v>Fresh</v>
      </c>
      <c r="BW9" s="107" t="str">
        <f t="shared" si="4"/>
        <v>Draenor</v>
      </c>
      <c r="BX9" s="107">
        <f t="shared" si="4"/>
        <v>412.63</v>
      </c>
      <c r="BY9" s="107" t="str">
        <f t="shared" si="4"/>
        <v>6 days ago</v>
      </c>
      <c r="BZ9" s="108"/>
    </row>
    <row r="10">
      <c r="A10" t="str">
        <f>IFERROR(__xludf.DUMMYFUNCTION("""COMPUTED_VALUE"""),"Flurrehdk")</f>
        <v>Flurrehdk</v>
      </c>
      <c r="B10" t="str">
        <f>IFERROR(__xludf.DUMMYFUNCTION("""COMPUTED_VALUE"""),"Quit")</f>
        <v>Quit</v>
      </c>
      <c r="C10" t="str">
        <f>IFERROR(__xludf.DUMMYFUNCTION("""COMPUTED_VALUE"""),"Kazzak")</f>
        <v>Kazzak</v>
      </c>
      <c r="D10">
        <f>IFERROR(__xludf.DUMMYFUNCTION("""COMPUTED_VALUE"""),412.5)</f>
        <v>412.5</v>
      </c>
      <c r="E10" t="str">
        <f>IFERROR(__xludf.DUMMYFUNCTION("""COMPUTED_VALUE"""),"6 days ago")</f>
        <v>6 days ago</v>
      </c>
      <c r="F10" s="94"/>
      <c r="G10" t="str">
        <f>IFERROR(__xludf.DUMMYFUNCTION("""COMPUTED_VALUE"""),"Sángi")</f>
        <v>Sángi</v>
      </c>
      <c r="H10" t="str">
        <f>IFERROR(__xludf.DUMMYFUNCTION("""COMPUTED_VALUE"""),"Basement Dwellers")</f>
        <v>Basement Dwellers</v>
      </c>
      <c r="I10" t="str">
        <f>IFERROR(__xludf.DUMMYFUNCTION("""COMPUTED_VALUE"""),"Kazzak")</f>
        <v>Kazzak</v>
      </c>
      <c r="J10">
        <f>IFERROR(__xludf.DUMMYFUNCTION("""COMPUTED_VALUE"""),412.69)</f>
        <v>412.69</v>
      </c>
      <c r="K10" t="str">
        <f>IFERROR(__xludf.DUMMYFUNCTION("""COMPUTED_VALUE"""),"15 days ago")</f>
        <v>15 days ago</v>
      </c>
      <c r="L10" s="95"/>
      <c r="M10" t="str">
        <f>IFERROR(__xludf.DUMMYFUNCTION("""COMPUTED_VALUE"""),"Sylais")</f>
        <v>Sylais</v>
      </c>
      <c r="N10" t="str">
        <f>IFERROR(__xludf.DUMMYFUNCTION("""COMPUTED_VALUE"""),"Safety Dance")</f>
        <v>Safety Dance</v>
      </c>
      <c r="O10" t="str">
        <f>IFERROR(__xludf.DUMMYFUNCTION("""COMPUTED_VALUE"""),"Argent Dawn")</f>
        <v>Argent Dawn</v>
      </c>
      <c r="P10">
        <f>IFERROR(__xludf.DUMMYFUNCTION("""COMPUTED_VALUE"""),411.13)</f>
        <v>411.13</v>
      </c>
      <c r="Q10" t="str">
        <f>IFERROR(__xludf.DUMMYFUNCTION("""COMPUTED_VALUE"""),"3 days ago")</f>
        <v>3 days ago</v>
      </c>
      <c r="R10" s="96"/>
      <c r="S10" t="str">
        <f>IFERROR(__xludf.DUMMYFUNCTION("""COMPUTED_VALUE"""),"Üprising")</f>
        <v>Üprising</v>
      </c>
      <c r="T10" t="str">
        <f>IFERROR(__xludf.DUMMYFUNCTION("""COMPUTED_VALUE"""),"Once Again")</f>
        <v>Once Again</v>
      </c>
      <c r="U10" t="str">
        <f>IFERROR(__xludf.DUMMYFUNCTION("""COMPUTED_VALUE"""),"Kazzak")</f>
        <v>Kazzak</v>
      </c>
      <c r="V10">
        <f>IFERROR(__xludf.DUMMYFUNCTION("""COMPUTED_VALUE"""),410.5)</f>
        <v>410.5</v>
      </c>
      <c r="W10" t="str">
        <f>IFERROR(__xludf.DUMMYFUNCTION("""COMPUTED_VALUE"""),"24 days ago")</f>
        <v>24 days ago</v>
      </c>
      <c r="X10" s="97"/>
      <c r="Y10" s="16" t="str">
        <f>IFERROR(__xludf.DUMMYFUNCTION("""COMPUTED_VALUE"""),"Nhyxe")</f>
        <v>Nhyxe</v>
      </c>
      <c r="Z10" s="16" t="str">
        <f>IFERROR(__xludf.DUMMYFUNCTION("""COMPUTED_VALUE"""),"Ineffable")</f>
        <v>Ineffable</v>
      </c>
      <c r="AA10" s="16" t="str">
        <f>IFERROR(__xludf.DUMMYFUNCTION("""COMPUTED_VALUE"""),"Tarren Mill")</f>
        <v>Tarren Mill</v>
      </c>
      <c r="AB10" s="18">
        <f>IFERROR(__xludf.DUMMYFUNCTION("""COMPUTED_VALUE"""),412.06)</f>
        <v>412.06</v>
      </c>
      <c r="AC10" s="16" t="str">
        <f>IFERROR(__xludf.DUMMYFUNCTION("""COMPUTED_VALUE"""),"19 hours ago")</f>
        <v>19 hours ago</v>
      </c>
      <c r="AD10" s="99"/>
      <c r="AE10" s="16" t="str">
        <f>IFERROR(__xludf.DUMMYFUNCTION("""COMPUTED_VALUE"""),"Nadinne")</f>
        <v>Nadinne</v>
      </c>
      <c r="AF10" s="16" t="str">
        <f>IFERROR(__xludf.DUMMYFUNCTION("""COMPUTED_VALUE"""),"Balanced")</f>
        <v>Balanced</v>
      </c>
      <c r="AG10" s="16" t="str">
        <f>IFERROR(__xludf.DUMMYFUNCTION("""COMPUTED_VALUE"""),"Silvermoon")</f>
        <v>Silvermoon</v>
      </c>
      <c r="AH10" s="16">
        <f>IFERROR(__xludf.DUMMYFUNCTION("""COMPUTED_VALUE"""),412.0)</f>
        <v>412</v>
      </c>
      <c r="AI10" s="16" t="str">
        <f>IFERROR(__xludf.DUMMYFUNCTION("""COMPUTED_VALUE"""),"18 days ago")</f>
        <v>18 days ago</v>
      </c>
      <c r="AJ10" s="100"/>
      <c r="AK10" s="16" t="str">
        <f>IFERROR(__xludf.DUMMYFUNCTION("""COMPUTED_VALUE"""),"Dragu")</f>
        <v>Dragu</v>
      </c>
      <c r="AL10" s="16" t="str">
        <f>IFERROR(__xludf.DUMMYFUNCTION("""COMPUTED_VALUE"""),"Outdated")</f>
        <v>Outdated</v>
      </c>
      <c r="AM10" s="16" t="str">
        <f>IFERROR(__xludf.DUMMYFUNCTION("""COMPUTED_VALUE"""),"Twisting Nether")</f>
        <v>Twisting Nether</v>
      </c>
      <c r="AN10" s="18">
        <f>IFERROR(__xludf.DUMMYFUNCTION("""COMPUTED_VALUE"""),411.25)</f>
        <v>411.25</v>
      </c>
      <c r="AO10" s="16" t="str">
        <f>IFERROR(__xludf.DUMMYFUNCTION("""COMPUTED_VALUE"""),"4 days ago")</f>
        <v>4 days ago</v>
      </c>
      <c r="AP10" s="101"/>
      <c r="AQ10" s="16" t="str">
        <f>IFERROR(__xludf.DUMMYFUNCTION("""COMPUTED_VALUE"""),"Sawry")</f>
        <v>Sawry</v>
      </c>
      <c r="AR10" s="16" t="str">
        <f>IFERROR(__xludf.DUMMYFUNCTION("""COMPUTED_VALUE"""),"")</f>
        <v/>
      </c>
      <c r="AS10" s="16" t="str">
        <f>IFERROR(__xludf.DUMMYFUNCTION("""COMPUTED_VALUE"""),"Draenor")</f>
        <v>Draenor</v>
      </c>
      <c r="AT10" s="18">
        <f>IFERROR(__xludf.DUMMYFUNCTION("""COMPUTED_VALUE"""),410.25)</f>
        <v>410.25</v>
      </c>
      <c r="AU10" s="16" t="str">
        <f>IFERROR(__xludf.DUMMYFUNCTION("""COMPUTED_VALUE"""),"1 day ago")</f>
        <v>1 day ago</v>
      </c>
      <c r="AV10" s="102"/>
      <c r="AW10" s="25" t="str">
        <f>IFERROR(__xludf.DUMMYFUNCTION("""COMPUTED_VALUE"""),"Domf")</f>
        <v>Domf</v>
      </c>
      <c r="AX10" s="16" t="str">
        <f>IFERROR(__xludf.DUMMYFUNCTION("""COMPUTED_VALUE"""),"eXsto")</f>
        <v>eXsto</v>
      </c>
      <c r="AY10" s="16" t="str">
        <f>IFERROR(__xludf.DUMMYFUNCTION("""COMPUTED_VALUE"""),"Tarren Mill")</f>
        <v>Tarren Mill</v>
      </c>
      <c r="AZ10" s="18">
        <f>IFERROR(__xludf.DUMMYFUNCTION("""COMPUTED_VALUE"""),411.5)</f>
        <v>411.5</v>
      </c>
      <c r="BA10" s="16" t="str">
        <f>IFERROR(__xludf.DUMMYFUNCTION("""COMPUTED_VALUE"""),"3 days ago")</f>
        <v>3 days ago</v>
      </c>
      <c r="BB10" s="103"/>
      <c r="BC10" s="25" t="str">
        <f>IFERROR(__xludf.DUMMYFUNCTION("""COMPUTED_VALUE"""),"Reegenn")</f>
        <v>Reegenn</v>
      </c>
      <c r="BD10" s="16" t="str">
        <f>IFERROR(__xludf.DUMMYFUNCTION("""COMPUTED_VALUE"""),"Hård")</f>
        <v>Hård</v>
      </c>
      <c r="BE10" s="16" t="str">
        <f>IFERROR(__xludf.DUMMYFUNCTION("""COMPUTED_VALUE"""),"Kazzak")</f>
        <v>Kazzak</v>
      </c>
      <c r="BF10" s="18">
        <f>IFERROR(__xludf.DUMMYFUNCTION("""COMPUTED_VALUE"""),411.06)</f>
        <v>411.06</v>
      </c>
      <c r="BG10" s="16" t="str">
        <f>IFERROR(__xludf.DUMMYFUNCTION("""COMPUTED_VALUE"""),"22 days ago")</f>
        <v>22 days ago</v>
      </c>
      <c r="BH10" s="104"/>
      <c r="BI10" s="25" t="str">
        <f>IFERROR(__xludf.DUMMYFUNCTION("""COMPUTED_VALUE"""),"Plaguefetch")</f>
        <v>Plaguefetch</v>
      </c>
      <c r="BJ10" s="16" t="str">
        <f>IFERROR(__xludf.DUMMYFUNCTION("""COMPUTED_VALUE"""),"")</f>
        <v/>
      </c>
      <c r="BK10" s="16" t="str">
        <f>IFERROR(__xludf.DUMMYFUNCTION("""COMPUTED_VALUE"""),"Tarren Mill")</f>
        <v>Tarren Mill</v>
      </c>
      <c r="BL10" s="18">
        <f>IFERROR(__xludf.DUMMYFUNCTION("""COMPUTED_VALUE"""),409.81)</f>
        <v>409.81</v>
      </c>
      <c r="BM10" s="16" t="str">
        <f>IFERROR(__xludf.DUMMYFUNCTION("""COMPUTED_VALUE"""),"6 days ago")</f>
        <v>6 days ago</v>
      </c>
      <c r="BN10" s="105"/>
      <c r="BO10" s="25" t="str">
        <f>IFERROR(__xludf.DUMMYFUNCTION("""COMPUTED_VALUE"""),"Bigdikrik")</f>
        <v>Bigdikrik</v>
      </c>
      <c r="BP10" s="16" t="str">
        <f>IFERROR(__xludf.DUMMYFUNCTION("""COMPUTED_VALUE"""),"Disposition")</f>
        <v>Disposition</v>
      </c>
      <c r="BQ10" s="16" t="str">
        <f>IFERROR(__xludf.DUMMYFUNCTION("""COMPUTED_VALUE"""),"Stormscale")</f>
        <v>Stormscale</v>
      </c>
      <c r="BR10" s="18">
        <f>IFERROR(__xludf.DUMMYFUNCTION("""COMPUTED_VALUE"""),410.94)</f>
        <v>410.94</v>
      </c>
      <c r="BS10" s="16" t="str">
        <f>IFERROR(__xludf.DUMMYFUNCTION("""COMPUTED_VALUE"""),"5 days ago")</f>
        <v>5 days ago</v>
      </c>
      <c r="BT10" s="106"/>
      <c r="BU10" s="107" t="str">
        <f t="shared" ref="BU10:BY10" si="5">A10</f>
        <v>Flurrehdk</v>
      </c>
      <c r="BV10" s="107" t="str">
        <f t="shared" si="5"/>
        <v>Quit</v>
      </c>
      <c r="BW10" s="107" t="str">
        <f t="shared" si="5"/>
        <v>Kazzak</v>
      </c>
      <c r="BX10" s="107">
        <f t="shared" si="5"/>
        <v>412.5</v>
      </c>
      <c r="BY10" s="107" t="str">
        <f t="shared" si="5"/>
        <v>6 days ago</v>
      </c>
      <c r="BZ10" s="108"/>
    </row>
    <row r="11">
      <c r="A11" t="str">
        <f>IFERROR(__xludf.DUMMYFUNCTION("""COMPUTED_VALUE"""),"Velavi")</f>
        <v>Velavi</v>
      </c>
      <c r="B11" t="str">
        <f>IFERROR(__xludf.DUMMYFUNCTION("""COMPUTED_VALUE"""),"Way to Toxic")</f>
        <v>Way to Toxic</v>
      </c>
      <c r="C11" t="str">
        <f>IFERROR(__xludf.DUMMYFUNCTION("""COMPUTED_VALUE"""),"Burning Legion")</f>
        <v>Burning Legion</v>
      </c>
      <c r="D11">
        <f>IFERROR(__xludf.DUMMYFUNCTION("""COMPUTED_VALUE"""),412.25)</f>
        <v>412.25</v>
      </c>
      <c r="E11" t="str">
        <f>IFERROR(__xludf.DUMMYFUNCTION("""COMPUTED_VALUE"""),"4 days ago")</f>
        <v>4 days ago</v>
      </c>
      <c r="F11" s="94"/>
      <c r="G11" t="str">
        <f>IFERROR(__xludf.DUMMYFUNCTION("""COMPUTED_VALUE"""),"Phantomgoul")</f>
        <v>Phantomgoul</v>
      </c>
      <c r="H11" t="str">
        <f>IFERROR(__xludf.DUMMYFUNCTION("""COMPUTED_VALUE"""),"WipeClub")</f>
        <v>WipeClub</v>
      </c>
      <c r="I11" t="str">
        <f>IFERROR(__xludf.DUMMYFUNCTION("""COMPUTED_VALUE"""),"Agamaggan")</f>
        <v>Agamaggan</v>
      </c>
      <c r="J11">
        <f>IFERROR(__xludf.DUMMYFUNCTION("""COMPUTED_VALUE"""),412.63)</f>
        <v>412.63</v>
      </c>
      <c r="K11" t="str">
        <f>IFERROR(__xludf.DUMMYFUNCTION("""COMPUTED_VALUE"""),"16 days ago")</f>
        <v>16 days ago</v>
      </c>
      <c r="L11" s="95"/>
      <c r="M11" t="str">
        <f>IFERROR(__xludf.DUMMYFUNCTION("""COMPUTED_VALUE"""),"Ekóó")</f>
        <v>Ekóó</v>
      </c>
      <c r="N11" t="str">
        <f>IFERROR(__xludf.DUMMYFUNCTION("""COMPUTED_VALUE"""),"Deplete")</f>
        <v>Deplete</v>
      </c>
      <c r="O11" t="str">
        <f>IFERROR(__xludf.DUMMYFUNCTION("""COMPUTED_VALUE"""),"Kazzak")</f>
        <v>Kazzak</v>
      </c>
      <c r="P11">
        <f>IFERROR(__xludf.DUMMYFUNCTION("""COMPUTED_VALUE"""),411.0)</f>
        <v>411</v>
      </c>
      <c r="Q11" t="str">
        <f>IFERROR(__xludf.DUMMYFUNCTION("""COMPUTED_VALUE"""),"18 days ago")</f>
        <v>18 days ago</v>
      </c>
      <c r="R11" s="96"/>
      <c r="S11" t="str">
        <f>IFERROR(__xludf.DUMMYFUNCTION("""COMPUTED_VALUE"""),"Mcpuffin")</f>
        <v>Mcpuffin</v>
      </c>
      <c r="T11" t="str">
        <f>IFERROR(__xludf.DUMMYFUNCTION("""COMPUTED_VALUE"""),"Martyrdom")</f>
        <v>Martyrdom</v>
      </c>
      <c r="U11" t="str">
        <f>IFERROR(__xludf.DUMMYFUNCTION("""COMPUTED_VALUE"""),"Tarren Mill")</f>
        <v>Tarren Mill</v>
      </c>
      <c r="V11">
        <f>IFERROR(__xludf.DUMMYFUNCTION("""COMPUTED_VALUE"""),410.44)</f>
        <v>410.44</v>
      </c>
      <c r="W11" t="str">
        <f>IFERROR(__xludf.DUMMYFUNCTION("""COMPUTED_VALUE"""),"6 days ago")</f>
        <v>6 days ago</v>
      </c>
      <c r="X11" s="97"/>
      <c r="Y11" s="111" t="str">
        <f>IFERROR(__xludf.DUMMYFUNCTION("""COMPUTED_VALUE"""),"Ezcon")</f>
        <v>Ezcon</v>
      </c>
      <c r="Z11" s="111" t="str">
        <f>IFERROR(__xludf.DUMMYFUNCTION("""COMPUTED_VALUE"""),"Tilting at Windmills")</f>
        <v>Tilting at Windmills</v>
      </c>
      <c r="AA11" s="111" t="str">
        <f>IFERROR(__xludf.DUMMYFUNCTION("""COMPUTED_VALUE"""),"Ravencrest")</f>
        <v>Ravencrest</v>
      </c>
      <c r="AB11" s="108">
        <f>IFERROR(__xludf.DUMMYFUNCTION("""COMPUTED_VALUE"""),411.94)</f>
        <v>411.94</v>
      </c>
      <c r="AC11" s="111" t="str">
        <f>IFERROR(__xludf.DUMMYFUNCTION("""COMPUTED_VALUE"""),"7 days ago")</f>
        <v>7 days ago</v>
      </c>
      <c r="AD11" s="112"/>
      <c r="AE11" s="111" t="str">
        <f>IFERROR(__xludf.DUMMYFUNCTION("""COMPUTED_VALUE"""),"Scurch")</f>
        <v>Scurch</v>
      </c>
      <c r="AF11" s="111" t="str">
        <f>IFERROR(__xludf.DUMMYFUNCTION("""COMPUTED_VALUE"""),"Renovo")</f>
        <v>Renovo</v>
      </c>
      <c r="AG11" s="111" t="str">
        <f>IFERROR(__xludf.DUMMYFUNCTION("""COMPUTED_VALUE"""),"Twisting Nether")</f>
        <v>Twisting Nether</v>
      </c>
      <c r="AH11" s="111">
        <f>IFERROR(__xludf.DUMMYFUNCTION("""COMPUTED_VALUE"""),412.0)</f>
        <v>412</v>
      </c>
      <c r="AI11" s="111" t="str">
        <f>IFERROR(__xludf.DUMMYFUNCTION("""COMPUTED_VALUE"""),"3 days ago")</f>
        <v>3 days ago</v>
      </c>
      <c r="AJ11" s="113"/>
      <c r="AK11" s="111" t="str">
        <f>IFERROR(__xludf.DUMMYFUNCTION("""COMPUTED_VALUE"""),"Malbay")</f>
        <v>Malbay</v>
      </c>
      <c r="AL11" s="111" t="str">
        <f>IFERROR(__xludf.DUMMYFUNCTION("""COMPUTED_VALUE"""),"")</f>
        <v/>
      </c>
      <c r="AM11" s="111" t="str">
        <f>IFERROR(__xludf.DUMMYFUNCTION("""COMPUTED_VALUE"""),"Draenor")</f>
        <v>Draenor</v>
      </c>
      <c r="AN11" s="108">
        <f>IFERROR(__xludf.DUMMYFUNCTION("""COMPUTED_VALUE"""),411.06)</f>
        <v>411.06</v>
      </c>
      <c r="AO11" s="111" t="str">
        <f>IFERROR(__xludf.DUMMYFUNCTION("""COMPUTED_VALUE"""),"14 days ago")</f>
        <v>14 days ago</v>
      </c>
      <c r="AP11" s="114"/>
      <c r="AQ11" s="111" t="str">
        <f>IFERROR(__xludf.DUMMYFUNCTION("""COMPUTED_VALUE"""),"Nödtveidt")</f>
        <v>Nödtveidt</v>
      </c>
      <c r="AR11" s="111" t="str">
        <f>IFERROR(__xludf.DUMMYFUNCTION("""COMPUTED_VALUE"""),"")</f>
        <v/>
      </c>
      <c r="AS11" s="111" t="str">
        <f>IFERROR(__xludf.DUMMYFUNCTION("""COMPUTED_VALUE"""),"Draenor")</f>
        <v>Draenor</v>
      </c>
      <c r="AT11" s="108">
        <f>IFERROR(__xludf.DUMMYFUNCTION("""COMPUTED_VALUE"""),410.25)</f>
        <v>410.25</v>
      </c>
      <c r="AU11" s="111" t="str">
        <f>IFERROR(__xludf.DUMMYFUNCTION("""COMPUTED_VALUE"""),"4 days ago")</f>
        <v>4 days ago</v>
      </c>
      <c r="AV11" s="115"/>
      <c r="AW11" s="116" t="str">
        <f>IFERROR(__xludf.DUMMYFUNCTION("""COMPUTED_VALUE"""),"Rhythm")</f>
        <v>Rhythm</v>
      </c>
      <c r="AX11" s="111" t="str">
        <f>IFERROR(__xludf.DUMMYFUNCTION("""COMPUTED_VALUE"""),"Outreach")</f>
        <v>Outreach</v>
      </c>
      <c r="AY11" s="111" t="str">
        <f>IFERROR(__xludf.DUMMYFUNCTION("""COMPUTED_VALUE"""),"Al'Akir")</f>
        <v>Al'Akir</v>
      </c>
      <c r="AZ11" s="108">
        <f>IFERROR(__xludf.DUMMYFUNCTION("""COMPUTED_VALUE"""),411.44)</f>
        <v>411.44</v>
      </c>
      <c r="BA11" s="111" t="str">
        <f>IFERROR(__xludf.DUMMYFUNCTION("""COMPUTED_VALUE"""),"4 days ago")</f>
        <v>4 days ago</v>
      </c>
      <c r="BB11" s="117"/>
      <c r="BC11" s="116" t="str">
        <f>IFERROR(__xludf.DUMMYFUNCTION("""COMPUTED_VALUE"""),"Tatsuoo")</f>
        <v>Tatsuoo</v>
      </c>
      <c r="BD11" s="111" t="str">
        <f>IFERROR(__xludf.DUMMYFUNCTION("""COMPUTED_VALUE"""),"Dialectic")</f>
        <v>Dialectic</v>
      </c>
      <c r="BE11" s="111" t="str">
        <f>IFERROR(__xludf.DUMMYFUNCTION("""COMPUTED_VALUE"""),"Kazzak")</f>
        <v>Kazzak</v>
      </c>
      <c r="BF11" s="108">
        <f>IFERROR(__xludf.DUMMYFUNCTION("""COMPUTED_VALUE"""),410.63)</f>
        <v>410.63</v>
      </c>
      <c r="BG11" s="111" t="str">
        <f>IFERROR(__xludf.DUMMYFUNCTION("""COMPUTED_VALUE"""),"8 days ago")</f>
        <v>8 days ago</v>
      </c>
      <c r="BH11" s="118"/>
      <c r="BI11" s="116" t="str">
        <f>IFERROR(__xludf.DUMMYFUNCTION("""COMPUTED_VALUE"""),"Shàdé")</f>
        <v>Shàdé</v>
      </c>
      <c r="BJ11" s="111" t="str">
        <f>IFERROR(__xludf.DUMMYFUNCTION("""COMPUTED_VALUE"""),"When Fat Kids Attack")</f>
        <v>When Fat Kids Attack</v>
      </c>
      <c r="BK11" s="111" t="str">
        <f>IFERROR(__xludf.DUMMYFUNCTION("""COMPUTED_VALUE"""),"Tarren Mill")</f>
        <v>Tarren Mill</v>
      </c>
      <c r="BL11" s="108">
        <f>IFERROR(__xludf.DUMMYFUNCTION("""COMPUTED_VALUE"""),409.38)</f>
        <v>409.38</v>
      </c>
      <c r="BM11" s="111" t="str">
        <f>IFERROR(__xludf.DUMMYFUNCTION("""COMPUTED_VALUE"""),"18 days ago")</f>
        <v>18 days ago</v>
      </c>
      <c r="BN11" s="119"/>
      <c r="BO11" s="116" t="str">
        <f>IFERROR(__xludf.DUMMYFUNCTION("""COMPUTED_VALUE"""),"Steaklover")</f>
        <v>Steaklover</v>
      </c>
      <c r="BP11" s="111" t="str">
        <f>IFERROR(__xludf.DUMMYFUNCTION("""COMPUTED_VALUE"""),"PwnStarz")</f>
        <v>PwnStarz</v>
      </c>
      <c r="BQ11" s="111" t="str">
        <f>IFERROR(__xludf.DUMMYFUNCTION("""COMPUTED_VALUE"""),"Sylvanas")</f>
        <v>Sylvanas</v>
      </c>
      <c r="BR11" s="108">
        <f>IFERROR(__xludf.DUMMYFUNCTION("""COMPUTED_VALUE"""),410.25)</f>
        <v>410.25</v>
      </c>
      <c r="BS11" s="111" t="str">
        <f>IFERROR(__xludf.DUMMYFUNCTION("""COMPUTED_VALUE"""),"14 days ago")</f>
        <v>14 days ago</v>
      </c>
      <c r="BT11" s="120"/>
      <c r="BU11" s="107" t="str">
        <f t="shared" ref="BU11:BY11" si="6">A11</f>
        <v>Velavi</v>
      </c>
      <c r="BV11" s="107" t="str">
        <f t="shared" si="6"/>
        <v>Way to Toxic</v>
      </c>
      <c r="BW11" s="107" t="str">
        <f t="shared" si="6"/>
        <v>Burning Legion</v>
      </c>
      <c r="BX11" s="107">
        <f t="shared" si="6"/>
        <v>412.25</v>
      </c>
      <c r="BY11" s="107" t="str">
        <f t="shared" si="6"/>
        <v>4 days ago</v>
      </c>
      <c r="BZ11" s="108"/>
    </row>
    <row r="12">
      <c r="A12" t="str">
        <f>IFERROR(__xludf.DUMMYFUNCTION("""COMPUTED_VALUE"""),"Teabag")</f>
        <v>Teabag</v>
      </c>
      <c r="B12" t="str">
        <f>IFERROR(__xludf.DUMMYFUNCTION("""COMPUTED_VALUE"""),"")</f>
        <v/>
      </c>
      <c r="C12" t="str">
        <f>IFERROR(__xludf.DUMMYFUNCTION("""COMPUTED_VALUE"""),"Ragnaros")</f>
        <v>Ragnaros</v>
      </c>
      <c r="D12">
        <f>IFERROR(__xludf.DUMMYFUNCTION("""COMPUTED_VALUE"""),412.0)</f>
        <v>412</v>
      </c>
      <c r="E12" t="str">
        <f>IFERROR(__xludf.DUMMYFUNCTION("""COMPUTED_VALUE"""),"2 days ago")</f>
        <v>2 days ago</v>
      </c>
      <c r="F12" s="94"/>
      <c r="G12" t="str">
        <f>IFERROR(__xludf.DUMMYFUNCTION("""COMPUTED_VALUE"""),"Nut")</f>
        <v>Nut</v>
      </c>
      <c r="H12" t="str">
        <f>IFERROR(__xludf.DUMMYFUNCTION("""COMPUTED_VALUE"""),"Eminent")</f>
        <v>Eminent</v>
      </c>
      <c r="I12" t="str">
        <f>IFERROR(__xludf.DUMMYFUNCTION("""COMPUTED_VALUE"""),"Draenor")</f>
        <v>Draenor</v>
      </c>
      <c r="J12">
        <f>IFERROR(__xludf.DUMMYFUNCTION("""COMPUTED_VALUE"""),412.38)</f>
        <v>412.38</v>
      </c>
      <c r="K12" t="str">
        <f>IFERROR(__xludf.DUMMYFUNCTION("""COMPUTED_VALUE"""),"4 days ago")</f>
        <v>4 days ago</v>
      </c>
      <c r="L12" s="95"/>
      <c r="M12" t="str">
        <f>IFERROR(__xludf.DUMMYFUNCTION("""COMPUTED_VALUE"""),"Hackim")</f>
        <v>Hackim</v>
      </c>
      <c r="N12" t="str">
        <f>IFERROR(__xludf.DUMMYFUNCTION("""COMPUTED_VALUE"""),"")</f>
        <v/>
      </c>
      <c r="O12" t="str">
        <f>IFERROR(__xludf.DUMMYFUNCTION("""COMPUTED_VALUE"""),"Draenor")</f>
        <v>Draenor</v>
      </c>
      <c r="P12">
        <f>IFERROR(__xludf.DUMMYFUNCTION("""COMPUTED_VALUE"""),410.63)</f>
        <v>410.63</v>
      </c>
      <c r="Q12" t="str">
        <f>IFERROR(__xludf.DUMMYFUNCTION("""COMPUTED_VALUE"""),"11 days ago")</f>
        <v>11 days ago</v>
      </c>
      <c r="R12" s="96"/>
      <c r="S12" t="str">
        <f>IFERROR(__xludf.DUMMYFUNCTION("""COMPUTED_VALUE"""),"Paskk")</f>
        <v>Paskk</v>
      </c>
      <c r="T12" t="str">
        <f>IFERROR(__xludf.DUMMYFUNCTION("""COMPUTED_VALUE"""),"Acoustic")</f>
        <v>Acoustic</v>
      </c>
      <c r="U12" t="str">
        <f>IFERROR(__xludf.DUMMYFUNCTION("""COMPUTED_VALUE"""),"Twisting Nether")</f>
        <v>Twisting Nether</v>
      </c>
      <c r="V12">
        <f>IFERROR(__xludf.DUMMYFUNCTION("""COMPUTED_VALUE"""),410.13)</f>
        <v>410.13</v>
      </c>
      <c r="W12" t="str">
        <f>IFERROR(__xludf.DUMMYFUNCTION("""COMPUTED_VALUE"""),"1 day ago")</f>
        <v>1 day ago</v>
      </c>
      <c r="X12" s="97"/>
      <c r="Y12" s="111" t="str">
        <f>IFERROR(__xludf.DUMMYFUNCTION("""COMPUTED_VALUE"""),"Cfenny")</f>
        <v>Cfenny</v>
      </c>
      <c r="Z12" s="111" t="str">
        <f>IFERROR(__xludf.DUMMYFUNCTION("""COMPUTED_VALUE"""),"Vengeance Incarnate")</f>
        <v>Vengeance Incarnate</v>
      </c>
      <c r="AA12" s="111" t="str">
        <f>IFERROR(__xludf.DUMMYFUNCTION("""COMPUTED_VALUE"""),"Burning Legion")</f>
        <v>Burning Legion</v>
      </c>
      <c r="AB12" s="108">
        <f>IFERROR(__xludf.DUMMYFUNCTION("""COMPUTED_VALUE"""),411.44)</f>
        <v>411.44</v>
      </c>
      <c r="AC12" s="111" t="str">
        <f>IFERROR(__xludf.DUMMYFUNCTION("""COMPUTED_VALUE"""),"4 days ago")</f>
        <v>4 days ago</v>
      </c>
      <c r="AD12" s="112"/>
      <c r="AE12" s="111" t="str">
        <f>IFERROR(__xludf.DUMMYFUNCTION("""COMPUTED_VALUE"""),"Onepunchmän")</f>
        <v>Onepunchmän</v>
      </c>
      <c r="AF12" s="111" t="str">
        <f>IFERROR(__xludf.DUMMYFUNCTION("""COMPUTED_VALUE"""),"Whisky")</f>
        <v>Whisky</v>
      </c>
      <c r="AG12" s="111" t="str">
        <f>IFERROR(__xludf.DUMMYFUNCTION("""COMPUTED_VALUE"""),"Tarren Mill")</f>
        <v>Tarren Mill</v>
      </c>
      <c r="AH12" s="111">
        <f>IFERROR(__xludf.DUMMYFUNCTION("""COMPUTED_VALUE"""),411.75)</f>
        <v>411.75</v>
      </c>
      <c r="AI12" s="111" t="str">
        <f>IFERROR(__xludf.DUMMYFUNCTION("""COMPUTED_VALUE"""),"24 days ago")</f>
        <v>24 days ago</v>
      </c>
      <c r="AJ12" s="113"/>
      <c r="AK12" s="111" t="str">
        <f>IFERROR(__xludf.DUMMYFUNCTION("""COMPUTED_VALUE"""),"Mîdørï")</f>
        <v>Mîdørï</v>
      </c>
      <c r="AL12" s="111" t="str">
        <f>IFERROR(__xludf.DUMMYFUNCTION("""COMPUTED_VALUE"""),"Clique")</f>
        <v>Clique</v>
      </c>
      <c r="AM12" s="111" t="str">
        <f>IFERROR(__xludf.DUMMYFUNCTION("""COMPUTED_VALUE"""),"Draenor")</f>
        <v>Draenor</v>
      </c>
      <c r="AN12" s="108">
        <f>IFERROR(__xludf.DUMMYFUNCTION("""COMPUTED_VALUE"""),411.06)</f>
        <v>411.06</v>
      </c>
      <c r="AO12" s="111" t="str">
        <f>IFERROR(__xludf.DUMMYFUNCTION("""COMPUTED_VALUE"""),"8 days ago")</f>
        <v>8 days ago</v>
      </c>
      <c r="AP12" s="114"/>
      <c r="AQ12" s="111" t="str">
        <f>IFERROR(__xludf.DUMMYFUNCTION("""COMPUTED_VALUE"""),"Dále")</f>
        <v>Dále</v>
      </c>
      <c r="AR12" s="111" t="str">
        <f>IFERROR(__xludf.DUMMYFUNCTION("""COMPUTED_VALUE"""),"Proper PoHNage")</f>
        <v>Proper PoHNage</v>
      </c>
      <c r="AS12" s="111" t="str">
        <f>IFERROR(__xludf.DUMMYFUNCTION("""COMPUTED_VALUE"""),"Twisting Nether")</f>
        <v>Twisting Nether</v>
      </c>
      <c r="AT12" s="108">
        <f>IFERROR(__xludf.DUMMYFUNCTION("""COMPUTED_VALUE"""),410.19)</f>
        <v>410.19</v>
      </c>
      <c r="AU12" s="111" t="str">
        <f>IFERROR(__xludf.DUMMYFUNCTION("""COMPUTED_VALUE"""),"3 days ago")</f>
        <v>3 days ago</v>
      </c>
      <c r="AV12" s="115"/>
      <c r="AW12" s="116" t="str">
        <f>IFERROR(__xludf.DUMMYFUNCTION("""COMPUTED_VALUE"""),"Sneãky")</f>
        <v>Sneãky</v>
      </c>
      <c r="AX12" s="111" t="str">
        <f>IFERROR(__xludf.DUMMYFUNCTION("""COMPUTED_VALUE"""),"Angry sausage")</f>
        <v>Angry sausage</v>
      </c>
      <c r="AY12" s="111" t="str">
        <f>IFERROR(__xludf.DUMMYFUNCTION("""COMPUTED_VALUE"""),"Sylvanas")</f>
        <v>Sylvanas</v>
      </c>
      <c r="AZ12" s="108">
        <f>IFERROR(__xludf.DUMMYFUNCTION("""COMPUTED_VALUE"""),411.38)</f>
        <v>411.38</v>
      </c>
      <c r="BA12" s="111" t="str">
        <f>IFERROR(__xludf.DUMMYFUNCTION("""COMPUTED_VALUE"""),"16 days ago")</f>
        <v>16 days ago</v>
      </c>
      <c r="BB12" s="117"/>
      <c r="BC12" s="116" t="str">
        <f>IFERROR(__xludf.DUMMYFUNCTION("""COMPUTED_VALUE"""),"Totempie")</f>
        <v>Totempie</v>
      </c>
      <c r="BD12" s="111" t="str">
        <f>IFERROR(__xludf.DUMMYFUNCTION("""COMPUTED_VALUE"""),"Be Humble")</f>
        <v>Be Humble</v>
      </c>
      <c r="BE12" s="111" t="str">
        <f>IFERROR(__xludf.DUMMYFUNCTION("""COMPUTED_VALUE"""),"Twisting Nether")</f>
        <v>Twisting Nether</v>
      </c>
      <c r="BF12" s="108">
        <f>IFERROR(__xludf.DUMMYFUNCTION("""COMPUTED_VALUE"""),410.56)</f>
        <v>410.56</v>
      </c>
      <c r="BG12" s="111" t="str">
        <f>IFERROR(__xludf.DUMMYFUNCTION("""COMPUTED_VALUE"""),"9 days ago")</f>
        <v>9 days ago</v>
      </c>
      <c r="BH12" s="118"/>
      <c r="BI12" s="116" t="str">
        <f>IFERROR(__xludf.DUMMYFUNCTION("""COMPUTED_VALUE"""),"Topysan")</f>
        <v>Topysan</v>
      </c>
      <c r="BJ12" s="111" t="str">
        <f>IFERROR(__xludf.DUMMYFUNCTION("""COMPUTED_VALUE"""),"")</f>
        <v/>
      </c>
      <c r="BK12" s="111" t="str">
        <f>IFERROR(__xludf.DUMMYFUNCTION("""COMPUTED_VALUE"""),"Draenor")</f>
        <v>Draenor</v>
      </c>
      <c r="BL12" s="108">
        <f>IFERROR(__xludf.DUMMYFUNCTION("""COMPUTED_VALUE"""),409.0)</f>
        <v>409</v>
      </c>
      <c r="BM12" s="111" t="str">
        <f>IFERROR(__xludf.DUMMYFUNCTION("""COMPUTED_VALUE"""),"14 days ago")</f>
        <v>14 days ago</v>
      </c>
      <c r="BN12" s="119"/>
      <c r="BO12" s="116" t="str">
        <f>IFERROR(__xludf.DUMMYFUNCTION("""COMPUTED_VALUE"""),"Flashfartxd")</f>
        <v>Flashfartxd</v>
      </c>
      <c r="BP12" s="111" t="str">
        <f>IFERROR(__xludf.DUMMYFUNCTION("""COMPUTED_VALUE"""),"Lagom")</f>
        <v>Lagom</v>
      </c>
      <c r="BQ12" s="111" t="str">
        <f>IFERROR(__xludf.DUMMYFUNCTION("""COMPUTED_VALUE"""),"Kazzak")</f>
        <v>Kazzak</v>
      </c>
      <c r="BR12" s="108">
        <f>IFERROR(__xludf.DUMMYFUNCTION("""COMPUTED_VALUE"""),409.94)</f>
        <v>409.94</v>
      </c>
      <c r="BS12" s="111" t="str">
        <f>IFERROR(__xludf.DUMMYFUNCTION("""COMPUTED_VALUE"""),"19 hours ago")</f>
        <v>19 hours ago</v>
      </c>
      <c r="BT12" s="120"/>
      <c r="BU12" s="107" t="str">
        <f t="shared" ref="BU12:BY12" si="7">A12</f>
        <v>Teabag</v>
      </c>
      <c r="BV12" s="107" t="str">
        <f t="shared" si="7"/>
        <v/>
      </c>
      <c r="BW12" s="107" t="str">
        <f t="shared" si="7"/>
        <v>Ragnaros</v>
      </c>
      <c r="BX12" s="107">
        <f t="shared" si="7"/>
        <v>412</v>
      </c>
      <c r="BY12" s="107" t="str">
        <f t="shared" si="7"/>
        <v>2 days ago</v>
      </c>
      <c r="BZ12" s="108"/>
    </row>
    <row r="13">
      <c r="A13" t="str">
        <f>IFERROR(__xludf.DUMMYFUNCTION("""COMPUTED_VALUE"""),"Slydk")</f>
        <v>Slydk</v>
      </c>
      <c r="B13" t="str">
        <f>IFERROR(__xludf.DUMMYFUNCTION("""COMPUTED_VALUE"""),"Acoustic")</f>
        <v>Acoustic</v>
      </c>
      <c r="C13" t="str">
        <f>IFERROR(__xludf.DUMMYFUNCTION("""COMPUTED_VALUE"""),"Twisting Nether")</f>
        <v>Twisting Nether</v>
      </c>
      <c r="D13">
        <f>IFERROR(__xludf.DUMMYFUNCTION("""COMPUTED_VALUE"""),411.63)</f>
        <v>411.63</v>
      </c>
      <c r="E13" t="str">
        <f>IFERROR(__xludf.DUMMYFUNCTION("""COMPUTED_VALUE"""),"1 day ago")</f>
        <v>1 day ago</v>
      </c>
      <c r="F13" s="94"/>
      <c r="G13" t="str">
        <f>IFERROR(__xludf.DUMMYFUNCTION("""COMPUTED_VALUE"""),"Weabooslayer")</f>
        <v>Weabooslayer</v>
      </c>
      <c r="H13" t="str">
        <f>IFERROR(__xludf.DUMMYFUNCTION("""COMPUTED_VALUE"""),"Merry Graverobbers")</f>
        <v>Merry Graverobbers</v>
      </c>
      <c r="I13" t="str">
        <f>IFERROR(__xludf.DUMMYFUNCTION("""COMPUTED_VALUE"""),"Stormreaver")</f>
        <v>Stormreaver</v>
      </c>
      <c r="J13">
        <f>IFERROR(__xludf.DUMMYFUNCTION("""COMPUTED_VALUE"""),412.13)</f>
        <v>412.13</v>
      </c>
      <c r="K13" t="str">
        <f>IFERROR(__xludf.DUMMYFUNCTION("""COMPUTED_VALUE"""),"3 days ago")</f>
        <v>3 days ago</v>
      </c>
      <c r="L13" s="95"/>
      <c r="M13" t="str">
        <f>IFERROR(__xludf.DUMMYFUNCTION("""COMPUTED_VALUE"""),"Ainé")</f>
        <v>Ainé</v>
      </c>
      <c r="N13" t="str">
        <f>IFERROR(__xludf.DUMMYFUNCTION("""COMPUTED_VALUE"""),"Turtles")</f>
        <v>Turtles</v>
      </c>
      <c r="O13" t="str">
        <f>IFERROR(__xludf.DUMMYFUNCTION("""COMPUTED_VALUE"""),"Tarren Mill")</f>
        <v>Tarren Mill</v>
      </c>
      <c r="P13">
        <f>IFERROR(__xludf.DUMMYFUNCTION("""COMPUTED_VALUE"""),410.56)</f>
        <v>410.56</v>
      </c>
      <c r="Q13" t="str">
        <f>IFERROR(__xludf.DUMMYFUNCTION("""COMPUTED_VALUE"""),"26 days ago")</f>
        <v>26 days ago</v>
      </c>
      <c r="R13" s="96"/>
      <c r="S13" t="str">
        <f>IFERROR(__xludf.DUMMYFUNCTION("""COMPUTED_VALUE"""),"Faxxen")</f>
        <v>Faxxen</v>
      </c>
      <c r="T13" t="str">
        <f>IFERROR(__xludf.DUMMYFUNCTION("""COMPUTED_VALUE"""),"Made for More")</f>
        <v>Made for More</v>
      </c>
      <c r="U13" t="str">
        <f>IFERROR(__xludf.DUMMYFUNCTION("""COMPUTED_VALUE"""),"Kazzak")</f>
        <v>Kazzak</v>
      </c>
      <c r="V13">
        <f>IFERROR(__xludf.DUMMYFUNCTION("""COMPUTED_VALUE"""),410.06)</f>
        <v>410.06</v>
      </c>
      <c r="W13" t="str">
        <f>IFERROR(__xludf.DUMMYFUNCTION("""COMPUTED_VALUE"""),"12 days ago")</f>
        <v>12 days ago</v>
      </c>
      <c r="X13" s="97"/>
      <c r="Y13" s="111" t="str">
        <f>IFERROR(__xludf.DUMMYFUNCTION("""COMPUTED_VALUE"""),"Brelshar")</f>
        <v>Brelshar</v>
      </c>
      <c r="Z13" s="111" t="str">
        <f>IFERROR(__xludf.DUMMYFUNCTION("""COMPUTED_VALUE"""),"")</f>
        <v/>
      </c>
      <c r="AA13" s="111" t="str">
        <f>IFERROR(__xludf.DUMMYFUNCTION("""COMPUTED_VALUE"""),"Twisting Nether")</f>
        <v>Twisting Nether</v>
      </c>
      <c r="AB13" s="108">
        <f>IFERROR(__xludf.DUMMYFUNCTION("""COMPUTED_VALUE"""),411.38)</f>
        <v>411.38</v>
      </c>
      <c r="AC13" s="111" t="str">
        <f>IFERROR(__xludf.DUMMYFUNCTION("""COMPUTED_VALUE"""),"3 days ago")</f>
        <v>3 days ago</v>
      </c>
      <c r="AD13" s="112"/>
      <c r="AE13" s="111" t="str">
        <f>IFERROR(__xludf.DUMMYFUNCTION("""COMPUTED_VALUE"""),"Ixxiinka")</f>
        <v>Ixxiinka</v>
      </c>
      <c r="AF13" s="111" t="str">
        <f>IFERROR(__xludf.DUMMYFUNCTION("""COMPUTED_VALUE"""),"Hi Goat")</f>
        <v>Hi Goat</v>
      </c>
      <c r="AG13" s="111" t="str">
        <f>IFERROR(__xludf.DUMMYFUNCTION("""COMPUTED_VALUE"""),"Tarren Mill")</f>
        <v>Tarren Mill</v>
      </c>
      <c r="AH13" s="111">
        <f>IFERROR(__xludf.DUMMYFUNCTION("""COMPUTED_VALUE"""),411.75)</f>
        <v>411.75</v>
      </c>
      <c r="AI13" s="111" t="str">
        <f>IFERROR(__xludf.DUMMYFUNCTION("""COMPUTED_VALUE"""),"3 days ago")</f>
        <v>3 days ago</v>
      </c>
      <c r="AJ13" s="113"/>
      <c r="AK13" s="111" t="str">
        <f>IFERROR(__xludf.DUMMYFUNCTION("""COMPUTED_VALUE"""),"Noobochief")</f>
        <v>Noobochief</v>
      </c>
      <c r="AL13" s="111" t="str">
        <f>IFERROR(__xludf.DUMMYFUNCTION("""COMPUTED_VALUE"""),"")</f>
        <v/>
      </c>
      <c r="AM13" s="111" t="str">
        <f>IFERROR(__xludf.DUMMYFUNCTION("""COMPUTED_VALUE"""),"Terokkar")</f>
        <v>Terokkar</v>
      </c>
      <c r="AN13" s="108">
        <f>IFERROR(__xludf.DUMMYFUNCTION("""COMPUTED_VALUE"""),411.06)</f>
        <v>411.06</v>
      </c>
      <c r="AO13" s="111" t="str">
        <f>IFERROR(__xludf.DUMMYFUNCTION("""COMPUTED_VALUE"""),"5 days ago")</f>
        <v>5 days ago</v>
      </c>
      <c r="AP13" s="114"/>
      <c r="AQ13" s="111" t="str">
        <f>IFERROR(__xludf.DUMMYFUNCTION("""COMPUTED_VALUE"""),"Slickpriest")</f>
        <v>Slickpriest</v>
      </c>
      <c r="AR13" s="111" t="str">
        <f>IFERROR(__xludf.DUMMYFUNCTION("""COMPUTED_VALUE"""),"Send Help")</f>
        <v>Send Help</v>
      </c>
      <c r="AS13" s="111" t="str">
        <f>IFERROR(__xludf.DUMMYFUNCTION("""COMPUTED_VALUE"""),"Frostwhisper")</f>
        <v>Frostwhisper</v>
      </c>
      <c r="AT13" s="108">
        <f>IFERROR(__xludf.DUMMYFUNCTION("""COMPUTED_VALUE"""),409.75)</f>
        <v>409.75</v>
      </c>
      <c r="AU13" s="111" t="str">
        <f>IFERROR(__xludf.DUMMYFUNCTION("""COMPUTED_VALUE"""),"22 hours ago")</f>
        <v>22 hours ago</v>
      </c>
      <c r="AV13" s="115"/>
      <c r="AW13" s="116" t="str">
        <f>IFERROR(__xludf.DUMMYFUNCTION("""COMPUTED_VALUE"""),"Visperax")</f>
        <v>Visperax</v>
      </c>
      <c r="AX13" s="111" t="str">
        <f>IFERROR(__xludf.DUMMYFUNCTION("""COMPUTED_VALUE"""),"Acoustic")</f>
        <v>Acoustic</v>
      </c>
      <c r="AY13" s="111" t="str">
        <f>IFERROR(__xludf.DUMMYFUNCTION("""COMPUTED_VALUE"""),"Twisting Nether")</f>
        <v>Twisting Nether</v>
      </c>
      <c r="AZ13" s="108">
        <f>IFERROR(__xludf.DUMMYFUNCTION("""COMPUTED_VALUE"""),411.19)</f>
        <v>411.19</v>
      </c>
      <c r="BA13" s="111" t="str">
        <f>IFERROR(__xludf.DUMMYFUNCTION("""COMPUTED_VALUE"""),"3 hours ago")</f>
        <v>3 hours ago</v>
      </c>
      <c r="BB13" s="117"/>
      <c r="BC13" s="116" t="str">
        <f>IFERROR(__xludf.DUMMYFUNCTION("""COMPUTED_VALUE"""),"Essendy")</f>
        <v>Essendy</v>
      </c>
      <c r="BD13" s="111" t="str">
        <f>IFERROR(__xludf.DUMMYFUNCTION("""COMPUTED_VALUE"""),"")</f>
        <v/>
      </c>
      <c r="BE13" s="111" t="str">
        <f>IFERROR(__xludf.DUMMYFUNCTION("""COMPUTED_VALUE"""),"Kazzak")</f>
        <v>Kazzak</v>
      </c>
      <c r="BF13" s="108">
        <f>IFERROR(__xludf.DUMMYFUNCTION("""COMPUTED_VALUE"""),410.0)</f>
        <v>410</v>
      </c>
      <c r="BG13" s="111" t="str">
        <f>IFERROR(__xludf.DUMMYFUNCTION("""COMPUTED_VALUE"""),"4 days ago")</f>
        <v>4 days ago</v>
      </c>
      <c r="BH13" s="118"/>
      <c r="BI13" s="116" t="str">
        <f>IFERROR(__xludf.DUMMYFUNCTION("""COMPUTED_VALUE"""),"Redumtion")</f>
        <v>Redumtion</v>
      </c>
      <c r="BJ13" s="111" t="str">
        <f>IFERROR(__xludf.DUMMYFUNCTION("""COMPUTED_VALUE"""),"Team Epic")</f>
        <v>Team Epic</v>
      </c>
      <c r="BK13" s="111" t="str">
        <f>IFERROR(__xludf.DUMMYFUNCTION("""COMPUTED_VALUE"""),"Steamwheedle Cartel")</f>
        <v>Steamwheedle Cartel</v>
      </c>
      <c r="BL13" s="108">
        <f>IFERROR(__xludf.DUMMYFUNCTION("""COMPUTED_VALUE"""),409.0)</f>
        <v>409</v>
      </c>
      <c r="BM13" s="111" t="str">
        <f>IFERROR(__xludf.DUMMYFUNCTION("""COMPUTED_VALUE"""),"4 days ago")</f>
        <v>4 days ago</v>
      </c>
      <c r="BN13" s="119"/>
      <c r="BO13" s="116" t="str">
        <f>IFERROR(__xludf.DUMMYFUNCTION("""COMPUTED_VALUE"""),"Gasmidis")</f>
        <v>Gasmidis</v>
      </c>
      <c r="BP13" s="111" t="str">
        <f>IFERROR(__xludf.DUMMYFUNCTION("""COMPUTED_VALUE"""),"Gehenna")</f>
        <v>Gehenna</v>
      </c>
      <c r="BQ13" s="111" t="str">
        <f>IFERROR(__xludf.DUMMYFUNCTION("""COMPUTED_VALUE"""),"Stormreaver")</f>
        <v>Stormreaver</v>
      </c>
      <c r="BR13" s="108">
        <f>IFERROR(__xludf.DUMMYFUNCTION("""COMPUTED_VALUE"""),409.69)</f>
        <v>409.69</v>
      </c>
      <c r="BS13" s="111" t="str">
        <f>IFERROR(__xludf.DUMMYFUNCTION("""COMPUTED_VALUE"""),"2 days ago")</f>
        <v>2 days ago</v>
      </c>
      <c r="BT13" s="120"/>
      <c r="BU13" s="107" t="str">
        <f t="shared" ref="BU13:BY13" si="8">A13</f>
        <v>Slydk</v>
      </c>
      <c r="BV13" s="107" t="str">
        <f t="shared" si="8"/>
        <v>Acoustic</v>
      </c>
      <c r="BW13" s="107" t="str">
        <f t="shared" si="8"/>
        <v>Twisting Nether</v>
      </c>
      <c r="BX13" s="107">
        <f t="shared" si="8"/>
        <v>411.63</v>
      </c>
      <c r="BY13" s="107" t="str">
        <f t="shared" si="8"/>
        <v>1 day ago</v>
      </c>
      <c r="BZ13" s="108"/>
    </row>
    <row r="14">
      <c r="A14" t="str">
        <f>IFERROR(__xludf.DUMMYFUNCTION("""COMPUTED_VALUE"""),"Vipetta")</f>
        <v>Vipetta</v>
      </c>
      <c r="B14" t="str">
        <f>IFERROR(__xludf.DUMMYFUNCTION("""COMPUTED_VALUE"""),"Nothing")</f>
        <v>Nothing</v>
      </c>
      <c r="C14" t="str">
        <f>IFERROR(__xludf.DUMMYFUNCTION("""COMPUTED_VALUE"""),"Magtheridon")</f>
        <v>Magtheridon</v>
      </c>
      <c r="D14">
        <f>IFERROR(__xludf.DUMMYFUNCTION("""COMPUTED_VALUE"""),411.56)</f>
        <v>411.56</v>
      </c>
      <c r="E14" t="str">
        <f>IFERROR(__xludf.DUMMYFUNCTION("""COMPUTED_VALUE"""),"18 days ago")</f>
        <v>18 days ago</v>
      </c>
      <c r="F14" s="94"/>
      <c r="G14" t="str">
        <f>IFERROR(__xludf.DUMMYFUNCTION("""COMPUTED_VALUE"""),"Athûl")</f>
        <v>Athûl</v>
      </c>
      <c r="H14" t="str">
        <f>IFERROR(__xludf.DUMMYFUNCTION("""COMPUTED_VALUE"""),"")</f>
        <v/>
      </c>
      <c r="I14" t="str">
        <f>IFERROR(__xludf.DUMMYFUNCTION("""COMPUTED_VALUE"""),"Kazzak")</f>
        <v>Kazzak</v>
      </c>
      <c r="J14">
        <f>IFERROR(__xludf.DUMMYFUNCTION("""COMPUTED_VALUE"""),412.0)</f>
        <v>412</v>
      </c>
      <c r="K14" t="str">
        <f>IFERROR(__xludf.DUMMYFUNCTION("""COMPUTED_VALUE"""),"3 days ago")</f>
        <v>3 days ago</v>
      </c>
      <c r="L14" s="95"/>
      <c r="M14" t="str">
        <f>IFERROR(__xludf.DUMMYFUNCTION("""COMPUTED_VALUE"""),"Randomilidan")</f>
        <v>Randomilidan</v>
      </c>
      <c r="N14" t="str">
        <f>IFERROR(__xludf.DUMMYFUNCTION("""COMPUTED_VALUE"""),"")</f>
        <v/>
      </c>
      <c r="O14" t="str">
        <f>IFERROR(__xludf.DUMMYFUNCTION("""COMPUTED_VALUE"""),"Draenor")</f>
        <v>Draenor</v>
      </c>
      <c r="P14">
        <f>IFERROR(__xludf.DUMMYFUNCTION("""COMPUTED_VALUE"""),410.38)</f>
        <v>410.38</v>
      </c>
      <c r="Q14" t="str">
        <f>IFERROR(__xludf.DUMMYFUNCTION("""COMPUTED_VALUE"""),"11 days ago")</f>
        <v>11 days ago</v>
      </c>
      <c r="R14" s="96"/>
      <c r="S14" t="str">
        <f>IFERROR(__xludf.DUMMYFUNCTION("""COMPUTED_VALUE"""),"Stormbreaks")</f>
        <v>Stormbreaks</v>
      </c>
      <c r="T14" t="str">
        <f>IFERROR(__xludf.DUMMYFUNCTION("""COMPUTED_VALUE"""),"Pulse")</f>
        <v>Pulse</v>
      </c>
      <c r="U14" t="str">
        <f>IFERROR(__xludf.DUMMYFUNCTION("""COMPUTED_VALUE"""),"Silvermoon")</f>
        <v>Silvermoon</v>
      </c>
      <c r="V14">
        <f>IFERROR(__xludf.DUMMYFUNCTION("""COMPUTED_VALUE"""),409.75)</f>
        <v>409.75</v>
      </c>
      <c r="W14" t="str">
        <f>IFERROR(__xludf.DUMMYFUNCTION("""COMPUTED_VALUE"""),"2 days ago")</f>
        <v>2 days ago</v>
      </c>
      <c r="X14" s="97"/>
      <c r="Y14" s="111" t="str">
        <f>IFERROR(__xludf.DUMMYFUNCTION("""COMPUTED_VALUE"""),"Teapea")</f>
        <v>Teapea</v>
      </c>
      <c r="Z14" s="111" t="str">
        <f>IFERROR(__xludf.DUMMYFUNCTION("""COMPUTED_VALUE"""),"IS PRO")</f>
        <v>IS PRO</v>
      </c>
      <c r="AA14" s="111" t="str">
        <f>IFERROR(__xludf.DUMMYFUNCTION("""COMPUTED_VALUE"""),"Sylvanas")</f>
        <v>Sylvanas</v>
      </c>
      <c r="AB14" s="108">
        <f>IFERROR(__xludf.DUMMYFUNCTION("""COMPUTED_VALUE"""),411.06)</f>
        <v>411.06</v>
      </c>
      <c r="AC14" s="111" t="str">
        <f>IFERROR(__xludf.DUMMYFUNCTION("""COMPUTED_VALUE"""),"13 hours ago")</f>
        <v>13 hours ago</v>
      </c>
      <c r="AD14" s="112"/>
      <c r="AE14" s="111" t="str">
        <f>IFERROR(__xludf.DUMMYFUNCTION("""COMPUTED_VALUE"""),"Prvda")</f>
        <v>Prvda</v>
      </c>
      <c r="AF14" s="111" t="str">
        <f>IFERROR(__xludf.DUMMYFUNCTION("""COMPUTED_VALUE"""),"Improve")</f>
        <v>Improve</v>
      </c>
      <c r="AG14" s="111" t="str">
        <f>IFERROR(__xludf.DUMMYFUNCTION("""COMPUTED_VALUE"""),"Tarren Mill")</f>
        <v>Tarren Mill</v>
      </c>
      <c r="AH14" s="111">
        <f>IFERROR(__xludf.DUMMYFUNCTION("""COMPUTED_VALUE"""),411.69)</f>
        <v>411.69</v>
      </c>
      <c r="AI14" s="111" t="str">
        <f>IFERROR(__xludf.DUMMYFUNCTION("""COMPUTED_VALUE"""),"10 days ago")</f>
        <v>10 days ago</v>
      </c>
      <c r="AJ14" s="113"/>
      <c r="AK14" s="111" t="str">
        <f>IFERROR(__xludf.DUMMYFUNCTION("""COMPUTED_VALUE"""),"Celestekun")</f>
        <v>Celestekun</v>
      </c>
      <c r="AL14" s="111" t="str">
        <f>IFERROR(__xludf.DUMMYFUNCTION("""COMPUTED_VALUE"""),"Be Humble")</f>
        <v>Be Humble</v>
      </c>
      <c r="AM14" s="111" t="str">
        <f>IFERROR(__xludf.DUMMYFUNCTION("""COMPUTED_VALUE"""),"Twisting Nether")</f>
        <v>Twisting Nether</v>
      </c>
      <c r="AN14" s="108">
        <f>IFERROR(__xludf.DUMMYFUNCTION("""COMPUTED_VALUE"""),410.56)</f>
        <v>410.56</v>
      </c>
      <c r="AO14" s="111" t="str">
        <f>IFERROR(__xludf.DUMMYFUNCTION("""COMPUTED_VALUE"""),"2 days ago")</f>
        <v>2 days ago</v>
      </c>
      <c r="AP14" s="114"/>
      <c r="AQ14" s="111" t="str">
        <f>IFERROR(__xludf.DUMMYFUNCTION("""COMPUTED_VALUE"""),"Géhenna")</f>
        <v>Géhenna</v>
      </c>
      <c r="AR14" s="111" t="str">
        <f>IFERROR(__xludf.DUMMYFUNCTION("""COMPUTED_VALUE"""),"Acoustic")</f>
        <v>Acoustic</v>
      </c>
      <c r="AS14" s="111" t="str">
        <f>IFERROR(__xludf.DUMMYFUNCTION("""COMPUTED_VALUE"""),"Twisting Nether")</f>
        <v>Twisting Nether</v>
      </c>
      <c r="AT14" s="108">
        <f>IFERROR(__xludf.DUMMYFUNCTION("""COMPUTED_VALUE"""),409.19)</f>
        <v>409.19</v>
      </c>
      <c r="AU14" s="111" t="str">
        <f>IFERROR(__xludf.DUMMYFUNCTION("""COMPUTED_VALUE"""),"1 day ago")</f>
        <v>1 day ago</v>
      </c>
      <c r="AV14" s="115"/>
      <c r="AW14" s="116" t="str">
        <f>IFERROR(__xludf.DUMMYFUNCTION("""COMPUTED_VALUE"""),"Yoguys")</f>
        <v>Yoguys</v>
      </c>
      <c r="AX14" s="111" t="str">
        <f>IFERROR(__xludf.DUMMYFUNCTION("""COMPUTED_VALUE"""),"Hypoxic")</f>
        <v>Hypoxic</v>
      </c>
      <c r="AY14" s="111" t="str">
        <f>IFERROR(__xludf.DUMMYFUNCTION("""COMPUTED_VALUE"""),"Ahn'Qiraj")</f>
        <v>Ahn'Qiraj</v>
      </c>
      <c r="AZ14" s="108">
        <f>IFERROR(__xludf.DUMMYFUNCTION("""COMPUTED_VALUE"""),411.19)</f>
        <v>411.19</v>
      </c>
      <c r="BA14" s="111" t="str">
        <f>IFERROR(__xludf.DUMMYFUNCTION("""COMPUTED_VALUE"""),"1 day ago")</f>
        <v>1 day ago</v>
      </c>
      <c r="BB14" s="117"/>
      <c r="BC14" s="116" t="str">
        <f>IFERROR(__xludf.DUMMYFUNCTION("""COMPUTED_VALUE"""),"Marvzy")</f>
        <v>Marvzy</v>
      </c>
      <c r="BD14" s="111" t="str">
        <f>IFERROR(__xludf.DUMMYFUNCTION("""COMPUTED_VALUE"""),"YouKnowWhatTheySay")</f>
        <v>YouKnowWhatTheySay</v>
      </c>
      <c r="BE14" s="111" t="str">
        <f>IFERROR(__xludf.DUMMYFUNCTION("""COMPUTED_VALUE"""),"Kazzak")</f>
        <v>Kazzak</v>
      </c>
      <c r="BF14" s="108">
        <f>IFERROR(__xludf.DUMMYFUNCTION("""COMPUTED_VALUE"""),409.44)</f>
        <v>409.44</v>
      </c>
      <c r="BG14" s="111" t="str">
        <f>IFERROR(__xludf.DUMMYFUNCTION("""COMPUTED_VALUE"""),"9 days ago")</f>
        <v>9 days ago</v>
      </c>
      <c r="BH14" s="118"/>
      <c r="BI14" s="116" t="str">
        <f>IFERROR(__xludf.DUMMYFUNCTION("""COMPUTED_VALUE"""),"Demonizser")</f>
        <v>Demonizser</v>
      </c>
      <c r="BJ14" s="111" t="str">
        <f>IFERROR(__xludf.DUMMYFUNCTION("""COMPUTED_VALUE"""),"Project Nemesis")</f>
        <v>Project Nemesis</v>
      </c>
      <c r="BK14" s="111" t="str">
        <f>IFERROR(__xludf.DUMMYFUNCTION("""COMPUTED_VALUE"""),"Kazzak")</f>
        <v>Kazzak</v>
      </c>
      <c r="BL14" s="108">
        <f>IFERROR(__xludf.DUMMYFUNCTION("""COMPUTED_VALUE"""),408.69)</f>
        <v>408.69</v>
      </c>
      <c r="BM14" s="111" t="str">
        <f>IFERROR(__xludf.DUMMYFUNCTION("""COMPUTED_VALUE"""),"4 days ago")</f>
        <v>4 days ago</v>
      </c>
      <c r="BN14" s="119"/>
      <c r="BO14" s="116" t="str">
        <f>IFERROR(__xludf.DUMMYFUNCTION("""COMPUTED_VALUE"""),"Sortus")</f>
        <v>Sortus</v>
      </c>
      <c r="BP14" s="111" t="str">
        <f>IFERROR(__xludf.DUMMYFUNCTION("""COMPUTED_VALUE"""),"Way to Toxic")</f>
        <v>Way to Toxic</v>
      </c>
      <c r="BQ14" s="111" t="str">
        <f>IFERROR(__xludf.DUMMYFUNCTION("""COMPUTED_VALUE"""),"Burning Legion")</f>
        <v>Burning Legion</v>
      </c>
      <c r="BR14" s="108">
        <f>IFERROR(__xludf.DUMMYFUNCTION("""COMPUTED_VALUE"""),409.63)</f>
        <v>409.63</v>
      </c>
      <c r="BS14" s="111" t="str">
        <f>IFERROR(__xludf.DUMMYFUNCTION("""COMPUTED_VALUE"""),"4 days ago")</f>
        <v>4 days ago</v>
      </c>
      <c r="BT14" s="120"/>
      <c r="BU14" s="107" t="str">
        <f t="shared" ref="BU14:BY14" si="9">A14</f>
        <v>Vipetta</v>
      </c>
      <c r="BV14" s="107" t="str">
        <f t="shared" si="9"/>
        <v>Nothing</v>
      </c>
      <c r="BW14" s="107" t="str">
        <f t="shared" si="9"/>
        <v>Magtheridon</v>
      </c>
      <c r="BX14" s="107">
        <f t="shared" si="9"/>
        <v>411.56</v>
      </c>
      <c r="BY14" s="107" t="str">
        <f t="shared" si="9"/>
        <v>18 days ago</v>
      </c>
      <c r="BZ14" s="108"/>
    </row>
    <row r="15">
      <c r="A15" t="str">
        <f>IFERROR(__xludf.DUMMYFUNCTION("""COMPUTED_VALUE"""),"Pararius")</f>
        <v>Pararius</v>
      </c>
      <c r="B15" t="str">
        <f>IFERROR(__xludf.DUMMYFUNCTION("""COMPUTED_VALUE"""),"Ineffable")</f>
        <v>Ineffable</v>
      </c>
      <c r="C15" t="str">
        <f>IFERROR(__xludf.DUMMYFUNCTION("""COMPUTED_VALUE"""),"Tarren Mill")</f>
        <v>Tarren Mill</v>
      </c>
      <c r="D15">
        <f>IFERROR(__xludf.DUMMYFUNCTION("""COMPUTED_VALUE"""),411.19)</f>
        <v>411.19</v>
      </c>
      <c r="E15" t="str">
        <f>IFERROR(__xludf.DUMMYFUNCTION("""COMPUTED_VALUE"""),"24 days ago")</f>
        <v>24 days ago</v>
      </c>
      <c r="F15" s="94"/>
      <c r="G15" t="str">
        <f>IFERROR(__xludf.DUMMYFUNCTION("""COMPUTED_VALUE"""),"Speedy")</f>
        <v>Speedy</v>
      </c>
      <c r="H15" t="str">
        <f>IFERROR(__xludf.DUMMYFUNCTION("""COMPUTED_VALUE"""),"Team Epic")</f>
        <v>Team Epic</v>
      </c>
      <c r="I15" t="str">
        <f>IFERROR(__xludf.DUMMYFUNCTION("""COMPUTED_VALUE"""),"Moonglade")</f>
        <v>Moonglade</v>
      </c>
      <c r="J15">
        <f>IFERROR(__xludf.DUMMYFUNCTION("""COMPUTED_VALUE"""),411.94)</f>
        <v>411.94</v>
      </c>
      <c r="K15" t="str">
        <f>IFERROR(__xludf.DUMMYFUNCTION("""COMPUTED_VALUE"""),"2 hours ago")</f>
        <v>2 hours ago</v>
      </c>
      <c r="L15" s="95"/>
      <c r="M15" t="str">
        <f>IFERROR(__xludf.DUMMYFUNCTION("""COMPUTED_VALUE"""),"Treesen")</f>
        <v>Treesen</v>
      </c>
      <c r="N15" t="str">
        <f>IFERROR(__xludf.DUMMYFUNCTION("""COMPUTED_VALUE"""),"")</f>
        <v/>
      </c>
      <c r="O15" t="str">
        <f>IFERROR(__xludf.DUMMYFUNCTION("""COMPUTED_VALUE"""),"Draenor")</f>
        <v>Draenor</v>
      </c>
      <c r="P15">
        <f>IFERROR(__xludf.DUMMYFUNCTION("""COMPUTED_VALUE"""),410.38)</f>
        <v>410.38</v>
      </c>
      <c r="Q15" t="str">
        <f>IFERROR(__xludf.DUMMYFUNCTION("""COMPUTED_VALUE"""),"4 days ago")</f>
        <v>4 days ago</v>
      </c>
      <c r="R15" s="96"/>
      <c r="S15" t="str">
        <f>IFERROR(__xludf.DUMMYFUNCTION("""COMPUTED_VALUE"""),"Klapigolas")</f>
        <v>Klapigolas</v>
      </c>
      <c r="T15" t="str">
        <f>IFERROR(__xludf.DUMMYFUNCTION("""COMPUTED_VALUE"""),"Clique")</f>
        <v>Clique</v>
      </c>
      <c r="U15" t="str">
        <f>IFERROR(__xludf.DUMMYFUNCTION("""COMPUTED_VALUE"""),"Draenor")</f>
        <v>Draenor</v>
      </c>
      <c r="V15">
        <f>IFERROR(__xludf.DUMMYFUNCTION("""COMPUTED_VALUE"""),409.25)</f>
        <v>409.25</v>
      </c>
      <c r="W15" t="str">
        <f>IFERROR(__xludf.DUMMYFUNCTION("""COMPUTED_VALUE"""),"17 days ago")</f>
        <v>17 days ago</v>
      </c>
      <c r="X15" s="97"/>
      <c r="Y15" s="111" t="str">
        <f>IFERROR(__xludf.DUMMYFUNCTION("""COMPUTED_VALUE"""),"Papoolee")</f>
        <v>Papoolee</v>
      </c>
      <c r="Z15" s="111" t="str">
        <f>IFERROR(__xludf.DUMMYFUNCTION("""COMPUTED_VALUE"""),"")</f>
        <v/>
      </c>
      <c r="AA15" s="111" t="str">
        <f>IFERROR(__xludf.DUMMYFUNCTION("""COMPUTED_VALUE"""),"Kazzak")</f>
        <v>Kazzak</v>
      </c>
      <c r="AB15" s="108">
        <f>IFERROR(__xludf.DUMMYFUNCTION("""COMPUTED_VALUE"""),410.88)</f>
        <v>410.88</v>
      </c>
      <c r="AC15" s="111" t="str">
        <f>IFERROR(__xludf.DUMMYFUNCTION("""COMPUTED_VALUE"""),"7 days ago")</f>
        <v>7 days ago</v>
      </c>
      <c r="AD15" s="112"/>
      <c r="AE15" s="111" t="str">
        <f>IFERROR(__xludf.DUMMYFUNCTION("""COMPUTED_VALUE"""),"Haalbrew")</f>
        <v>Haalbrew</v>
      </c>
      <c r="AF15" s="111" t="str">
        <f>IFERROR(__xludf.DUMMYFUNCTION("""COMPUTED_VALUE"""),"Stormwall")</f>
        <v>Stormwall</v>
      </c>
      <c r="AG15" s="111" t="str">
        <f>IFERROR(__xludf.DUMMYFUNCTION("""COMPUTED_VALUE"""),"Draenor")</f>
        <v>Draenor</v>
      </c>
      <c r="AH15" s="111">
        <f>IFERROR(__xludf.DUMMYFUNCTION("""COMPUTED_VALUE"""),411.13)</f>
        <v>411.13</v>
      </c>
      <c r="AI15" s="111" t="str">
        <f>IFERROR(__xludf.DUMMYFUNCTION("""COMPUTED_VALUE"""),"2 days ago")</f>
        <v>2 days ago</v>
      </c>
      <c r="AJ15" s="113"/>
      <c r="AK15" s="111" t="str">
        <f>IFERROR(__xludf.DUMMYFUNCTION("""COMPUTED_VALUE"""),"Flaudran")</f>
        <v>Flaudran</v>
      </c>
      <c r="AL15" s="111" t="str">
        <f>IFERROR(__xludf.DUMMYFUNCTION("""COMPUTED_VALUE"""),"Borderline Violent")</f>
        <v>Borderline Violent</v>
      </c>
      <c r="AM15" s="111" t="str">
        <f>IFERROR(__xludf.DUMMYFUNCTION("""COMPUTED_VALUE"""),"Kazzak")</f>
        <v>Kazzak</v>
      </c>
      <c r="AN15" s="108">
        <f>IFERROR(__xludf.DUMMYFUNCTION("""COMPUTED_VALUE"""),410.5)</f>
        <v>410.5</v>
      </c>
      <c r="AO15" s="111" t="str">
        <f>IFERROR(__xludf.DUMMYFUNCTION("""COMPUTED_VALUE"""),"25 days ago")</f>
        <v>25 days ago</v>
      </c>
      <c r="AP15" s="114"/>
      <c r="AQ15" s="111" t="str">
        <f>IFERROR(__xludf.DUMMYFUNCTION("""COMPUTED_VALUE"""),"Astrellia")</f>
        <v>Astrellia</v>
      </c>
      <c r="AR15" s="111" t="str">
        <f>IFERROR(__xludf.DUMMYFUNCTION("""COMPUTED_VALUE"""),"Solacium")</f>
        <v>Solacium</v>
      </c>
      <c r="AS15" s="111" t="str">
        <f>IFERROR(__xludf.DUMMYFUNCTION("""COMPUTED_VALUE"""),"Kazzak")</f>
        <v>Kazzak</v>
      </c>
      <c r="AT15" s="108">
        <f>IFERROR(__xludf.DUMMYFUNCTION("""COMPUTED_VALUE"""),409.06)</f>
        <v>409.06</v>
      </c>
      <c r="AU15" s="111" t="str">
        <f>IFERROR(__xludf.DUMMYFUNCTION("""COMPUTED_VALUE"""),"10 days ago")</f>
        <v>10 days ago</v>
      </c>
      <c r="AV15" s="115"/>
      <c r="AW15" s="116" t="str">
        <f>IFERROR(__xludf.DUMMYFUNCTION("""COMPUTED_VALUE"""),"Shådôwröùgëx")</f>
        <v>Shådôwröùgëx</v>
      </c>
      <c r="AX15" s="111" t="str">
        <f>IFERROR(__xludf.DUMMYFUNCTION("""COMPUTED_VALUE"""),"")</f>
        <v/>
      </c>
      <c r="AY15" s="111" t="str">
        <f>IFERROR(__xludf.DUMMYFUNCTION("""COMPUTED_VALUE"""),"Ravencrest")</f>
        <v>Ravencrest</v>
      </c>
      <c r="AZ15" s="108">
        <f>IFERROR(__xludf.DUMMYFUNCTION("""COMPUTED_VALUE"""),410.88)</f>
        <v>410.88</v>
      </c>
      <c r="BA15" s="111" t="str">
        <f>IFERROR(__xludf.DUMMYFUNCTION("""COMPUTED_VALUE"""),"3 days ago")</f>
        <v>3 days ago</v>
      </c>
      <c r="BB15" s="117"/>
      <c r="BC15" s="116" t="str">
        <f>IFERROR(__xludf.DUMMYFUNCTION("""COMPUTED_VALUE"""),"Pälli")</f>
        <v>Pälli</v>
      </c>
      <c r="BD15" s="111" t="str">
        <f>IFERROR(__xludf.DUMMYFUNCTION("""COMPUTED_VALUE"""),"Send Help")</f>
        <v>Send Help</v>
      </c>
      <c r="BE15" s="111" t="str">
        <f>IFERROR(__xludf.DUMMYFUNCTION("""COMPUTED_VALUE"""),"Frostwhisper")</f>
        <v>Frostwhisper</v>
      </c>
      <c r="BF15" s="108">
        <f>IFERROR(__xludf.DUMMYFUNCTION("""COMPUTED_VALUE"""),408.88)</f>
        <v>408.88</v>
      </c>
      <c r="BG15" s="111" t="str">
        <f>IFERROR(__xludf.DUMMYFUNCTION("""COMPUTED_VALUE"""),"1 day ago")</f>
        <v>1 day ago</v>
      </c>
      <c r="BH15" s="118"/>
      <c r="BI15" s="116" t="str">
        <f>IFERROR(__xludf.DUMMYFUNCTION("""COMPUTED_VALUE"""),"Yondy")</f>
        <v>Yondy</v>
      </c>
      <c r="BJ15" s="111" t="str">
        <f>IFERROR(__xludf.DUMMYFUNCTION("""COMPUTED_VALUE"""),"Team Epic")</f>
        <v>Team Epic</v>
      </c>
      <c r="BK15" s="111" t="str">
        <f>IFERROR(__xludf.DUMMYFUNCTION("""COMPUTED_VALUE"""),"The Sha'tar")</f>
        <v>The Sha'tar</v>
      </c>
      <c r="BL15" s="108">
        <f>IFERROR(__xludf.DUMMYFUNCTION("""COMPUTED_VALUE"""),408.25)</f>
        <v>408.25</v>
      </c>
      <c r="BM15" s="111" t="str">
        <f>IFERROR(__xludf.DUMMYFUNCTION("""COMPUTED_VALUE"""),"1 hour ago")</f>
        <v>1 hour ago</v>
      </c>
      <c r="BN15" s="119"/>
      <c r="BO15" s="116" t="str">
        <f>IFERROR(__xludf.DUMMYFUNCTION("""COMPUTED_VALUE"""),"Laukagen")</f>
        <v>Laukagen</v>
      </c>
      <c r="BP15" s="111" t="str">
        <f>IFERROR(__xludf.DUMMYFUNCTION("""COMPUTED_VALUE"""),"Blonde")</f>
        <v>Blonde</v>
      </c>
      <c r="BQ15" s="111" t="str">
        <f>IFERROR(__xludf.DUMMYFUNCTION("""COMPUTED_VALUE"""),"Draenor")</f>
        <v>Draenor</v>
      </c>
      <c r="BR15" s="108">
        <f>IFERROR(__xludf.DUMMYFUNCTION("""COMPUTED_VALUE"""),409.5)</f>
        <v>409.5</v>
      </c>
      <c r="BS15" s="111" t="str">
        <f>IFERROR(__xludf.DUMMYFUNCTION("""COMPUTED_VALUE"""),"3 days ago")</f>
        <v>3 days ago</v>
      </c>
      <c r="BT15" s="120"/>
      <c r="BU15" s="107" t="str">
        <f t="shared" ref="BU15:BY15" si="10">A15</f>
        <v>Pararius</v>
      </c>
      <c r="BV15" s="107" t="str">
        <f t="shared" si="10"/>
        <v>Ineffable</v>
      </c>
      <c r="BW15" s="107" t="str">
        <f t="shared" si="10"/>
        <v>Tarren Mill</v>
      </c>
      <c r="BX15" s="107">
        <f t="shared" si="10"/>
        <v>411.19</v>
      </c>
      <c r="BY15" s="107" t="str">
        <f t="shared" si="10"/>
        <v>24 days ago</v>
      </c>
      <c r="BZ15" s="108"/>
    </row>
    <row r="16">
      <c r="A16" t="str">
        <f>IFERROR(__xludf.DUMMYFUNCTION("""COMPUTED_VALUE"""),"Drâma")</f>
        <v>Drâma</v>
      </c>
      <c r="B16" t="str">
        <f>IFERROR(__xludf.DUMMYFUNCTION("""COMPUTED_VALUE"""),"No Scrubs")</f>
        <v>No Scrubs</v>
      </c>
      <c r="C16" t="str">
        <f>IFERROR(__xludf.DUMMYFUNCTION("""COMPUTED_VALUE"""),"Kazzak")</f>
        <v>Kazzak</v>
      </c>
      <c r="D16">
        <f>IFERROR(__xludf.DUMMYFUNCTION("""COMPUTED_VALUE"""),411.0)</f>
        <v>411</v>
      </c>
      <c r="E16" t="str">
        <f>IFERROR(__xludf.DUMMYFUNCTION("""COMPUTED_VALUE"""),"12 days ago")</f>
        <v>12 days ago</v>
      </c>
      <c r="F16" s="94"/>
      <c r="G16" t="str">
        <f>IFERROR(__xludf.DUMMYFUNCTION("""COMPUTED_VALUE"""),"Donjudge")</f>
        <v>Donjudge</v>
      </c>
      <c r="H16" t="str">
        <f>IFERROR(__xludf.DUMMYFUNCTION("""COMPUTED_VALUE"""),"Highlights")</f>
        <v>Highlights</v>
      </c>
      <c r="I16" t="str">
        <f>IFERROR(__xludf.DUMMYFUNCTION("""COMPUTED_VALUE"""),"Kazzak")</f>
        <v>Kazzak</v>
      </c>
      <c r="J16">
        <f>IFERROR(__xludf.DUMMYFUNCTION("""COMPUTED_VALUE"""),411.06)</f>
        <v>411.06</v>
      </c>
      <c r="K16" t="str">
        <f>IFERROR(__xludf.DUMMYFUNCTION("""COMPUTED_VALUE"""),"9 days ago")</f>
        <v>9 days ago</v>
      </c>
      <c r="L16" s="95"/>
      <c r="M16" t="str">
        <f>IFERROR(__xludf.DUMMYFUNCTION("""COMPUTED_VALUE"""),"Gigabent")</f>
        <v>Gigabent</v>
      </c>
      <c r="N16" t="str">
        <f>IFERROR(__xludf.DUMMYFUNCTION("""COMPUTED_VALUE"""),"Death Wish")</f>
        <v>Death Wish</v>
      </c>
      <c r="O16" t="str">
        <f>IFERROR(__xludf.DUMMYFUNCTION("""COMPUTED_VALUE"""),"Ravencrest")</f>
        <v>Ravencrest</v>
      </c>
      <c r="P16">
        <f>IFERROR(__xludf.DUMMYFUNCTION("""COMPUTED_VALUE"""),410.31)</f>
        <v>410.31</v>
      </c>
      <c r="Q16" t="str">
        <f>IFERROR(__xludf.DUMMYFUNCTION("""COMPUTED_VALUE"""),"3 days ago")</f>
        <v>3 days ago</v>
      </c>
      <c r="R16" s="96"/>
      <c r="S16" t="str">
        <f>IFERROR(__xludf.DUMMYFUNCTION("""COMPUTED_VALUE"""),"Melatos")</f>
        <v>Melatos</v>
      </c>
      <c r="T16" t="str">
        <f>IFERROR(__xludf.DUMMYFUNCTION("""COMPUTED_VALUE"""),"Artificial Incompe..")</f>
        <v>Artificial Incompe..</v>
      </c>
      <c r="U16" t="str">
        <f>IFERROR(__xludf.DUMMYFUNCTION("""COMPUTED_VALUE"""),"Twisting Nether")</f>
        <v>Twisting Nether</v>
      </c>
      <c r="V16">
        <f>IFERROR(__xludf.DUMMYFUNCTION("""COMPUTED_VALUE"""),409.25)</f>
        <v>409.25</v>
      </c>
      <c r="W16" t="str">
        <f>IFERROR(__xludf.DUMMYFUNCTION("""COMPUTED_VALUE"""),"24 days ago")</f>
        <v>24 days ago</v>
      </c>
      <c r="X16" s="97"/>
      <c r="Y16" s="111" t="str">
        <f>IFERROR(__xludf.DUMMYFUNCTION("""COMPUTED_VALUE"""),"Castalina")</f>
        <v>Castalina</v>
      </c>
      <c r="Z16" s="111" t="str">
        <f>IFERROR(__xludf.DUMMYFUNCTION("""COMPUTED_VALUE"""),"Taco")</f>
        <v>Taco</v>
      </c>
      <c r="AA16" s="111" t="str">
        <f>IFERROR(__xludf.DUMMYFUNCTION("""COMPUTED_VALUE"""),"Tarren Mill")</f>
        <v>Tarren Mill</v>
      </c>
      <c r="AB16" s="108">
        <f>IFERROR(__xludf.DUMMYFUNCTION("""COMPUTED_VALUE"""),410.75)</f>
        <v>410.75</v>
      </c>
      <c r="AC16" s="111" t="str">
        <f>IFERROR(__xludf.DUMMYFUNCTION("""COMPUTED_VALUE"""),"15 hours ago")</f>
        <v>15 hours ago</v>
      </c>
      <c r="AD16" s="112"/>
      <c r="AE16" s="111" t="str">
        <f>IFERROR(__xludf.DUMMYFUNCTION("""COMPUTED_VALUE"""),"Cainin")</f>
        <v>Cainin</v>
      </c>
      <c r="AF16" s="111" t="str">
        <f>IFERROR(__xludf.DUMMYFUNCTION("""COMPUTED_VALUE"""),"Superbia")</f>
        <v>Superbia</v>
      </c>
      <c r="AG16" s="111" t="str">
        <f>IFERROR(__xludf.DUMMYFUNCTION("""COMPUTED_VALUE"""),"Kazzak")</f>
        <v>Kazzak</v>
      </c>
      <c r="AH16" s="111">
        <f>IFERROR(__xludf.DUMMYFUNCTION("""COMPUTED_VALUE"""),410.94)</f>
        <v>410.94</v>
      </c>
      <c r="AI16" s="111" t="str">
        <f>IFERROR(__xludf.DUMMYFUNCTION("""COMPUTED_VALUE"""),"2 days ago")</f>
        <v>2 days ago</v>
      </c>
      <c r="AJ16" s="113"/>
      <c r="AK16" s="111" t="str">
        <f>IFERROR(__xludf.DUMMYFUNCTION("""COMPUTED_VALUE"""),"Arasaronka")</f>
        <v>Arasaronka</v>
      </c>
      <c r="AL16" s="111" t="str">
        <f>IFERROR(__xludf.DUMMYFUNCTION("""COMPUTED_VALUE"""),"Blacklisted")</f>
        <v>Blacklisted</v>
      </c>
      <c r="AM16" s="111" t="str">
        <f>IFERROR(__xludf.DUMMYFUNCTION("""COMPUTED_VALUE"""),"Burning Blade")</f>
        <v>Burning Blade</v>
      </c>
      <c r="AN16" s="108">
        <f>IFERROR(__xludf.DUMMYFUNCTION("""COMPUTED_VALUE"""),410.38)</f>
        <v>410.38</v>
      </c>
      <c r="AO16" s="111" t="str">
        <f>IFERROR(__xludf.DUMMYFUNCTION("""COMPUTED_VALUE"""),"25 days ago")</f>
        <v>25 days ago</v>
      </c>
      <c r="AP16" s="114"/>
      <c r="AQ16" s="111" t="str">
        <f>IFERROR(__xludf.DUMMYFUNCTION("""COMPUTED_VALUE"""),"Tuzzapriest")</f>
        <v>Tuzzapriest</v>
      </c>
      <c r="AR16" s="111" t="str">
        <f>IFERROR(__xludf.DUMMYFUNCTION("""COMPUTED_VALUE"""),"Family Dinner")</f>
        <v>Family Dinner</v>
      </c>
      <c r="AS16" s="111" t="str">
        <f>IFERROR(__xludf.DUMMYFUNCTION("""COMPUTED_VALUE"""),"Twisting Nether")</f>
        <v>Twisting Nether</v>
      </c>
      <c r="AT16" s="108">
        <f>IFERROR(__xludf.DUMMYFUNCTION("""COMPUTED_VALUE"""),408.38)</f>
        <v>408.38</v>
      </c>
      <c r="AU16" s="111" t="str">
        <f>IFERROR(__xludf.DUMMYFUNCTION("""COMPUTED_VALUE"""),"1 day ago")</f>
        <v>1 day ago</v>
      </c>
      <c r="AV16" s="115"/>
      <c r="AW16" s="116" t="str">
        <f>IFERROR(__xludf.DUMMYFUNCTION("""COMPUTED_VALUE"""),"Resistánce")</f>
        <v>Resistánce</v>
      </c>
      <c r="AX16" s="111" t="str">
        <f>IFERROR(__xludf.DUMMYFUNCTION("""COMPUTED_VALUE"""),"Encore")</f>
        <v>Encore</v>
      </c>
      <c r="AY16" s="111" t="str">
        <f>IFERROR(__xludf.DUMMYFUNCTION("""COMPUTED_VALUE"""),"Burning Legion")</f>
        <v>Burning Legion</v>
      </c>
      <c r="AZ16" s="108">
        <f>IFERROR(__xludf.DUMMYFUNCTION("""COMPUTED_VALUE"""),410.75)</f>
        <v>410.75</v>
      </c>
      <c r="BA16" s="111" t="str">
        <f>IFERROR(__xludf.DUMMYFUNCTION("""COMPUTED_VALUE"""),"3 days ago")</f>
        <v>3 days ago</v>
      </c>
      <c r="BB16" s="117"/>
      <c r="BC16" s="116" t="str">
        <f>IFERROR(__xludf.DUMMYFUNCTION("""COMPUTED_VALUE"""),"Thallasha")</f>
        <v>Thallasha</v>
      </c>
      <c r="BD16" s="111" t="str">
        <f>IFERROR(__xludf.DUMMYFUNCTION("""COMPUTED_VALUE"""),"Not Envy")</f>
        <v>Not Envy</v>
      </c>
      <c r="BE16" s="111" t="str">
        <f>IFERROR(__xludf.DUMMYFUNCTION("""COMPUTED_VALUE"""),"Kazzak")</f>
        <v>Kazzak</v>
      </c>
      <c r="BF16" s="108">
        <f>IFERROR(__xludf.DUMMYFUNCTION("""COMPUTED_VALUE"""),408.75)</f>
        <v>408.75</v>
      </c>
      <c r="BG16" s="111" t="str">
        <f>IFERROR(__xludf.DUMMYFUNCTION("""COMPUTED_VALUE"""),"3 days ago")</f>
        <v>3 days ago</v>
      </c>
      <c r="BH16" s="118"/>
      <c r="BI16" s="116" t="str">
        <f>IFERROR(__xludf.DUMMYFUNCTION("""COMPUTED_VALUE"""),"Ondskab")</f>
        <v>Ondskab</v>
      </c>
      <c r="BJ16" s="111" t="str">
        <f>IFERROR(__xludf.DUMMYFUNCTION("""COMPUTED_VALUE"""),"Animal Faction")</f>
        <v>Animal Faction</v>
      </c>
      <c r="BK16" s="111" t="str">
        <f>IFERROR(__xludf.DUMMYFUNCTION("""COMPUTED_VALUE"""),"Draenor")</f>
        <v>Draenor</v>
      </c>
      <c r="BL16" s="108">
        <f>IFERROR(__xludf.DUMMYFUNCTION("""COMPUTED_VALUE"""),408.19)</f>
        <v>408.19</v>
      </c>
      <c r="BM16" s="111" t="str">
        <f>IFERROR(__xludf.DUMMYFUNCTION("""COMPUTED_VALUE"""),"19 hours ago")</f>
        <v>19 hours ago</v>
      </c>
      <c r="BN16" s="119"/>
      <c r="BO16" s="116" t="str">
        <f>IFERROR(__xludf.DUMMYFUNCTION("""COMPUTED_VALUE"""),"Breddie")</f>
        <v>Breddie</v>
      </c>
      <c r="BP16" s="111" t="str">
        <f>IFERROR(__xludf.DUMMYFUNCTION("""COMPUTED_VALUE"""),"Prydaz")</f>
        <v>Prydaz</v>
      </c>
      <c r="BQ16" s="111" t="str">
        <f>IFERROR(__xludf.DUMMYFUNCTION("""COMPUTED_VALUE"""),"Tarren Mill")</f>
        <v>Tarren Mill</v>
      </c>
      <c r="BR16" s="108">
        <f>IFERROR(__xludf.DUMMYFUNCTION("""COMPUTED_VALUE"""),408.94)</f>
        <v>408.94</v>
      </c>
      <c r="BS16" s="111" t="str">
        <f>IFERROR(__xludf.DUMMYFUNCTION("""COMPUTED_VALUE"""),"14 days ago")</f>
        <v>14 days ago</v>
      </c>
      <c r="BT16" s="120"/>
      <c r="BU16" s="107" t="str">
        <f t="shared" ref="BU16:BY16" si="11">A16</f>
        <v>Drâma</v>
      </c>
      <c r="BV16" s="107" t="str">
        <f t="shared" si="11"/>
        <v>No Scrubs</v>
      </c>
      <c r="BW16" s="107" t="str">
        <f t="shared" si="11"/>
        <v>Kazzak</v>
      </c>
      <c r="BX16" s="107">
        <f t="shared" si="11"/>
        <v>411</v>
      </c>
      <c r="BY16" s="107" t="str">
        <f t="shared" si="11"/>
        <v>12 days ago</v>
      </c>
      <c r="BZ16" s="108"/>
    </row>
    <row r="17">
      <c r="A17" t="str">
        <f>IFERROR(__xludf.DUMMYFUNCTION("""COMPUTED_VALUE"""),"Darkkono")</f>
        <v>Darkkono</v>
      </c>
      <c r="B17" t="str">
        <f>IFERROR(__xludf.DUMMYFUNCTION("""COMPUTED_VALUE"""),"Synarchy")</f>
        <v>Synarchy</v>
      </c>
      <c r="C17" t="str">
        <f>IFERROR(__xludf.DUMMYFUNCTION("""COMPUTED_VALUE"""),"Silvermoon")</f>
        <v>Silvermoon</v>
      </c>
      <c r="D17">
        <f>IFERROR(__xludf.DUMMYFUNCTION("""COMPUTED_VALUE"""),410.94)</f>
        <v>410.94</v>
      </c>
      <c r="E17" t="str">
        <f>IFERROR(__xludf.DUMMYFUNCTION("""COMPUTED_VALUE"""),"4 days ago")</f>
        <v>4 days ago</v>
      </c>
      <c r="F17" s="94"/>
      <c r="G17" t="str">
        <f>IFERROR(__xludf.DUMMYFUNCTION("""COMPUTED_VALUE"""),"Unrealism")</f>
        <v>Unrealism</v>
      </c>
      <c r="H17" t="str">
        <f>IFERROR(__xludf.DUMMYFUNCTION("""COMPUTED_VALUE"""),"samasafya")</f>
        <v>samasafya</v>
      </c>
      <c r="I17" t="str">
        <f>IFERROR(__xludf.DUMMYFUNCTION("""COMPUTED_VALUE"""),"Ravencrest")</f>
        <v>Ravencrest</v>
      </c>
      <c r="J17">
        <f>IFERROR(__xludf.DUMMYFUNCTION("""COMPUTED_VALUE"""),411.0)</f>
        <v>411</v>
      </c>
      <c r="K17" t="str">
        <f>IFERROR(__xludf.DUMMYFUNCTION("""COMPUTED_VALUE"""),"29 days ago")</f>
        <v>29 days ago</v>
      </c>
      <c r="L17" s="95"/>
      <c r="M17" t="str">
        <f>IFERROR(__xludf.DUMMYFUNCTION("""COMPUTED_VALUE"""),"Poxlixo")</f>
        <v>Poxlixo</v>
      </c>
      <c r="N17" t="str">
        <f>IFERROR(__xludf.DUMMYFUNCTION("""COMPUTED_VALUE"""),"Stockholm Syndrome")</f>
        <v>Stockholm Syndrome</v>
      </c>
      <c r="O17" t="str">
        <f>IFERROR(__xludf.DUMMYFUNCTION("""COMPUTED_VALUE"""),"Tarren Mill")</f>
        <v>Tarren Mill</v>
      </c>
      <c r="P17">
        <f>IFERROR(__xludf.DUMMYFUNCTION("""COMPUTED_VALUE"""),410.31)</f>
        <v>410.31</v>
      </c>
      <c r="Q17" t="str">
        <f>IFERROR(__xludf.DUMMYFUNCTION("""COMPUTED_VALUE"""),"2 days ago")</f>
        <v>2 days ago</v>
      </c>
      <c r="R17" s="96"/>
      <c r="S17" t="str">
        <f>IFERROR(__xludf.DUMMYFUNCTION("""COMPUTED_VALUE"""),"Huntoper")</f>
        <v>Huntoper</v>
      </c>
      <c r="T17" t="str">
        <f>IFERROR(__xludf.DUMMYFUNCTION("""COMPUTED_VALUE"""),"")</f>
        <v/>
      </c>
      <c r="U17" t="str">
        <f>IFERROR(__xludf.DUMMYFUNCTION("""COMPUTED_VALUE"""),"Defias Brotherhood")</f>
        <v>Defias Brotherhood</v>
      </c>
      <c r="V17">
        <f>IFERROR(__xludf.DUMMYFUNCTION("""COMPUTED_VALUE"""),409.19)</f>
        <v>409.19</v>
      </c>
      <c r="W17" t="str">
        <f>IFERROR(__xludf.DUMMYFUNCTION("""COMPUTED_VALUE"""),"17 hours ago")</f>
        <v>17 hours ago</v>
      </c>
      <c r="X17" s="97"/>
      <c r="Y17" s="111" t="str">
        <f>IFERROR(__xludf.DUMMYFUNCTION("""COMPUTED_VALUE"""),"Swistaké")</f>
        <v>Swistaké</v>
      </c>
      <c r="Z17" s="111" t="str">
        <f>IFERROR(__xludf.DUMMYFUNCTION("""COMPUTED_VALUE"""),"Vengeance Incarnate")</f>
        <v>Vengeance Incarnate</v>
      </c>
      <c r="AA17" s="111" t="str">
        <f>IFERROR(__xludf.DUMMYFUNCTION("""COMPUTED_VALUE"""),"Burning Legion")</f>
        <v>Burning Legion</v>
      </c>
      <c r="AB17" s="108">
        <f>IFERROR(__xludf.DUMMYFUNCTION("""COMPUTED_VALUE"""),410.31)</f>
        <v>410.31</v>
      </c>
      <c r="AC17" s="111" t="str">
        <f>IFERROR(__xludf.DUMMYFUNCTION("""COMPUTED_VALUE"""),"3 days ago")</f>
        <v>3 days ago</v>
      </c>
      <c r="AD17" s="112"/>
      <c r="AE17" s="111" t="str">
        <f>IFERROR(__xludf.DUMMYFUNCTION("""COMPUTED_VALUE"""),"Shuffledozer")</f>
        <v>Shuffledozer</v>
      </c>
      <c r="AF17" s="111" t="str">
        <f>IFERROR(__xludf.DUMMYFUNCTION("""COMPUTED_VALUE"""),"Fang")</f>
        <v>Fang</v>
      </c>
      <c r="AG17" s="111" t="str">
        <f>IFERROR(__xludf.DUMMYFUNCTION("""COMPUTED_VALUE"""),"Kazzak")</f>
        <v>Kazzak</v>
      </c>
      <c r="AH17" s="111">
        <f>IFERROR(__xludf.DUMMYFUNCTION("""COMPUTED_VALUE"""),410.81)</f>
        <v>410.81</v>
      </c>
      <c r="AI17" s="111" t="str">
        <f>IFERROR(__xludf.DUMMYFUNCTION("""COMPUTED_VALUE"""),"2 days ago")</f>
        <v>2 days ago</v>
      </c>
      <c r="AJ17" s="113"/>
      <c r="AK17" s="111" t="str">
        <f>IFERROR(__xludf.DUMMYFUNCTION("""COMPUTED_VALUE"""),"Holten")</f>
        <v>Holten</v>
      </c>
      <c r="AL17" s="111" t="str">
        <f>IFERROR(__xludf.DUMMYFUNCTION("""COMPUTED_VALUE"""),"")</f>
        <v/>
      </c>
      <c r="AM17" s="111" t="str">
        <f>IFERROR(__xludf.DUMMYFUNCTION("""COMPUTED_VALUE"""),"Talnivarr")</f>
        <v>Talnivarr</v>
      </c>
      <c r="AN17" s="108">
        <f>IFERROR(__xludf.DUMMYFUNCTION("""COMPUTED_VALUE"""),410.0)</f>
        <v>410</v>
      </c>
      <c r="AO17" s="111" t="str">
        <f>IFERROR(__xludf.DUMMYFUNCTION("""COMPUTED_VALUE"""),"4 days ago")</f>
        <v>4 days ago</v>
      </c>
      <c r="AP17" s="114"/>
      <c r="AQ17" s="111" t="str">
        <f>IFERROR(__xludf.DUMMYFUNCTION("""COMPUTED_VALUE"""),"Amoxyz")</f>
        <v>Amoxyz</v>
      </c>
      <c r="AR17" s="111" t="str">
        <f>IFERROR(__xludf.DUMMYFUNCTION("""COMPUTED_VALUE"""),"Novella")</f>
        <v>Novella</v>
      </c>
      <c r="AS17" s="111" t="str">
        <f>IFERROR(__xludf.DUMMYFUNCTION("""COMPUTED_VALUE"""),"Draenor")</f>
        <v>Draenor</v>
      </c>
      <c r="AT17" s="108">
        <f>IFERROR(__xludf.DUMMYFUNCTION("""COMPUTED_VALUE"""),408.19)</f>
        <v>408.19</v>
      </c>
      <c r="AU17" s="111" t="str">
        <f>IFERROR(__xludf.DUMMYFUNCTION("""COMPUTED_VALUE"""),"5 days ago")</f>
        <v>5 days ago</v>
      </c>
      <c r="AV17" s="115"/>
      <c r="AW17" s="116" t="str">
        <f>IFERROR(__xludf.DUMMYFUNCTION("""COMPUTED_VALUE"""),"Nìco")</f>
        <v>Nìco</v>
      </c>
      <c r="AX17" s="111" t="str">
        <f>IFERROR(__xludf.DUMMYFUNCTION("""COMPUTED_VALUE"""),"PogU")</f>
        <v>PogU</v>
      </c>
      <c r="AY17" s="111" t="str">
        <f>IFERROR(__xludf.DUMMYFUNCTION("""COMPUTED_VALUE"""),"Kazzak")</f>
        <v>Kazzak</v>
      </c>
      <c r="AZ17" s="108">
        <f>IFERROR(__xludf.DUMMYFUNCTION("""COMPUTED_VALUE"""),410.06)</f>
        <v>410.06</v>
      </c>
      <c r="BA17" s="111" t="str">
        <f>IFERROR(__xludf.DUMMYFUNCTION("""COMPUTED_VALUE"""),"5 days ago")</f>
        <v>5 days ago</v>
      </c>
      <c r="BB17" s="117"/>
      <c r="BC17" s="116" t="str">
        <f>IFERROR(__xludf.DUMMYFUNCTION("""COMPUTED_VALUE"""),"Kogeshaman")</f>
        <v>Kogeshaman</v>
      </c>
      <c r="BD17" s="111" t="str">
        <f>IFERROR(__xludf.DUMMYFUNCTION("""COMPUTED_VALUE"""),"")</f>
        <v/>
      </c>
      <c r="BE17" s="111" t="str">
        <f>IFERROR(__xludf.DUMMYFUNCTION("""COMPUTED_VALUE"""),"Kazzak")</f>
        <v>Kazzak</v>
      </c>
      <c r="BF17" s="108">
        <f>IFERROR(__xludf.DUMMYFUNCTION("""COMPUTED_VALUE"""),408.44)</f>
        <v>408.44</v>
      </c>
      <c r="BG17" s="111" t="str">
        <f>IFERROR(__xludf.DUMMYFUNCTION("""COMPUTED_VALUE"""),"1 day ago")</f>
        <v>1 day ago</v>
      </c>
      <c r="BH17" s="118"/>
      <c r="BI17" s="116" t="str">
        <f>IFERROR(__xludf.DUMMYFUNCTION("""COMPUTED_VALUE"""),"Demonscream")</f>
        <v>Demonscream</v>
      </c>
      <c r="BJ17" s="111" t="str">
        <f>IFERROR(__xludf.DUMMYFUNCTION("""COMPUTED_VALUE"""),"Hoax")</f>
        <v>Hoax</v>
      </c>
      <c r="BK17" s="111" t="str">
        <f>IFERROR(__xludf.DUMMYFUNCTION("""COMPUTED_VALUE"""),"Kazzak")</f>
        <v>Kazzak</v>
      </c>
      <c r="BL17" s="108">
        <f>IFERROR(__xludf.DUMMYFUNCTION("""COMPUTED_VALUE"""),407.81)</f>
        <v>407.81</v>
      </c>
      <c r="BM17" s="111" t="str">
        <f>IFERROR(__xludf.DUMMYFUNCTION("""COMPUTED_VALUE"""),"19 days ago")</f>
        <v>19 days ago</v>
      </c>
      <c r="BN17" s="119"/>
      <c r="BO17" s="116" t="str">
        <f>IFERROR(__xludf.DUMMYFUNCTION("""COMPUTED_VALUE"""),"Dixxy")</f>
        <v>Dixxy</v>
      </c>
      <c r="BP17" s="111" t="str">
        <f>IFERROR(__xludf.DUMMYFUNCTION("""COMPUTED_VALUE"""),"Impressive")</f>
        <v>Impressive</v>
      </c>
      <c r="BQ17" s="111" t="str">
        <f>IFERROR(__xludf.DUMMYFUNCTION("""COMPUTED_VALUE"""),"Tarren Mill")</f>
        <v>Tarren Mill</v>
      </c>
      <c r="BR17" s="108">
        <f>IFERROR(__xludf.DUMMYFUNCTION("""COMPUTED_VALUE"""),408.13)</f>
        <v>408.13</v>
      </c>
      <c r="BS17" s="111" t="str">
        <f>IFERROR(__xludf.DUMMYFUNCTION("""COMPUTED_VALUE"""),"9 days ago")</f>
        <v>9 days ago</v>
      </c>
      <c r="BT17" s="120"/>
      <c r="BU17" s="107" t="str">
        <f t="shared" ref="BU17:BY17" si="12">A17</f>
        <v>Darkkono</v>
      </c>
      <c r="BV17" s="107" t="str">
        <f t="shared" si="12"/>
        <v>Synarchy</v>
      </c>
      <c r="BW17" s="107" t="str">
        <f t="shared" si="12"/>
        <v>Silvermoon</v>
      </c>
      <c r="BX17" s="107">
        <f t="shared" si="12"/>
        <v>410.94</v>
      </c>
      <c r="BY17" s="107" t="str">
        <f t="shared" si="12"/>
        <v>4 days ago</v>
      </c>
      <c r="BZ17" s="108"/>
    </row>
    <row r="18">
      <c r="A18" t="str">
        <f>IFERROR(__xludf.DUMMYFUNCTION("""COMPUTED_VALUE"""),"Dedemmy")</f>
        <v>Dedemmy</v>
      </c>
      <c r="B18" t="str">
        <f>IFERROR(__xludf.DUMMYFUNCTION("""COMPUTED_VALUE"""),"Adult Playground")</f>
        <v>Adult Playground</v>
      </c>
      <c r="C18" t="str">
        <f>IFERROR(__xludf.DUMMYFUNCTION("""COMPUTED_VALUE"""),"Draenor")</f>
        <v>Draenor</v>
      </c>
      <c r="D18">
        <f>IFERROR(__xludf.DUMMYFUNCTION("""COMPUTED_VALUE"""),410.75)</f>
        <v>410.75</v>
      </c>
      <c r="E18" t="str">
        <f>IFERROR(__xludf.DUMMYFUNCTION("""COMPUTED_VALUE"""),"5 days ago")</f>
        <v>5 days ago</v>
      </c>
      <c r="F18" s="94"/>
      <c r="G18" t="str">
        <f>IFERROR(__xludf.DUMMYFUNCTION("""COMPUTED_VALUE"""),"Alexmon")</f>
        <v>Alexmon</v>
      </c>
      <c r="H18" t="str">
        <f>IFERROR(__xludf.DUMMYFUNCTION("""COMPUTED_VALUE"""),"The Phantom Troupe")</f>
        <v>The Phantom Troupe</v>
      </c>
      <c r="I18" t="str">
        <f>IFERROR(__xludf.DUMMYFUNCTION("""COMPUTED_VALUE"""),"Draenor")</f>
        <v>Draenor</v>
      </c>
      <c r="J18">
        <f>IFERROR(__xludf.DUMMYFUNCTION("""COMPUTED_VALUE"""),411.0)</f>
        <v>411</v>
      </c>
      <c r="K18" t="str">
        <f>IFERROR(__xludf.DUMMYFUNCTION("""COMPUTED_VALUE"""),"12 hours ago")</f>
        <v>12 hours ago</v>
      </c>
      <c r="L18" s="95"/>
      <c r="M18" t="str">
        <f>IFERROR(__xludf.DUMMYFUNCTION("""COMPUTED_VALUE"""),"Boomzord")</f>
        <v>Boomzord</v>
      </c>
      <c r="N18" t="str">
        <f>IFERROR(__xludf.DUMMYFUNCTION("""COMPUTED_VALUE"""),"Vengeance Incarnate")</f>
        <v>Vengeance Incarnate</v>
      </c>
      <c r="O18" t="str">
        <f>IFERROR(__xludf.DUMMYFUNCTION("""COMPUTED_VALUE"""),"Burning Legion")</f>
        <v>Burning Legion</v>
      </c>
      <c r="P18">
        <f>IFERROR(__xludf.DUMMYFUNCTION("""COMPUTED_VALUE"""),410.25)</f>
        <v>410.25</v>
      </c>
      <c r="Q18" t="str">
        <f>IFERROR(__xludf.DUMMYFUNCTION("""COMPUTED_VALUE"""),"5 days ago")</f>
        <v>5 days ago</v>
      </c>
      <c r="R18" s="96"/>
      <c r="S18" t="str">
        <f>IFERROR(__xludf.DUMMYFUNCTION("""COMPUTED_VALUE"""),"Ionora")</f>
        <v>Ionora</v>
      </c>
      <c r="T18" t="str">
        <f>IFERROR(__xludf.DUMMYFUNCTION("""COMPUTED_VALUE"""),"Flex Army")</f>
        <v>Flex Army</v>
      </c>
      <c r="U18" t="str">
        <f>IFERROR(__xludf.DUMMYFUNCTION("""COMPUTED_VALUE"""),"Silvermoon")</f>
        <v>Silvermoon</v>
      </c>
      <c r="V18">
        <f>IFERROR(__xludf.DUMMYFUNCTION("""COMPUTED_VALUE"""),409.13)</f>
        <v>409.13</v>
      </c>
      <c r="W18" t="str">
        <f>IFERROR(__xludf.DUMMYFUNCTION("""COMPUTED_VALUE"""),"20 days ago")</f>
        <v>20 days ago</v>
      </c>
      <c r="X18" s="97"/>
      <c r="Y18" s="111" t="str">
        <f>IFERROR(__xludf.DUMMYFUNCTION("""COMPUTED_VALUE"""),"Marcarrian")</f>
        <v>Marcarrian</v>
      </c>
      <c r="Z18" s="111" t="str">
        <f>IFERROR(__xludf.DUMMYFUNCTION("""COMPUTED_VALUE"""),"Kinetic")</f>
        <v>Kinetic</v>
      </c>
      <c r="AA18" s="111" t="str">
        <f>IFERROR(__xludf.DUMMYFUNCTION("""COMPUTED_VALUE"""),"Tarren Mill")</f>
        <v>Tarren Mill</v>
      </c>
      <c r="AB18" s="108">
        <f>IFERROR(__xludf.DUMMYFUNCTION("""COMPUTED_VALUE"""),410.31)</f>
        <v>410.31</v>
      </c>
      <c r="AC18" s="111" t="str">
        <f>IFERROR(__xludf.DUMMYFUNCTION("""COMPUTED_VALUE"""),"1 day ago")</f>
        <v>1 day ago</v>
      </c>
      <c r="AD18" s="112"/>
      <c r="AE18" s="111" t="str">
        <f>IFERROR(__xludf.DUMMYFUNCTION("""COMPUTED_VALUE"""),"Monkykongfu")</f>
        <v>Monkykongfu</v>
      </c>
      <c r="AF18" s="111" t="str">
        <f>IFERROR(__xludf.DUMMYFUNCTION("""COMPUTED_VALUE"""),"Vivid")</f>
        <v>Vivid</v>
      </c>
      <c r="AG18" s="111" t="str">
        <f>IFERROR(__xludf.DUMMYFUNCTION("""COMPUTED_VALUE"""),"Tarren Mill")</f>
        <v>Tarren Mill</v>
      </c>
      <c r="AH18" s="111">
        <f>IFERROR(__xludf.DUMMYFUNCTION("""COMPUTED_VALUE"""),410.81)</f>
        <v>410.81</v>
      </c>
      <c r="AI18" s="111" t="str">
        <f>IFERROR(__xludf.DUMMYFUNCTION("""COMPUTED_VALUE"""),"10 days ago")</f>
        <v>10 days ago</v>
      </c>
      <c r="AJ18" s="113"/>
      <c r="AK18" s="111" t="str">
        <f>IFERROR(__xludf.DUMMYFUNCTION("""COMPUTED_VALUE"""),"Aranthor")</f>
        <v>Aranthor</v>
      </c>
      <c r="AL18" s="111" t="str">
        <f>IFERROR(__xludf.DUMMYFUNCTION("""COMPUTED_VALUE"""),"Entmoot")</f>
        <v>Entmoot</v>
      </c>
      <c r="AM18" s="111" t="str">
        <f>IFERROR(__xludf.DUMMYFUNCTION("""COMPUTED_VALUE"""),"Twisting Nether")</f>
        <v>Twisting Nether</v>
      </c>
      <c r="AN18" s="108">
        <f>IFERROR(__xludf.DUMMYFUNCTION("""COMPUTED_VALUE"""),409.88)</f>
        <v>409.88</v>
      </c>
      <c r="AO18" s="111" t="str">
        <f>IFERROR(__xludf.DUMMYFUNCTION("""COMPUTED_VALUE"""),"16 days ago")</f>
        <v>16 days ago</v>
      </c>
      <c r="AP18" s="114"/>
      <c r="AQ18" s="111" t="str">
        <f>IFERROR(__xludf.DUMMYFUNCTION("""COMPUTED_VALUE"""),"Millsonek")</f>
        <v>Millsonek</v>
      </c>
      <c r="AR18" s="111" t="str">
        <f>IFERROR(__xludf.DUMMYFUNCTION("""COMPUTED_VALUE"""),"")</f>
        <v/>
      </c>
      <c r="AS18" s="111" t="str">
        <f>IFERROR(__xludf.DUMMYFUNCTION("""COMPUTED_VALUE"""),"Burning Legion")</f>
        <v>Burning Legion</v>
      </c>
      <c r="AT18" s="108">
        <f>IFERROR(__xludf.DUMMYFUNCTION("""COMPUTED_VALUE"""),408.13)</f>
        <v>408.13</v>
      </c>
      <c r="AU18" s="111" t="str">
        <f>IFERROR(__xludf.DUMMYFUNCTION("""COMPUTED_VALUE"""),"3 days ago")</f>
        <v>3 days ago</v>
      </c>
      <c r="AV18" s="115"/>
      <c r="AW18" s="116" t="str">
        <f>IFERROR(__xludf.DUMMYFUNCTION("""COMPUTED_VALUE"""),"Nodrak")</f>
        <v>Nodrak</v>
      </c>
      <c r="AX18" s="111" t="str">
        <f>IFERROR(__xludf.DUMMYFUNCTION("""COMPUTED_VALUE"""),"Kimchiforged")</f>
        <v>Kimchiforged</v>
      </c>
      <c r="AY18" s="111" t="str">
        <f>IFERROR(__xludf.DUMMYFUNCTION("""COMPUTED_VALUE"""),"Twisting Nether")</f>
        <v>Twisting Nether</v>
      </c>
      <c r="AZ18" s="108">
        <f>IFERROR(__xludf.DUMMYFUNCTION("""COMPUTED_VALUE"""),410.06)</f>
        <v>410.06</v>
      </c>
      <c r="BA18" s="111" t="str">
        <f>IFERROR(__xludf.DUMMYFUNCTION("""COMPUTED_VALUE"""),"3 days ago")</f>
        <v>3 days ago</v>
      </c>
      <c r="BB18" s="117"/>
      <c r="BC18" s="116" t="str">
        <f>IFERROR(__xludf.DUMMYFUNCTION("""COMPUTED_VALUE"""),"Barika")</f>
        <v>Barika</v>
      </c>
      <c r="BD18" s="111" t="str">
        <f>IFERROR(__xludf.DUMMYFUNCTION("""COMPUTED_VALUE"""),"Smoke Squad")</f>
        <v>Smoke Squad</v>
      </c>
      <c r="BE18" s="111" t="str">
        <f>IFERROR(__xludf.DUMMYFUNCTION("""COMPUTED_VALUE"""),"Silvermoon")</f>
        <v>Silvermoon</v>
      </c>
      <c r="BF18" s="108">
        <f>IFERROR(__xludf.DUMMYFUNCTION("""COMPUTED_VALUE"""),408.13)</f>
        <v>408.13</v>
      </c>
      <c r="BG18" s="111" t="str">
        <f>IFERROR(__xludf.DUMMYFUNCTION("""COMPUTED_VALUE"""),"21 day ago")</f>
        <v>21 day ago</v>
      </c>
      <c r="BH18" s="118"/>
      <c r="BI18" s="116" t="str">
        <f>IFERROR(__xludf.DUMMYFUNCTION("""COMPUTED_VALUE"""),"Resistànce")</f>
        <v>Resistànce</v>
      </c>
      <c r="BJ18" s="111" t="str">
        <f>IFERROR(__xludf.DUMMYFUNCTION("""COMPUTED_VALUE"""),"")</f>
        <v/>
      </c>
      <c r="BK18" s="111" t="str">
        <f>IFERROR(__xludf.DUMMYFUNCTION("""COMPUTED_VALUE"""),"Burning Legion")</f>
        <v>Burning Legion</v>
      </c>
      <c r="BL18" s="108">
        <f>IFERROR(__xludf.DUMMYFUNCTION("""COMPUTED_VALUE"""),407.69)</f>
        <v>407.69</v>
      </c>
      <c r="BM18" s="111" t="str">
        <f>IFERROR(__xludf.DUMMYFUNCTION("""COMPUTED_VALUE"""),"3 days ago")</f>
        <v>3 days ago</v>
      </c>
      <c r="BN18" s="119"/>
      <c r="BO18" s="116" t="str">
        <f>IFERROR(__xludf.DUMMYFUNCTION("""COMPUTED_VALUE"""),"Rouph")</f>
        <v>Rouph</v>
      </c>
      <c r="BP18" s="111" t="str">
        <f>IFERROR(__xludf.DUMMYFUNCTION("""COMPUTED_VALUE"""),"")</f>
        <v/>
      </c>
      <c r="BQ18" s="111" t="str">
        <f>IFERROR(__xludf.DUMMYFUNCTION("""COMPUTED_VALUE"""),"Kazzak")</f>
        <v>Kazzak</v>
      </c>
      <c r="BR18" s="108">
        <f>IFERROR(__xludf.DUMMYFUNCTION("""COMPUTED_VALUE"""),407.81)</f>
        <v>407.81</v>
      </c>
      <c r="BS18" s="111" t="str">
        <f>IFERROR(__xludf.DUMMYFUNCTION("""COMPUTED_VALUE"""),"7 days ago")</f>
        <v>7 days ago</v>
      </c>
      <c r="BT18" s="120"/>
      <c r="BU18" s="107" t="str">
        <f t="shared" ref="BU18:BY18" si="13">A18</f>
        <v>Dedemmy</v>
      </c>
      <c r="BV18" s="107" t="str">
        <f t="shared" si="13"/>
        <v>Adult Playground</v>
      </c>
      <c r="BW18" s="107" t="str">
        <f t="shared" si="13"/>
        <v>Draenor</v>
      </c>
      <c r="BX18" s="107">
        <f t="shared" si="13"/>
        <v>410.75</v>
      </c>
      <c r="BY18" s="107" t="str">
        <f t="shared" si="13"/>
        <v>5 days ago</v>
      </c>
      <c r="BZ18" s="108"/>
    </row>
    <row r="19">
      <c r="A19" t="str">
        <f>IFERROR(__xludf.DUMMYFUNCTION("""COMPUTED_VALUE"""),"Razier")</f>
        <v>Razier</v>
      </c>
      <c r="B19" t="str">
        <f>IFERROR(__xludf.DUMMYFUNCTION("""COMPUTED_VALUE"""),"The Panda Next Door")</f>
        <v>The Panda Next Door</v>
      </c>
      <c r="C19" t="str">
        <f>IFERROR(__xludf.DUMMYFUNCTION("""COMPUTED_VALUE"""),"Kazzak")</f>
        <v>Kazzak</v>
      </c>
      <c r="D19">
        <f>IFERROR(__xludf.DUMMYFUNCTION("""COMPUTED_VALUE"""),410.13)</f>
        <v>410.13</v>
      </c>
      <c r="E19" t="str">
        <f>IFERROR(__xludf.DUMMYFUNCTION("""COMPUTED_VALUE"""),"7 days ago")</f>
        <v>7 days ago</v>
      </c>
      <c r="F19" s="94"/>
      <c r="G19" t="str">
        <f>IFERROR(__xludf.DUMMYFUNCTION("""COMPUTED_VALUE"""),"Landianio")</f>
        <v>Landianio</v>
      </c>
      <c r="H19" t="str">
        <f>IFERROR(__xludf.DUMMYFUNCTION("""COMPUTED_VALUE"""),"Solacium")</f>
        <v>Solacium</v>
      </c>
      <c r="I19" t="str">
        <f>IFERROR(__xludf.DUMMYFUNCTION("""COMPUTED_VALUE"""),"Kazzak")</f>
        <v>Kazzak</v>
      </c>
      <c r="J19">
        <f>IFERROR(__xludf.DUMMYFUNCTION("""COMPUTED_VALUE"""),410.94)</f>
        <v>410.94</v>
      </c>
      <c r="K19" t="str">
        <f>IFERROR(__xludf.DUMMYFUNCTION("""COMPUTED_VALUE"""),"10 days ago")</f>
        <v>10 days ago</v>
      </c>
      <c r="L19" s="95"/>
      <c r="M19" t="str">
        <f>IFERROR(__xludf.DUMMYFUNCTION("""COMPUTED_VALUE"""),"Freeyâ")</f>
        <v>Freeyâ</v>
      </c>
      <c r="N19" t="str">
        <f>IFERROR(__xludf.DUMMYFUNCTION("""COMPUTED_VALUE"""),"Martyrdom")</f>
        <v>Martyrdom</v>
      </c>
      <c r="O19" t="str">
        <f>IFERROR(__xludf.DUMMYFUNCTION("""COMPUTED_VALUE"""),"Tarren Mill")</f>
        <v>Tarren Mill</v>
      </c>
      <c r="P19">
        <f>IFERROR(__xludf.DUMMYFUNCTION("""COMPUTED_VALUE"""),409.94)</f>
        <v>409.94</v>
      </c>
      <c r="Q19" t="str">
        <f>IFERROR(__xludf.DUMMYFUNCTION("""COMPUTED_VALUE"""),"19 days ago")</f>
        <v>19 days ago</v>
      </c>
      <c r="R19" s="96"/>
      <c r="S19" t="str">
        <f>IFERROR(__xludf.DUMMYFUNCTION("""COMPUTED_VALUE"""),"Hêlios")</f>
        <v>Hêlios</v>
      </c>
      <c r="T19" t="str">
        <f>IFERROR(__xludf.DUMMYFUNCTION("""COMPUTED_VALUE"""),"")</f>
        <v/>
      </c>
      <c r="U19" t="str">
        <f>IFERROR(__xludf.DUMMYFUNCTION("""COMPUTED_VALUE"""),"Stormreaver")</f>
        <v>Stormreaver</v>
      </c>
      <c r="V19">
        <f>IFERROR(__xludf.DUMMYFUNCTION("""COMPUTED_VALUE"""),409.06)</f>
        <v>409.06</v>
      </c>
      <c r="W19" t="str">
        <f>IFERROR(__xludf.DUMMYFUNCTION("""COMPUTED_VALUE"""),"7 days ago")</f>
        <v>7 days ago</v>
      </c>
      <c r="X19" s="97"/>
      <c r="Y19" s="111" t="str">
        <f>IFERROR(__xludf.DUMMYFUNCTION("""COMPUTED_VALUE"""),"Sób")</f>
        <v>Sób</v>
      </c>
      <c r="Z19" s="111" t="str">
        <f>IFERROR(__xludf.DUMMYFUNCTION("""COMPUTED_VALUE"""),"Black Division")</f>
        <v>Black Division</v>
      </c>
      <c r="AA19" s="111" t="str">
        <f>IFERROR(__xludf.DUMMYFUNCTION("""COMPUTED_VALUE"""),"Drak'thul")</f>
        <v>Drak'thul</v>
      </c>
      <c r="AB19" s="108">
        <f>IFERROR(__xludf.DUMMYFUNCTION("""COMPUTED_VALUE"""),410.06)</f>
        <v>410.06</v>
      </c>
      <c r="AC19" s="111" t="str">
        <f>IFERROR(__xludf.DUMMYFUNCTION("""COMPUTED_VALUE"""),"26 days ago")</f>
        <v>26 days ago</v>
      </c>
      <c r="AD19" s="112"/>
      <c r="AE19" s="111" t="str">
        <f>IFERROR(__xludf.DUMMYFUNCTION("""COMPUTED_VALUE"""),"Jjah")</f>
        <v>Jjah</v>
      </c>
      <c r="AF19" s="111" t="str">
        <f>IFERROR(__xludf.DUMMYFUNCTION("""COMPUTED_VALUE"""),"Ðevious")</f>
        <v>Ðevious</v>
      </c>
      <c r="AG19" s="111" t="str">
        <f>IFERROR(__xludf.DUMMYFUNCTION("""COMPUTED_VALUE"""),"Kazzak")</f>
        <v>Kazzak</v>
      </c>
      <c r="AH19" s="111">
        <f>IFERROR(__xludf.DUMMYFUNCTION("""COMPUTED_VALUE"""),410.69)</f>
        <v>410.69</v>
      </c>
      <c r="AI19" s="111" t="str">
        <f>IFERROR(__xludf.DUMMYFUNCTION("""COMPUTED_VALUE"""),"20 days ago")</f>
        <v>20 days ago</v>
      </c>
      <c r="AJ19" s="113"/>
      <c r="AK19" s="111" t="str">
        <f>IFERROR(__xludf.DUMMYFUNCTION("""COMPUTED_VALUE"""),"Drozd")</f>
        <v>Drozd</v>
      </c>
      <c r="AL19" s="111" t="str">
        <f>IFERROR(__xludf.DUMMYFUNCTION("""COMPUTED_VALUE"""),"Vicious N Delicious")</f>
        <v>Vicious N Delicious</v>
      </c>
      <c r="AM19" s="111" t="str">
        <f>IFERROR(__xludf.DUMMYFUNCTION("""COMPUTED_VALUE"""),"Draenor")</f>
        <v>Draenor</v>
      </c>
      <c r="AN19" s="108">
        <f>IFERROR(__xludf.DUMMYFUNCTION("""COMPUTED_VALUE"""),409.69)</f>
        <v>409.69</v>
      </c>
      <c r="AO19" s="111" t="str">
        <f>IFERROR(__xludf.DUMMYFUNCTION("""COMPUTED_VALUE"""),"19 days ago")</f>
        <v>19 days ago</v>
      </c>
      <c r="AP19" s="114"/>
      <c r="AQ19" s="111" t="str">
        <f>IFERROR(__xludf.DUMMYFUNCTION("""COMPUTED_VALUE"""),"Sicrina")</f>
        <v>Sicrina</v>
      </c>
      <c r="AR19" s="111" t="str">
        <f>IFERROR(__xludf.DUMMYFUNCTION("""COMPUTED_VALUE"""),"Fight Club Penguin")</f>
        <v>Fight Club Penguin</v>
      </c>
      <c r="AS19" s="111" t="str">
        <f>IFERROR(__xludf.DUMMYFUNCTION("""COMPUTED_VALUE"""),"Tarren Mill")</f>
        <v>Tarren Mill</v>
      </c>
      <c r="AT19" s="108">
        <f>IFERROR(__xludf.DUMMYFUNCTION("""COMPUTED_VALUE"""),407.81)</f>
        <v>407.81</v>
      </c>
      <c r="AU19" s="111" t="str">
        <f>IFERROR(__xludf.DUMMYFUNCTION("""COMPUTED_VALUE"""),"11 days ago")</f>
        <v>11 days ago</v>
      </c>
      <c r="AV19" s="115"/>
      <c r="AW19" s="116" t="str">
        <f>IFERROR(__xludf.DUMMYFUNCTION("""COMPUTED_VALUE"""),"Azazyel")</f>
        <v>Azazyel</v>
      </c>
      <c r="AX19" s="111" t="str">
        <f>IFERROR(__xludf.DUMMYFUNCTION("""COMPUTED_VALUE"""),"Do You Need")</f>
        <v>Do You Need</v>
      </c>
      <c r="AY19" s="111" t="str">
        <f>IFERROR(__xludf.DUMMYFUNCTION("""COMPUTED_VALUE"""),"Tarren Mill")</f>
        <v>Tarren Mill</v>
      </c>
      <c r="AZ19" s="108">
        <f>IFERROR(__xludf.DUMMYFUNCTION("""COMPUTED_VALUE"""),408.94)</f>
        <v>408.94</v>
      </c>
      <c r="BA19" s="111" t="str">
        <f>IFERROR(__xludf.DUMMYFUNCTION("""COMPUTED_VALUE"""),"5 days ago")</f>
        <v>5 days ago</v>
      </c>
      <c r="BB19" s="117"/>
      <c r="BC19" s="116" t="str">
        <f>IFERROR(__xludf.DUMMYFUNCTION("""COMPUTED_VALUE"""),"Dauban")</f>
        <v>Dauban</v>
      </c>
      <c r="BD19" s="111" t="str">
        <f>IFERROR(__xludf.DUMMYFUNCTION("""COMPUTED_VALUE"""),"The Phantom Troupe")</f>
        <v>The Phantom Troupe</v>
      </c>
      <c r="BE19" s="111" t="str">
        <f>IFERROR(__xludf.DUMMYFUNCTION("""COMPUTED_VALUE"""),"Draenor")</f>
        <v>Draenor</v>
      </c>
      <c r="BF19" s="108">
        <f>IFERROR(__xludf.DUMMYFUNCTION("""COMPUTED_VALUE"""),408.13)</f>
        <v>408.13</v>
      </c>
      <c r="BG19" s="111" t="str">
        <f>IFERROR(__xludf.DUMMYFUNCTION("""COMPUTED_VALUE"""),"5 days ago")</f>
        <v>5 days ago</v>
      </c>
      <c r="BH19" s="118"/>
      <c r="BI19" s="116" t="str">
        <f>IFERROR(__xludf.DUMMYFUNCTION("""COMPUTED_VALUE"""),"Seor")</f>
        <v>Seor</v>
      </c>
      <c r="BJ19" s="111" t="str">
        <f>IFERROR(__xludf.DUMMYFUNCTION("""COMPUTED_VALUE"""),"CyaThursday")</f>
        <v>CyaThursday</v>
      </c>
      <c r="BK19" s="111" t="str">
        <f>IFERROR(__xludf.DUMMYFUNCTION("""COMPUTED_VALUE"""),"Stormscale")</f>
        <v>Stormscale</v>
      </c>
      <c r="BL19" s="108">
        <f>IFERROR(__xludf.DUMMYFUNCTION("""COMPUTED_VALUE"""),407.63)</f>
        <v>407.63</v>
      </c>
      <c r="BM19" s="111" t="str">
        <f>IFERROR(__xludf.DUMMYFUNCTION("""COMPUTED_VALUE"""),"7 days ago")</f>
        <v>7 days ago</v>
      </c>
      <c r="BN19" s="119"/>
      <c r="BO19" s="116" t="str">
        <f>IFERROR(__xludf.DUMMYFUNCTION("""COMPUTED_VALUE"""),"Ragincritty")</f>
        <v>Ragincritty</v>
      </c>
      <c r="BP19" s="111" t="str">
        <f>IFERROR(__xludf.DUMMYFUNCTION("""COMPUTED_VALUE"""),"Gamad")</f>
        <v>Gamad</v>
      </c>
      <c r="BQ19" s="111" t="str">
        <f>IFERROR(__xludf.DUMMYFUNCTION("""COMPUTED_VALUE"""),"Silvermoon")</f>
        <v>Silvermoon</v>
      </c>
      <c r="BR19" s="108">
        <f>IFERROR(__xludf.DUMMYFUNCTION("""COMPUTED_VALUE"""),407.81)</f>
        <v>407.81</v>
      </c>
      <c r="BS19" s="111" t="str">
        <f>IFERROR(__xludf.DUMMYFUNCTION("""COMPUTED_VALUE"""),"5 days ago")</f>
        <v>5 days ago</v>
      </c>
      <c r="BT19" s="120"/>
      <c r="BU19" s="107" t="str">
        <f t="shared" ref="BU19:BY19" si="14">A19</f>
        <v>Razier</v>
      </c>
      <c r="BV19" s="107" t="str">
        <f t="shared" si="14"/>
        <v>The Panda Next Door</v>
      </c>
      <c r="BW19" s="107" t="str">
        <f t="shared" si="14"/>
        <v>Kazzak</v>
      </c>
      <c r="BX19" s="107">
        <f t="shared" si="14"/>
        <v>410.13</v>
      </c>
      <c r="BY19" s="107" t="str">
        <f t="shared" si="14"/>
        <v>7 days ago</v>
      </c>
      <c r="BZ19" s="108"/>
    </row>
    <row r="20">
      <c r="A20" t="str">
        <f>IFERROR(__xludf.DUMMYFUNCTION("""COMPUTED_VALUE"""),"Dkx")</f>
        <v>Dkx</v>
      </c>
      <c r="B20" t="str">
        <f>IFERROR(__xludf.DUMMYFUNCTION("""COMPUTED_VALUE"""),"Innuéndo")</f>
        <v>Innuéndo</v>
      </c>
      <c r="C20" t="str">
        <f>IFERROR(__xludf.DUMMYFUNCTION("""COMPUTED_VALUE"""),"Twisting Nether")</f>
        <v>Twisting Nether</v>
      </c>
      <c r="D20">
        <f>IFERROR(__xludf.DUMMYFUNCTION("""COMPUTED_VALUE"""),410.06)</f>
        <v>410.06</v>
      </c>
      <c r="E20" t="str">
        <f>IFERROR(__xludf.DUMMYFUNCTION("""COMPUTED_VALUE"""),"10 days ago")</f>
        <v>10 days ago</v>
      </c>
      <c r="F20" s="94"/>
      <c r="G20" t="str">
        <f>IFERROR(__xludf.DUMMYFUNCTION("""COMPUTED_VALUE"""),"Realchill")</f>
        <v>Realchill</v>
      </c>
      <c r="H20" t="str">
        <f>IFERROR(__xludf.DUMMYFUNCTION("""COMPUTED_VALUE"""),"Orz")</f>
        <v>Orz</v>
      </c>
      <c r="I20" t="str">
        <f>IFERROR(__xludf.DUMMYFUNCTION("""COMPUTED_VALUE"""),"Draenor")</f>
        <v>Draenor</v>
      </c>
      <c r="J20">
        <f>IFERROR(__xludf.DUMMYFUNCTION("""COMPUTED_VALUE"""),410.69)</f>
        <v>410.69</v>
      </c>
      <c r="K20" t="str">
        <f>IFERROR(__xludf.DUMMYFUNCTION("""COMPUTED_VALUE"""),"8 days ago")</f>
        <v>8 days ago</v>
      </c>
      <c r="L20" s="95"/>
      <c r="M20" t="str">
        <f>IFERROR(__xludf.DUMMYFUNCTION("""COMPUTED_VALUE"""),"Deidah")</f>
        <v>Deidah</v>
      </c>
      <c r="N20" t="str">
        <f>IFERROR(__xludf.DUMMYFUNCTION("""COMPUTED_VALUE"""),"")</f>
        <v/>
      </c>
      <c r="O20" t="str">
        <f>IFERROR(__xludf.DUMMYFUNCTION("""COMPUTED_VALUE"""),"Argent Dawn")</f>
        <v>Argent Dawn</v>
      </c>
      <c r="P20">
        <f>IFERROR(__xludf.DUMMYFUNCTION("""COMPUTED_VALUE"""),409.5)</f>
        <v>409.5</v>
      </c>
      <c r="Q20" t="str">
        <f>IFERROR(__xludf.DUMMYFUNCTION("""COMPUTED_VALUE"""),"6 days ago")</f>
        <v>6 days ago</v>
      </c>
      <c r="R20" s="96"/>
      <c r="S20" t="str">
        <f>IFERROR(__xludf.DUMMYFUNCTION("""COMPUTED_VALUE"""),"Hutsé")</f>
        <v>Hutsé</v>
      </c>
      <c r="T20" t="str">
        <f>IFERROR(__xludf.DUMMYFUNCTION("""COMPUTED_VALUE"""),"PogU")</f>
        <v>PogU</v>
      </c>
      <c r="U20" t="str">
        <f>IFERROR(__xludf.DUMMYFUNCTION("""COMPUTED_VALUE"""),"Kazzak")</f>
        <v>Kazzak</v>
      </c>
      <c r="V20">
        <f>IFERROR(__xludf.DUMMYFUNCTION("""COMPUTED_VALUE"""),408.94)</f>
        <v>408.94</v>
      </c>
      <c r="W20" t="str">
        <f>IFERROR(__xludf.DUMMYFUNCTION("""COMPUTED_VALUE"""),"12 days ago")</f>
        <v>12 days ago</v>
      </c>
      <c r="X20" s="97"/>
      <c r="Y20" s="111" t="str">
        <f>IFERROR(__xludf.DUMMYFUNCTION("""COMPUTED_VALUE"""),"Huggelele")</f>
        <v>Huggelele</v>
      </c>
      <c r="Z20" s="111" t="str">
        <f>IFERROR(__xludf.DUMMYFUNCTION("""COMPUTED_VALUE"""),"")</f>
        <v/>
      </c>
      <c r="AA20" s="111" t="str">
        <f>IFERROR(__xludf.DUMMYFUNCTION("""COMPUTED_VALUE"""),"Tarren Mill")</f>
        <v>Tarren Mill</v>
      </c>
      <c r="AB20" s="108">
        <f>IFERROR(__xludf.DUMMYFUNCTION("""COMPUTED_VALUE"""),410.06)</f>
        <v>410.06</v>
      </c>
      <c r="AC20" s="111" t="str">
        <f>IFERROR(__xludf.DUMMYFUNCTION("""COMPUTED_VALUE"""),"12 hours ago")</f>
        <v>12 hours ago</v>
      </c>
      <c r="AD20" s="112"/>
      <c r="AE20" s="111" t="str">
        <f>IFERROR(__xludf.DUMMYFUNCTION("""COMPUTED_VALUE"""),"Pinkym")</f>
        <v>Pinkym</v>
      </c>
      <c r="AF20" s="111" t="str">
        <f>IFERROR(__xludf.DUMMYFUNCTION("""COMPUTED_VALUE"""),"Innominatum")</f>
        <v>Innominatum</v>
      </c>
      <c r="AG20" s="111" t="str">
        <f>IFERROR(__xludf.DUMMYFUNCTION("""COMPUTED_VALUE"""),"Twisting Nether")</f>
        <v>Twisting Nether</v>
      </c>
      <c r="AH20" s="111">
        <f>IFERROR(__xludf.DUMMYFUNCTION("""COMPUTED_VALUE"""),410.5)</f>
        <v>410.5</v>
      </c>
      <c r="AI20" s="111" t="str">
        <f>IFERROR(__xludf.DUMMYFUNCTION("""COMPUTED_VALUE"""),"14 days ago")</f>
        <v>14 days ago</v>
      </c>
      <c r="AJ20" s="113"/>
      <c r="AK20" s="111" t="str">
        <f>IFERROR(__xludf.DUMMYFUNCTION("""COMPUTED_VALUE"""),"Sieraa")</f>
        <v>Sieraa</v>
      </c>
      <c r="AL20" s="111" t="str">
        <f>IFERROR(__xludf.DUMMYFUNCTION("""COMPUTED_VALUE"""),"Be Humble")</f>
        <v>Be Humble</v>
      </c>
      <c r="AM20" s="111" t="str">
        <f>IFERROR(__xludf.DUMMYFUNCTION("""COMPUTED_VALUE"""),"Twisting Nether")</f>
        <v>Twisting Nether</v>
      </c>
      <c r="AN20" s="108">
        <f>IFERROR(__xludf.DUMMYFUNCTION("""COMPUTED_VALUE"""),409.44)</f>
        <v>409.44</v>
      </c>
      <c r="AO20" s="111" t="str">
        <f>IFERROR(__xludf.DUMMYFUNCTION("""COMPUTED_VALUE"""),"11 days ago")</f>
        <v>11 days ago</v>
      </c>
      <c r="AP20" s="114"/>
      <c r="AQ20" s="111" t="str">
        <f>IFERROR(__xludf.DUMMYFUNCTION("""COMPUTED_VALUE"""),"Nîjura")</f>
        <v>Nîjura</v>
      </c>
      <c r="AR20" s="111" t="str">
        <f>IFERROR(__xludf.DUMMYFUNCTION("""COMPUTED_VALUE"""),"Team Epic")</f>
        <v>Team Epic</v>
      </c>
      <c r="AS20" s="111" t="str">
        <f>IFERROR(__xludf.DUMMYFUNCTION("""COMPUTED_VALUE"""),"Steamwheedle Cartel")</f>
        <v>Steamwheedle Cartel</v>
      </c>
      <c r="AT20" s="108">
        <f>IFERROR(__xludf.DUMMYFUNCTION("""COMPUTED_VALUE"""),407.81)</f>
        <v>407.81</v>
      </c>
      <c r="AU20" s="111" t="str">
        <f>IFERROR(__xludf.DUMMYFUNCTION("""COMPUTED_VALUE"""),"1 day ago")</f>
        <v>1 day ago</v>
      </c>
      <c r="AV20" s="115"/>
      <c r="AW20" s="116" t="str">
        <f>IFERROR(__xludf.DUMMYFUNCTION("""COMPUTED_VALUE"""),"Scottishstab")</f>
        <v>Scottishstab</v>
      </c>
      <c r="AX20" s="111" t="str">
        <f>IFERROR(__xludf.DUMMYFUNCTION("""COMPUTED_VALUE"""),"YouKnowWhatTheySay")</f>
        <v>YouKnowWhatTheySay</v>
      </c>
      <c r="AY20" s="111" t="str">
        <f>IFERROR(__xludf.DUMMYFUNCTION("""COMPUTED_VALUE"""),"Kazzak")</f>
        <v>Kazzak</v>
      </c>
      <c r="AZ20" s="108">
        <f>IFERROR(__xludf.DUMMYFUNCTION("""COMPUTED_VALUE"""),408.88)</f>
        <v>408.88</v>
      </c>
      <c r="BA20" s="111" t="str">
        <f>IFERROR(__xludf.DUMMYFUNCTION("""COMPUTED_VALUE"""),"13 days ago")</f>
        <v>13 days ago</v>
      </c>
      <c r="BB20" s="117"/>
      <c r="BC20" s="116" t="str">
        <f>IFERROR(__xludf.DUMMYFUNCTION("""COMPUTED_VALUE"""),"Rektarius")</f>
        <v>Rektarius</v>
      </c>
      <c r="BD20" s="111" t="str">
        <f>IFERROR(__xludf.DUMMYFUNCTION("""COMPUTED_VALUE"""),"Sequence")</f>
        <v>Sequence</v>
      </c>
      <c r="BE20" s="111" t="str">
        <f>IFERROR(__xludf.DUMMYFUNCTION("""COMPUTED_VALUE"""),"Ragnaros")</f>
        <v>Ragnaros</v>
      </c>
      <c r="BF20" s="108">
        <f>IFERROR(__xludf.DUMMYFUNCTION("""COMPUTED_VALUE"""),408.0)</f>
        <v>408</v>
      </c>
      <c r="BG20" s="111" t="str">
        <f>IFERROR(__xludf.DUMMYFUNCTION("""COMPUTED_VALUE"""),"23 days ago")</f>
        <v>23 days ago</v>
      </c>
      <c r="BH20" s="118"/>
      <c r="BI20" s="116" t="str">
        <f>IFERROR(__xludf.DUMMYFUNCTION("""COMPUTED_VALUE"""),"Lødi")</f>
        <v>Lødi</v>
      </c>
      <c r="BJ20" s="111" t="str">
        <f>IFERROR(__xludf.DUMMYFUNCTION("""COMPUTED_VALUE"""),"Wîpefest")</f>
        <v>Wîpefest</v>
      </c>
      <c r="BK20" s="111" t="str">
        <f>IFERROR(__xludf.DUMMYFUNCTION("""COMPUTED_VALUE"""),"Ragnaros")</f>
        <v>Ragnaros</v>
      </c>
      <c r="BL20" s="108">
        <f>IFERROR(__xludf.DUMMYFUNCTION("""COMPUTED_VALUE"""),407.56)</f>
        <v>407.56</v>
      </c>
      <c r="BM20" s="111" t="str">
        <f>IFERROR(__xludf.DUMMYFUNCTION("""COMPUTED_VALUE"""),"29 days ago")</f>
        <v>29 days ago</v>
      </c>
      <c r="BN20" s="119"/>
      <c r="BO20" s="116" t="str">
        <f>IFERROR(__xludf.DUMMYFUNCTION("""COMPUTED_VALUE"""),"Órri")</f>
        <v>Órri</v>
      </c>
      <c r="BP20" s="111" t="str">
        <f>IFERROR(__xludf.DUMMYFUNCTION("""COMPUTED_VALUE"""),"")</f>
        <v/>
      </c>
      <c r="BQ20" s="111" t="str">
        <f>IFERROR(__xludf.DUMMYFUNCTION("""COMPUTED_VALUE"""),"Kazzak")</f>
        <v>Kazzak</v>
      </c>
      <c r="BR20" s="108">
        <f>IFERROR(__xludf.DUMMYFUNCTION("""COMPUTED_VALUE"""),407.56)</f>
        <v>407.56</v>
      </c>
      <c r="BS20" s="111" t="str">
        <f>IFERROR(__xludf.DUMMYFUNCTION("""COMPUTED_VALUE"""),"10 days ago")</f>
        <v>10 days ago</v>
      </c>
      <c r="BT20" s="120"/>
      <c r="BU20" s="107" t="str">
        <f t="shared" ref="BU20:BY20" si="15">A20</f>
        <v>Dkx</v>
      </c>
      <c r="BV20" s="107" t="str">
        <f t="shared" si="15"/>
        <v>Innuéndo</v>
      </c>
      <c r="BW20" s="107" t="str">
        <f t="shared" si="15"/>
        <v>Twisting Nether</v>
      </c>
      <c r="BX20" s="107">
        <f t="shared" si="15"/>
        <v>410.06</v>
      </c>
      <c r="BY20" s="107" t="str">
        <f t="shared" si="15"/>
        <v>10 days ago</v>
      </c>
      <c r="BZ20" s="108"/>
    </row>
    <row r="21">
      <c r="A21" t="str">
        <f>IFERROR(__xludf.DUMMYFUNCTION("""COMPUTED_VALUE"""),"Nobref")</f>
        <v>Nobref</v>
      </c>
      <c r="B21" t="str">
        <f>IFERROR(__xludf.DUMMYFUNCTION("""COMPUTED_VALUE"""),"High Five")</f>
        <v>High Five</v>
      </c>
      <c r="C21" t="str">
        <f>IFERROR(__xludf.DUMMYFUNCTION("""COMPUTED_VALUE"""),"Draenor")</f>
        <v>Draenor</v>
      </c>
      <c r="D21">
        <f>IFERROR(__xludf.DUMMYFUNCTION("""COMPUTED_VALUE"""),409.75)</f>
        <v>409.75</v>
      </c>
      <c r="E21" t="str">
        <f>IFERROR(__xludf.DUMMYFUNCTION("""COMPUTED_VALUE"""),"19 days ago")</f>
        <v>19 days ago</v>
      </c>
      <c r="F21" s="94"/>
      <c r="G21" t="str">
        <f>IFERROR(__xludf.DUMMYFUNCTION("""COMPUTED_VALUE"""),"Amoveo")</f>
        <v>Amoveo</v>
      </c>
      <c r="H21" t="str">
        <f>IFERROR(__xludf.DUMMYFUNCTION("""COMPUTED_VALUE"""),"Novella")</f>
        <v>Novella</v>
      </c>
      <c r="I21" t="str">
        <f>IFERROR(__xludf.DUMMYFUNCTION("""COMPUTED_VALUE"""),"Draenor")</f>
        <v>Draenor</v>
      </c>
      <c r="J21">
        <f>IFERROR(__xludf.DUMMYFUNCTION("""COMPUTED_VALUE"""),410.63)</f>
        <v>410.63</v>
      </c>
      <c r="K21" t="str">
        <f>IFERROR(__xludf.DUMMYFUNCTION("""COMPUTED_VALUE"""),"5 days ago")</f>
        <v>5 days ago</v>
      </c>
      <c r="L21" s="95"/>
      <c r="M21" t="str">
        <f>IFERROR(__xludf.DUMMYFUNCTION("""COMPUTED_VALUE"""),"Citcat")</f>
        <v>Citcat</v>
      </c>
      <c r="N21" t="str">
        <f>IFERROR(__xludf.DUMMYFUNCTION("""COMPUTED_VALUE"""),"Yermaw")</f>
        <v>Yermaw</v>
      </c>
      <c r="O21" t="str">
        <f>IFERROR(__xludf.DUMMYFUNCTION("""COMPUTED_VALUE"""),"Kazzak")</f>
        <v>Kazzak</v>
      </c>
      <c r="P21">
        <f>IFERROR(__xludf.DUMMYFUNCTION("""COMPUTED_VALUE"""),409.5)</f>
        <v>409.5</v>
      </c>
      <c r="Q21" t="str">
        <f>IFERROR(__xludf.DUMMYFUNCTION("""COMPUTED_VALUE"""),"17 days ago")</f>
        <v>17 days ago</v>
      </c>
      <c r="R21" s="96"/>
      <c r="S21" t="str">
        <f>IFERROR(__xludf.DUMMYFUNCTION("""COMPUTED_VALUE"""),"Nakedhousee")</f>
        <v>Nakedhousee</v>
      </c>
      <c r="T21" t="str">
        <f>IFERROR(__xludf.DUMMYFUNCTION("""COMPUTED_VALUE"""),"Flawless")</f>
        <v>Flawless</v>
      </c>
      <c r="U21" t="str">
        <f>IFERROR(__xludf.DUMMYFUNCTION("""COMPUTED_VALUE"""),"Ravencrest")</f>
        <v>Ravencrest</v>
      </c>
      <c r="V21">
        <f>IFERROR(__xludf.DUMMYFUNCTION("""COMPUTED_VALUE"""),408.63)</f>
        <v>408.63</v>
      </c>
      <c r="W21" t="str">
        <f>IFERROR(__xludf.DUMMYFUNCTION("""COMPUTED_VALUE"""),"13 days ago")</f>
        <v>13 days ago</v>
      </c>
      <c r="X21" s="97"/>
      <c r="Y21" s="111" t="str">
        <f>IFERROR(__xludf.DUMMYFUNCTION("""COMPUTED_VALUE"""),"Rezista")</f>
        <v>Rezista</v>
      </c>
      <c r="Z21" s="111" t="str">
        <f>IFERROR(__xludf.DUMMYFUNCTION("""COMPUTED_VALUE"""),"Tilting at Windmills")</f>
        <v>Tilting at Windmills</v>
      </c>
      <c r="AA21" s="111" t="str">
        <f>IFERROR(__xludf.DUMMYFUNCTION("""COMPUTED_VALUE"""),"Ravencrest")</f>
        <v>Ravencrest</v>
      </c>
      <c r="AB21" s="108">
        <f>IFERROR(__xludf.DUMMYFUNCTION("""COMPUTED_VALUE"""),409.69)</f>
        <v>409.69</v>
      </c>
      <c r="AC21" s="111" t="str">
        <f>IFERROR(__xludf.DUMMYFUNCTION("""COMPUTED_VALUE"""),"7 days ago")</f>
        <v>7 days ago</v>
      </c>
      <c r="AD21" s="112"/>
      <c r="AE21" s="111" t="str">
        <f>IFERROR(__xludf.DUMMYFUNCTION("""COMPUTED_VALUE"""),"Achirá")</f>
        <v>Achirá</v>
      </c>
      <c r="AF21" s="111" t="str">
        <f>IFERROR(__xludf.DUMMYFUNCTION("""COMPUTED_VALUE"""),"Sylvanas Refugees")</f>
        <v>Sylvanas Refugees</v>
      </c>
      <c r="AG21" s="111" t="str">
        <f>IFERROR(__xludf.DUMMYFUNCTION("""COMPUTED_VALUE"""),"Ravencrest")</f>
        <v>Ravencrest</v>
      </c>
      <c r="AH21" s="111">
        <f>IFERROR(__xludf.DUMMYFUNCTION("""COMPUTED_VALUE"""),410.25)</f>
        <v>410.25</v>
      </c>
      <c r="AI21" s="111" t="str">
        <f>IFERROR(__xludf.DUMMYFUNCTION("""COMPUTED_VALUE"""),"6 days ago")</f>
        <v>6 days ago</v>
      </c>
      <c r="AJ21" s="113"/>
      <c r="AK21" s="111" t="str">
        <f>IFERROR(__xludf.DUMMYFUNCTION("""COMPUTED_VALUE"""),"Vysi")</f>
        <v>Vysi</v>
      </c>
      <c r="AL21" s="111" t="str">
        <f>IFERROR(__xludf.DUMMYFUNCTION("""COMPUTED_VALUE"""),"Noted")</f>
        <v>Noted</v>
      </c>
      <c r="AM21" s="111" t="str">
        <f>IFERROR(__xludf.DUMMYFUNCTION("""COMPUTED_VALUE"""),"Twisting Nether")</f>
        <v>Twisting Nether</v>
      </c>
      <c r="AN21" s="108">
        <f>IFERROR(__xludf.DUMMYFUNCTION("""COMPUTED_VALUE"""),409.13)</f>
        <v>409.13</v>
      </c>
      <c r="AO21" s="111" t="str">
        <f>IFERROR(__xludf.DUMMYFUNCTION("""COMPUTED_VALUE"""),"6 days ago")</f>
        <v>6 days ago</v>
      </c>
      <c r="AP21" s="114"/>
      <c r="AQ21" s="111" t="str">
        <f>IFERROR(__xludf.DUMMYFUNCTION("""COMPUTED_VALUE"""),"Fattycute")</f>
        <v>Fattycute</v>
      </c>
      <c r="AR21" s="111" t="str">
        <f>IFERROR(__xludf.DUMMYFUNCTION("""COMPUTED_VALUE"""),"")</f>
        <v/>
      </c>
      <c r="AS21" s="111" t="str">
        <f>IFERROR(__xludf.DUMMYFUNCTION("""COMPUTED_VALUE"""),"Twisting Nether")</f>
        <v>Twisting Nether</v>
      </c>
      <c r="AT21" s="108">
        <f>IFERROR(__xludf.DUMMYFUNCTION("""COMPUTED_VALUE"""),407.69)</f>
        <v>407.69</v>
      </c>
      <c r="AU21" s="111" t="str">
        <f>IFERROR(__xludf.DUMMYFUNCTION("""COMPUTED_VALUE"""),"6 days ago")</f>
        <v>6 days ago</v>
      </c>
      <c r="AV21" s="115"/>
      <c r="AW21" s="116" t="str">
        <f>IFERROR(__xludf.DUMMYFUNCTION("""COMPUTED_VALUE"""),"Blowjoe")</f>
        <v>Blowjoe</v>
      </c>
      <c r="AX21" s="111" t="str">
        <f>IFERROR(__xludf.DUMMYFUNCTION("""COMPUTED_VALUE"""),"Cartel")</f>
        <v>Cartel</v>
      </c>
      <c r="AY21" s="111" t="str">
        <f>IFERROR(__xludf.DUMMYFUNCTION("""COMPUTED_VALUE"""),"Kazzak")</f>
        <v>Kazzak</v>
      </c>
      <c r="AZ21" s="108">
        <f>IFERROR(__xludf.DUMMYFUNCTION("""COMPUTED_VALUE"""),408.81)</f>
        <v>408.81</v>
      </c>
      <c r="BA21" s="111" t="str">
        <f>IFERROR(__xludf.DUMMYFUNCTION("""COMPUTED_VALUE"""),"19 days ago")</f>
        <v>19 days ago</v>
      </c>
      <c r="BB21" s="117"/>
      <c r="BC21" s="116" t="str">
        <f>IFERROR(__xludf.DUMMYFUNCTION("""COMPUTED_VALUE"""),"Sayrah")</f>
        <v>Sayrah</v>
      </c>
      <c r="BD21" s="111" t="str">
        <f>IFERROR(__xludf.DUMMYFUNCTION("""COMPUTED_VALUE"""),"Blood Syndicate")</f>
        <v>Blood Syndicate</v>
      </c>
      <c r="BE21" s="111" t="str">
        <f>IFERROR(__xludf.DUMMYFUNCTION("""COMPUTED_VALUE"""),"Ravencrest")</f>
        <v>Ravencrest</v>
      </c>
      <c r="BF21" s="108">
        <f>IFERROR(__xludf.DUMMYFUNCTION("""COMPUTED_VALUE"""),407.63)</f>
        <v>407.63</v>
      </c>
      <c r="BG21" s="111" t="str">
        <f>IFERROR(__xludf.DUMMYFUNCTION("""COMPUTED_VALUE"""),"21 day ago")</f>
        <v>21 day ago</v>
      </c>
      <c r="BH21" s="118"/>
      <c r="BI21" s="116" t="str">
        <f>IFERROR(__xludf.DUMMYFUNCTION("""COMPUTED_VALUE"""),"Nightend")</f>
        <v>Nightend</v>
      </c>
      <c r="BJ21" s="111" t="str">
        <f>IFERROR(__xludf.DUMMYFUNCTION("""COMPUTED_VALUE"""),"Abort Mission")</f>
        <v>Abort Mission</v>
      </c>
      <c r="BK21" s="111" t="str">
        <f>IFERROR(__xludf.DUMMYFUNCTION("""COMPUTED_VALUE"""),"Ravencrest")</f>
        <v>Ravencrest</v>
      </c>
      <c r="BL21" s="108">
        <f>IFERROR(__xludf.DUMMYFUNCTION("""COMPUTED_VALUE"""),407.19)</f>
        <v>407.19</v>
      </c>
      <c r="BM21" s="111" t="str">
        <f>IFERROR(__xludf.DUMMYFUNCTION("""COMPUTED_VALUE"""),"16 hours ago")</f>
        <v>16 hours ago</v>
      </c>
      <c r="BN21" s="119"/>
      <c r="BO21" s="116" t="str">
        <f>IFERROR(__xludf.DUMMYFUNCTION("""COMPUTED_VALUE"""),"Leythia")</f>
        <v>Leythia</v>
      </c>
      <c r="BP21" s="111" t="str">
        <f>IFERROR(__xludf.DUMMYFUNCTION("""COMPUTED_VALUE"""),"")</f>
        <v/>
      </c>
      <c r="BQ21" s="111" t="str">
        <f>IFERROR(__xludf.DUMMYFUNCTION("""COMPUTED_VALUE"""),"Argent Dawn")</f>
        <v>Argent Dawn</v>
      </c>
      <c r="BR21" s="108">
        <f>IFERROR(__xludf.DUMMYFUNCTION("""COMPUTED_VALUE"""),407.44)</f>
        <v>407.44</v>
      </c>
      <c r="BS21" s="111" t="str">
        <f>IFERROR(__xludf.DUMMYFUNCTION("""COMPUTED_VALUE"""),"16 days ago")</f>
        <v>16 days ago</v>
      </c>
      <c r="BT21" s="120"/>
      <c r="BU21" s="107" t="str">
        <f t="shared" ref="BU21:BY21" si="16">A21</f>
        <v>Nobref</v>
      </c>
      <c r="BV21" s="107" t="str">
        <f t="shared" si="16"/>
        <v>High Five</v>
      </c>
      <c r="BW21" s="107" t="str">
        <f t="shared" si="16"/>
        <v>Draenor</v>
      </c>
      <c r="BX21" s="107">
        <f t="shared" si="16"/>
        <v>409.75</v>
      </c>
      <c r="BY21" s="107" t="str">
        <f t="shared" si="16"/>
        <v>19 days ago</v>
      </c>
      <c r="BZ21" s="108"/>
    </row>
    <row r="22">
      <c r="A22" t="str">
        <f>IFERROR(__xludf.DUMMYFUNCTION("""COMPUTED_VALUE"""),"Deathlight")</f>
        <v>Deathlight</v>
      </c>
      <c r="B22" t="str">
        <f>IFERROR(__xludf.DUMMYFUNCTION("""COMPUTED_VALUE"""),"Gehenna")</f>
        <v>Gehenna</v>
      </c>
      <c r="C22" t="str">
        <f>IFERROR(__xludf.DUMMYFUNCTION("""COMPUTED_VALUE"""),"Stormreaver")</f>
        <v>Stormreaver</v>
      </c>
      <c r="D22">
        <f>IFERROR(__xludf.DUMMYFUNCTION("""COMPUTED_VALUE"""),409.69)</f>
        <v>409.69</v>
      </c>
      <c r="E22" t="str">
        <f>IFERROR(__xludf.DUMMYFUNCTION("""COMPUTED_VALUE"""),"2 days ago")</f>
        <v>2 days ago</v>
      </c>
      <c r="F22" s="94"/>
      <c r="G22" t="str">
        <f>IFERROR(__xludf.DUMMYFUNCTION("""COMPUTED_VALUE"""),"Kirisaitedh")</f>
        <v>Kirisaitedh</v>
      </c>
      <c r="H22" t="str">
        <f>IFERROR(__xludf.DUMMYFUNCTION("""COMPUTED_VALUE"""),"Faithlèss")</f>
        <v>Faithlèss</v>
      </c>
      <c r="I22" t="str">
        <f>IFERROR(__xludf.DUMMYFUNCTION("""COMPUTED_VALUE"""),"Kazzak")</f>
        <v>Kazzak</v>
      </c>
      <c r="J22">
        <f>IFERROR(__xludf.DUMMYFUNCTION("""COMPUTED_VALUE"""),410.63)</f>
        <v>410.63</v>
      </c>
      <c r="K22" t="str">
        <f>IFERROR(__xludf.DUMMYFUNCTION("""COMPUTED_VALUE"""),"6 days ago")</f>
        <v>6 days ago</v>
      </c>
      <c r="L22" s="95"/>
      <c r="M22" t="str">
        <f>IFERROR(__xludf.DUMMYFUNCTION("""COMPUTED_VALUE"""),"Ôgñjeñ")</f>
        <v>Ôgñjeñ</v>
      </c>
      <c r="N22" t="str">
        <f>IFERROR(__xludf.DUMMYFUNCTION("""COMPUTED_VALUE"""),"teknomafiaa")</f>
        <v>teknomafiaa</v>
      </c>
      <c r="O22" t="str">
        <f>IFERROR(__xludf.DUMMYFUNCTION("""COMPUTED_VALUE"""),"Kazzak")</f>
        <v>Kazzak</v>
      </c>
      <c r="P22">
        <f>IFERROR(__xludf.DUMMYFUNCTION("""COMPUTED_VALUE"""),409.44)</f>
        <v>409.44</v>
      </c>
      <c r="Q22" t="str">
        <f>IFERROR(__xludf.DUMMYFUNCTION("""COMPUTED_VALUE"""),"10 days ago")</f>
        <v>10 days ago</v>
      </c>
      <c r="R22" s="96"/>
      <c r="S22" t="str">
        <f>IFERROR(__xludf.DUMMYFUNCTION("""COMPUTED_VALUE"""),"Huaman")</f>
        <v>Huaman</v>
      </c>
      <c r="T22" t="str">
        <f>IFERROR(__xludf.DUMMYFUNCTION("""COMPUTED_VALUE"""),"Family Dinner")</f>
        <v>Family Dinner</v>
      </c>
      <c r="U22" t="str">
        <f>IFERROR(__xludf.DUMMYFUNCTION("""COMPUTED_VALUE"""),"Twisting Nether")</f>
        <v>Twisting Nether</v>
      </c>
      <c r="V22">
        <f>IFERROR(__xludf.DUMMYFUNCTION("""COMPUTED_VALUE"""),408.31)</f>
        <v>408.31</v>
      </c>
      <c r="W22" t="str">
        <f>IFERROR(__xludf.DUMMYFUNCTION("""COMPUTED_VALUE"""),"15 days ago")</f>
        <v>15 days ago</v>
      </c>
      <c r="X22" s="97"/>
      <c r="Y22" s="111" t="str">
        <f>IFERROR(__xludf.DUMMYFUNCTION("""COMPUTED_VALUE"""),"Malpiyt")</f>
        <v>Malpiyt</v>
      </c>
      <c r="Z22" s="111" t="str">
        <f>IFERROR(__xludf.DUMMYFUNCTION("""COMPUTED_VALUE"""),"Team Epic")</f>
        <v>Team Epic</v>
      </c>
      <c r="AA22" s="111" t="str">
        <f>IFERROR(__xludf.DUMMYFUNCTION("""COMPUTED_VALUE"""),"Moonglade")</f>
        <v>Moonglade</v>
      </c>
      <c r="AB22" s="108">
        <f>IFERROR(__xludf.DUMMYFUNCTION("""COMPUTED_VALUE"""),409.38)</f>
        <v>409.38</v>
      </c>
      <c r="AC22" s="111" t="str">
        <f>IFERROR(__xludf.DUMMYFUNCTION("""COMPUTED_VALUE"""),"3 days ago")</f>
        <v>3 days ago</v>
      </c>
      <c r="AD22" s="112"/>
      <c r="AE22" s="111" t="str">
        <f>IFERROR(__xludf.DUMMYFUNCTION("""COMPUTED_VALUE"""),"Néymar")</f>
        <v>Néymar</v>
      </c>
      <c r="AF22" s="111" t="str">
        <f>IFERROR(__xludf.DUMMYFUNCTION("""COMPUTED_VALUE"""),"Superstition")</f>
        <v>Superstition</v>
      </c>
      <c r="AG22" s="111" t="str">
        <f>IFERROR(__xludf.DUMMYFUNCTION("""COMPUTED_VALUE"""),"Tarren Mill")</f>
        <v>Tarren Mill</v>
      </c>
      <c r="AH22" s="111">
        <f>IFERROR(__xludf.DUMMYFUNCTION("""COMPUTED_VALUE"""),410.19)</f>
        <v>410.19</v>
      </c>
      <c r="AI22" s="111" t="str">
        <f>IFERROR(__xludf.DUMMYFUNCTION("""COMPUTED_VALUE"""),"26 days ago")</f>
        <v>26 days ago</v>
      </c>
      <c r="AJ22" s="113"/>
      <c r="AK22" s="111" t="str">
        <f>IFERROR(__xludf.DUMMYFUNCTION("""COMPUTED_VALUE"""),"Corronica")</f>
        <v>Corronica</v>
      </c>
      <c r="AL22" s="111" t="str">
        <f>IFERROR(__xludf.DUMMYFUNCTION("""COMPUTED_VALUE"""),"Acoustic")</f>
        <v>Acoustic</v>
      </c>
      <c r="AM22" s="111" t="str">
        <f>IFERROR(__xludf.DUMMYFUNCTION("""COMPUTED_VALUE"""),"Twisting Nether")</f>
        <v>Twisting Nether</v>
      </c>
      <c r="AN22" s="108">
        <f>IFERROR(__xludf.DUMMYFUNCTION("""COMPUTED_VALUE"""),408.63)</f>
        <v>408.63</v>
      </c>
      <c r="AO22" s="111" t="str">
        <f>IFERROR(__xludf.DUMMYFUNCTION("""COMPUTED_VALUE"""),"10 hours ago")</f>
        <v>10 hours ago</v>
      </c>
      <c r="AP22" s="114"/>
      <c r="AQ22" s="111" t="str">
        <f>IFERROR(__xludf.DUMMYFUNCTION("""COMPUTED_VALUE"""),"Lightspace")</f>
        <v>Lightspace</v>
      </c>
      <c r="AR22" s="111" t="str">
        <f>IFERROR(__xludf.DUMMYFUNCTION("""COMPUTED_VALUE"""),"Laser Kittens")</f>
        <v>Laser Kittens</v>
      </c>
      <c r="AS22" s="111" t="str">
        <f>IFERROR(__xludf.DUMMYFUNCTION("""COMPUTED_VALUE"""),"Ragnaros")</f>
        <v>Ragnaros</v>
      </c>
      <c r="AT22" s="108">
        <f>IFERROR(__xludf.DUMMYFUNCTION("""COMPUTED_VALUE"""),407.63)</f>
        <v>407.63</v>
      </c>
      <c r="AU22" s="111" t="str">
        <f>IFERROR(__xludf.DUMMYFUNCTION("""COMPUTED_VALUE"""),"16 days ago")</f>
        <v>16 days ago</v>
      </c>
      <c r="AV22" s="115"/>
      <c r="AW22" s="116" t="str">
        <f>IFERROR(__xludf.DUMMYFUNCTION("""COMPUTED_VALUE"""),"Riljrak")</f>
        <v>Riljrak</v>
      </c>
      <c r="AX22" s="111" t="str">
        <f>IFERROR(__xludf.DUMMYFUNCTION("""COMPUTED_VALUE"""),"Meridies")</f>
        <v>Meridies</v>
      </c>
      <c r="AY22" s="111" t="str">
        <f>IFERROR(__xludf.DUMMYFUNCTION("""COMPUTED_VALUE"""),"Silvermoon")</f>
        <v>Silvermoon</v>
      </c>
      <c r="AZ22" s="108">
        <f>IFERROR(__xludf.DUMMYFUNCTION("""COMPUTED_VALUE"""),408.75)</f>
        <v>408.75</v>
      </c>
      <c r="BA22" s="111" t="str">
        <f>IFERROR(__xludf.DUMMYFUNCTION("""COMPUTED_VALUE"""),"25 days ago")</f>
        <v>25 days ago</v>
      </c>
      <c r="BB22" s="117"/>
      <c r="BC22" s="116" t="str">
        <f>IFERROR(__xludf.DUMMYFUNCTION("""COMPUTED_VALUE"""),"Elisiah")</f>
        <v>Elisiah</v>
      </c>
      <c r="BD22" s="111" t="str">
        <f>IFERROR(__xludf.DUMMYFUNCTION("""COMPUTED_VALUE"""),"")</f>
        <v/>
      </c>
      <c r="BE22" s="111" t="str">
        <f>IFERROR(__xludf.DUMMYFUNCTION("""COMPUTED_VALUE"""),"Tarren Mill")</f>
        <v>Tarren Mill</v>
      </c>
      <c r="BF22" s="108">
        <f>IFERROR(__xludf.DUMMYFUNCTION("""COMPUTED_VALUE"""),407.38)</f>
        <v>407.38</v>
      </c>
      <c r="BG22" s="111" t="str">
        <f>IFERROR(__xludf.DUMMYFUNCTION("""COMPUTED_VALUE"""),"14 days ago")</f>
        <v>14 days ago</v>
      </c>
      <c r="BH22" s="118"/>
      <c r="BI22" s="116" t="str">
        <f>IFERROR(__xludf.DUMMYFUNCTION("""COMPUTED_VALUE"""),"Cixxa")</f>
        <v>Cixxa</v>
      </c>
      <c r="BJ22" s="111" t="str">
        <f>IFERROR(__xludf.DUMMYFUNCTION("""COMPUTED_VALUE"""),"Zero Logic")</f>
        <v>Zero Logic</v>
      </c>
      <c r="BK22" s="111" t="str">
        <f>IFERROR(__xludf.DUMMYFUNCTION("""COMPUTED_VALUE"""),"Kazzak")</f>
        <v>Kazzak</v>
      </c>
      <c r="BL22" s="108">
        <f>IFERROR(__xludf.DUMMYFUNCTION("""COMPUTED_VALUE"""),407.06)</f>
        <v>407.06</v>
      </c>
      <c r="BM22" s="111" t="str">
        <f>IFERROR(__xludf.DUMMYFUNCTION("""COMPUTED_VALUE"""),"4 days ago")</f>
        <v>4 days ago</v>
      </c>
      <c r="BN22" s="119"/>
      <c r="BO22" s="116" t="str">
        <f>IFERROR(__xludf.DUMMYFUNCTION("""COMPUTED_VALUE"""),"Warru")</f>
        <v>Warru</v>
      </c>
      <c r="BP22" s="111" t="str">
        <f>IFERROR(__xludf.DUMMYFUNCTION("""COMPUTED_VALUE"""),"")</f>
        <v/>
      </c>
      <c r="BQ22" s="111" t="str">
        <f>IFERROR(__xludf.DUMMYFUNCTION("""COMPUTED_VALUE"""),"Drak'thul")</f>
        <v>Drak'thul</v>
      </c>
      <c r="BR22" s="108">
        <f>IFERROR(__xludf.DUMMYFUNCTION("""COMPUTED_VALUE"""),407.38)</f>
        <v>407.38</v>
      </c>
      <c r="BS22" s="111" t="str">
        <f>IFERROR(__xludf.DUMMYFUNCTION("""COMPUTED_VALUE"""),"9 days ago")</f>
        <v>9 days ago</v>
      </c>
      <c r="BT22" s="120"/>
      <c r="BU22" s="107" t="str">
        <f t="shared" ref="BU22:BY22" si="17">A22</f>
        <v>Deathlight</v>
      </c>
      <c r="BV22" s="107" t="str">
        <f t="shared" si="17"/>
        <v>Gehenna</v>
      </c>
      <c r="BW22" s="107" t="str">
        <f t="shared" si="17"/>
        <v>Stormreaver</v>
      </c>
      <c r="BX22" s="107">
        <f t="shared" si="17"/>
        <v>409.69</v>
      </c>
      <c r="BY22" s="107" t="str">
        <f t="shared" si="17"/>
        <v>2 days ago</v>
      </c>
      <c r="BZ22" s="108"/>
    </row>
    <row r="23">
      <c r="A23" t="str">
        <f>IFERROR(__xludf.DUMMYFUNCTION("""COMPUTED_VALUE"""),"Hamsterdk")</f>
        <v>Hamsterdk</v>
      </c>
      <c r="B23" t="str">
        <f>IFERROR(__xludf.DUMMYFUNCTION("""COMPUTED_VALUE"""),"BIG CITY LIFE")</f>
        <v>BIG CITY LIFE</v>
      </c>
      <c r="C23" t="str">
        <f>IFERROR(__xludf.DUMMYFUNCTION("""COMPUTED_VALUE"""),"Terokkar")</f>
        <v>Terokkar</v>
      </c>
      <c r="D23">
        <f>IFERROR(__xludf.DUMMYFUNCTION("""COMPUTED_VALUE"""),409.56)</f>
        <v>409.56</v>
      </c>
      <c r="E23" t="str">
        <f>IFERROR(__xludf.DUMMYFUNCTION("""COMPUTED_VALUE"""),"21 hour ago")</f>
        <v>21 hour ago</v>
      </c>
      <c r="F23" s="94"/>
      <c r="G23" t="str">
        <f>IFERROR(__xludf.DUMMYFUNCTION("""COMPUTED_VALUE"""),"Matherdh")</f>
        <v>Matherdh</v>
      </c>
      <c r="H23" t="str">
        <f>IFERROR(__xludf.DUMMYFUNCTION("""COMPUTED_VALUE"""),"BIG CITY LIFE")</f>
        <v>BIG CITY LIFE</v>
      </c>
      <c r="I23" t="str">
        <f>IFERROR(__xludf.DUMMYFUNCTION("""COMPUTED_VALUE"""),"Darkspear")</f>
        <v>Darkspear</v>
      </c>
      <c r="J23">
        <f>IFERROR(__xludf.DUMMYFUNCTION("""COMPUTED_VALUE"""),410.56)</f>
        <v>410.56</v>
      </c>
      <c r="K23" t="str">
        <f>IFERROR(__xludf.DUMMYFUNCTION("""COMPUTED_VALUE"""),"1 day ago")</f>
        <v>1 day ago</v>
      </c>
      <c r="L23" s="95"/>
      <c r="M23" t="str">
        <f>IFERROR(__xludf.DUMMYFUNCTION("""COMPUTED_VALUE"""),"Finurligdood")</f>
        <v>Finurligdood</v>
      </c>
      <c r="N23" t="str">
        <f>IFERROR(__xludf.DUMMYFUNCTION("""COMPUTED_VALUE"""),"Hotfix")</f>
        <v>Hotfix</v>
      </c>
      <c r="O23" t="str">
        <f>IFERROR(__xludf.DUMMYFUNCTION("""COMPUTED_VALUE"""),"Tarren Mill")</f>
        <v>Tarren Mill</v>
      </c>
      <c r="P23">
        <f>IFERROR(__xludf.DUMMYFUNCTION("""COMPUTED_VALUE"""),409.38)</f>
        <v>409.38</v>
      </c>
      <c r="Q23" t="str">
        <f>IFERROR(__xludf.DUMMYFUNCTION("""COMPUTED_VALUE"""),"9 days ago")</f>
        <v>9 days ago</v>
      </c>
      <c r="R23" s="96"/>
      <c r="S23" t="str">
        <f>IFERROR(__xludf.DUMMYFUNCTION("""COMPUTED_VALUE"""),"Kakmil")</f>
        <v>Kakmil</v>
      </c>
      <c r="T23" t="str">
        <f>IFERROR(__xludf.DUMMYFUNCTION("""COMPUTED_VALUE"""),"Safety Dance")</f>
        <v>Safety Dance</v>
      </c>
      <c r="U23" t="str">
        <f>IFERROR(__xludf.DUMMYFUNCTION("""COMPUTED_VALUE"""),"Burning Legion")</f>
        <v>Burning Legion</v>
      </c>
      <c r="V23">
        <f>IFERROR(__xludf.DUMMYFUNCTION("""COMPUTED_VALUE"""),407.94)</f>
        <v>407.94</v>
      </c>
      <c r="W23" t="str">
        <f>IFERROR(__xludf.DUMMYFUNCTION("""COMPUTED_VALUE"""),"1 day ago")</f>
        <v>1 day ago</v>
      </c>
      <c r="X23" s="97"/>
      <c r="Y23" s="111" t="str">
        <f>IFERROR(__xludf.DUMMYFUNCTION("""COMPUTED_VALUE"""),"Klápek")</f>
        <v>Klápek</v>
      </c>
      <c r="Z23" s="111" t="str">
        <f>IFERROR(__xludf.DUMMYFUNCTION("""COMPUTED_VALUE"""),"Anima Ignis")</f>
        <v>Anima Ignis</v>
      </c>
      <c r="AA23" s="111" t="str">
        <f>IFERROR(__xludf.DUMMYFUNCTION("""COMPUTED_VALUE"""),"Burning Legion")</f>
        <v>Burning Legion</v>
      </c>
      <c r="AB23" s="108">
        <f>IFERROR(__xludf.DUMMYFUNCTION("""COMPUTED_VALUE"""),408.94)</f>
        <v>408.94</v>
      </c>
      <c r="AC23" s="111" t="str">
        <f>IFERROR(__xludf.DUMMYFUNCTION("""COMPUTED_VALUE"""),"17 days ago")</f>
        <v>17 days ago</v>
      </c>
      <c r="AD23" s="112"/>
      <c r="AE23" s="111" t="str">
        <f>IFERROR(__xludf.DUMMYFUNCTION("""COMPUTED_VALUE"""),"Grizlo")</f>
        <v>Grizlo</v>
      </c>
      <c r="AF23" s="111" t="str">
        <f>IFERROR(__xludf.DUMMYFUNCTION("""COMPUTED_VALUE"""),"Break")</f>
        <v>Break</v>
      </c>
      <c r="AG23" s="111" t="str">
        <f>IFERROR(__xludf.DUMMYFUNCTION("""COMPUTED_VALUE"""),"Burning Legion")</f>
        <v>Burning Legion</v>
      </c>
      <c r="AH23" s="111">
        <f>IFERROR(__xludf.DUMMYFUNCTION("""COMPUTED_VALUE"""),410.13)</f>
        <v>410.13</v>
      </c>
      <c r="AI23" s="111" t="str">
        <f>IFERROR(__xludf.DUMMYFUNCTION("""COMPUTED_VALUE"""),"10 days ago")</f>
        <v>10 days ago</v>
      </c>
      <c r="AJ23" s="113"/>
      <c r="AK23" s="111" t="str">
        <f>IFERROR(__xludf.DUMMYFUNCTION("""COMPUTED_VALUE"""),"Suolappi")</f>
        <v>Suolappi</v>
      </c>
      <c r="AL23" s="111" t="str">
        <f>IFERROR(__xludf.DUMMYFUNCTION("""COMPUTED_VALUE"""),"Ebrius")</f>
        <v>Ebrius</v>
      </c>
      <c r="AM23" s="111" t="str">
        <f>IFERROR(__xludf.DUMMYFUNCTION("""COMPUTED_VALUE"""),"Stormreaver")</f>
        <v>Stormreaver</v>
      </c>
      <c r="AN23" s="108">
        <f>IFERROR(__xludf.DUMMYFUNCTION("""COMPUTED_VALUE"""),408.5)</f>
        <v>408.5</v>
      </c>
      <c r="AO23" s="111" t="str">
        <f>IFERROR(__xludf.DUMMYFUNCTION("""COMPUTED_VALUE"""),"5 days ago")</f>
        <v>5 days ago</v>
      </c>
      <c r="AP23" s="114"/>
      <c r="AQ23" s="111" t="str">
        <f>IFERROR(__xludf.DUMMYFUNCTION("""COMPUTED_VALUE"""),"Sunnyxd")</f>
        <v>Sunnyxd</v>
      </c>
      <c r="AR23" s="111" t="str">
        <f>IFERROR(__xludf.DUMMYFUNCTION("""COMPUTED_VALUE"""),"")</f>
        <v/>
      </c>
      <c r="AS23" s="111" t="str">
        <f>IFERROR(__xludf.DUMMYFUNCTION("""COMPUTED_VALUE"""),"Twisting Nether")</f>
        <v>Twisting Nether</v>
      </c>
      <c r="AT23" s="108">
        <f>IFERROR(__xludf.DUMMYFUNCTION("""COMPUTED_VALUE"""),407.56)</f>
        <v>407.56</v>
      </c>
      <c r="AU23" s="111" t="str">
        <f>IFERROR(__xludf.DUMMYFUNCTION("""COMPUTED_VALUE"""),"13 days ago")</f>
        <v>13 days ago</v>
      </c>
      <c r="AV23" s="115"/>
      <c r="AW23" s="116" t="str">
        <f>IFERROR(__xludf.DUMMYFUNCTION("""COMPUTED_VALUE"""),"Perwool")</f>
        <v>Perwool</v>
      </c>
      <c r="AX23" s="111" t="str">
        <f>IFERROR(__xludf.DUMMYFUNCTION("""COMPUTED_VALUE"""),"The Knife")</f>
        <v>The Knife</v>
      </c>
      <c r="AY23" s="111" t="str">
        <f>IFERROR(__xludf.DUMMYFUNCTION("""COMPUTED_VALUE"""),"Burning Legion")</f>
        <v>Burning Legion</v>
      </c>
      <c r="AZ23" s="108">
        <f>IFERROR(__xludf.DUMMYFUNCTION("""COMPUTED_VALUE"""),408.75)</f>
        <v>408.75</v>
      </c>
      <c r="BA23" s="111" t="str">
        <f>IFERROR(__xludf.DUMMYFUNCTION("""COMPUTED_VALUE"""),"4 days ago")</f>
        <v>4 days ago</v>
      </c>
      <c r="BB23" s="117"/>
      <c r="BC23" s="116" t="str">
        <f>IFERROR(__xludf.DUMMYFUNCTION("""COMPUTED_VALUE"""),"Shv")</f>
        <v>Shv</v>
      </c>
      <c r="BD23" s="111" t="str">
        <f>IFERROR(__xludf.DUMMYFUNCTION("""COMPUTED_VALUE"""),"On Thin Ice")</f>
        <v>On Thin Ice</v>
      </c>
      <c r="BE23" s="111" t="str">
        <f>IFERROR(__xludf.DUMMYFUNCTION("""COMPUTED_VALUE"""),"Kazzak")</f>
        <v>Kazzak</v>
      </c>
      <c r="BF23" s="108">
        <f>IFERROR(__xludf.DUMMYFUNCTION("""COMPUTED_VALUE"""),406.75)</f>
        <v>406.75</v>
      </c>
      <c r="BG23" s="111" t="str">
        <f>IFERROR(__xludf.DUMMYFUNCTION("""COMPUTED_VALUE"""),"4 days ago")</f>
        <v>4 days ago</v>
      </c>
      <c r="BH23" s="118"/>
      <c r="BI23" s="116" t="str">
        <f>IFERROR(__xludf.DUMMYFUNCTION("""COMPUTED_VALUE"""),"Tnklock")</f>
        <v>Tnklock</v>
      </c>
      <c r="BJ23" s="111" t="str">
        <f>IFERROR(__xludf.DUMMYFUNCTION("""COMPUTED_VALUE"""),"Law")</f>
        <v>Law</v>
      </c>
      <c r="BK23" s="111" t="str">
        <f>IFERROR(__xludf.DUMMYFUNCTION("""COMPUTED_VALUE"""),"Draenor")</f>
        <v>Draenor</v>
      </c>
      <c r="BL23" s="108">
        <f>IFERROR(__xludf.DUMMYFUNCTION("""COMPUTED_VALUE"""),407.06)</f>
        <v>407.06</v>
      </c>
      <c r="BM23" s="111" t="str">
        <f>IFERROR(__xludf.DUMMYFUNCTION("""COMPUTED_VALUE"""),"5 days ago")</f>
        <v>5 days ago</v>
      </c>
      <c r="BN23" s="119"/>
      <c r="BO23" s="116" t="str">
        <f>IFERROR(__xludf.DUMMYFUNCTION("""COMPUTED_VALUE"""),"Imrecky")</f>
        <v>Imrecky</v>
      </c>
      <c r="BP23" s="111" t="str">
        <f>IFERROR(__xludf.DUMMYFUNCTION("""COMPUTED_VALUE"""),"Clique")</f>
        <v>Clique</v>
      </c>
      <c r="BQ23" s="111" t="str">
        <f>IFERROR(__xludf.DUMMYFUNCTION("""COMPUTED_VALUE"""),"Draenor")</f>
        <v>Draenor</v>
      </c>
      <c r="BR23" s="108">
        <f>IFERROR(__xludf.DUMMYFUNCTION("""COMPUTED_VALUE"""),406.75)</f>
        <v>406.75</v>
      </c>
      <c r="BS23" s="111" t="str">
        <f>IFERROR(__xludf.DUMMYFUNCTION("""COMPUTED_VALUE"""),"17 days ago")</f>
        <v>17 days ago</v>
      </c>
      <c r="BT23" s="120"/>
      <c r="BU23" s="107" t="str">
        <f t="shared" ref="BU23:BY23" si="18">A23</f>
        <v>Hamsterdk</v>
      </c>
      <c r="BV23" s="107" t="str">
        <f t="shared" si="18"/>
        <v>BIG CITY LIFE</v>
      </c>
      <c r="BW23" s="107" t="str">
        <f t="shared" si="18"/>
        <v>Terokkar</v>
      </c>
      <c r="BX23" s="107">
        <f t="shared" si="18"/>
        <v>409.56</v>
      </c>
      <c r="BY23" s="107" t="str">
        <f t="shared" si="18"/>
        <v>21 hour ago</v>
      </c>
      <c r="BZ23" s="108"/>
    </row>
    <row r="24">
      <c r="A24" t="str">
        <f>IFERROR(__xludf.DUMMYFUNCTION("""COMPUTED_VALUE"""),"Overknight")</f>
        <v>Overknight</v>
      </c>
      <c r="B24" t="str">
        <f>IFERROR(__xludf.DUMMYFUNCTION("""COMPUTED_VALUE"""),"Suggestion")</f>
        <v>Suggestion</v>
      </c>
      <c r="C24" t="str">
        <f>IFERROR(__xludf.DUMMYFUNCTION("""COMPUTED_VALUE"""),"Draenor")</f>
        <v>Draenor</v>
      </c>
      <c r="D24">
        <f>IFERROR(__xludf.DUMMYFUNCTION("""COMPUTED_VALUE"""),409.31)</f>
        <v>409.31</v>
      </c>
      <c r="E24" t="str">
        <f>IFERROR(__xludf.DUMMYFUNCTION("""COMPUTED_VALUE"""),"12 days ago")</f>
        <v>12 days ago</v>
      </c>
      <c r="F24" s="94"/>
      <c r="G24" t="str">
        <f>IFERROR(__xludf.DUMMYFUNCTION("""COMPUTED_VALUE"""),"Aasdd")</f>
        <v>Aasdd</v>
      </c>
      <c r="H24" t="str">
        <f>IFERROR(__xludf.DUMMYFUNCTION("""COMPUTED_VALUE"""),"Sky Walkers")</f>
        <v>Sky Walkers</v>
      </c>
      <c r="I24" t="str">
        <f>IFERROR(__xludf.DUMMYFUNCTION("""COMPUTED_VALUE"""),"Kazzak")</f>
        <v>Kazzak</v>
      </c>
      <c r="J24">
        <f>IFERROR(__xludf.DUMMYFUNCTION("""COMPUTED_VALUE"""),410.44)</f>
        <v>410.44</v>
      </c>
      <c r="K24" t="str">
        <f>IFERROR(__xludf.DUMMYFUNCTION("""COMPUTED_VALUE"""),"28 days ago")</f>
        <v>28 days ago</v>
      </c>
      <c r="L24" s="95"/>
      <c r="M24" t="str">
        <f>IFERROR(__xludf.DUMMYFUNCTION("""COMPUTED_VALUE"""),"Zoiny")</f>
        <v>Zoiny</v>
      </c>
      <c r="N24" t="str">
        <f>IFERROR(__xludf.DUMMYFUNCTION("""COMPUTED_VALUE"""),"Resolve")</f>
        <v>Resolve</v>
      </c>
      <c r="O24" t="str">
        <f>IFERROR(__xludf.DUMMYFUNCTION("""COMPUTED_VALUE"""),"Ravenholdt")</f>
        <v>Ravenholdt</v>
      </c>
      <c r="P24">
        <f>IFERROR(__xludf.DUMMYFUNCTION("""COMPUTED_VALUE"""),409.19)</f>
        <v>409.19</v>
      </c>
      <c r="Q24" t="str">
        <f>IFERROR(__xludf.DUMMYFUNCTION("""COMPUTED_VALUE"""),"9 days ago")</f>
        <v>9 days ago</v>
      </c>
      <c r="R24" s="96"/>
      <c r="S24" t="str">
        <f>IFERROR(__xludf.DUMMYFUNCTION("""COMPUTED_VALUE"""),"Venomax")</f>
        <v>Venomax</v>
      </c>
      <c r="T24" t="str">
        <f>IFERROR(__xludf.DUMMYFUNCTION("""COMPUTED_VALUE"""),"")</f>
        <v/>
      </c>
      <c r="U24" t="str">
        <f>IFERROR(__xludf.DUMMYFUNCTION("""COMPUTED_VALUE"""),"Tarren Mill")</f>
        <v>Tarren Mill</v>
      </c>
      <c r="V24">
        <f>IFERROR(__xludf.DUMMYFUNCTION("""COMPUTED_VALUE"""),407.56)</f>
        <v>407.56</v>
      </c>
      <c r="W24" t="str">
        <f>IFERROR(__xludf.DUMMYFUNCTION("""COMPUTED_VALUE"""),"1 day ago")</f>
        <v>1 day ago</v>
      </c>
      <c r="X24" s="97"/>
      <c r="Y24" s="111" t="str">
        <f>IFERROR(__xludf.DUMMYFUNCTION("""COMPUTED_VALUE"""),"Birthdays")</f>
        <v>Birthdays</v>
      </c>
      <c r="Z24" s="111" t="str">
        <f>IFERROR(__xludf.DUMMYFUNCTION("""COMPUTED_VALUE"""),"")</f>
        <v/>
      </c>
      <c r="AA24" s="111" t="str">
        <f>IFERROR(__xludf.DUMMYFUNCTION("""COMPUTED_VALUE"""),"Tarren Mill")</f>
        <v>Tarren Mill</v>
      </c>
      <c r="AB24" s="108">
        <f>IFERROR(__xludf.DUMMYFUNCTION("""COMPUTED_VALUE"""),408.94)</f>
        <v>408.94</v>
      </c>
      <c r="AC24" s="111" t="str">
        <f>IFERROR(__xludf.DUMMYFUNCTION("""COMPUTED_VALUE"""),"2 days ago")</f>
        <v>2 days ago</v>
      </c>
      <c r="AD24" s="112"/>
      <c r="AE24" s="111" t="str">
        <f>IFERROR(__xludf.DUMMYFUNCTION("""COMPUTED_VALUE"""),"Healbrewedit")</f>
        <v>Healbrewedit</v>
      </c>
      <c r="AF24" s="111" t="str">
        <f>IFERROR(__xludf.DUMMYFUNCTION("""COMPUTED_VALUE"""),"Safety Dance")</f>
        <v>Safety Dance</v>
      </c>
      <c r="AG24" s="111" t="str">
        <f>IFERROR(__xludf.DUMMYFUNCTION("""COMPUTED_VALUE"""),"Argent Dawn")</f>
        <v>Argent Dawn</v>
      </c>
      <c r="AH24" s="111">
        <f>IFERROR(__xludf.DUMMYFUNCTION("""COMPUTED_VALUE"""),410.06)</f>
        <v>410.06</v>
      </c>
      <c r="AI24" s="111" t="str">
        <f>IFERROR(__xludf.DUMMYFUNCTION("""COMPUTED_VALUE"""),"3 days ago")</f>
        <v>3 days ago</v>
      </c>
      <c r="AJ24" s="113"/>
      <c r="AK24" s="111" t="str">
        <f>IFERROR(__xludf.DUMMYFUNCTION("""COMPUTED_VALUE"""),"Thaurando")</f>
        <v>Thaurando</v>
      </c>
      <c r="AL24" s="111" t="str">
        <f>IFERROR(__xludf.DUMMYFUNCTION("""COMPUTED_VALUE"""),"Zanity")</f>
        <v>Zanity</v>
      </c>
      <c r="AM24" s="111" t="str">
        <f>IFERROR(__xludf.DUMMYFUNCTION("""COMPUTED_VALUE"""),"Tarren Mill")</f>
        <v>Tarren Mill</v>
      </c>
      <c r="AN24" s="108">
        <f>IFERROR(__xludf.DUMMYFUNCTION("""COMPUTED_VALUE"""),408.19)</f>
        <v>408.19</v>
      </c>
      <c r="AO24" s="111" t="str">
        <f>IFERROR(__xludf.DUMMYFUNCTION("""COMPUTED_VALUE"""),"18 hours ago")</f>
        <v>18 hours ago</v>
      </c>
      <c r="AP24" s="114"/>
      <c r="AQ24" s="111" t="str">
        <f>IFERROR(__xludf.DUMMYFUNCTION("""COMPUTED_VALUE"""),"Holywingz")</f>
        <v>Holywingz</v>
      </c>
      <c r="AR24" s="111" t="str">
        <f>IFERROR(__xludf.DUMMYFUNCTION("""COMPUTED_VALUE"""),"")</f>
        <v/>
      </c>
      <c r="AS24" s="111" t="str">
        <f>IFERROR(__xludf.DUMMYFUNCTION("""COMPUTED_VALUE"""),"Twisting Nether")</f>
        <v>Twisting Nether</v>
      </c>
      <c r="AT24" s="108">
        <f>IFERROR(__xludf.DUMMYFUNCTION("""COMPUTED_VALUE"""),407.38)</f>
        <v>407.38</v>
      </c>
      <c r="AU24" s="111" t="str">
        <f>IFERROR(__xludf.DUMMYFUNCTION("""COMPUTED_VALUE"""),"9 days ago")</f>
        <v>9 days ago</v>
      </c>
      <c r="AV24" s="115"/>
      <c r="AW24" s="116" t="str">
        <f>IFERROR(__xludf.DUMMYFUNCTION("""COMPUTED_VALUE"""),"Asaruta")</f>
        <v>Asaruta</v>
      </c>
      <c r="AX24" s="111" t="str">
        <f>IFERROR(__xludf.DUMMYFUNCTION("""COMPUTED_VALUE"""),"Drift")</f>
        <v>Drift</v>
      </c>
      <c r="AY24" s="111" t="str">
        <f>IFERROR(__xludf.DUMMYFUNCTION("""COMPUTED_VALUE"""),"Twisting Nether")</f>
        <v>Twisting Nether</v>
      </c>
      <c r="AZ24" s="108">
        <f>IFERROR(__xludf.DUMMYFUNCTION("""COMPUTED_VALUE"""),408.5)</f>
        <v>408.5</v>
      </c>
      <c r="BA24" s="111" t="str">
        <f>IFERROR(__xludf.DUMMYFUNCTION("""COMPUTED_VALUE"""),"9 days ago")</f>
        <v>9 days ago</v>
      </c>
      <c r="BB24" s="117"/>
      <c r="BC24" s="116" t="str">
        <f>IFERROR(__xludf.DUMMYFUNCTION("""COMPUTED_VALUE"""),"Kodac")</f>
        <v>Kodac</v>
      </c>
      <c r="BD24" s="111" t="str">
        <f>IFERROR(__xludf.DUMMYFUNCTION("""COMPUTED_VALUE"""),"Bulwark")</f>
        <v>Bulwark</v>
      </c>
      <c r="BE24" s="111" t="str">
        <f>IFERROR(__xludf.DUMMYFUNCTION("""COMPUTED_VALUE"""),"Twisting Nether")</f>
        <v>Twisting Nether</v>
      </c>
      <c r="BF24" s="108">
        <f>IFERROR(__xludf.DUMMYFUNCTION("""COMPUTED_VALUE"""),406.38)</f>
        <v>406.38</v>
      </c>
      <c r="BG24" s="111" t="str">
        <f>IFERROR(__xludf.DUMMYFUNCTION("""COMPUTED_VALUE"""),"5 days ago")</f>
        <v>5 days ago</v>
      </c>
      <c r="BH24" s="118"/>
      <c r="BI24" s="116" t="str">
        <f>IFERROR(__xludf.DUMMYFUNCTION("""COMPUTED_VALUE"""),"Yewda")</f>
        <v>Yewda</v>
      </c>
      <c r="BJ24" s="111" t="str">
        <f>IFERROR(__xludf.DUMMYFUNCTION("""COMPUTED_VALUE"""),"Martyrdom")</f>
        <v>Martyrdom</v>
      </c>
      <c r="BK24" s="111" t="str">
        <f>IFERROR(__xludf.DUMMYFUNCTION("""COMPUTED_VALUE"""),"Tarren Mill")</f>
        <v>Tarren Mill</v>
      </c>
      <c r="BL24" s="108">
        <f>IFERROR(__xludf.DUMMYFUNCTION("""COMPUTED_VALUE"""),406.81)</f>
        <v>406.81</v>
      </c>
      <c r="BM24" s="111" t="str">
        <f>IFERROR(__xludf.DUMMYFUNCTION("""COMPUTED_VALUE"""),"22 days ago")</f>
        <v>22 days ago</v>
      </c>
      <c r="BN24" s="119"/>
      <c r="BO24" s="116" t="str">
        <f>IFERROR(__xludf.DUMMYFUNCTION("""COMPUTED_VALUE"""),"Celestiaa")</f>
        <v>Celestiaa</v>
      </c>
      <c r="BP24" s="111" t="str">
        <f>IFERROR(__xludf.DUMMYFUNCTION("""COMPUTED_VALUE"""),"Resolve")</f>
        <v>Resolve</v>
      </c>
      <c r="BQ24" s="111" t="str">
        <f>IFERROR(__xludf.DUMMYFUNCTION("""COMPUTED_VALUE"""),"Defias Brotherhood")</f>
        <v>Defias Brotherhood</v>
      </c>
      <c r="BR24" s="108">
        <f>IFERROR(__xludf.DUMMYFUNCTION("""COMPUTED_VALUE"""),406.69)</f>
        <v>406.69</v>
      </c>
      <c r="BS24" s="111" t="str">
        <f>IFERROR(__xludf.DUMMYFUNCTION("""COMPUTED_VALUE"""),"12 days ago")</f>
        <v>12 days ago</v>
      </c>
      <c r="BT24" s="120"/>
      <c r="BU24" s="107" t="str">
        <f t="shared" ref="BU24:BY24" si="19">A24</f>
        <v>Overknight</v>
      </c>
      <c r="BV24" s="107" t="str">
        <f t="shared" si="19"/>
        <v>Suggestion</v>
      </c>
      <c r="BW24" s="107" t="str">
        <f t="shared" si="19"/>
        <v>Draenor</v>
      </c>
      <c r="BX24" s="107">
        <f t="shared" si="19"/>
        <v>409.31</v>
      </c>
      <c r="BY24" s="107" t="str">
        <f t="shared" si="19"/>
        <v>12 days ago</v>
      </c>
      <c r="BZ24" s="18"/>
    </row>
    <row r="25">
      <c r="A25" t="str">
        <f>IFERROR(__xludf.DUMMYFUNCTION("""COMPUTED_VALUE"""),"Dêvdk")</f>
        <v>Dêvdk</v>
      </c>
      <c r="B25" t="str">
        <f>IFERROR(__xludf.DUMMYFUNCTION("""COMPUTED_VALUE"""),"Slash Care")</f>
        <v>Slash Care</v>
      </c>
      <c r="C25" t="str">
        <f>IFERROR(__xludf.DUMMYFUNCTION("""COMPUTED_VALUE"""),"Tarren Mill")</f>
        <v>Tarren Mill</v>
      </c>
      <c r="D25">
        <f>IFERROR(__xludf.DUMMYFUNCTION("""COMPUTED_VALUE"""),409.19)</f>
        <v>409.19</v>
      </c>
      <c r="E25" t="str">
        <f>IFERROR(__xludf.DUMMYFUNCTION("""COMPUTED_VALUE"""),"3 days ago")</f>
        <v>3 days ago</v>
      </c>
      <c r="F25" s="94"/>
      <c r="G25" t="str">
        <f>IFERROR(__xludf.DUMMYFUNCTION("""COMPUTED_VALUE"""),"Pratyeka")</f>
        <v>Pratyeka</v>
      </c>
      <c r="H25" t="str">
        <f>IFERROR(__xludf.DUMMYFUNCTION("""COMPUTED_VALUE"""),"")</f>
        <v/>
      </c>
      <c r="I25" t="str">
        <f>IFERROR(__xludf.DUMMYFUNCTION("""COMPUTED_VALUE"""),"Tarren Mill")</f>
        <v>Tarren Mill</v>
      </c>
      <c r="J25">
        <f>IFERROR(__xludf.DUMMYFUNCTION("""COMPUTED_VALUE"""),410.19)</f>
        <v>410.19</v>
      </c>
      <c r="K25" t="str">
        <f>IFERROR(__xludf.DUMMYFUNCTION("""COMPUTED_VALUE"""),"2 hours ago")</f>
        <v>2 hours ago</v>
      </c>
      <c r="L25" s="95"/>
      <c r="M25" t="str">
        <f>IFERROR(__xludf.DUMMYFUNCTION("""COMPUTED_VALUE"""),"Wushuwushu")</f>
        <v>Wushuwushu</v>
      </c>
      <c r="N25" t="str">
        <f>IFERROR(__xludf.DUMMYFUNCTION("""COMPUTED_VALUE"""),"")</f>
        <v/>
      </c>
      <c r="O25" t="str">
        <f>IFERROR(__xludf.DUMMYFUNCTION("""COMPUTED_VALUE"""),"Argent Dawn")</f>
        <v>Argent Dawn</v>
      </c>
      <c r="P25">
        <f>IFERROR(__xludf.DUMMYFUNCTION("""COMPUTED_VALUE"""),409.13)</f>
        <v>409.13</v>
      </c>
      <c r="Q25" t="str">
        <f>IFERROR(__xludf.DUMMYFUNCTION("""COMPUTED_VALUE"""),"19 days ago")</f>
        <v>19 days ago</v>
      </c>
      <c r="R25" s="96"/>
      <c r="S25" t="str">
        <f>IFERROR(__xludf.DUMMYFUNCTION("""COMPUTED_VALUE"""),"Yeapuwin")</f>
        <v>Yeapuwin</v>
      </c>
      <c r="T25" t="str">
        <f>IFERROR(__xludf.DUMMYFUNCTION("""COMPUTED_VALUE"""),"Ordo Hereticus")</f>
        <v>Ordo Hereticus</v>
      </c>
      <c r="U25" t="str">
        <f>IFERROR(__xludf.DUMMYFUNCTION("""COMPUTED_VALUE"""),"Quel'Thalas")</f>
        <v>Quel'Thalas</v>
      </c>
      <c r="V25">
        <f>IFERROR(__xludf.DUMMYFUNCTION("""COMPUTED_VALUE"""),407.5)</f>
        <v>407.5</v>
      </c>
      <c r="W25" t="str">
        <f>IFERROR(__xludf.DUMMYFUNCTION("""COMPUTED_VALUE"""),"28 days ago")</f>
        <v>28 days ago</v>
      </c>
      <c r="X25" s="97"/>
      <c r="Y25" s="111" t="str">
        <f>IFERROR(__xludf.DUMMYFUNCTION("""COMPUTED_VALUE"""),"Icybites")</f>
        <v>Icybites</v>
      </c>
      <c r="Z25" s="111" t="str">
        <f>IFERROR(__xludf.DUMMYFUNCTION("""COMPUTED_VALUE"""),"")</f>
        <v/>
      </c>
      <c r="AA25" s="111" t="str">
        <f>IFERROR(__xludf.DUMMYFUNCTION("""COMPUTED_VALUE"""),"Twisting Nether")</f>
        <v>Twisting Nether</v>
      </c>
      <c r="AB25" s="108">
        <f>IFERROR(__xludf.DUMMYFUNCTION("""COMPUTED_VALUE"""),408.75)</f>
        <v>408.75</v>
      </c>
      <c r="AC25" s="111" t="str">
        <f>IFERROR(__xludf.DUMMYFUNCTION("""COMPUTED_VALUE"""),"11 days ago")</f>
        <v>11 days ago</v>
      </c>
      <c r="AD25" s="112"/>
      <c r="AE25" s="111" t="str">
        <f>IFERROR(__xludf.DUMMYFUNCTION("""COMPUTED_VALUE"""),"Lío")</f>
        <v>Lío</v>
      </c>
      <c r="AF25" s="111" t="str">
        <f>IFERROR(__xludf.DUMMYFUNCTION("""COMPUTED_VALUE"""),"Vengeance Incarnate")</f>
        <v>Vengeance Incarnate</v>
      </c>
      <c r="AG25" s="111" t="str">
        <f>IFERROR(__xludf.DUMMYFUNCTION("""COMPUTED_VALUE"""),"Burning Legion")</f>
        <v>Burning Legion</v>
      </c>
      <c r="AH25" s="111">
        <f>IFERROR(__xludf.DUMMYFUNCTION("""COMPUTED_VALUE"""),409.94)</f>
        <v>409.94</v>
      </c>
      <c r="AI25" s="111" t="str">
        <f>IFERROR(__xludf.DUMMYFUNCTION("""COMPUTED_VALUE"""),"5 days ago")</f>
        <v>5 days ago</v>
      </c>
      <c r="AJ25" s="113"/>
      <c r="AK25" s="111" t="str">
        <f>IFERROR(__xludf.DUMMYFUNCTION("""COMPUTED_VALUE"""),"Feenux")</f>
        <v>Feenux</v>
      </c>
      <c r="AL25" s="111" t="str">
        <f>IFERROR(__xludf.DUMMYFUNCTION("""COMPUTED_VALUE"""),"SAVIORS")</f>
        <v>SAVIORS</v>
      </c>
      <c r="AM25" s="111" t="str">
        <f>IFERROR(__xludf.DUMMYFUNCTION("""COMPUTED_VALUE"""),"Drak'thul")</f>
        <v>Drak'thul</v>
      </c>
      <c r="AN25" s="108">
        <f>IFERROR(__xludf.DUMMYFUNCTION("""COMPUTED_VALUE"""),407.81)</f>
        <v>407.81</v>
      </c>
      <c r="AO25" s="111" t="str">
        <f>IFERROR(__xludf.DUMMYFUNCTION("""COMPUTED_VALUE"""),"4 days ago")</f>
        <v>4 days ago</v>
      </c>
      <c r="AP25" s="114"/>
      <c r="AQ25" s="111" t="str">
        <f>IFERROR(__xludf.DUMMYFUNCTION("""COMPUTED_VALUE"""),"Kènt")</f>
        <v>Kènt</v>
      </c>
      <c r="AR25" s="111" t="str">
        <f>IFERROR(__xludf.DUMMYFUNCTION("""COMPUTED_VALUE"""),"Lagom")</f>
        <v>Lagom</v>
      </c>
      <c r="AS25" s="111" t="str">
        <f>IFERROR(__xludf.DUMMYFUNCTION("""COMPUTED_VALUE"""),"Kazzak")</f>
        <v>Kazzak</v>
      </c>
      <c r="AT25" s="108">
        <f>IFERROR(__xludf.DUMMYFUNCTION("""COMPUTED_VALUE"""),407.19)</f>
        <v>407.19</v>
      </c>
      <c r="AU25" s="111" t="str">
        <f>IFERROR(__xludf.DUMMYFUNCTION("""COMPUTED_VALUE"""),"3 days ago")</f>
        <v>3 days ago</v>
      </c>
      <c r="AV25" s="115"/>
      <c r="AW25" s="116" t="str">
        <f>IFERROR(__xludf.DUMMYFUNCTION("""COMPUTED_VALUE"""),"Dunse")</f>
        <v>Dunse</v>
      </c>
      <c r="AX25" s="111" t="str">
        <f>IFERROR(__xludf.DUMMYFUNCTION("""COMPUTED_VALUE"""),"Det Bare Banter")</f>
        <v>Det Bare Banter</v>
      </c>
      <c r="AY25" s="111" t="str">
        <f>IFERROR(__xludf.DUMMYFUNCTION("""COMPUTED_VALUE"""),"Tarren Mill")</f>
        <v>Tarren Mill</v>
      </c>
      <c r="AZ25" s="108">
        <f>IFERROR(__xludf.DUMMYFUNCTION("""COMPUTED_VALUE"""),408.13)</f>
        <v>408.13</v>
      </c>
      <c r="BA25" s="111" t="str">
        <f>IFERROR(__xludf.DUMMYFUNCTION("""COMPUTED_VALUE"""),"4 days ago")</f>
        <v>4 days ago</v>
      </c>
      <c r="BB25" s="117"/>
      <c r="BC25" s="116" t="str">
        <f>IFERROR(__xludf.DUMMYFUNCTION("""COMPUTED_VALUE"""),"Nevaisen")</f>
        <v>Nevaisen</v>
      </c>
      <c r="BD25" s="111" t="str">
        <f>IFERROR(__xludf.DUMMYFUNCTION("""COMPUTED_VALUE"""),"Ordo Hereticus")</f>
        <v>Ordo Hereticus</v>
      </c>
      <c r="BE25" s="111" t="str">
        <f>IFERROR(__xludf.DUMMYFUNCTION("""COMPUTED_VALUE"""),"Quel'Thalas")</f>
        <v>Quel'Thalas</v>
      </c>
      <c r="BF25" s="108">
        <f>IFERROR(__xludf.DUMMYFUNCTION("""COMPUTED_VALUE"""),406.38)</f>
        <v>406.38</v>
      </c>
      <c r="BG25" s="111" t="str">
        <f>IFERROR(__xludf.DUMMYFUNCTION("""COMPUTED_VALUE"""),"2 days ago")</f>
        <v>2 days ago</v>
      </c>
      <c r="BH25" s="118"/>
      <c r="BI25" s="116" t="str">
        <f>IFERROR(__xludf.DUMMYFUNCTION("""COMPUTED_VALUE"""),"Ravìus")</f>
        <v>Ravìus</v>
      </c>
      <c r="BJ25" s="111" t="str">
        <f>IFERROR(__xludf.DUMMYFUNCTION("""COMPUTED_VALUE"""),"Break")</f>
        <v>Break</v>
      </c>
      <c r="BK25" s="111" t="str">
        <f>IFERROR(__xludf.DUMMYFUNCTION("""COMPUTED_VALUE"""),"Burning Legion")</f>
        <v>Burning Legion</v>
      </c>
      <c r="BL25" s="108">
        <f>IFERROR(__xludf.DUMMYFUNCTION("""COMPUTED_VALUE"""),406.75)</f>
        <v>406.75</v>
      </c>
      <c r="BM25" s="111" t="str">
        <f>IFERROR(__xludf.DUMMYFUNCTION("""COMPUTED_VALUE"""),"15 days ago")</f>
        <v>15 days ago</v>
      </c>
      <c r="BN25" s="119"/>
      <c r="BO25" s="116" t="str">
        <f>IFERROR(__xludf.DUMMYFUNCTION("""COMPUTED_VALUE"""),"Gouca")</f>
        <v>Gouca</v>
      </c>
      <c r="BP25" s="111" t="str">
        <f>IFERROR(__xludf.DUMMYFUNCTION("""COMPUTED_VALUE"""),"Aalto")</f>
        <v>Aalto</v>
      </c>
      <c r="BQ25" s="111" t="str">
        <f>IFERROR(__xludf.DUMMYFUNCTION("""COMPUTED_VALUE"""),"Silvermoon")</f>
        <v>Silvermoon</v>
      </c>
      <c r="BR25" s="108">
        <f>IFERROR(__xludf.DUMMYFUNCTION("""COMPUTED_VALUE"""),406.31)</f>
        <v>406.31</v>
      </c>
      <c r="BS25" s="111" t="str">
        <f>IFERROR(__xludf.DUMMYFUNCTION("""COMPUTED_VALUE"""),"2 days ago")</f>
        <v>2 days ago</v>
      </c>
      <c r="BT25" s="120"/>
      <c r="BU25" s="107" t="str">
        <f t="shared" ref="BU25:BY25" si="20">A25</f>
        <v>Dêvdk</v>
      </c>
      <c r="BV25" s="107" t="str">
        <f t="shared" si="20"/>
        <v>Slash Care</v>
      </c>
      <c r="BW25" s="107" t="str">
        <f t="shared" si="20"/>
        <v>Tarren Mill</v>
      </c>
      <c r="BX25" s="107">
        <f t="shared" si="20"/>
        <v>409.19</v>
      </c>
      <c r="BY25" s="107" t="str">
        <f t="shared" si="20"/>
        <v>3 days ago</v>
      </c>
      <c r="BZ25" s="108"/>
    </row>
    <row r="26">
      <c r="A26" t="str">
        <f>IFERROR(__xludf.DUMMYFUNCTION("""COMPUTED_VALUE"""),"Ludah")</f>
        <v>Ludah</v>
      </c>
      <c r="B26" t="str">
        <f>IFERROR(__xludf.DUMMYFUNCTION("""COMPUTED_VALUE"""),"")</f>
        <v/>
      </c>
      <c r="C26" t="str">
        <f>IFERROR(__xludf.DUMMYFUNCTION("""COMPUTED_VALUE"""),"Kazzak")</f>
        <v>Kazzak</v>
      </c>
      <c r="D26">
        <f>IFERROR(__xludf.DUMMYFUNCTION("""COMPUTED_VALUE"""),409.19)</f>
        <v>409.19</v>
      </c>
      <c r="E26" t="str">
        <f>IFERROR(__xludf.DUMMYFUNCTION("""COMPUTED_VALUE"""),"22 days ago")</f>
        <v>22 days ago</v>
      </c>
      <c r="F26" s="94"/>
      <c r="G26" t="str">
        <f>IFERROR(__xludf.DUMMYFUNCTION("""COMPUTED_VALUE"""),"Sararith")</f>
        <v>Sararith</v>
      </c>
      <c r="H26" t="str">
        <f>IFERROR(__xludf.DUMMYFUNCTION("""COMPUTED_VALUE"""),"NeXtLeVeL")</f>
        <v>NeXtLeVeL</v>
      </c>
      <c r="I26" t="str">
        <f>IFERROR(__xludf.DUMMYFUNCTION("""COMPUTED_VALUE"""),"Tarren Mill")</f>
        <v>Tarren Mill</v>
      </c>
      <c r="J26">
        <f>IFERROR(__xludf.DUMMYFUNCTION("""COMPUTED_VALUE"""),410.13)</f>
        <v>410.13</v>
      </c>
      <c r="K26" t="str">
        <f>IFERROR(__xludf.DUMMYFUNCTION("""COMPUTED_VALUE"""),"5 days ago")</f>
        <v>5 days ago</v>
      </c>
      <c r="L26" s="95"/>
      <c r="M26" t="str">
        <f>IFERROR(__xludf.DUMMYFUNCTION("""COMPUTED_VALUE"""),"Grizzlos")</f>
        <v>Grizzlos</v>
      </c>
      <c r="N26" t="str">
        <f>IFERROR(__xludf.DUMMYFUNCTION("""COMPUTED_VALUE"""),"Break")</f>
        <v>Break</v>
      </c>
      <c r="O26" t="str">
        <f>IFERROR(__xludf.DUMMYFUNCTION("""COMPUTED_VALUE"""),"Burning Legion")</f>
        <v>Burning Legion</v>
      </c>
      <c r="P26">
        <f>IFERROR(__xludf.DUMMYFUNCTION("""COMPUTED_VALUE"""),408.81)</f>
        <v>408.81</v>
      </c>
      <c r="Q26" t="str">
        <f>IFERROR(__xludf.DUMMYFUNCTION("""COMPUTED_VALUE"""),"10 days ago")</f>
        <v>10 days ago</v>
      </c>
      <c r="R26" s="96"/>
      <c r="S26" t="str">
        <f>IFERROR(__xludf.DUMMYFUNCTION("""COMPUTED_VALUE"""),"Renehuntz")</f>
        <v>Renehuntz</v>
      </c>
      <c r="T26" t="str">
        <f>IFERROR(__xludf.DUMMYFUNCTION("""COMPUTED_VALUE"""),"BIG CITY LIFE")</f>
        <v>BIG CITY LIFE</v>
      </c>
      <c r="U26" t="str">
        <f>IFERROR(__xludf.DUMMYFUNCTION("""COMPUTED_VALUE"""),"Terokkar")</f>
        <v>Terokkar</v>
      </c>
      <c r="V26">
        <f>IFERROR(__xludf.DUMMYFUNCTION("""COMPUTED_VALUE"""),407.44)</f>
        <v>407.44</v>
      </c>
      <c r="W26" t="str">
        <f>IFERROR(__xludf.DUMMYFUNCTION("""COMPUTED_VALUE"""),"4 days ago")</f>
        <v>4 days ago</v>
      </c>
      <c r="X26" s="97"/>
      <c r="Y26" s="111" t="str">
        <f>IFERROR(__xludf.DUMMYFUNCTION("""COMPUTED_VALUE"""),"Mitiz")</f>
        <v>Mitiz</v>
      </c>
      <c r="Z26" s="111" t="str">
        <f>IFERROR(__xludf.DUMMYFUNCTION("""COMPUTED_VALUE"""),"Road Warriors")</f>
        <v>Road Warriors</v>
      </c>
      <c r="AA26" s="111" t="str">
        <f>IFERROR(__xludf.DUMMYFUNCTION("""COMPUTED_VALUE"""),"Twisting Nether")</f>
        <v>Twisting Nether</v>
      </c>
      <c r="AB26" s="108">
        <f>IFERROR(__xludf.DUMMYFUNCTION("""COMPUTED_VALUE"""),408.56)</f>
        <v>408.56</v>
      </c>
      <c r="AC26" s="111" t="str">
        <f>IFERROR(__xludf.DUMMYFUNCTION("""COMPUTED_VALUE"""),"3 days ago")</f>
        <v>3 days ago</v>
      </c>
      <c r="AD26" s="112"/>
      <c r="AE26" s="111" t="str">
        <f>IFERROR(__xludf.DUMMYFUNCTION("""COMPUTED_VALUE"""),"Zonca")</f>
        <v>Zonca</v>
      </c>
      <c r="AF26" s="111" t="str">
        <f>IFERROR(__xludf.DUMMYFUNCTION("""COMPUTED_VALUE"""),"When Fat Kids Attack")</f>
        <v>When Fat Kids Attack</v>
      </c>
      <c r="AG26" s="111" t="str">
        <f>IFERROR(__xludf.DUMMYFUNCTION("""COMPUTED_VALUE"""),"Tarren Mill")</f>
        <v>Tarren Mill</v>
      </c>
      <c r="AH26" s="111">
        <f>IFERROR(__xludf.DUMMYFUNCTION("""COMPUTED_VALUE"""),409.94)</f>
        <v>409.94</v>
      </c>
      <c r="AI26" s="111" t="str">
        <f>IFERROR(__xludf.DUMMYFUNCTION("""COMPUTED_VALUE"""),"22 days ago")</f>
        <v>22 days ago</v>
      </c>
      <c r="AJ26" s="113"/>
      <c r="AK26" s="111" t="str">
        <f>IFERROR(__xludf.DUMMYFUNCTION("""COMPUTED_VALUE"""),"Ezpzpalasqz")</f>
        <v>Ezpzpalasqz</v>
      </c>
      <c r="AL26" s="111" t="str">
        <f>IFERROR(__xludf.DUMMYFUNCTION("""COMPUTED_VALUE"""),"PogU")</f>
        <v>PogU</v>
      </c>
      <c r="AM26" s="111" t="str">
        <f>IFERROR(__xludf.DUMMYFUNCTION("""COMPUTED_VALUE"""),"Kazzak")</f>
        <v>Kazzak</v>
      </c>
      <c r="AN26" s="108">
        <f>IFERROR(__xludf.DUMMYFUNCTION("""COMPUTED_VALUE"""),407.25)</f>
        <v>407.25</v>
      </c>
      <c r="AO26" s="111" t="str">
        <f>IFERROR(__xludf.DUMMYFUNCTION("""COMPUTED_VALUE"""),"3 hours ago")</f>
        <v>3 hours ago</v>
      </c>
      <c r="AP26" s="114"/>
      <c r="AQ26" s="111" t="str">
        <f>IFERROR(__xludf.DUMMYFUNCTION("""COMPUTED_VALUE"""),"Myune")</f>
        <v>Myune</v>
      </c>
      <c r="AR26" s="111" t="str">
        <f>IFERROR(__xludf.DUMMYFUNCTION("""COMPUTED_VALUE"""),"Bulwark")</f>
        <v>Bulwark</v>
      </c>
      <c r="AS26" s="111" t="str">
        <f>IFERROR(__xludf.DUMMYFUNCTION("""COMPUTED_VALUE"""),"Kazzak")</f>
        <v>Kazzak</v>
      </c>
      <c r="AT26" s="108">
        <f>IFERROR(__xludf.DUMMYFUNCTION("""COMPUTED_VALUE"""),406.94)</f>
        <v>406.94</v>
      </c>
      <c r="AU26" s="111" t="str">
        <f>IFERROR(__xludf.DUMMYFUNCTION("""COMPUTED_VALUE"""),"2 days ago")</f>
        <v>2 days ago</v>
      </c>
      <c r="AV26" s="115"/>
      <c r="AW26" s="116" t="str">
        <f>IFERROR(__xludf.DUMMYFUNCTION("""COMPUTED_VALUE"""),"Balanced")</f>
        <v>Balanced</v>
      </c>
      <c r="AX26" s="111" t="str">
        <f>IFERROR(__xludf.DUMMYFUNCTION("""COMPUTED_VALUE"""),"")</f>
        <v/>
      </c>
      <c r="AY26" s="111" t="str">
        <f>IFERROR(__xludf.DUMMYFUNCTION("""COMPUTED_VALUE"""),"Stormreaver")</f>
        <v>Stormreaver</v>
      </c>
      <c r="AZ26" s="108">
        <f>IFERROR(__xludf.DUMMYFUNCTION("""COMPUTED_VALUE"""),408.0)</f>
        <v>408</v>
      </c>
      <c r="BA26" s="111" t="str">
        <f>IFERROR(__xludf.DUMMYFUNCTION("""COMPUTED_VALUE"""),"1 day ago")</f>
        <v>1 day ago</v>
      </c>
      <c r="BB26" s="117"/>
      <c r="BC26" s="116" t="str">
        <f>IFERROR(__xludf.DUMMYFUNCTION("""COMPUTED_VALUE"""),"Lexual")</f>
        <v>Lexual</v>
      </c>
      <c r="BD26" s="111" t="str">
        <f>IFERROR(__xludf.DUMMYFUNCTION("""COMPUTED_VALUE"""),"Parallel")</f>
        <v>Parallel</v>
      </c>
      <c r="BE26" s="111" t="str">
        <f>IFERROR(__xludf.DUMMYFUNCTION("""COMPUTED_VALUE"""),"Silvermoon")</f>
        <v>Silvermoon</v>
      </c>
      <c r="BF26" s="108">
        <f>IFERROR(__xludf.DUMMYFUNCTION("""COMPUTED_VALUE"""),405.63)</f>
        <v>405.63</v>
      </c>
      <c r="BG26" s="111" t="str">
        <f>IFERROR(__xludf.DUMMYFUNCTION("""COMPUTED_VALUE"""),"3 days ago")</f>
        <v>3 days ago</v>
      </c>
      <c r="BH26" s="118"/>
      <c r="BI26" s="116" t="str">
        <f>IFERROR(__xludf.DUMMYFUNCTION("""COMPUTED_VALUE"""),"Bishlock")</f>
        <v>Bishlock</v>
      </c>
      <c r="BJ26" s="111" t="str">
        <f>IFERROR(__xludf.DUMMYFUNCTION("""COMPUTED_VALUE"""),"")</f>
        <v/>
      </c>
      <c r="BK26" s="111" t="str">
        <f>IFERROR(__xludf.DUMMYFUNCTION("""COMPUTED_VALUE"""),"Ravencrest")</f>
        <v>Ravencrest</v>
      </c>
      <c r="BL26" s="108">
        <f>IFERROR(__xludf.DUMMYFUNCTION("""COMPUTED_VALUE"""),406.75)</f>
        <v>406.75</v>
      </c>
      <c r="BM26" s="111" t="str">
        <f>IFERROR(__xludf.DUMMYFUNCTION("""COMPUTED_VALUE"""),"10 days ago")</f>
        <v>10 days ago</v>
      </c>
      <c r="BN26" s="119"/>
      <c r="BO26" s="116" t="str">
        <f>IFERROR(__xludf.DUMMYFUNCTION("""COMPUTED_VALUE"""),"Makwara")</f>
        <v>Makwara</v>
      </c>
      <c r="BP26" s="111" t="str">
        <f>IFERROR(__xludf.DUMMYFUNCTION("""COMPUTED_VALUE"""),"Atom")</f>
        <v>Atom</v>
      </c>
      <c r="BQ26" s="111" t="str">
        <f>IFERROR(__xludf.DUMMYFUNCTION("""COMPUTED_VALUE"""),"Ragnaros")</f>
        <v>Ragnaros</v>
      </c>
      <c r="BR26" s="108">
        <f>IFERROR(__xludf.DUMMYFUNCTION("""COMPUTED_VALUE"""),406.31)</f>
        <v>406.31</v>
      </c>
      <c r="BS26" s="111" t="str">
        <f>IFERROR(__xludf.DUMMYFUNCTION("""COMPUTED_VALUE"""),"2 days ago")</f>
        <v>2 days ago</v>
      </c>
      <c r="BT26" s="120"/>
      <c r="BU26" s="107" t="str">
        <f t="shared" ref="BU26:BY26" si="21">A26</f>
        <v>Ludah</v>
      </c>
      <c r="BV26" s="107" t="str">
        <f t="shared" si="21"/>
        <v/>
      </c>
      <c r="BW26" s="107" t="str">
        <f t="shared" si="21"/>
        <v>Kazzak</v>
      </c>
      <c r="BX26" s="107">
        <f t="shared" si="21"/>
        <v>409.19</v>
      </c>
      <c r="BY26" s="107" t="str">
        <f t="shared" si="21"/>
        <v>22 days ago</v>
      </c>
      <c r="BZ26" s="108"/>
    </row>
    <row r="27">
      <c r="A27" t="str">
        <f>IFERROR(__xludf.DUMMYFUNCTION("""COMPUTED_VALUE"""),"Redjo")</f>
        <v>Redjo</v>
      </c>
      <c r="B27" t="str">
        <f>IFERROR(__xludf.DUMMYFUNCTION("""COMPUTED_VALUE"""),"")</f>
        <v/>
      </c>
      <c r="C27" t="str">
        <f>IFERROR(__xludf.DUMMYFUNCTION("""COMPUTED_VALUE"""),"Twisting Nether")</f>
        <v>Twisting Nether</v>
      </c>
      <c r="D27">
        <f>IFERROR(__xludf.DUMMYFUNCTION("""COMPUTED_VALUE"""),409.06)</f>
        <v>409.06</v>
      </c>
      <c r="E27" t="str">
        <f>IFERROR(__xludf.DUMMYFUNCTION("""COMPUTED_VALUE"""),"1 day ago")</f>
        <v>1 day ago</v>
      </c>
      <c r="F27" s="94"/>
      <c r="G27" t="str">
        <f>IFERROR(__xludf.DUMMYFUNCTION("""COMPUTED_VALUE"""),"Peroxcyde")</f>
        <v>Peroxcyde</v>
      </c>
      <c r="H27" t="str">
        <f>IFERROR(__xludf.DUMMYFUNCTION("""COMPUTED_VALUE"""),"")</f>
        <v/>
      </c>
      <c r="I27" t="str">
        <f>IFERROR(__xludf.DUMMYFUNCTION("""COMPUTED_VALUE"""),"Ravencrest")</f>
        <v>Ravencrest</v>
      </c>
      <c r="J27">
        <f>IFERROR(__xludf.DUMMYFUNCTION("""COMPUTED_VALUE"""),410.0)</f>
        <v>410</v>
      </c>
      <c r="K27" t="str">
        <f>IFERROR(__xludf.DUMMYFUNCTION("""COMPUTED_VALUE"""),"3 days ago")</f>
        <v>3 days ago</v>
      </c>
      <c r="L27" s="95"/>
      <c r="M27" t="str">
        <f>IFERROR(__xludf.DUMMYFUNCTION("""COMPUTED_VALUE"""),"Trameragon")</f>
        <v>Trameragon</v>
      </c>
      <c r="N27" t="str">
        <f>IFERROR(__xludf.DUMMYFUNCTION("""COMPUTED_VALUE"""),"Perpetua")</f>
        <v>Perpetua</v>
      </c>
      <c r="O27" t="str">
        <f>IFERROR(__xludf.DUMMYFUNCTION("""COMPUTED_VALUE"""),"Draenor")</f>
        <v>Draenor</v>
      </c>
      <c r="P27">
        <f>IFERROR(__xludf.DUMMYFUNCTION("""COMPUTED_VALUE"""),408.81)</f>
        <v>408.81</v>
      </c>
      <c r="Q27" t="str">
        <f>IFERROR(__xludf.DUMMYFUNCTION("""COMPUTED_VALUE"""),"6 days ago")</f>
        <v>6 days ago</v>
      </c>
      <c r="R27" s="96"/>
      <c r="S27" t="str">
        <f>IFERROR(__xludf.DUMMYFUNCTION("""COMPUTED_VALUE"""),"Deffcom")</f>
        <v>Deffcom</v>
      </c>
      <c r="T27" t="str">
        <f>IFERROR(__xludf.DUMMYFUNCTION("""COMPUTED_VALUE"""),"")</f>
        <v/>
      </c>
      <c r="U27" t="str">
        <f>IFERROR(__xludf.DUMMYFUNCTION("""COMPUTED_VALUE"""),"Talnivarr")</f>
        <v>Talnivarr</v>
      </c>
      <c r="V27">
        <f>IFERROR(__xludf.DUMMYFUNCTION("""COMPUTED_VALUE"""),407.31)</f>
        <v>407.31</v>
      </c>
      <c r="W27" t="str">
        <f>IFERROR(__xludf.DUMMYFUNCTION("""COMPUTED_VALUE"""),"5 days ago")</f>
        <v>5 days ago</v>
      </c>
      <c r="X27" s="97"/>
      <c r="Y27" s="111" t="str">
        <f>IFERROR(__xludf.DUMMYFUNCTION("""COMPUTED_VALUE"""),"Pedrodepacas")</f>
        <v>Pedrodepacas</v>
      </c>
      <c r="Z27" s="111" t="str">
        <f>IFERROR(__xludf.DUMMYFUNCTION("""COMPUTED_VALUE"""),"")</f>
        <v/>
      </c>
      <c r="AA27" s="111" t="str">
        <f>IFERROR(__xludf.DUMMYFUNCTION("""COMPUTED_VALUE"""),"Tarren Mill")</f>
        <v>Tarren Mill</v>
      </c>
      <c r="AB27" s="108">
        <f>IFERROR(__xludf.DUMMYFUNCTION("""COMPUTED_VALUE"""),408.25)</f>
        <v>408.25</v>
      </c>
      <c r="AC27" s="111" t="str">
        <f>IFERROR(__xludf.DUMMYFUNCTION("""COMPUTED_VALUE"""),"23 days ago")</f>
        <v>23 days ago</v>
      </c>
      <c r="AD27" s="112"/>
      <c r="AE27" s="111" t="str">
        <f>IFERROR(__xludf.DUMMYFUNCTION("""COMPUTED_VALUE"""),"Nóxia")</f>
        <v>Nóxia</v>
      </c>
      <c r="AF27" s="111" t="str">
        <f>IFERROR(__xludf.DUMMYFUNCTION("""COMPUTED_VALUE"""),"Fang")</f>
        <v>Fang</v>
      </c>
      <c r="AG27" s="111" t="str">
        <f>IFERROR(__xludf.DUMMYFUNCTION("""COMPUTED_VALUE"""),"Kazzak")</f>
        <v>Kazzak</v>
      </c>
      <c r="AH27" s="111">
        <f>IFERROR(__xludf.DUMMYFUNCTION("""COMPUTED_VALUE"""),409.94)</f>
        <v>409.94</v>
      </c>
      <c r="AI27" s="111" t="str">
        <f>IFERROR(__xludf.DUMMYFUNCTION("""COMPUTED_VALUE"""),"5 days ago")</f>
        <v>5 days ago</v>
      </c>
      <c r="AJ27" s="113"/>
      <c r="AK27" s="111" t="str">
        <f>IFERROR(__xludf.DUMMYFUNCTION("""COMPUTED_VALUE"""),"Pyhätkonstit")</f>
        <v>Pyhätkonstit</v>
      </c>
      <c r="AL27" s="111" t="str">
        <f>IFERROR(__xludf.DUMMYFUNCTION("""COMPUTED_VALUE"""),"Kirous")</f>
        <v>Kirous</v>
      </c>
      <c r="AM27" s="111" t="str">
        <f>IFERROR(__xludf.DUMMYFUNCTION("""COMPUTED_VALUE"""),"Twisting Nether")</f>
        <v>Twisting Nether</v>
      </c>
      <c r="AN27" s="108">
        <f>IFERROR(__xludf.DUMMYFUNCTION("""COMPUTED_VALUE"""),407.25)</f>
        <v>407.25</v>
      </c>
      <c r="AO27" s="111" t="str">
        <f>IFERROR(__xludf.DUMMYFUNCTION("""COMPUTED_VALUE"""),"26 days ago")</f>
        <v>26 days ago</v>
      </c>
      <c r="AP27" s="114"/>
      <c r="AQ27" s="111" t="str">
        <f>IFERROR(__xludf.DUMMYFUNCTION("""COMPUTED_VALUE"""),"Socksoflight")</f>
        <v>Socksoflight</v>
      </c>
      <c r="AR27" s="111" t="str">
        <f>IFERROR(__xludf.DUMMYFUNCTION("""COMPUTED_VALUE"""),"")</f>
        <v/>
      </c>
      <c r="AS27" s="111" t="str">
        <f>IFERROR(__xludf.DUMMYFUNCTION("""COMPUTED_VALUE"""),"Draenor")</f>
        <v>Draenor</v>
      </c>
      <c r="AT27" s="108">
        <f>IFERROR(__xludf.DUMMYFUNCTION("""COMPUTED_VALUE"""),406.81)</f>
        <v>406.81</v>
      </c>
      <c r="AU27" s="111" t="str">
        <f>IFERROR(__xludf.DUMMYFUNCTION("""COMPUTED_VALUE"""),"2 days ago")</f>
        <v>2 days ago</v>
      </c>
      <c r="AV27" s="115"/>
      <c r="AW27" s="116" t="str">
        <f>IFERROR(__xludf.DUMMYFUNCTION("""COMPUTED_VALUE"""),"Ðavey")</f>
        <v>Ðavey</v>
      </c>
      <c r="AX27" s="111" t="str">
        <f>IFERROR(__xludf.DUMMYFUNCTION("""COMPUTED_VALUE"""),"ScrubBusters")</f>
        <v>ScrubBusters</v>
      </c>
      <c r="AY27" s="111" t="str">
        <f>IFERROR(__xludf.DUMMYFUNCTION("""COMPUTED_VALUE"""),"Twisting Nether")</f>
        <v>Twisting Nether</v>
      </c>
      <c r="AZ27" s="108">
        <f>IFERROR(__xludf.DUMMYFUNCTION("""COMPUTED_VALUE"""),408.0)</f>
        <v>408</v>
      </c>
      <c r="BA27" s="111" t="str">
        <f>IFERROR(__xludf.DUMMYFUNCTION("""COMPUTED_VALUE"""),"10 days ago")</f>
        <v>10 days ago</v>
      </c>
      <c r="BB27" s="117"/>
      <c r="BC27" s="116" t="str">
        <f>IFERROR(__xludf.DUMMYFUNCTION("""COMPUTED_VALUE"""),"Zarog")</f>
        <v>Zarog</v>
      </c>
      <c r="BD27" s="111" t="str">
        <f>IFERROR(__xludf.DUMMYFUNCTION("""COMPUTED_VALUE"""),"Goodbye Kitty")</f>
        <v>Goodbye Kitty</v>
      </c>
      <c r="BE27" s="111" t="str">
        <f>IFERROR(__xludf.DUMMYFUNCTION("""COMPUTED_VALUE"""),"Drak'thul")</f>
        <v>Drak'thul</v>
      </c>
      <c r="BF27" s="108">
        <f>IFERROR(__xludf.DUMMYFUNCTION("""COMPUTED_VALUE"""),404.31)</f>
        <v>404.31</v>
      </c>
      <c r="BG27" s="111" t="str">
        <f>IFERROR(__xludf.DUMMYFUNCTION("""COMPUTED_VALUE"""),"29 days ago")</f>
        <v>29 days ago</v>
      </c>
      <c r="BH27" s="118"/>
      <c r="BI27" s="116" t="str">
        <f>IFERROR(__xludf.DUMMYFUNCTION("""COMPUTED_VALUE"""),"Kallebahh")</f>
        <v>Kallebahh</v>
      </c>
      <c r="BJ27" s="111" t="str">
        <f>IFERROR(__xludf.DUMMYFUNCTION("""COMPUTED_VALUE"""),"Absolute Vikings")</f>
        <v>Absolute Vikings</v>
      </c>
      <c r="BK27" s="111" t="str">
        <f>IFERROR(__xludf.DUMMYFUNCTION("""COMPUTED_VALUE"""),"Stormrage")</f>
        <v>Stormrage</v>
      </c>
      <c r="BL27" s="108">
        <f>IFERROR(__xludf.DUMMYFUNCTION("""COMPUTED_VALUE"""),406.69)</f>
        <v>406.69</v>
      </c>
      <c r="BM27" s="111" t="str">
        <f>IFERROR(__xludf.DUMMYFUNCTION("""COMPUTED_VALUE"""),"3 hours ago")</f>
        <v>3 hours ago</v>
      </c>
      <c r="BN27" s="119"/>
      <c r="BO27" s="116" t="str">
        <f>IFERROR(__xludf.DUMMYFUNCTION("""COMPUTED_VALUE"""),"Jezior")</f>
        <v>Jezior</v>
      </c>
      <c r="BP27" s="111" t="str">
        <f>IFERROR(__xludf.DUMMYFUNCTION("""COMPUTED_VALUE"""),"Lej Horde W Morde")</f>
        <v>Lej Horde W Morde</v>
      </c>
      <c r="BQ27" s="111" t="str">
        <f>IFERROR(__xludf.DUMMYFUNCTION("""COMPUTED_VALUE"""),"Wildhammer")</f>
        <v>Wildhammer</v>
      </c>
      <c r="BR27" s="108">
        <f>IFERROR(__xludf.DUMMYFUNCTION("""COMPUTED_VALUE"""),406.06)</f>
        <v>406.06</v>
      </c>
      <c r="BS27" s="111" t="str">
        <f>IFERROR(__xludf.DUMMYFUNCTION("""COMPUTED_VALUE"""),"18 days ago")</f>
        <v>18 days ago</v>
      </c>
      <c r="BT27" s="120"/>
      <c r="BU27" s="107" t="str">
        <f t="shared" ref="BU27:BY27" si="22">A27</f>
        <v>Redjo</v>
      </c>
      <c r="BV27" s="107" t="str">
        <f t="shared" si="22"/>
        <v/>
      </c>
      <c r="BW27" s="107" t="str">
        <f t="shared" si="22"/>
        <v>Twisting Nether</v>
      </c>
      <c r="BX27" s="107">
        <f t="shared" si="22"/>
        <v>409.06</v>
      </c>
      <c r="BY27" s="107" t="str">
        <f t="shared" si="22"/>
        <v>1 day ago</v>
      </c>
      <c r="BZ27" s="108"/>
    </row>
    <row r="28">
      <c r="A28" t="str">
        <f>IFERROR(__xludf.DUMMYFUNCTION("""COMPUTED_VALUE"""),"Sadnez")</f>
        <v>Sadnez</v>
      </c>
      <c r="B28" t="str">
        <f>IFERROR(__xludf.DUMMYFUNCTION("""COMPUTED_VALUE"""),"Vícious")</f>
        <v>Vícious</v>
      </c>
      <c r="C28" t="str">
        <f>IFERROR(__xludf.DUMMYFUNCTION("""COMPUTED_VALUE"""),"Tarren Mill")</f>
        <v>Tarren Mill</v>
      </c>
      <c r="D28">
        <f>IFERROR(__xludf.DUMMYFUNCTION("""COMPUTED_VALUE"""),408.88)</f>
        <v>408.88</v>
      </c>
      <c r="E28" t="str">
        <f>IFERROR(__xludf.DUMMYFUNCTION("""COMPUTED_VALUE"""),"26 days ago")</f>
        <v>26 days ago</v>
      </c>
      <c r="F28" s="94"/>
      <c r="G28" t="str">
        <f>IFERROR(__xludf.DUMMYFUNCTION("""COMPUTED_VALUE"""),"Phyrralul")</f>
        <v>Phyrralul</v>
      </c>
      <c r="H28" t="str">
        <f>IFERROR(__xludf.DUMMYFUNCTION("""COMPUTED_VALUE"""),"Krafthuset")</f>
        <v>Krafthuset</v>
      </c>
      <c r="I28" t="str">
        <f>IFERROR(__xludf.DUMMYFUNCTION("""COMPUTED_VALUE"""),"Twisting Nether")</f>
        <v>Twisting Nether</v>
      </c>
      <c r="J28">
        <f>IFERROR(__xludf.DUMMYFUNCTION("""COMPUTED_VALUE"""),409.69)</f>
        <v>409.69</v>
      </c>
      <c r="K28" t="str">
        <f>IFERROR(__xludf.DUMMYFUNCTION("""COMPUTED_VALUE"""),"15 days ago")</f>
        <v>15 days ago</v>
      </c>
      <c r="L28" s="95"/>
      <c r="M28" t="str">
        <f>IFERROR(__xludf.DUMMYFUNCTION("""COMPUTED_VALUE"""),"Zovdruid")</f>
        <v>Zovdruid</v>
      </c>
      <c r="N28" t="str">
        <f>IFERROR(__xludf.DUMMYFUNCTION("""COMPUTED_VALUE"""),"")</f>
        <v/>
      </c>
      <c r="O28" t="str">
        <f>IFERROR(__xludf.DUMMYFUNCTION("""COMPUTED_VALUE"""),"Draenor")</f>
        <v>Draenor</v>
      </c>
      <c r="P28">
        <f>IFERROR(__xludf.DUMMYFUNCTION("""COMPUTED_VALUE"""),408.5)</f>
        <v>408.5</v>
      </c>
      <c r="Q28" t="str">
        <f>IFERROR(__xludf.DUMMYFUNCTION("""COMPUTED_VALUE"""),"2 days ago")</f>
        <v>2 days ago</v>
      </c>
      <c r="R28" s="96"/>
      <c r="S28" t="str">
        <f>IFERROR(__xludf.DUMMYFUNCTION("""COMPUTED_VALUE"""),"Hydratalon")</f>
        <v>Hydratalon</v>
      </c>
      <c r="T28" t="str">
        <f>IFERROR(__xludf.DUMMYFUNCTION("""COMPUTED_VALUE"""),"Nihilism")</f>
        <v>Nihilism</v>
      </c>
      <c r="U28" t="str">
        <f>IFERROR(__xludf.DUMMYFUNCTION("""COMPUTED_VALUE"""),"Draenor")</f>
        <v>Draenor</v>
      </c>
      <c r="V28">
        <f>IFERROR(__xludf.DUMMYFUNCTION("""COMPUTED_VALUE"""),407.31)</f>
        <v>407.31</v>
      </c>
      <c r="W28" t="str">
        <f>IFERROR(__xludf.DUMMYFUNCTION("""COMPUTED_VALUE"""),"1 day ago")</f>
        <v>1 day ago</v>
      </c>
      <c r="X28" s="97"/>
      <c r="Y28" s="111" t="str">
        <f>IFERROR(__xludf.DUMMYFUNCTION("""COMPUTED_VALUE"""),"Hansolof")</f>
        <v>Hansolof</v>
      </c>
      <c r="Z28" s="111" t="str">
        <f>IFERROR(__xludf.DUMMYFUNCTION("""COMPUTED_VALUE"""),"Caedite Eos")</f>
        <v>Caedite Eos</v>
      </c>
      <c r="AA28" s="111" t="str">
        <f>IFERROR(__xludf.DUMMYFUNCTION("""COMPUTED_VALUE"""),"Tarren Mill")</f>
        <v>Tarren Mill</v>
      </c>
      <c r="AB28" s="108">
        <f>IFERROR(__xludf.DUMMYFUNCTION("""COMPUTED_VALUE"""),408.19)</f>
        <v>408.19</v>
      </c>
      <c r="AC28" s="111" t="str">
        <f>IFERROR(__xludf.DUMMYFUNCTION("""COMPUTED_VALUE"""),"10 days ago")</f>
        <v>10 days ago</v>
      </c>
      <c r="AD28" s="112"/>
      <c r="AE28" s="111" t="str">
        <f>IFERROR(__xludf.DUMMYFUNCTION("""COMPUTED_VALUE"""),"Jalalx")</f>
        <v>Jalalx</v>
      </c>
      <c r="AF28" s="111" t="str">
        <f>IFERROR(__xludf.DUMMYFUNCTION("""COMPUTED_VALUE"""),"Nothing")</f>
        <v>Nothing</v>
      </c>
      <c r="AG28" s="111" t="str">
        <f>IFERROR(__xludf.DUMMYFUNCTION("""COMPUTED_VALUE"""),"Magtheridon")</f>
        <v>Magtheridon</v>
      </c>
      <c r="AH28" s="111">
        <f>IFERROR(__xludf.DUMMYFUNCTION("""COMPUTED_VALUE"""),409.63)</f>
        <v>409.63</v>
      </c>
      <c r="AI28" s="111" t="str">
        <f>IFERROR(__xludf.DUMMYFUNCTION("""COMPUTED_VALUE"""),"25 days ago")</f>
        <v>25 days ago</v>
      </c>
      <c r="AJ28" s="113"/>
      <c r="AK28" s="111" t="str">
        <f>IFERROR(__xludf.DUMMYFUNCTION("""COMPUTED_VALUE"""),"Kyrla")</f>
        <v>Kyrla</v>
      </c>
      <c r="AL28" s="111" t="str">
        <f>IFERROR(__xludf.DUMMYFUNCTION("""COMPUTED_VALUE"""),"")</f>
        <v/>
      </c>
      <c r="AM28" s="111" t="str">
        <f>IFERROR(__xludf.DUMMYFUNCTION("""COMPUTED_VALUE"""),"Tarren Mill")</f>
        <v>Tarren Mill</v>
      </c>
      <c r="AN28" s="108">
        <f>IFERROR(__xludf.DUMMYFUNCTION("""COMPUTED_VALUE"""),407.13)</f>
        <v>407.13</v>
      </c>
      <c r="AO28" s="111" t="str">
        <f>IFERROR(__xludf.DUMMYFUNCTION("""COMPUTED_VALUE"""),"20 days ago")</f>
        <v>20 days ago</v>
      </c>
      <c r="AP28" s="114"/>
      <c r="AQ28" s="111" t="str">
        <f>IFERROR(__xludf.DUMMYFUNCTION("""COMPUTED_VALUE"""),"Tryvia")</f>
        <v>Tryvia</v>
      </c>
      <c r="AR28" s="111" t="str">
        <f>IFERROR(__xludf.DUMMYFUNCTION("""COMPUTED_VALUE"""),"Clique")</f>
        <v>Clique</v>
      </c>
      <c r="AS28" s="111" t="str">
        <f>IFERROR(__xludf.DUMMYFUNCTION("""COMPUTED_VALUE"""),"Draenor")</f>
        <v>Draenor</v>
      </c>
      <c r="AT28" s="108">
        <f>IFERROR(__xludf.DUMMYFUNCTION("""COMPUTED_VALUE"""),406.44)</f>
        <v>406.44</v>
      </c>
      <c r="AU28" s="111" t="str">
        <f>IFERROR(__xludf.DUMMYFUNCTION("""COMPUTED_VALUE"""),"17 days ago")</f>
        <v>17 days ago</v>
      </c>
      <c r="AV28" s="115"/>
      <c r="AW28" s="116" t="str">
        <f>IFERROR(__xludf.DUMMYFUNCTION("""COMPUTED_VALUE"""),"Bobufarlig")</f>
        <v>Bobufarlig</v>
      </c>
      <c r="AX28" s="111" t="str">
        <f>IFERROR(__xludf.DUMMYFUNCTION("""COMPUTED_VALUE"""),"Aurora Nox")</f>
        <v>Aurora Nox</v>
      </c>
      <c r="AY28" s="111" t="str">
        <f>IFERROR(__xludf.DUMMYFUNCTION("""COMPUTED_VALUE"""),"Kazzak")</f>
        <v>Kazzak</v>
      </c>
      <c r="AZ28" s="108">
        <f>IFERROR(__xludf.DUMMYFUNCTION("""COMPUTED_VALUE"""),408.0)</f>
        <v>408</v>
      </c>
      <c r="BA28" s="111" t="str">
        <f>IFERROR(__xludf.DUMMYFUNCTION("""COMPUTED_VALUE"""),"7 days ago")</f>
        <v>7 days ago</v>
      </c>
      <c r="BB28" s="117"/>
      <c r="BC28" s="116" t="str">
        <f>IFERROR(__xludf.DUMMYFUNCTION("""COMPUTED_VALUE"""),"Jimjones")</f>
        <v>Jimjones</v>
      </c>
      <c r="BD28" s="111" t="str">
        <f>IFERROR(__xludf.DUMMYFUNCTION("""COMPUTED_VALUE"""),"")</f>
        <v/>
      </c>
      <c r="BE28" s="111" t="str">
        <f>IFERROR(__xludf.DUMMYFUNCTION("""COMPUTED_VALUE"""),"Kazzak")</f>
        <v>Kazzak</v>
      </c>
      <c r="BF28" s="108">
        <f>IFERROR(__xludf.DUMMYFUNCTION("""COMPUTED_VALUE"""),404.25)</f>
        <v>404.25</v>
      </c>
      <c r="BG28" s="111" t="str">
        <f>IFERROR(__xludf.DUMMYFUNCTION("""COMPUTED_VALUE"""),"16 hours ago")</f>
        <v>16 hours ago</v>
      </c>
      <c r="BH28" s="118"/>
      <c r="BI28" s="116" t="str">
        <f>IFERROR(__xludf.DUMMYFUNCTION("""COMPUTED_VALUE"""),"Fuumi")</f>
        <v>Fuumi</v>
      </c>
      <c r="BJ28" s="111" t="str">
        <f>IFERROR(__xludf.DUMMYFUNCTION("""COMPUTED_VALUE"""),"Braccae Asinae")</f>
        <v>Braccae Asinae</v>
      </c>
      <c r="BK28" s="111" t="str">
        <f>IFERROR(__xludf.DUMMYFUNCTION("""COMPUTED_VALUE"""),"Kazzak")</f>
        <v>Kazzak</v>
      </c>
      <c r="BL28" s="108">
        <f>IFERROR(__xludf.DUMMYFUNCTION("""COMPUTED_VALUE"""),406.56)</f>
        <v>406.56</v>
      </c>
      <c r="BM28" s="111" t="str">
        <f>IFERROR(__xludf.DUMMYFUNCTION("""COMPUTED_VALUE"""),"6 days ago")</f>
        <v>6 days ago</v>
      </c>
      <c r="BN28" s="119"/>
      <c r="BO28" s="116" t="str">
        <f>IFERROR(__xludf.DUMMYFUNCTION("""COMPUTED_VALUE"""),"Brekkstein")</f>
        <v>Brekkstein</v>
      </c>
      <c r="BP28" s="111" t="str">
        <f>IFERROR(__xludf.DUMMYFUNCTION("""COMPUTED_VALUE"""),"Sylvanas Refugees")</f>
        <v>Sylvanas Refugees</v>
      </c>
      <c r="BQ28" s="111" t="str">
        <f>IFERROR(__xludf.DUMMYFUNCTION("""COMPUTED_VALUE"""),"Ravencrest")</f>
        <v>Ravencrest</v>
      </c>
      <c r="BR28" s="108">
        <f>IFERROR(__xludf.DUMMYFUNCTION("""COMPUTED_VALUE"""),406.06)</f>
        <v>406.06</v>
      </c>
      <c r="BS28" s="111" t="str">
        <f>IFERROR(__xludf.DUMMYFUNCTION("""COMPUTED_VALUE"""),"17 days ago")</f>
        <v>17 days ago</v>
      </c>
      <c r="BT28" s="120"/>
      <c r="BU28" s="107" t="str">
        <f t="shared" ref="BU28:BY28" si="23">A28</f>
        <v>Sadnez</v>
      </c>
      <c r="BV28" s="107" t="str">
        <f t="shared" si="23"/>
        <v>Vícious</v>
      </c>
      <c r="BW28" s="107" t="str">
        <f t="shared" si="23"/>
        <v>Tarren Mill</v>
      </c>
      <c r="BX28" s="107">
        <f t="shared" si="23"/>
        <v>408.88</v>
      </c>
      <c r="BY28" s="107" t="str">
        <f t="shared" si="23"/>
        <v>26 days ago</v>
      </c>
      <c r="BZ28" s="108"/>
    </row>
    <row r="29">
      <c r="A29" t="str">
        <f>IFERROR(__xludf.DUMMYFUNCTION("IFERROR(QUERY(IMPORTHTML(""https://www.wowprogress.com/gearscore/en/char_rating/prev/2/class.deathknight/lfg.1/raids_week./lang.en#char_rating"", ""table"", 1), ""SELECT Col1, Col2, Col4, Col5, Col6 OFFSET 1"", 0), IFERROR(QUERY(IMPORTHTML(""https://www.w"&amp;"owprogress.com/gearscore/en/char_rating/next/0/class.deathknight/lfg.1/raids_week./lang.en#char_rating"", ""table"", 1), ""SELECT Col1, Col2, Col4, Col5, Col6 OFFSET 1"", 0), CONCATENATE(""Google Import Error at min: "", TO_TEXT(A3))))"),"Xterdk")</f>
        <v>Xterdk</v>
      </c>
      <c r="B29" t="str">
        <f>IFERROR(__xludf.DUMMYFUNCTION("""COMPUTED_VALUE"""),"Alibi")</f>
        <v>Alibi</v>
      </c>
      <c r="C29" t="str">
        <f>IFERROR(__xludf.DUMMYFUNCTION("""COMPUTED_VALUE"""),"Tarren Mill")</f>
        <v>Tarren Mill</v>
      </c>
      <c r="D29">
        <f>IFERROR(__xludf.DUMMYFUNCTION("""COMPUTED_VALUE"""),408.88)</f>
        <v>408.88</v>
      </c>
      <c r="E29" t="str">
        <f>IFERROR(__xludf.DUMMYFUNCTION("""COMPUTED_VALUE"""),"1 day ago")</f>
        <v>1 day ago</v>
      </c>
      <c r="F29" s="94"/>
      <c r="G29" t="str">
        <f>IFERROR(__xludf.DUMMYFUNCTION("IFERROR(QUERY(IMPORTHTML(""https://www.wowprogress.com/gearscore/en/char_rating/prev/2/class.demon_hunter/lfg.1/raids_week./lang.en#char_rating"", ""table"", 1), ""SELECT Col1, Col2, Col4, Col5, Col6 OFFSET 1"", 0), IFERROR(QUERY(IMPORTHTML(""https://www."&amp;"wowprogress.com/gearscore/en/char_rating/next/0/class.demon_hunter/lfg.1/raids_week./lang.en#char_rating"", ""table"", 1), ""SELECT Col1, Col2, Col4, Col5, Col6 OFFSET 1"", 0), CONCATENATE(""Google Import Error at min: "", TO_TEXT(A3))))"),"Google Import Error at min: 36")</f>
        <v>Google Import Error at min: 36</v>
      </c>
      <c r="L29" s="95"/>
      <c r="M29" t="str">
        <f>IFERROR(__xludf.DUMMYFUNCTION("IFERROR(QUERY(IMPORTHTML(""https://www.wowprogress.com/gearscore/en/char_rating/prev/2/class.druid/lfg.1/raids_week./lang.en#char_rating"", ""table"", 1), ""SELECT Col1, Col2, Col4, Col5, Col6 OFFSET 1"", 0), IFERROR(QUERY(IMPORTHTML(""https://www.wowprog"&amp;"ress.com/gearscore/en/char_rating/next/0/class.druid/lfg.1/raids_week./lang.en#char_rating"", ""table"", 1), ""SELECT Col1, Col2, Col4, Col5, Col6 OFFSET 1"", 0), CONCATENATE(""Google Import Error at min: "", TO_TEXT(A3))))"),"Caldonz")</f>
        <v>Caldonz</v>
      </c>
      <c r="N29" t="str">
        <f>IFERROR(__xludf.DUMMYFUNCTION("""COMPUTED_VALUE"""),"The Seekers")</f>
        <v>The Seekers</v>
      </c>
      <c r="O29" t="str">
        <f>IFERROR(__xludf.DUMMYFUNCTION("""COMPUTED_VALUE"""),"Burning Legion")</f>
        <v>Burning Legion</v>
      </c>
      <c r="P29">
        <f>IFERROR(__xludf.DUMMYFUNCTION("""COMPUTED_VALUE"""),408.31)</f>
        <v>408.31</v>
      </c>
      <c r="Q29" t="str">
        <f>IFERROR(__xludf.DUMMYFUNCTION("""COMPUTED_VALUE"""),"3 hours ago")</f>
        <v>3 hours ago</v>
      </c>
      <c r="R29" s="96"/>
      <c r="S29" t="str">
        <f>IFERROR(__xludf.DUMMYFUNCTION("IFERROR(QUERY(IMPORTHTML(""https://www.wowprogress.com/gearscore/en/char_rating/prev/2/class.hunter/lfg.1/raids_week./lang.en#char_rating"", ""table"", 1), ""SELECT Col1, Col2, Col4, Col5, Col6 OFFSET 1"", 0), IFERROR(QUERY(IMPORTHTML(""https://www.wowpro"&amp;"gress.com/gearscore/en/char_rating/next/0/class.hunter/lfg.1/raids_week./lang.en#char_rating"", ""table"", 1), ""SELECT Col1, Col2, Col4, Col5, Col6 OFFSET 1"", 0), CONCATENATE(""Google Import Error at min: "", TO_TEXT(A3))))"),"Abudabi")</f>
        <v>Abudabi</v>
      </c>
      <c r="T29" t="str">
        <f>IFERROR(__xludf.DUMMYFUNCTION("""COMPUTED_VALUE"""),"Infinite")</f>
        <v>Infinite</v>
      </c>
      <c r="U29" t="str">
        <f>IFERROR(__xludf.DUMMYFUNCTION("""COMPUTED_VALUE"""),"Tarren Mill")</f>
        <v>Tarren Mill</v>
      </c>
      <c r="V29">
        <f>IFERROR(__xludf.DUMMYFUNCTION("""COMPUTED_VALUE"""),407.06)</f>
        <v>407.06</v>
      </c>
      <c r="W29" t="str">
        <f>IFERROR(__xludf.DUMMYFUNCTION("""COMPUTED_VALUE"""),"19 days ago")</f>
        <v>19 days ago</v>
      </c>
      <c r="X29" s="97"/>
      <c r="Y29" s="98" t="str">
        <f>IFERROR(__xludf.DUMMYFUNCTION("IFERROR(QUERY(IMPORTHTML(""https://www.wowprogress.com/gearscore/en/char_rating/prev/2/class.mage/lfg.1/raids_week./lang.en#char_rating"", ""table"", 1), ""SELECT Col1, Col2, Col4, Col5, Col6 OFFSET 1"", 0), IFERROR(QUERY(IMPORTHTML(""https://www.wowprogr"&amp;"ess.com/gearscore/en/char_rating/next/0/class.mage/lfg.1/raids_week./lang.en#char_rating"", ""table"", 1), ""SELECT Col1, Col2, Col4, Col5, Col6 OFFSET 1"", 0), CONCATENATE(""Google Import Error at min: "", TO_TEXT(A3))))
"),"Neyxx")</f>
        <v>Neyxx</v>
      </c>
      <c r="Z29" s="16" t="str">
        <f>IFERROR(__xludf.DUMMYFUNCTION("""COMPUTED_VALUE"""),"Safety Dance")</f>
        <v>Safety Dance</v>
      </c>
      <c r="AA29" s="16" t="str">
        <f>IFERROR(__xludf.DUMMYFUNCTION("""COMPUTED_VALUE"""),"Argent Dawn")</f>
        <v>Argent Dawn</v>
      </c>
      <c r="AB29" s="18">
        <f>IFERROR(__xludf.DUMMYFUNCTION("""COMPUTED_VALUE"""),407.94)</f>
        <v>407.94</v>
      </c>
      <c r="AC29" s="16" t="str">
        <f>IFERROR(__xludf.DUMMYFUNCTION("""COMPUTED_VALUE"""),"3 days ago")</f>
        <v>3 days ago</v>
      </c>
      <c r="AD29" s="99"/>
      <c r="AE29" s="16" t="str">
        <f>IFERROR(__xludf.DUMMYFUNCTION("IFERROR(QUERY(IMPORTHTML(""https://www.wowprogress.com/gearscore/en/char_rating/prev/2/class.monk/lfg.1/raids_week./lang.en#char_rating"", ""table"", 1), ""SELECT Col1, Col2, Col4, Col5, Col6 OFFSET 1"", 0), IFERROR(QUERY(IMPORTHTML(""https://www.wowprogr"&amp;"ess.com/gearscore/en/char_rating/next/0/class.monk/lfg.1/raids_week./lang.en#char_rating"", ""table"", 1), ""SELECT Col1, Col2, Col4, Col5, Col6 OFFSET 1"", 0), CONCATENATE(""Google Import Error at min: "", TO_TEXT(A3))))"),"Gonmonk")</f>
        <v>Gonmonk</v>
      </c>
      <c r="AF29" s="16" t="str">
        <f>IFERROR(__xludf.DUMMYFUNCTION("""COMPUTED_VALUE"""),"Eterníty")</f>
        <v>Eterníty</v>
      </c>
      <c r="AG29" s="16" t="str">
        <f>IFERROR(__xludf.DUMMYFUNCTION("""COMPUTED_VALUE"""),"Draenor")</f>
        <v>Draenor</v>
      </c>
      <c r="AH29" s="18">
        <f>IFERROR(__xludf.DUMMYFUNCTION("""COMPUTED_VALUE"""),409.56)</f>
        <v>409.56</v>
      </c>
      <c r="AI29" s="16" t="str">
        <f>IFERROR(__xludf.DUMMYFUNCTION("""COMPUTED_VALUE"""),"22 days ago")</f>
        <v>22 days ago</v>
      </c>
      <c r="AJ29" s="100"/>
      <c r="AK29" s="22" t="str">
        <f>IFERROR(__xludf.DUMMYFUNCTION("IFERROR(QUERY(IMPORTHTML(""https://www.wowprogress.com/gearscore/en/char_rating/prev/2/class.paladin/lfg.1/raids_week./lang.en#char_rating"", ""table"", 1), ""SELECT Col1, Col2, Col4, Col5, Col6 OFFSET 1"", 0), IFERROR(QUERY(IMPORTHTML(""https://www.wowpr"&amp;"ogress.com/gearscore/en/char_rating/next/0/class.paladin/lfg.1/raids_week./lang.en#char_rating"", ""table"", 1), ""SELECT Col1, Col2, Col4, Col5, Col6 OFFSET 1"", 0), CONCATENATE(""Google Import Error at min: "", TO_TEXT(A3))))"),"Carnîvore")</f>
        <v>Carnîvore</v>
      </c>
      <c r="AL29" s="16" t="str">
        <f>IFERROR(__xludf.DUMMYFUNCTION("""COMPUTED_VALUE"""),"Big Steady Hands")</f>
        <v>Big Steady Hands</v>
      </c>
      <c r="AM29" s="16" t="str">
        <f>IFERROR(__xludf.DUMMYFUNCTION("""COMPUTED_VALUE"""),"Kazzak")</f>
        <v>Kazzak</v>
      </c>
      <c r="AN29" s="16">
        <f>IFERROR(__xludf.DUMMYFUNCTION("""COMPUTED_VALUE"""),406.94)</f>
        <v>406.94</v>
      </c>
      <c r="AO29" s="16" t="str">
        <f>IFERROR(__xludf.DUMMYFUNCTION("""COMPUTED_VALUE"""),"15 days ago")</f>
        <v>15 days ago</v>
      </c>
      <c r="AP29" s="101"/>
      <c r="AQ29" s="25" t="str">
        <f>IFERROR(__xludf.DUMMYFUNCTION("IFERROR(QUERY(IMPORTHTML(""https://www.wowprogress.com/gearscore/en/char_rating/prev/2/class.priest/lfg.1/raids_week./lang.en#char_rating"", ""table"", 1), ""SELECT Col1, Col2, Col4, Col5, Col6 OFFSET 1"", 0), IFERROR(QUERY(IMPORTHTML(""https://www.wowpro"&amp;"gress.com/gearscore/en/char_rating/next/0/class.priest/lfg.1/raids_week./lang.en#char_rating"", ""table"", 1), ""SELECT Col1, Col2, Col4, Col5, Col6 OFFSET 1"", 0), CONCATENATE(""Google Import Error at min: "", TO_TEXT(A3))))"),"Wifedozer")</f>
        <v>Wifedozer</v>
      </c>
      <c r="AR29" s="16" t="str">
        <f>IFERROR(__xludf.DUMMYFUNCTION("""COMPUTED_VALUE"""),"Fang")</f>
        <v>Fang</v>
      </c>
      <c r="AS29" s="16" t="str">
        <f>IFERROR(__xludf.DUMMYFUNCTION("""COMPUTED_VALUE"""),"Kazzak")</f>
        <v>Kazzak</v>
      </c>
      <c r="AT29" s="18">
        <f>IFERROR(__xludf.DUMMYFUNCTION("""COMPUTED_VALUE"""),406.31)</f>
        <v>406.31</v>
      </c>
      <c r="AU29" s="16" t="str">
        <f>IFERROR(__xludf.DUMMYFUNCTION("""COMPUTED_VALUE"""),"2 days ago")</f>
        <v>2 days ago</v>
      </c>
      <c r="AV29" s="102"/>
      <c r="AW29" s="25" t="str">
        <f>IFERROR(__xludf.DUMMYFUNCTION("IFERROR(QUERY(IMPORTHTML(""https://www.wowprogress.com/gearscore/en/char_rating/prev/2/class.rogue/lfg.1/raids_week./lang.en#char_rating"", ""table"", 1), ""SELECT Col1, Col2, Col4, Col5, Col6 OFFSET 1"", 0), IFERROR(QUERY(IMPORTHTML(""https://www.wowprog"&amp;"ress.com/gearscore/en/char_rating/next/0/class.rogue/lfg.1/raids_week./lang.en#char_rating"", ""table"", 1), ""SELECT Col1, Col2, Col4, Col5, Col6 OFFSET 1"", 0), CONCATENATE(""Google Import Error at min: "", TO_TEXT(A3))))
"),"Bearmantings")</f>
        <v>Bearmantings</v>
      </c>
      <c r="AX29" s="16" t="str">
        <f>IFERROR(__xludf.DUMMYFUNCTION("""COMPUTED_VALUE"""),"Ebonheart")</f>
        <v>Ebonheart</v>
      </c>
      <c r="AY29" s="16" t="str">
        <f>IFERROR(__xludf.DUMMYFUNCTION("""COMPUTED_VALUE"""),"Silvermoon")</f>
        <v>Silvermoon</v>
      </c>
      <c r="AZ29" s="18">
        <f>IFERROR(__xludf.DUMMYFUNCTION("""COMPUTED_VALUE"""),407.94)</f>
        <v>407.94</v>
      </c>
      <c r="BA29" s="16" t="str">
        <f>IFERROR(__xludf.DUMMYFUNCTION("""COMPUTED_VALUE"""),"14 days ago")</f>
        <v>14 days ago</v>
      </c>
      <c r="BB29" s="103"/>
      <c r="BC29" s="25" t="str">
        <f>IFERROR(__xludf.DUMMYFUNCTION("IFERROR(QUERY(IMPORTHTML(""https://www.wowprogress.com/gearscore/en/char_rating/prev/2/class.shaman/lfg.1/raids_week./lang.en#char_rating"", ""table"", 1), ""SELECT Col1, Col2, Col4, Col5, Col6 OFFSET 1"", 0), IFERROR(QUERY(IMPORTHTML(""https://www.wowpro"&amp;"gress.com/gearscore/en/char_rating/next/0/class.shaman/lfg.1/raids_week./lang.en#char_rating"", ""table"", 1), ""SELECT Col1, Col2, Col4, Col5, Col6 OFFSET 1"", 0), CONCATENATE(""Google Import Error at min: "", TO_TEXT(A3))))
"),"Google Import Error at min: 36")</f>
        <v>Google Import Error at min: 36</v>
      </c>
      <c r="BD29" s="16"/>
      <c r="BE29" s="16"/>
      <c r="BF29" s="18"/>
      <c r="BG29" s="16"/>
      <c r="BH29" s="104"/>
      <c r="BI29" s="25" t="str">
        <f>IFERROR(__xludf.DUMMYFUNCTION("IFERROR(QUERY(IMPORTHTML(""https://www.wowprogress.com/gearscore/en/char_rating/prev/2/class.warlock/lfg.1/raids_week./lang.en#char_rating"", ""table"", 1), ""SELECT Col1, Col2, Col4, Col5, Col6 OFFSET 1"", 0), IFERROR(QUERY(IMPORTHTML(""https://www.wowpr"&amp;"ogress.com/gearscore/en/char_rating/next/0/class.warlock/lfg.1/raids_week./lang.en#char_rating"", ""table"", 1), ""SELECT Col1, Col2, Col4, Col5, Col6 OFFSET 1"", 0), CONCATENATE(""Google Import Error at min: "", TO_TEXT(A3))))
"),"Lovacnanovac")</f>
        <v>Lovacnanovac</v>
      </c>
      <c r="BJ29" s="16" t="str">
        <f>IFERROR(__xludf.DUMMYFUNCTION("""COMPUTED_VALUE"""),"Superstition")</f>
        <v>Superstition</v>
      </c>
      <c r="BK29" s="16" t="str">
        <f>IFERROR(__xludf.DUMMYFUNCTION("""COMPUTED_VALUE"""),"Tarren Mill")</f>
        <v>Tarren Mill</v>
      </c>
      <c r="BL29" s="18">
        <f>IFERROR(__xludf.DUMMYFUNCTION("""COMPUTED_VALUE"""),406.5)</f>
        <v>406.5</v>
      </c>
      <c r="BM29" s="16" t="str">
        <f>IFERROR(__xludf.DUMMYFUNCTION("""COMPUTED_VALUE"""),"26 days ago")</f>
        <v>26 days ago</v>
      </c>
      <c r="BN29" s="105"/>
      <c r="BO29" s="25" t="str">
        <f>IFERROR(__xludf.DUMMYFUNCTION("IFERROR(QUERY(IMPORTHTML(""https://www.wowprogress.com/gearscore/en/char_rating/prev/2/class.warrior/lfg.1/raids_week./lang.en#char_rating"", ""table"", 1), ""SELECT Col1, Col2, Col4, Col5, Col6 OFFSET 1"", 0), IFERROR(QUERY(IMPORTHTML(""https://www.wowpr"&amp;"ogress.com/gearscore/en/char_rating/next/0/class.warrior/lfg.1/raids_week./lang.en#char_rating"", ""table"", 1), ""SELECT Col1, Col2, Col4, Col5, Col6 OFFSET 1"", 0), CONCATENATE(""Google Import Error at min: "", TO_TEXT(A3))))"),"Xetheana")</f>
        <v>Xetheana</v>
      </c>
      <c r="BP29" s="16" t="str">
        <f>IFERROR(__xludf.DUMMYFUNCTION("""COMPUTED_VALUE"""),"Aesthetic Wipes")</f>
        <v>Aesthetic Wipes</v>
      </c>
      <c r="BQ29" s="16" t="str">
        <f>IFERROR(__xludf.DUMMYFUNCTION("""COMPUTED_VALUE"""),"Silvermoon")</f>
        <v>Silvermoon</v>
      </c>
      <c r="BR29" s="18">
        <f>IFERROR(__xludf.DUMMYFUNCTION("""COMPUTED_VALUE"""),406.0)</f>
        <v>406</v>
      </c>
      <c r="BS29" s="16" t="str">
        <f>IFERROR(__xludf.DUMMYFUNCTION("""COMPUTED_VALUE"""),"25 days ago")</f>
        <v>25 days ago</v>
      </c>
      <c r="BT29" s="106"/>
      <c r="BU29" s="107" t="str">
        <f t="shared" ref="BU29:BY29" si="24">G6</f>
        <v>Kocvrr</v>
      </c>
      <c r="BV29" s="107" t="str">
        <f t="shared" si="24"/>
        <v>Vengeance Incarnate</v>
      </c>
      <c r="BW29" s="107" t="str">
        <f t="shared" si="24"/>
        <v>Burning Legion</v>
      </c>
      <c r="BX29" s="107">
        <f t="shared" si="24"/>
        <v>412.94</v>
      </c>
      <c r="BY29" s="107" t="str">
        <f t="shared" si="24"/>
        <v>3 days ago</v>
      </c>
      <c r="BZ29" s="108"/>
    </row>
    <row r="30">
      <c r="A30" t="str">
        <f>IFERROR(__xludf.DUMMYFUNCTION("""COMPUTED_VALUE"""),"Alxska")</f>
        <v>Alxska</v>
      </c>
      <c r="B30" t="str">
        <f>IFERROR(__xludf.DUMMYFUNCTION("""COMPUTED_VALUE"""),"The Shining Dawn")</f>
        <v>The Shining Dawn</v>
      </c>
      <c r="C30" t="str">
        <f>IFERROR(__xludf.DUMMYFUNCTION("""COMPUTED_VALUE"""),"Azjol-Nerub")</f>
        <v>Azjol-Nerub</v>
      </c>
      <c r="D30">
        <f>IFERROR(__xludf.DUMMYFUNCTION("""COMPUTED_VALUE"""),408.88)</f>
        <v>408.88</v>
      </c>
      <c r="E30" s="93" t="str">
        <f>IFERROR(__xludf.DUMMYFUNCTION("""COMPUTED_VALUE"""),"2 days ago")</f>
        <v>2 days ago</v>
      </c>
      <c r="F30" s="94"/>
      <c r="L30" s="95"/>
      <c r="M30" t="str">
        <f>IFERROR(__xludf.DUMMYFUNCTION("""COMPUTED_VALUE"""),"Monsterform")</f>
        <v>Monsterform</v>
      </c>
      <c r="N30" t="str">
        <f>IFERROR(__xludf.DUMMYFUNCTION("""COMPUTED_VALUE"""),"The Cold North")</f>
        <v>The Cold North</v>
      </c>
      <c r="O30" t="str">
        <f>IFERROR(__xludf.DUMMYFUNCTION("""COMPUTED_VALUE"""),"Draenor")</f>
        <v>Draenor</v>
      </c>
      <c r="P30">
        <f>IFERROR(__xludf.DUMMYFUNCTION("""COMPUTED_VALUE"""),408.31)</f>
        <v>408.31</v>
      </c>
      <c r="Q30" t="str">
        <f>IFERROR(__xludf.DUMMYFUNCTION("""COMPUTED_VALUE"""),"9 days ago")</f>
        <v>9 days ago</v>
      </c>
      <c r="R30" s="96"/>
      <c r="S30" t="str">
        <f>IFERROR(__xludf.DUMMYFUNCTION("""COMPUTED_VALUE"""),"Pirkkagingi")</f>
        <v>Pirkkagingi</v>
      </c>
      <c r="T30" t="str">
        <f>IFERROR(__xludf.DUMMYFUNCTION("""COMPUTED_VALUE"""),"")</f>
        <v/>
      </c>
      <c r="U30" t="str">
        <f>IFERROR(__xludf.DUMMYFUNCTION("""COMPUTED_VALUE"""),"Stormreaver")</f>
        <v>Stormreaver</v>
      </c>
      <c r="V30">
        <f>IFERROR(__xludf.DUMMYFUNCTION("""COMPUTED_VALUE"""),406.69)</f>
        <v>406.69</v>
      </c>
      <c r="W30" t="str">
        <f>IFERROR(__xludf.DUMMYFUNCTION("""COMPUTED_VALUE"""),"14 hours ago")</f>
        <v>14 hours ago</v>
      </c>
      <c r="X30" s="97"/>
      <c r="Y30" s="111" t="str">
        <f>IFERROR(__xludf.DUMMYFUNCTION("""COMPUTED_VALUE"""),"Forker")</f>
        <v>Forker</v>
      </c>
      <c r="Z30" s="111" t="str">
        <f>IFERROR(__xludf.DUMMYFUNCTION("""COMPUTED_VALUE"""),"Parallel")</f>
        <v>Parallel</v>
      </c>
      <c r="AA30" s="111" t="str">
        <f>IFERROR(__xludf.DUMMYFUNCTION("""COMPUTED_VALUE"""),"Silvermoon")</f>
        <v>Silvermoon</v>
      </c>
      <c r="AB30" s="108">
        <f>IFERROR(__xludf.DUMMYFUNCTION("""COMPUTED_VALUE"""),407.75)</f>
        <v>407.75</v>
      </c>
      <c r="AC30" s="111" t="str">
        <f>IFERROR(__xludf.DUMMYFUNCTION("""COMPUTED_VALUE"""),"26 days ago")</f>
        <v>26 days ago</v>
      </c>
      <c r="AD30" s="112"/>
      <c r="AE30" s="111" t="str">
        <f>IFERROR(__xludf.DUMMYFUNCTION("""COMPUTED_VALUE"""),"Crazzytwo")</f>
        <v>Crazzytwo</v>
      </c>
      <c r="AF30" s="111" t="str">
        <f>IFERROR(__xludf.DUMMYFUNCTION("""COMPUTED_VALUE"""),"Ancient Peoples")</f>
        <v>Ancient Peoples</v>
      </c>
      <c r="AG30" s="111" t="str">
        <f>IFERROR(__xludf.DUMMYFUNCTION("""COMPUTED_VALUE"""),"Ravencrest")</f>
        <v>Ravencrest</v>
      </c>
      <c r="AH30" s="108">
        <f>IFERROR(__xludf.DUMMYFUNCTION("""COMPUTED_VALUE"""),409.31)</f>
        <v>409.31</v>
      </c>
      <c r="AI30" s="111" t="str">
        <f>IFERROR(__xludf.DUMMYFUNCTION("""COMPUTED_VALUE"""),"8 days ago")</f>
        <v>8 days ago</v>
      </c>
      <c r="AJ30" s="113"/>
      <c r="AK30" s="111" t="str">
        <f>IFERROR(__xludf.DUMMYFUNCTION("""COMPUTED_VALUE"""),"Zerry")</f>
        <v>Zerry</v>
      </c>
      <c r="AL30" s="111" t="str">
        <f>IFERROR(__xludf.DUMMYFUNCTION("""COMPUTED_VALUE"""),"Anthem")</f>
        <v>Anthem</v>
      </c>
      <c r="AM30" s="111" t="str">
        <f>IFERROR(__xludf.DUMMYFUNCTION("""COMPUTED_VALUE"""),"Draenor")</f>
        <v>Draenor</v>
      </c>
      <c r="AN30" s="111">
        <f>IFERROR(__xludf.DUMMYFUNCTION("""COMPUTED_VALUE"""),406.88)</f>
        <v>406.88</v>
      </c>
      <c r="AO30" s="111" t="str">
        <f>IFERROR(__xludf.DUMMYFUNCTION("""COMPUTED_VALUE"""),"3 days ago")</f>
        <v>3 days ago</v>
      </c>
      <c r="AP30" s="114"/>
      <c r="AQ30" s="111" t="str">
        <f>IFERROR(__xludf.DUMMYFUNCTION("""COMPUTED_VALUE"""),"Pagane")</f>
        <v>Pagane</v>
      </c>
      <c r="AR30" s="111" t="str">
        <f>IFERROR(__xludf.DUMMYFUNCTION("""COMPUTED_VALUE"""),"The Wolfpack")</f>
        <v>The Wolfpack</v>
      </c>
      <c r="AS30" s="111" t="str">
        <f>IFERROR(__xludf.DUMMYFUNCTION("""COMPUTED_VALUE"""),"Ravencrest")</f>
        <v>Ravencrest</v>
      </c>
      <c r="AT30" s="108">
        <f>IFERROR(__xludf.DUMMYFUNCTION("""COMPUTED_VALUE"""),406.0)</f>
        <v>406</v>
      </c>
      <c r="AU30" s="111" t="str">
        <f>IFERROR(__xludf.DUMMYFUNCTION("""COMPUTED_VALUE"""),"9 days ago")</f>
        <v>9 days ago</v>
      </c>
      <c r="AV30" s="115"/>
      <c r="AW30" s="116" t="str">
        <f>IFERROR(__xludf.DUMMYFUNCTION("""COMPUTED_VALUE"""),"Chayed")</f>
        <v>Chayed</v>
      </c>
      <c r="AX30" s="111" t="str">
        <f>IFERROR(__xludf.DUMMYFUNCTION("""COMPUTED_VALUE"""),"")</f>
        <v/>
      </c>
      <c r="AY30" s="111" t="str">
        <f>IFERROR(__xludf.DUMMYFUNCTION("""COMPUTED_VALUE"""),"Draenor")</f>
        <v>Draenor</v>
      </c>
      <c r="AZ30" s="108">
        <f>IFERROR(__xludf.DUMMYFUNCTION("""COMPUTED_VALUE"""),407.88)</f>
        <v>407.88</v>
      </c>
      <c r="BA30" s="111" t="str">
        <f>IFERROR(__xludf.DUMMYFUNCTION("""COMPUTED_VALUE"""),"17 days ago")</f>
        <v>17 days ago</v>
      </c>
      <c r="BB30" s="117"/>
      <c r="BC30" s="116"/>
      <c r="BD30" s="111"/>
      <c r="BE30" s="111"/>
      <c r="BF30" s="108"/>
      <c r="BG30" s="111"/>
      <c r="BH30" s="118"/>
      <c r="BI30" s="116" t="str">
        <f>IFERROR(__xludf.DUMMYFUNCTION("""COMPUTED_VALUE"""),"Zeekah")</f>
        <v>Zeekah</v>
      </c>
      <c r="BJ30" s="111" t="str">
        <f>IFERROR(__xludf.DUMMYFUNCTION("""COMPUTED_VALUE"""),"Insight")</f>
        <v>Insight</v>
      </c>
      <c r="BK30" s="111" t="str">
        <f>IFERROR(__xludf.DUMMYFUNCTION("""COMPUTED_VALUE"""),"Frostwhisper")</f>
        <v>Frostwhisper</v>
      </c>
      <c r="BL30" s="108">
        <f>IFERROR(__xludf.DUMMYFUNCTION("""COMPUTED_VALUE"""),406.44)</f>
        <v>406.44</v>
      </c>
      <c r="BM30" s="111" t="str">
        <f>IFERROR(__xludf.DUMMYFUNCTION("""COMPUTED_VALUE"""),"16 days ago")</f>
        <v>16 days ago</v>
      </c>
      <c r="BN30" s="119"/>
      <c r="BO30" s="116" t="str">
        <f>IFERROR(__xludf.DUMMYFUNCTION("""COMPUTED_VALUE"""),"Amptoulakos")</f>
        <v>Amptoulakos</v>
      </c>
      <c r="BP30" s="111" t="str">
        <f>IFERROR(__xludf.DUMMYFUNCTION("""COMPUTED_VALUE"""),"North Remembers")</f>
        <v>North Remembers</v>
      </c>
      <c r="BQ30" s="111" t="str">
        <f>IFERROR(__xludf.DUMMYFUNCTION("""COMPUTED_VALUE"""),"Ravencrest")</f>
        <v>Ravencrest</v>
      </c>
      <c r="BR30" s="108">
        <f>IFERROR(__xludf.DUMMYFUNCTION("""COMPUTED_VALUE"""),405.94)</f>
        <v>405.94</v>
      </c>
      <c r="BS30" s="111" t="str">
        <f>IFERROR(__xludf.DUMMYFUNCTION("""COMPUTED_VALUE"""),"23 days ago")</f>
        <v>23 days ago</v>
      </c>
      <c r="BT30" s="120"/>
      <c r="BU30" s="107" t="str">
        <f t="shared" ref="BU30:BY30" si="25">G7</f>
        <v>Nyoll</v>
      </c>
      <c r="BV30" s="107" t="str">
        <f t="shared" si="25"/>
        <v>Innominatum</v>
      </c>
      <c r="BW30" s="107" t="str">
        <f t="shared" si="25"/>
        <v>Twisting Nether</v>
      </c>
      <c r="BX30" s="107">
        <f t="shared" si="25"/>
        <v>412.88</v>
      </c>
      <c r="BY30" s="107" t="str">
        <f t="shared" si="25"/>
        <v>13 days ago</v>
      </c>
      <c r="BZ30" s="108"/>
    </row>
    <row r="31">
      <c r="A31" t="str">
        <f>IFERROR(__xludf.DUMMYFUNCTION("""COMPUTED_VALUE"""),"Riiw")</f>
        <v>Riiw</v>
      </c>
      <c r="B31" t="str">
        <f>IFERROR(__xludf.DUMMYFUNCTION("""COMPUTED_VALUE"""),"Lagom")</f>
        <v>Lagom</v>
      </c>
      <c r="C31" t="str">
        <f>IFERROR(__xludf.DUMMYFUNCTION("""COMPUTED_VALUE"""),"Kazzak")</f>
        <v>Kazzak</v>
      </c>
      <c r="D31">
        <f>IFERROR(__xludf.DUMMYFUNCTION("""COMPUTED_VALUE"""),408.31)</f>
        <v>408.31</v>
      </c>
      <c r="E31" t="str">
        <f>IFERROR(__xludf.DUMMYFUNCTION("""COMPUTED_VALUE"""),"18 hours ago")</f>
        <v>18 hours ago</v>
      </c>
      <c r="F31" s="94"/>
      <c r="L31" s="95"/>
      <c r="M31" t="str">
        <f>IFERROR(__xludf.DUMMYFUNCTION("""COMPUTED_VALUE"""),"Mikrofnazk")</f>
        <v>Mikrofnazk</v>
      </c>
      <c r="N31" t="str">
        <f>IFERROR(__xludf.DUMMYFUNCTION("""COMPUTED_VALUE"""),"")</f>
        <v/>
      </c>
      <c r="O31" t="str">
        <f>IFERROR(__xludf.DUMMYFUNCTION("""COMPUTED_VALUE"""),"Twisting Nether")</f>
        <v>Twisting Nether</v>
      </c>
      <c r="P31">
        <f>IFERROR(__xludf.DUMMYFUNCTION("""COMPUTED_VALUE"""),408.31)</f>
        <v>408.31</v>
      </c>
      <c r="Q31" t="str">
        <f>IFERROR(__xludf.DUMMYFUNCTION("""COMPUTED_VALUE"""),"2 days ago")</f>
        <v>2 days ago</v>
      </c>
      <c r="R31" s="96"/>
      <c r="S31" t="str">
        <f>IFERROR(__xludf.DUMMYFUNCTION("""COMPUTED_VALUE"""),"Ihti")</f>
        <v>Ihti</v>
      </c>
      <c r="T31" t="str">
        <f>IFERROR(__xludf.DUMMYFUNCTION("""COMPUTED_VALUE"""),"Vengeance Incarnate")</f>
        <v>Vengeance Incarnate</v>
      </c>
      <c r="U31" t="str">
        <f>IFERROR(__xludf.DUMMYFUNCTION("""COMPUTED_VALUE"""),"Burning Legion")</f>
        <v>Burning Legion</v>
      </c>
      <c r="V31">
        <f>IFERROR(__xludf.DUMMYFUNCTION("""COMPUTED_VALUE"""),406.56)</f>
        <v>406.56</v>
      </c>
      <c r="W31" t="str">
        <f>IFERROR(__xludf.DUMMYFUNCTION("""COMPUTED_VALUE"""),"3 days ago")</f>
        <v>3 days ago</v>
      </c>
      <c r="X31" s="97"/>
      <c r="Y31" s="111" t="str">
        <f>IFERROR(__xludf.DUMMYFUNCTION("""COMPUTED_VALUE"""),"Icygirl")</f>
        <v>Icygirl</v>
      </c>
      <c r="Z31" s="111" t="str">
        <f>IFERROR(__xludf.DUMMYFUNCTION("""COMPUTED_VALUE"""),"")</f>
        <v/>
      </c>
      <c r="AA31" s="111" t="str">
        <f>IFERROR(__xludf.DUMMYFUNCTION("""COMPUTED_VALUE"""),"Kazzak")</f>
        <v>Kazzak</v>
      </c>
      <c r="AB31" s="108">
        <f>IFERROR(__xludf.DUMMYFUNCTION("""COMPUTED_VALUE"""),407.5)</f>
        <v>407.5</v>
      </c>
      <c r="AC31" s="111" t="str">
        <f>IFERROR(__xludf.DUMMYFUNCTION("""COMPUTED_VALUE"""),"1 day ago")</f>
        <v>1 day ago</v>
      </c>
      <c r="AD31" s="112"/>
      <c r="AE31" s="111" t="str">
        <f>IFERROR(__xludf.DUMMYFUNCTION("""COMPUTED_VALUE"""),"Telwea")</f>
        <v>Telwea</v>
      </c>
      <c r="AF31" s="111" t="str">
        <f>IFERROR(__xludf.DUMMYFUNCTION("""COMPUTED_VALUE"""),"Distinctly Average")</f>
        <v>Distinctly Average</v>
      </c>
      <c r="AG31" s="111" t="str">
        <f>IFERROR(__xludf.DUMMYFUNCTION("""COMPUTED_VALUE"""),"Silvermoon")</f>
        <v>Silvermoon</v>
      </c>
      <c r="AH31" s="108">
        <f>IFERROR(__xludf.DUMMYFUNCTION("""COMPUTED_VALUE"""),409.19)</f>
        <v>409.19</v>
      </c>
      <c r="AI31" s="111" t="str">
        <f>IFERROR(__xludf.DUMMYFUNCTION("""COMPUTED_VALUE"""),"15 days ago")</f>
        <v>15 days ago</v>
      </c>
      <c r="AJ31" s="113"/>
      <c r="AK31" s="111" t="str">
        <f>IFERROR(__xludf.DUMMYFUNCTION("""COMPUTED_VALUE"""),"Fexe")</f>
        <v>Fexe</v>
      </c>
      <c r="AL31" s="111" t="str">
        <f>IFERROR(__xludf.DUMMYFUNCTION("""COMPUTED_VALUE"""),"Divided")</f>
        <v>Divided</v>
      </c>
      <c r="AM31" s="111" t="str">
        <f>IFERROR(__xludf.DUMMYFUNCTION("""COMPUTED_VALUE"""),"The Maelstrom")</f>
        <v>The Maelstrom</v>
      </c>
      <c r="AN31" s="111">
        <f>IFERROR(__xludf.DUMMYFUNCTION("""COMPUTED_VALUE"""),406.44)</f>
        <v>406.44</v>
      </c>
      <c r="AO31" s="111" t="str">
        <f>IFERROR(__xludf.DUMMYFUNCTION("""COMPUTED_VALUE"""),"10 days ago")</f>
        <v>10 days ago</v>
      </c>
      <c r="AP31" s="114"/>
      <c r="AQ31" s="111" t="str">
        <f>IFERROR(__xludf.DUMMYFUNCTION("""COMPUTED_VALUE"""),"Kraypriest")</f>
        <v>Kraypriest</v>
      </c>
      <c r="AR31" s="111" t="str">
        <f>IFERROR(__xludf.DUMMYFUNCTION("""COMPUTED_VALUE"""),"Impressive")</f>
        <v>Impressive</v>
      </c>
      <c r="AS31" s="111" t="str">
        <f>IFERROR(__xludf.DUMMYFUNCTION("""COMPUTED_VALUE"""),"Tarren Mill")</f>
        <v>Tarren Mill</v>
      </c>
      <c r="AT31" s="108">
        <f>IFERROR(__xludf.DUMMYFUNCTION("""COMPUTED_VALUE"""),405.81)</f>
        <v>405.81</v>
      </c>
      <c r="AU31" s="111" t="str">
        <f>IFERROR(__xludf.DUMMYFUNCTION("""COMPUTED_VALUE"""),"3 days ago")</f>
        <v>3 days ago</v>
      </c>
      <c r="AV31" s="115"/>
      <c r="AW31" s="116" t="str">
        <f>IFERROR(__xludf.DUMMYFUNCTION("""COMPUTED_VALUE"""),"Lyac")</f>
        <v>Lyac</v>
      </c>
      <c r="AX31" s="111" t="str">
        <f>IFERROR(__xludf.DUMMYFUNCTION("""COMPUTED_VALUE"""),"Prydaz")</f>
        <v>Prydaz</v>
      </c>
      <c r="AY31" s="111" t="str">
        <f>IFERROR(__xludf.DUMMYFUNCTION("""COMPUTED_VALUE"""),"Tarren Mill")</f>
        <v>Tarren Mill</v>
      </c>
      <c r="AZ31" s="108">
        <f>IFERROR(__xludf.DUMMYFUNCTION("""COMPUTED_VALUE"""),407.81)</f>
        <v>407.81</v>
      </c>
      <c r="BA31" s="111" t="str">
        <f>IFERROR(__xludf.DUMMYFUNCTION("""COMPUTED_VALUE"""),"9 days ago")</f>
        <v>9 days ago</v>
      </c>
      <c r="BB31" s="117"/>
      <c r="BC31" s="116"/>
      <c r="BD31" s="111"/>
      <c r="BE31" s="111"/>
      <c r="BF31" s="108"/>
      <c r="BG31" s="111"/>
      <c r="BH31" s="118"/>
      <c r="BI31" s="116" t="str">
        <f>IFERROR(__xludf.DUMMYFUNCTION("""COMPUTED_VALUE"""),"Xenubis")</f>
        <v>Xenubis</v>
      </c>
      <c r="BJ31" s="111" t="str">
        <f>IFERROR(__xludf.DUMMYFUNCTION("""COMPUTED_VALUE"""),"Reaction")</f>
        <v>Reaction</v>
      </c>
      <c r="BK31" s="111" t="str">
        <f>IFERROR(__xludf.DUMMYFUNCTION("""COMPUTED_VALUE"""),"Kazzak")</f>
        <v>Kazzak</v>
      </c>
      <c r="BL31" s="108">
        <f>IFERROR(__xludf.DUMMYFUNCTION("""COMPUTED_VALUE"""),406.25)</f>
        <v>406.25</v>
      </c>
      <c r="BM31" s="111" t="str">
        <f>IFERROR(__xludf.DUMMYFUNCTION("""COMPUTED_VALUE"""),"11 days ago")</f>
        <v>11 days ago</v>
      </c>
      <c r="BN31" s="119"/>
      <c r="BO31" s="116" t="str">
        <f>IFERROR(__xludf.DUMMYFUNCTION("""COMPUTED_VALUE"""),"Mogha")</f>
        <v>Mogha</v>
      </c>
      <c r="BP31" s="111" t="str">
        <f>IFERROR(__xludf.DUMMYFUNCTION("""COMPUTED_VALUE"""),"Unleashed")</f>
        <v>Unleashed</v>
      </c>
      <c r="BQ31" s="111" t="str">
        <f>IFERROR(__xludf.DUMMYFUNCTION("""COMPUTED_VALUE"""),"Twisting Nether")</f>
        <v>Twisting Nether</v>
      </c>
      <c r="BR31" s="108">
        <f>IFERROR(__xludf.DUMMYFUNCTION("""COMPUTED_VALUE"""),405.88)</f>
        <v>405.88</v>
      </c>
      <c r="BS31" s="111" t="str">
        <f>IFERROR(__xludf.DUMMYFUNCTION("""COMPUTED_VALUE"""),"26 days ago")</f>
        <v>26 days ago</v>
      </c>
      <c r="BT31" s="120"/>
      <c r="BU31" s="107" t="str">
        <f t="shared" ref="BU31:BY31" si="26">G8</f>
        <v>Femalelol</v>
      </c>
      <c r="BV31" s="107" t="str">
        <f t="shared" si="26"/>
        <v>Solacium</v>
      </c>
      <c r="BW31" s="107" t="str">
        <f t="shared" si="26"/>
        <v>Kazzak</v>
      </c>
      <c r="BX31" s="107">
        <f t="shared" si="26"/>
        <v>412.75</v>
      </c>
      <c r="BY31" s="107" t="str">
        <f t="shared" si="26"/>
        <v>17 days ago</v>
      </c>
      <c r="BZ31" s="108"/>
    </row>
    <row r="32">
      <c r="A32" t="str">
        <f>IFERROR(__xludf.DUMMYFUNCTION("""COMPUTED_VALUE"""),"Bjerrehund")</f>
        <v>Bjerrehund</v>
      </c>
      <c r="B32" t="str">
        <f>IFERROR(__xludf.DUMMYFUNCTION("""COMPUTED_VALUE"""),"samasafya")</f>
        <v>samasafya</v>
      </c>
      <c r="C32" t="str">
        <f>IFERROR(__xludf.DUMMYFUNCTION("""COMPUTED_VALUE"""),"Ravencrest")</f>
        <v>Ravencrest</v>
      </c>
      <c r="D32">
        <f>IFERROR(__xludf.DUMMYFUNCTION("""COMPUTED_VALUE"""),408.25)</f>
        <v>408.25</v>
      </c>
      <c r="E32" t="str">
        <f>IFERROR(__xludf.DUMMYFUNCTION("""COMPUTED_VALUE"""),"23 days ago")</f>
        <v>23 days ago</v>
      </c>
      <c r="F32" s="94"/>
      <c r="L32" s="95"/>
      <c r="M32" t="str">
        <f>IFERROR(__xludf.DUMMYFUNCTION("""COMPUTED_VALUE"""),"Buffrdruid")</f>
        <v>Buffrdruid</v>
      </c>
      <c r="N32" t="str">
        <f>IFERROR(__xludf.DUMMYFUNCTION("""COMPUTED_VALUE"""),"")</f>
        <v/>
      </c>
      <c r="O32" t="str">
        <f>IFERROR(__xludf.DUMMYFUNCTION("""COMPUTED_VALUE"""),"Twisting Nether")</f>
        <v>Twisting Nether</v>
      </c>
      <c r="P32">
        <f>IFERROR(__xludf.DUMMYFUNCTION("""COMPUTED_VALUE"""),408.25)</f>
        <v>408.25</v>
      </c>
      <c r="Q32" t="str">
        <f>IFERROR(__xludf.DUMMYFUNCTION("""COMPUTED_VALUE"""),"9 days ago")</f>
        <v>9 days ago</v>
      </c>
      <c r="R32" s="96"/>
      <c r="S32" t="str">
        <f>IFERROR(__xludf.DUMMYFUNCTION("""COMPUTED_VALUE"""),"Sscrapýdoo")</f>
        <v>Sscrapýdoo</v>
      </c>
      <c r="T32" t="str">
        <f>IFERROR(__xludf.DUMMYFUNCTION("""COMPUTED_VALUE"""),"Placeholder Title")</f>
        <v>Placeholder Title</v>
      </c>
      <c r="U32" t="str">
        <f>IFERROR(__xludf.DUMMYFUNCTION("""COMPUTED_VALUE"""),"Twisting Nether")</f>
        <v>Twisting Nether</v>
      </c>
      <c r="V32">
        <f>IFERROR(__xludf.DUMMYFUNCTION("""COMPUTED_VALUE"""),405.81)</f>
        <v>405.81</v>
      </c>
      <c r="W32" t="str">
        <f>IFERROR(__xludf.DUMMYFUNCTION("""COMPUTED_VALUE"""),"18 days ago")</f>
        <v>18 days ago</v>
      </c>
      <c r="X32" s="97"/>
      <c r="Y32" s="111" t="str">
        <f>IFERROR(__xludf.DUMMYFUNCTION("""COMPUTED_VALUE"""),"Puuqae")</f>
        <v>Puuqae</v>
      </c>
      <c r="Z32" s="111" t="str">
        <f>IFERROR(__xludf.DUMMYFUNCTION("""COMPUTED_VALUE"""),"Foundation")</f>
        <v>Foundation</v>
      </c>
      <c r="AA32" s="111" t="str">
        <f>IFERROR(__xludf.DUMMYFUNCTION("""COMPUTED_VALUE"""),"Magtheridon")</f>
        <v>Magtheridon</v>
      </c>
      <c r="AB32" s="108">
        <f>IFERROR(__xludf.DUMMYFUNCTION("""COMPUTED_VALUE"""),407.5)</f>
        <v>407.5</v>
      </c>
      <c r="AC32" s="111" t="str">
        <f>IFERROR(__xludf.DUMMYFUNCTION("""COMPUTED_VALUE"""),"2 days ago")</f>
        <v>2 days ago</v>
      </c>
      <c r="AD32" s="112"/>
      <c r="AE32" s="111" t="str">
        <f>IFERROR(__xludf.DUMMYFUNCTION("""COMPUTED_VALUE"""),"Samahan")</f>
        <v>Samahan</v>
      </c>
      <c r="AF32" s="111" t="str">
        <f>IFERROR(__xludf.DUMMYFUNCTION("""COMPUTED_VALUE"""),"Sjukt Arbetslös")</f>
        <v>Sjukt Arbetslös</v>
      </c>
      <c r="AG32" s="111" t="str">
        <f>IFERROR(__xludf.DUMMYFUNCTION("""COMPUTED_VALUE"""),"Draenor")</f>
        <v>Draenor</v>
      </c>
      <c r="AH32" s="108">
        <f>IFERROR(__xludf.DUMMYFUNCTION("""COMPUTED_VALUE"""),408.81)</f>
        <v>408.81</v>
      </c>
      <c r="AI32" s="111" t="str">
        <f>IFERROR(__xludf.DUMMYFUNCTION("""COMPUTED_VALUE"""),"6 days ago")</f>
        <v>6 days ago</v>
      </c>
      <c r="AJ32" s="113"/>
      <c r="AK32" s="111" t="str">
        <f>IFERROR(__xludf.DUMMYFUNCTION("""COMPUTED_VALUE"""),"Alwaysalty")</f>
        <v>Alwaysalty</v>
      </c>
      <c r="AL32" s="111" t="str">
        <f>IFERROR(__xludf.DUMMYFUNCTION("""COMPUTED_VALUE"""),"")</f>
        <v/>
      </c>
      <c r="AM32" s="111" t="str">
        <f>IFERROR(__xludf.DUMMYFUNCTION("""COMPUTED_VALUE"""),"Tarren Mill")</f>
        <v>Tarren Mill</v>
      </c>
      <c r="AN32" s="111">
        <f>IFERROR(__xludf.DUMMYFUNCTION("""COMPUTED_VALUE"""),406.44)</f>
        <v>406.44</v>
      </c>
      <c r="AO32" s="111" t="str">
        <f>IFERROR(__xludf.DUMMYFUNCTION("""COMPUTED_VALUE"""),"11 days ago")</f>
        <v>11 days ago</v>
      </c>
      <c r="AP32" s="114"/>
      <c r="AQ32" s="111" t="str">
        <f>IFERROR(__xludf.DUMMYFUNCTION("""COMPUTED_VALUE"""),"Jopsi")</f>
        <v>Jopsi</v>
      </c>
      <c r="AR32" s="111" t="str">
        <f>IFERROR(__xludf.DUMMYFUNCTION("""COMPUTED_VALUE"""),"Stress Test")</f>
        <v>Stress Test</v>
      </c>
      <c r="AS32" s="111" t="str">
        <f>IFERROR(__xludf.DUMMYFUNCTION("""COMPUTED_VALUE"""),"Twisting Nether")</f>
        <v>Twisting Nether</v>
      </c>
      <c r="AT32" s="108">
        <f>IFERROR(__xludf.DUMMYFUNCTION("""COMPUTED_VALUE"""),405.69)</f>
        <v>405.69</v>
      </c>
      <c r="AU32" s="111" t="str">
        <f>IFERROR(__xludf.DUMMYFUNCTION("""COMPUTED_VALUE"""),"3 days ago")</f>
        <v>3 days ago</v>
      </c>
      <c r="AV32" s="115"/>
      <c r="AW32" s="116" t="str">
        <f>IFERROR(__xludf.DUMMYFUNCTION("""COMPUTED_VALUE"""),"Xsiv")</f>
        <v>Xsiv</v>
      </c>
      <c r="AX32" s="111" t="str">
        <f>IFERROR(__xludf.DUMMYFUNCTION("""COMPUTED_VALUE"""),"Sylvanas Refugees")</f>
        <v>Sylvanas Refugees</v>
      </c>
      <c r="AY32" s="111" t="str">
        <f>IFERROR(__xludf.DUMMYFUNCTION("""COMPUTED_VALUE"""),"Ravencrest")</f>
        <v>Ravencrest</v>
      </c>
      <c r="AZ32" s="108">
        <f>IFERROR(__xludf.DUMMYFUNCTION("""COMPUTED_VALUE"""),407.75)</f>
        <v>407.75</v>
      </c>
      <c r="BA32" s="111" t="str">
        <f>IFERROR(__xludf.DUMMYFUNCTION("""COMPUTED_VALUE"""),"7 days ago")</f>
        <v>7 days ago</v>
      </c>
      <c r="BB32" s="117"/>
      <c r="BC32" s="116"/>
      <c r="BD32" s="111"/>
      <c r="BE32" s="111"/>
      <c r="BF32" s="108"/>
      <c r="BG32" s="111"/>
      <c r="BH32" s="118"/>
      <c r="BI32" s="116" t="str">
        <f>IFERROR(__xludf.DUMMYFUNCTION("""COMPUTED_VALUE"""),"Dstroyzehh")</f>
        <v>Dstroyzehh</v>
      </c>
      <c r="BJ32" s="111" t="str">
        <f>IFERROR(__xludf.DUMMYFUNCTION("""COMPUTED_VALUE"""),"Deliria")</f>
        <v>Deliria</v>
      </c>
      <c r="BK32" s="111" t="str">
        <f>IFERROR(__xludf.DUMMYFUNCTION("""COMPUTED_VALUE"""),"Tarren Mill")</f>
        <v>Tarren Mill</v>
      </c>
      <c r="BL32" s="108">
        <f>IFERROR(__xludf.DUMMYFUNCTION("""COMPUTED_VALUE"""),406.25)</f>
        <v>406.25</v>
      </c>
      <c r="BM32" s="111" t="str">
        <f>IFERROR(__xludf.DUMMYFUNCTION("""COMPUTED_VALUE"""),"11 days ago")</f>
        <v>11 days ago</v>
      </c>
      <c r="BN32" s="119"/>
      <c r="BO32" s="116" t="str">
        <f>IFERROR(__xludf.DUMMYFUNCTION("""COMPUTED_VALUE"""),"Lothrohan")</f>
        <v>Lothrohan</v>
      </c>
      <c r="BP32" s="111" t="str">
        <f>IFERROR(__xludf.DUMMYFUNCTION("""COMPUTED_VALUE"""),"Tired")</f>
        <v>Tired</v>
      </c>
      <c r="BQ32" s="111" t="str">
        <f>IFERROR(__xludf.DUMMYFUNCTION("""COMPUTED_VALUE"""),"Draenor")</f>
        <v>Draenor</v>
      </c>
      <c r="BR32" s="108">
        <f>IFERROR(__xludf.DUMMYFUNCTION("""COMPUTED_VALUE"""),405.0)</f>
        <v>405</v>
      </c>
      <c r="BS32" s="111" t="str">
        <f>IFERROR(__xludf.DUMMYFUNCTION("""COMPUTED_VALUE"""),"25 days ago")</f>
        <v>25 days ago</v>
      </c>
      <c r="BT32" s="120"/>
      <c r="BU32" s="107" t="str">
        <f t="shared" ref="BU32:BY32" si="27">G9</f>
        <v>Lacia</v>
      </c>
      <c r="BV32" s="107" t="str">
        <f t="shared" si="27"/>
        <v/>
      </c>
      <c r="BW32" s="107" t="str">
        <f t="shared" si="27"/>
        <v>Terokkar</v>
      </c>
      <c r="BX32" s="107">
        <f t="shared" si="27"/>
        <v>412.75</v>
      </c>
      <c r="BY32" s="107" t="str">
        <f t="shared" si="27"/>
        <v>5 days ago</v>
      </c>
      <c r="BZ32" s="108"/>
    </row>
    <row r="33">
      <c r="A33" t="str">
        <f>IFERROR(__xludf.DUMMYFUNCTION("""COMPUTED_VALUE"""),"Silverqzim")</f>
        <v>Silverqzim</v>
      </c>
      <c r="B33" t="str">
        <f>IFERROR(__xludf.DUMMYFUNCTION("""COMPUTED_VALUE"""),"Strange Behaviour")</f>
        <v>Strange Behaviour</v>
      </c>
      <c r="C33" t="str">
        <f>IFERROR(__xludf.DUMMYFUNCTION("""COMPUTED_VALUE"""),"Ravencrest")</f>
        <v>Ravencrest</v>
      </c>
      <c r="D33">
        <f>IFERROR(__xludf.DUMMYFUNCTION("""COMPUTED_VALUE"""),408.13)</f>
        <v>408.13</v>
      </c>
      <c r="E33" t="str">
        <f>IFERROR(__xludf.DUMMYFUNCTION("""COMPUTED_VALUE"""),"11 days ago")</f>
        <v>11 days ago</v>
      </c>
      <c r="F33" s="94"/>
      <c r="L33" s="95"/>
      <c r="M33" t="str">
        <f>IFERROR(__xludf.DUMMYFUNCTION("""COMPUTED_VALUE"""),"Xefros")</f>
        <v>Xefros</v>
      </c>
      <c r="N33" t="str">
        <f>IFERROR(__xludf.DUMMYFUNCTION("""COMPUTED_VALUE"""),"FireHeart")</f>
        <v>FireHeart</v>
      </c>
      <c r="O33" t="str">
        <f>IFERROR(__xludf.DUMMYFUNCTION("""COMPUTED_VALUE"""),"Kazzak")</f>
        <v>Kazzak</v>
      </c>
      <c r="P33">
        <f>IFERROR(__xludf.DUMMYFUNCTION("""COMPUTED_VALUE"""),408.0)</f>
        <v>408</v>
      </c>
      <c r="Q33" t="str">
        <f>IFERROR(__xludf.DUMMYFUNCTION("""COMPUTED_VALUE"""),"4 hours ago")</f>
        <v>4 hours ago</v>
      </c>
      <c r="R33" s="96"/>
      <c r="S33" t="str">
        <f>IFERROR(__xludf.DUMMYFUNCTION("""COMPUTED_VALUE"""),"Séldriel")</f>
        <v>Séldriel</v>
      </c>
      <c r="T33" t="str">
        <f>IFERROR(__xludf.DUMMYFUNCTION("""COMPUTED_VALUE"""),"")</f>
        <v/>
      </c>
      <c r="U33" t="str">
        <f>IFERROR(__xludf.DUMMYFUNCTION("""COMPUTED_VALUE"""),"Argent Dawn")</f>
        <v>Argent Dawn</v>
      </c>
      <c r="V33">
        <f>IFERROR(__xludf.DUMMYFUNCTION("""COMPUTED_VALUE"""),405.0)</f>
        <v>405</v>
      </c>
      <c r="W33" t="str">
        <f>IFERROR(__xludf.DUMMYFUNCTION("""COMPUTED_VALUE"""),"9 days ago")</f>
        <v>9 days ago</v>
      </c>
      <c r="X33" s="97"/>
      <c r="Y33" s="111" t="str">
        <f>IFERROR(__xludf.DUMMYFUNCTION("""COMPUTED_VALUE"""),"Tecariel")</f>
        <v>Tecariel</v>
      </c>
      <c r="Z33" s="111" t="str">
        <f>IFERROR(__xludf.DUMMYFUNCTION("""COMPUTED_VALUE"""),"Immigrant Center")</f>
        <v>Immigrant Center</v>
      </c>
      <c r="AA33" s="111" t="str">
        <f>IFERROR(__xludf.DUMMYFUNCTION("""COMPUTED_VALUE"""),"Twisting Nether")</f>
        <v>Twisting Nether</v>
      </c>
      <c r="AB33" s="108">
        <f>IFERROR(__xludf.DUMMYFUNCTION("""COMPUTED_VALUE"""),407.38)</f>
        <v>407.38</v>
      </c>
      <c r="AC33" s="111" t="str">
        <f>IFERROR(__xludf.DUMMYFUNCTION("""COMPUTED_VALUE"""),"5 days ago")</f>
        <v>5 days ago</v>
      </c>
      <c r="AD33" s="112"/>
      <c r="AE33" s="111" t="str">
        <f>IFERROR(__xludf.DUMMYFUNCTION("""COMPUTED_VALUE"""),"Midórí")</f>
        <v>Midórí</v>
      </c>
      <c r="AF33" s="111" t="str">
        <f>IFERROR(__xludf.DUMMYFUNCTION("""COMPUTED_VALUE"""),"")</f>
        <v/>
      </c>
      <c r="AG33" s="111" t="str">
        <f>IFERROR(__xludf.DUMMYFUNCTION("""COMPUTED_VALUE"""),"Draenor")</f>
        <v>Draenor</v>
      </c>
      <c r="AH33" s="108">
        <f>IFERROR(__xludf.DUMMYFUNCTION("""COMPUTED_VALUE"""),408.81)</f>
        <v>408.81</v>
      </c>
      <c r="AI33" s="111" t="str">
        <f>IFERROR(__xludf.DUMMYFUNCTION("""COMPUTED_VALUE"""),"9 days ago")</f>
        <v>9 days ago</v>
      </c>
      <c r="AJ33" s="113"/>
      <c r="AK33" s="111" t="str">
        <f>IFERROR(__xludf.DUMMYFUNCTION("""COMPUTED_VALUE"""),"Achillion")</f>
        <v>Achillion</v>
      </c>
      <c r="AL33" s="111" t="str">
        <f>IFERROR(__xludf.DUMMYFUNCTION("""COMPUTED_VALUE"""),"Reaction")</f>
        <v>Reaction</v>
      </c>
      <c r="AM33" s="111" t="str">
        <f>IFERROR(__xludf.DUMMYFUNCTION("""COMPUTED_VALUE"""),"Kazzak")</f>
        <v>Kazzak</v>
      </c>
      <c r="AN33" s="111">
        <f>IFERROR(__xludf.DUMMYFUNCTION("""COMPUTED_VALUE"""),406.44)</f>
        <v>406.44</v>
      </c>
      <c r="AO33" s="111" t="str">
        <f>IFERROR(__xludf.DUMMYFUNCTION("""COMPUTED_VALUE"""),"11 days ago")</f>
        <v>11 days ago</v>
      </c>
      <c r="AP33" s="114"/>
      <c r="AQ33" s="111" t="str">
        <f>IFERROR(__xludf.DUMMYFUNCTION("""COMPUTED_VALUE"""),"Sakhie")</f>
        <v>Sakhie</v>
      </c>
      <c r="AR33" s="111" t="str">
        <f>IFERROR(__xludf.DUMMYFUNCTION("""COMPUTED_VALUE"""),"Bring the Wheelchair")</f>
        <v>Bring the Wheelchair</v>
      </c>
      <c r="AS33" s="111" t="str">
        <f>IFERROR(__xludf.DUMMYFUNCTION("""COMPUTED_VALUE"""),"Draenor")</f>
        <v>Draenor</v>
      </c>
      <c r="AT33" s="108">
        <f>IFERROR(__xludf.DUMMYFUNCTION("""COMPUTED_VALUE"""),405.44)</f>
        <v>405.44</v>
      </c>
      <c r="AU33" s="111" t="str">
        <f>IFERROR(__xludf.DUMMYFUNCTION("""COMPUTED_VALUE"""),"3 days ago")</f>
        <v>3 days ago</v>
      </c>
      <c r="AV33" s="115"/>
      <c r="AW33" s="116" t="str">
        <f>IFERROR(__xludf.DUMMYFUNCTION("""COMPUTED_VALUE"""),"Mcdågger")</f>
        <v>Mcdågger</v>
      </c>
      <c r="AX33" s="111" t="str">
        <f>IFERROR(__xludf.DUMMYFUNCTION("""COMPUTED_VALUE"""),"Innuéndo")</f>
        <v>Innuéndo</v>
      </c>
      <c r="AY33" s="111" t="str">
        <f>IFERROR(__xludf.DUMMYFUNCTION("""COMPUTED_VALUE"""),"Twisting Nether")</f>
        <v>Twisting Nether</v>
      </c>
      <c r="AZ33" s="108">
        <f>IFERROR(__xludf.DUMMYFUNCTION("""COMPUTED_VALUE"""),407.69)</f>
        <v>407.69</v>
      </c>
      <c r="BA33" s="111" t="str">
        <f>IFERROR(__xludf.DUMMYFUNCTION("""COMPUTED_VALUE"""),"14 days ago")</f>
        <v>14 days ago</v>
      </c>
      <c r="BB33" s="117"/>
      <c r="BC33" s="116"/>
      <c r="BD33" s="111"/>
      <c r="BE33" s="111"/>
      <c r="BF33" s="108"/>
      <c r="BG33" s="111"/>
      <c r="BH33" s="118"/>
      <c r="BI33" s="116" t="str">
        <f>IFERROR(__xludf.DUMMYFUNCTION("""COMPUTED_VALUE"""),"Raylah")</f>
        <v>Raylah</v>
      </c>
      <c r="BJ33" s="111" t="str">
        <f>IFERROR(__xludf.DUMMYFUNCTION("""COMPUTED_VALUE"""),"Balanced")</f>
        <v>Balanced</v>
      </c>
      <c r="BK33" s="111" t="str">
        <f>IFERROR(__xludf.DUMMYFUNCTION("""COMPUTED_VALUE"""),"Silvermoon")</f>
        <v>Silvermoon</v>
      </c>
      <c r="BL33" s="108">
        <f>IFERROR(__xludf.DUMMYFUNCTION("""COMPUTED_VALUE"""),406.13)</f>
        <v>406.13</v>
      </c>
      <c r="BM33" s="111" t="str">
        <f>IFERROR(__xludf.DUMMYFUNCTION("""COMPUTED_VALUE"""),"25 days ago")</f>
        <v>25 days ago</v>
      </c>
      <c r="BN33" s="119"/>
      <c r="BO33" s="116" t="str">
        <f>IFERROR(__xludf.DUMMYFUNCTION("""COMPUTED_VALUE"""),"Ragebarr")</f>
        <v>Ragebarr</v>
      </c>
      <c r="BP33" s="111" t="str">
        <f>IFERROR(__xludf.DUMMYFUNCTION("""COMPUTED_VALUE"""),"Dilemma")</f>
        <v>Dilemma</v>
      </c>
      <c r="BQ33" s="111" t="str">
        <f>IFERROR(__xludf.DUMMYFUNCTION("""COMPUTED_VALUE"""),"Stormscale")</f>
        <v>Stormscale</v>
      </c>
      <c r="BR33" s="108">
        <f>IFERROR(__xludf.DUMMYFUNCTION("""COMPUTED_VALUE"""),404.88)</f>
        <v>404.88</v>
      </c>
      <c r="BS33" s="111" t="str">
        <f>IFERROR(__xludf.DUMMYFUNCTION("""COMPUTED_VALUE"""),"13 hours ago")</f>
        <v>13 hours ago</v>
      </c>
      <c r="BT33" s="120"/>
      <c r="BU33" s="107" t="str">
        <f t="shared" ref="BU33:BY33" si="28">G10</f>
        <v>Sángi</v>
      </c>
      <c r="BV33" s="107" t="str">
        <f t="shared" si="28"/>
        <v>Basement Dwellers</v>
      </c>
      <c r="BW33" s="107" t="str">
        <f t="shared" si="28"/>
        <v>Kazzak</v>
      </c>
      <c r="BX33" s="107">
        <f t="shared" si="28"/>
        <v>412.69</v>
      </c>
      <c r="BY33" s="107" t="str">
        <f t="shared" si="28"/>
        <v>15 days ago</v>
      </c>
      <c r="BZ33" s="108"/>
    </row>
    <row r="34">
      <c r="A34" t="str">
        <f>IFERROR(__xludf.DUMMYFUNCTION("""COMPUTED_VALUE"""),"Perseföni")</f>
        <v>Perseföni</v>
      </c>
      <c r="B34" t="str">
        <f>IFERROR(__xludf.DUMMYFUNCTION("""COMPUTED_VALUE"""),"Family Dinner")</f>
        <v>Family Dinner</v>
      </c>
      <c r="C34" t="str">
        <f>IFERROR(__xludf.DUMMYFUNCTION("""COMPUTED_VALUE"""),"Twisting Nether")</f>
        <v>Twisting Nether</v>
      </c>
      <c r="D34">
        <f>IFERROR(__xludf.DUMMYFUNCTION("""COMPUTED_VALUE"""),408.0)</f>
        <v>408</v>
      </c>
      <c r="E34" t="str">
        <f>IFERROR(__xludf.DUMMYFUNCTION("""COMPUTED_VALUE"""),"23 days ago")</f>
        <v>23 days ago</v>
      </c>
      <c r="F34" s="94"/>
      <c r="L34" s="95"/>
      <c r="M34" t="str">
        <f>IFERROR(__xludf.DUMMYFUNCTION("""COMPUTED_VALUE"""),"Rippels")</f>
        <v>Rippels</v>
      </c>
      <c r="N34" t="str">
        <f>IFERROR(__xludf.DUMMYFUNCTION("""COMPUTED_VALUE"""),"Dark Portal Monkeys")</f>
        <v>Dark Portal Monkeys</v>
      </c>
      <c r="O34" t="str">
        <f>IFERROR(__xludf.DUMMYFUNCTION("""COMPUTED_VALUE"""),"Silvermoon")</f>
        <v>Silvermoon</v>
      </c>
      <c r="P34">
        <f>IFERROR(__xludf.DUMMYFUNCTION("""COMPUTED_VALUE"""),407.88)</f>
        <v>407.88</v>
      </c>
      <c r="Q34" t="str">
        <f>IFERROR(__xludf.DUMMYFUNCTION("""COMPUTED_VALUE"""),"23 days ago")</f>
        <v>23 days ago</v>
      </c>
      <c r="R34" s="96"/>
      <c r="S34" t="str">
        <f>IFERROR(__xludf.DUMMYFUNCTION("""COMPUTED_VALUE"""),"Aavril")</f>
        <v>Aavril</v>
      </c>
      <c r="T34" t="str">
        <f>IFERROR(__xludf.DUMMYFUNCTION("""COMPUTED_VALUE"""),"")</f>
        <v/>
      </c>
      <c r="U34" t="str">
        <f>IFERROR(__xludf.DUMMYFUNCTION("""COMPUTED_VALUE"""),"Draenor")</f>
        <v>Draenor</v>
      </c>
      <c r="V34">
        <f>IFERROR(__xludf.DUMMYFUNCTION("""COMPUTED_VALUE"""),404.88)</f>
        <v>404.88</v>
      </c>
      <c r="W34" t="str">
        <f>IFERROR(__xludf.DUMMYFUNCTION("""COMPUTED_VALUE"""),"1 day ago")</f>
        <v>1 day ago</v>
      </c>
      <c r="X34" s="97"/>
      <c r="Y34" s="111" t="str">
        <f>IFERROR(__xludf.DUMMYFUNCTION("""COMPUTED_VALUE"""),"Rush")</f>
        <v>Rush</v>
      </c>
      <c r="Z34" s="111" t="str">
        <f>IFERROR(__xludf.DUMMYFUNCTION("""COMPUTED_VALUE"""),"")</f>
        <v/>
      </c>
      <c r="AA34" s="111" t="str">
        <f>IFERROR(__xludf.DUMMYFUNCTION("""COMPUTED_VALUE"""),"Ragnaros")</f>
        <v>Ragnaros</v>
      </c>
      <c r="AB34" s="108">
        <f>IFERROR(__xludf.DUMMYFUNCTION("""COMPUTED_VALUE"""),406.94)</f>
        <v>406.94</v>
      </c>
      <c r="AC34" s="111" t="str">
        <f>IFERROR(__xludf.DUMMYFUNCTION("""COMPUTED_VALUE"""),"7 days ago")</f>
        <v>7 days ago</v>
      </c>
      <c r="AD34" s="112"/>
      <c r="AE34" s="111" t="str">
        <f>IFERROR(__xludf.DUMMYFUNCTION("""COMPUTED_VALUE"""),"Lueria")</f>
        <v>Lueria</v>
      </c>
      <c r="AF34" s="111" t="str">
        <f>IFERROR(__xludf.DUMMYFUNCTION("""COMPUTED_VALUE"""),"Halbech Corporation")</f>
        <v>Halbech Corporation</v>
      </c>
      <c r="AG34" s="111" t="str">
        <f>IFERROR(__xludf.DUMMYFUNCTION("""COMPUTED_VALUE"""),"Draenor")</f>
        <v>Draenor</v>
      </c>
      <c r="AH34" s="108">
        <f>IFERROR(__xludf.DUMMYFUNCTION("""COMPUTED_VALUE"""),408.63)</f>
        <v>408.63</v>
      </c>
      <c r="AI34" s="111" t="str">
        <f>IFERROR(__xludf.DUMMYFUNCTION("""COMPUTED_VALUE"""),"25 days ago")</f>
        <v>25 days ago</v>
      </c>
      <c r="AJ34" s="113"/>
      <c r="AK34" s="111" t="str">
        <f>IFERROR(__xludf.DUMMYFUNCTION("""COMPUTED_VALUE"""),"Angeladoora")</f>
        <v>Angeladoora</v>
      </c>
      <c r="AL34" s="111" t="str">
        <f>IFERROR(__xludf.DUMMYFUNCTION("""COMPUTED_VALUE"""),"Resolve")</f>
        <v>Resolve</v>
      </c>
      <c r="AM34" s="111" t="str">
        <f>IFERROR(__xludf.DUMMYFUNCTION("""COMPUTED_VALUE"""),"Defias Brotherhood")</f>
        <v>Defias Brotherhood</v>
      </c>
      <c r="AN34" s="111">
        <f>IFERROR(__xludf.DUMMYFUNCTION("""COMPUTED_VALUE"""),406.38)</f>
        <v>406.38</v>
      </c>
      <c r="AO34" s="111" t="str">
        <f>IFERROR(__xludf.DUMMYFUNCTION("""COMPUTED_VALUE"""),"7 days ago")</f>
        <v>7 days ago</v>
      </c>
      <c r="AP34" s="114"/>
      <c r="AQ34" s="111" t="str">
        <f>IFERROR(__xludf.DUMMYFUNCTION("""COMPUTED_VALUE"""),"Naiiu")</f>
        <v>Naiiu</v>
      </c>
      <c r="AR34" s="111" t="str">
        <f>IFERROR(__xludf.DUMMYFUNCTION("""COMPUTED_VALUE"""),"The Reckless")</f>
        <v>The Reckless</v>
      </c>
      <c r="AS34" s="111" t="str">
        <f>IFERROR(__xludf.DUMMYFUNCTION("""COMPUTED_VALUE"""),"Twisting Nether")</f>
        <v>Twisting Nether</v>
      </c>
      <c r="AT34" s="108">
        <f>IFERROR(__xludf.DUMMYFUNCTION("""COMPUTED_VALUE"""),405.38)</f>
        <v>405.38</v>
      </c>
      <c r="AU34" s="111" t="str">
        <f>IFERROR(__xludf.DUMMYFUNCTION("""COMPUTED_VALUE"""),"24 days ago")</f>
        <v>24 days ago</v>
      </c>
      <c r="AV34" s="115"/>
      <c r="AW34" s="116" t="str">
        <f>IFERROR(__xludf.DUMMYFUNCTION("""COMPUTED_VALUE"""),"Flawlessxd")</f>
        <v>Flawlessxd</v>
      </c>
      <c r="AX34" s="111" t="str">
        <f>IFERROR(__xludf.DUMMYFUNCTION("""COMPUTED_VALUE"""),"Gezimet Party")</f>
        <v>Gezimet Party</v>
      </c>
      <c r="AY34" s="111" t="str">
        <f>IFERROR(__xludf.DUMMYFUNCTION("""COMPUTED_VALUE"""),"Kazzak")</f>
        <v>Kazzak</v>
      </c>
      <c r="AZ34" s="108">
        <f>IFERROR(__xludf.DUMMYFUNCTION("""COMPUTED_VALUE"""),407.56)</f>
        <v>407.56</v>
      </c>
      <c r="BA34" s="111" t="str">
        <f>IFERROR(__xludf.DUMMYFUNCTION("""COMPUTED_VALUE"""),"1 day ago")</f>
        <v>1 day ago</v>
      </c>
      <c r="BB34" s="117"/>
      <c r="BC34" s="116"/>
      <c r="BD34" s="111"/>
      <c r="BE34" s="111"/>
      <c r="BF34" s="108"/>
      <c r="BG34" s="111"/>
      <c r="BH34" s="118"/>
      <c r="BI34" s="116" t="str">
        <f>IFERROR(__xludf.DUMMYFUNCTION("""COMPUTED_VALUE"""),"Drainaris")</f>
        <v>Drainaris</v>
      </c>
      <c r="BJ34" s="111" t="str">
        <f>IFERROR(__xludf.DUMMYFUNCTION("""COMPUTED_VALUE"""),"Every man for hims..")</f>
        <v>Every man for hims..</v>
      </c>
      <c r="BK34" s="111" t="str">
        <f>IFERROR(__xludf.DUMMYFUNCTION("""COMPUTED_VALUE"""),"Stormscale")</f>
        <v>Stormscale</v>
      </c>
      <c r="BL34" s="108">
        <f>IFERROR(__xludf.DUMMYFUNCTION("""COMPUTED_VALUE"""),405.38)</f>
        <v>405.38</v>
      </c>
      <c r="BM34" s="111" t="str">
        <f>IFERROR(__xludf.DUMMYFUNCTION("""COMPUTED_VALUE"""),"5 days ago")</f>
        <v>5 days ago</v>
      </c>
      <c r="BN34" s="119"/>
      <c r="BO34" s="116" t="str">
        <f>IFERROR(__xludf.DUMMYFUNCTION("""COMPUTED_VALUE"""),"Morkwarg")</f>
        <v>Morkwarg</v>
      </c>
      <c r="BP34" s="111" t="str">
        <f>IFERROR(__xludf.DUMMYFUNCTION("""COMPUTED_VALUE"""),"Linear")</f>
        <v>Linear</v>
      </c>
      <c r="BQ34" s="111" t="str">
        <f>IFERROR(__xludf.DUMMYFUNCTION("""COMPUTED_VALUE"""),"Defias Brotherhood")</f>
        <v>Defias Brotherhood</v>
      </c>
      <c r="BR34" s="108">
        <f>IFERROR(__xludf.DUMMYFUNCTION("""COMPUTED_VALUE"""),404.81)</f>
        <v>404.81</v>
      </c>
      <c r="BS34" s="111" t="str">
        <f>IFERROR(__xludf.DUMMYFUNCTION("""COMPUTED_VALUE"""),"34 minutes ago")</f>
        <v>34 minutes ago</v>
      </c>
      <c r="BT34" s="120"/>
      <c r="BU34" s="107" t="str">
        <f t="shared" ref="BU34:BY34" si="29">G11</f>
        <v>Phantomgoul</v>
      </c>
      <c r="BV34" s="107" t="str">
        <f t="shared" si="29"/>
        <v>WipeClub</v>
      </c>
      <c r="BW34" s="107" t="str">
        <f t="shared" si="29"/>
        <v>Agamaggan</v>
      </c>
      <c r="BX34" s="107">
        <f t="shared" si="29"/>
        <v>412.63</v>
      </c>
      <c r="BY34" s="107" t="str">
        <f t="shared" si="29"/>
        <v>16 days ago</v>
      </c>
      <c r="BZ34" s="108"/>
    </row>
    <row r="35">
      <c r="A35" t="str">
        <f>IFERROR(__xludf.DUMMYFUNCTION("""COMPUTED_VALUE"""),"Missbanana")</f>
        <v>Missbanana</v>
      </c>
      <c r="B35" t="str">
        <f>IFERROR(__xludf.DUMMYFUNCTION("""COMPUTED_VALUE"""),"Distinctly Average")</f>
        <v>Distinctly Average</v>
      </c>
      <c r="C35" t="str">
        <f>IFERROR(__xludf.DUMMYFUNCTION("""COMPUTED_VALUE"""),"Silvermoon")</f>
        <v>Silvermoon</v>
      </c>
      <c r="D35">
        <f>IFERROR(__xludf.DUMMYFUNCTION("""COMPUTED_VALUE"""),407.94)</f>
        <v>407.94</v>
      </c>
      <c r="E35" t="str">
        <f>IFERROR(__xludf.DUMMYFUNCTION("""COMPUTED_VALUE"""),"22 days ago")</f>
        <v>22 days ago</v>
      </c>
      <c r="F35" s="94"/>
      <c r="L35" s="95"/>
      <c r="M35" t="str">
        <f>IFERROR(__xludf.DUMMYFUNCTION("""COMPUTED_VALUE"""),"Buckbeast")</f>
        <v>Buckbeast</v>
      </c>
      <c r="N35" t="str">
        <f>IFERROR(__xludf.DUMMYFUNCTION("""COMPUTED_VALUE"""),"")</f>
        <v/>
      </c>
      <c r="O35" t="str">
        <f>IFERROR(__xludf.DUMMYFUNCTION("""COMPUTED_VALUE"""),"Tarren Mill")</f>
        <v>Tarren Mill</v>
      </c>
      <c r="P35">
        <f>IFERROR(__xludf.DUMMYFUNCTION("""COMPUTED_VALUE"""),407.81)</f>
        <v>407.81</v>
      </c>
      <c r="Q35" t="str">
        <f>IFERROR(__xludf.DUMMYFUNCTION("""COMPUTED_VALUE"""),"23 days ago")</f>
        <v>23 days ago</v>
      </c>
      <c r="R35" s="96"/>
      <c r="S35" t="str">
        <f>IFERROR(__xludf.DUMMYFUNCTION("""COMPUTED_VALUE"""),"Arrowbel")</f>
        <v>Arrowbel</v>
      </c>
      <c r="T35" t="str">
        <f>IFERROR(__xludf.DUMMYFUNCTION("""COMPUTED_VALUE"""),"Wasted Years")</f>
        <v>Wasted Years</v>
      </c>
      <c r="U35" t="str">
        <f>IFERROR(__xludf.DUMMYFUNCTION("""COMPUTED_VALUE"""),"Twisting Nether")</f>
        <v>Twisting Nether</v>
      </c>
      <c r="V35">
        <f>IFERROR(__xludf.DUMMYFUNCTION("""COMPUTED_VALUE"""),404.69)</f>
        <v>404.69</v>
      </c>
      <c r="W35" t="str">
        <f>IFERROR(__xludf.DUMMYFUNCTION("""COMPUTED_VALUE"""),"2 days ago")</f>
        <v>2 days ago</v>
      </c>
      <c r="X35" s="97"/>
      <c r="Y35" s="111" t="str">
        <f>IFERROR(__xludf.DUMMYFUNCTION("""COMPUTED_VALUE"""),"Quqywr")</f>
        <v>Quqywr</v>
      </c>
      <c r="Z35" s="111" t="str">
        <f>IFERROR(__xludf.DUMMYFUNCTION("""COMPUTED_VALUE"""),"")</f>
        <v/>
      </c>
      <c r="AA35" s="111" t="str">
        <f>IFERROR(__xludf.DUMMYFUNCTION("""COMPUTED_VALUE"""),"Argent Dawn")</f>
        <v>Argent Dawn</v>
      </c>
      <c r="AB35" s="108">
        <f>IFERROR(__xludf.DUMMYFUNCTION("""COMPUTED_VALUE"""),406.81)</f>
        <v>406.81</v>
      </c>
      <c r="AC35" s="111" t="str">
        <f>IFERROR(__xludf.DUMMYFUNCTION("""COMPUTED_VALUE"""),"15 days ago")</f>
        <v>15 days ago</v>
      </c>
      <c r="AD35" s="112"/>
      <c r="AE35" s="111" t="str">
        <f>IFERROR(__xludf.DUMMYFUNCTION("""COMPUTED_VALUE"""),"Pashie")</f>
        <v>Pashie</v>
      </c>
      <c r="AF35" s="111" t="str">
        <f>IFERROR(__xludf.DUMMYFUNCTION("""COMPUTED_VALUE"""),"Disturbia")</f>
        <v>Disturbia</v>
      </c>
      <c r="AG35" s="111" t="str">
        <f>IFERROR(__xludf.DUMMYFUNCTION("""COMPUTED_VALUE"""),"Grim Batol")</f>
        <v>Grim Batol</v>
      </c>
      <c r="AH35" s="108">
        <f>IFERROR(__xludf.DUMMYFUNCTION("""COMPUTED_VALUE"""),408.56)</f>
        <v>408.56</v>
      </c>
      <c r="AI35" s="111" t="str">
        <f>IFERROR(__xludf.DUMMYFUNCTION("""COMPUTED_VALUE"""),"2 days ago")</f>
        <v>2 days ago</v>
      </c>
      <c r="AJ35" s="113"/>
      <c r="AK35" s="111" t="str">
        <f>IFERROR(__xludf.DUMMYFUNCTION("""COMPUTED_VALUE"""),"Flæskeskjold")</f>
        <v>Flæskeskjold</v>
      </c>
      <c r="AL35" s="111" t="str">
        <f>IFERROR(__xludf.DUMMYFUNCTION("""COMPUTED_VALUE"""),"Bulwark")</f>
        <v>Bulwark</v>
      </c>
      <c r="AM35" s="111" t="str">
        <f>IFERROR(__xludf.DUMMYFUNCTION("""COMPUTED_VALUE"""),"Twisting Nether")</f>
        <v>Twisting Nether</v>
      </c>
      <c r="AN35" s="111">
        <f>IFERROR(__xludf.DUMMYFUNCTION("""COMPUTED_VALUE"""),405.44)</f>
        <v>405.44</v>
      </c>
      <c r="AO35" s="111" t="str">
        <f>IFERROR(__xludf.DUMMYFUNCTION("""COMPUTED_VALUE"""),"13 days ago")</f>
        <v>13 days ago</v>
      </c>
      <c r="AP35" s="114"/>
      <c r="AQ35" s="111" t="str">
        <f>IFERROR(__xludf.DUMMYFUNCTION("""COMPUTED_VALUE"""),"Broderman")</f>
        <v>Broderman</v>
      </c>
      <c r="AR35" s="111" t="str">
        <f>IFERROR(__xludf.DUMMYFUNCTION("""COMPUTED_VALUE"""),"")</f>
        <v/>
      </c>
      <c r="AS35" s="111" t="str">
        <f>IFERROR(__xludf.DUMMYFUNCTION("""COMPUTED_VALUE"""),"Argent Dawn")</f>
        <v>Argent Dawn</v>
      </c>
      <c r="AT35" s="108">
        <f>IFERROR(__xludf.DUMMYFUNCTION("""COMPUTED_VALUE"""),405.31)</f>
        <v>405.31</v>
      </c>
      <c r="AU35" s="111" t="str">
        <f>IFERROR(__xludf.DUMMYFUNCTION("""COMPUTED_VALUE"""),"9 days ago")</f>
        <v>9 days ago</v>
      </c>
      <c r="AV35" s="115"/>
      <c r="AW35" s="116" t="str">
        <f>IFERROR(__xludf.DUMMYFUNCTION("""COMPUTED_VALUE"""),"Zellukk")</f>
        <v>Zellukk</v>
      </c>
      <c r="AX35" s="111" t="str">
        <f>IFERROR(__xludf.DUMMYFUNCTION("""COMPUTED_VALUE"""),"")</f>
        <v/>
      </c>
      <c r="AY35" s="111" t="str">
        <f>IFERROR(__xludf.DUMMYFUNCTION("""COMPUTED_VALUE"""),"Stormreaver")</f>
        <v>Stormreaver</v>
      </c>
      <c r="AZ35" s="108">
        <f>IFERROR(__xludf.DUMMYFUNCTION("""COMPUTED_VALUE"""),407.06)</f>
        <v>407.06</v>
      </c>
      <c r="BA35" s="111" t="str">
        <f>IFERROR(__xludf.DUMMYFUNCTION("""COMPUTED_VALUE"""),"12 days ago")</f>
        <v>12 days ago</v>
      </c>
      <c r="BB35" s="117"/>
      <c r="BC35" s="116"/>
      <c r="BD35" s="111"/>
      <c r="BE35" s="111"/>
      <c r="BF35" s="108"/>
      <c r="BG35" s="111"/>
      <c r="BH35" s="118"/>
      <c r="BI35" s="116" t="str">
        <f>IFERROR(__xludf.DUMMYFUNCTION("""COMPUTED_VALUE"""),"Papavain")</f>
        <v>Papavain</v>
      </c>
      <c r="BJ35" s="111" t="str">
        <f>IFERROR(__xludf.DUMMYFUNCTION("""COMPUTED_VALUE"""),"Resolve")</f>
        <v>Resolve</v>
      </c>
      <c r="BK35" s="111" t="str">
        <f>IFERROR(__xludf.DUMMYFUNCTION("""COMPUTED_VALUE"""),"Defias Brotherhood")</f>
        <v>Defias Brotherhood</v>
      </c>
      <c r="BL35" s="108">
        <f>IFERROR(__xludf.DUMMYFUNCTION("""COMPUTED_VALUE"""),405.13)</f>
        <v>405.13</v>
      </c>
      <c r="BM35" s="111" t="str">
        <f>IFERROR(__xludf.DUMMYFUNCTION("""COMPUTED_VALUE"""),"11 days ago")</f>
        <v>11 days ago</v>
      </c>
      <c r="BN35" s="119"/>
      <c r="BO35" s="116" t="str">
        <f>IFERROR(__xludf.DUMMYFUNCTION("""COMPUTED_VALUE"""),"Baltoo")</f>
        <v>Baltoo</v>
      </c>
      <c r="BP35" s="111" t="str">
        <f>IFERROR(__xludf.DUMMYFUNCTION("""COMPUTED_VALUE"""),"")</f>
        <v/>
      </c>
      <c r="BQ35" s="111" t="str">
        <f>IFERROR(__xludf.DUMMYFUNCTION("""COMPUTED_VALUE"""),"Kazzak")</f>
        <v>Kazzak</v>
      </c>
      <c r="BR35" s="108">
        <f>IFERROR(__xludf.DUMMYFUNCTION("""COMPUTED_VALUE"""),404.75)</f>
        <v>404.75</v>
      </c>
      <c r="BS35" s="111" t="str">
        <f>IFERROR(__xludf.DUMMYFUNCTION("""COMPUTED_VALUE"""),"10 days ago")</f>
        <v>10 days ago</v>
      </c>
      <c r="BT35" s="120"/>
      <c r="BU35" s="107" t="str">
        <f t="shared" ref="BU35:BY35" si="30">G12</f>
        <v>Nut</v>
      </c>
      <c r="BV35" s="107" t="str">
        <f t="shared" si="30"/>
        <v>Eminent</v>
      </c>
      <c r="BW35" s="107" t="str">
        <f t="shared" si="30"/>
        <v>Draenor</v>
      </c>
      <c r="BX35" s="107">
        <f t="shared" si="30"/>
        <v>412.38</v>
      </c>
      <c r="BY35" s="107" t="str">
        <f t="shared" si="30"/>
        <v>4 days ago</v>
      </c>
      <c r="BZ35" s="108"/>
    </row>
    <row r="36">
      <c r="A36" t="str">
        <f>IFERROR(__xludf.DUMMYFUNCTION("""COMPUTED_VALUE"""),"Muffincookie")</f>
        <v>Muffincookie</v>
      </c>
      <c r="B36" t="str">
        <f>IFERROR(__xludf.DUMMYFUNCTION("""COMPUTED_VALUE"""),"Hit Harder Forehead")</f>
        <v>Hit Harder Forehead</v>
      </c>
      <c r="C36" t="str">
        <f>IFERROR(__xludf.DUMMYFUNCTION("""COMPUTED_VALUE"""),"Twisting Nether")</f>
        <v>Twisting Nether</v>
      </c>
      <c r="D36">
        <f>IFERROR(__xludf.DUMMYFUNCTION("""COMPUTED_VALUE"""),407.75)</f>
        <v>407.75</v>
      </c>
      <c r="E36" t="str">
        <f>IFERROR(__xludf.DUMMYFUNCTION("""COMPUTED_VALUE"""),"16 days ago")</f>
        <v>16 days ago</v>
      </c>
      <c r="F36" s="94"/>
      <c r="L36" s="95"/>
      <c r="M36" t="str">
        <f>IFERROR(__xludf.DUMMYFUNCTION("""COMPUTED_VALUE"""),"Venns")</f>
        <v>Venns</v>
      </c>
      <c r="N36" t="str">
        <f>IFERROR(__xludf.DUMMYFUNCTION("""COMPUTED_VALUE"""),"Sylvanas Refugees")</f>
        <v>Sylvanas Refugees</v>
      </c>
      <c r="O36" t="str">
        <f>IFERROR(__xludf.DUMMYFUNCTION("""COMPUTED_VALUE"""),"Ravencrest")</f>
        <v>Ravencrest</v>
      </c>
      <c r="P36">
        <f>IFERROR(__xludf.DUMMYFUNCTION("""COMPUTED_VALUE"""),407.75)</f>
        <v>407.75</v>
      </c>
      <c r="Q36" t="str">
        <f>IFERROR(__xludf.DUMMYFUNCTION("""COMPUTED_VALUE"""),"5 days ago")</f>
        <v>5 days ago</v>
      </c>
      <c r="R36" s="96"/>
      <c r="S36" t="str">
        <f>IFERROR(__xludf.DUMMYFUNCTION("""COMPUTED_VALUE"""),"Killsforyou")</f>
        <v>Killsforyou</v>
      </c>
      <c r="T36" t="str">
        <f>IFERROR(__xludf.DUMMYFUNCTION("""COMPUTED_VALUE"""),"Game used to be hard")</f>
        <v>Game used to be hard</v>
      </c>
      <c r="U36" t="str">
        <f>IFERROR(__xludf.DUMMYFUNCTION("""COMPUTED_VALUE"""),"Draenor")</f>
        <v>Draenor</v>
      </c>
      <c r="V36">
        <f>IFERROR(__xludf.DUMMYFUNCTION("""COMPUTED_VALUE"""),404.5)</f>
        <v>404.5</v>
      </c>
      <c r="W36" t="str">
        <f>IFERROR(__xludf.DUMMYFUNCTION("""COMPUTED_VALUE"""),"1 day ago")</f>
        <v>1 day ago</v>
      </c>
      <c r="X36" s="97"/>
      <c r="Y36" s="111" t="str">
        <f>IFERROR(__xludf.DUMMYFUNCTION("""COMPUTED_VALUE"""),"Bendmage")</f>
        <v>Bendmage</v>
      </c>
      <c r="Z36" s="111" t="str">
        <f>IFERROR(__xludf.DUMMYFUNCTION("""COMPUTED_VALUE"""),"")</f>
        <v/>
      </c>
      <c r="AA36" s="111" t="str">
        <f>IFERROR(__xludf.DUMMYFUNCTION("""COMPUTED_VALUE"""),"Defias Brotherhood")</f>
        <v>Defias Brotherhood</v>
      </c>
      <c r="AB36" s="108">
        <f>IFERROR(__xludf.DUMMYFUNCTION("""COMPUTED_VALUE"""),406.56)</f>
        <v>406.56</v>
      </c>
      <c r="AC36" s="111" t="str">
        <f>IFERROR(__xludf.DUMMYFUNCTION("""COMPUTED_VALUE"""),"8 days ago")</f>
        <v>8 days ago</v>
      </c>
      <c r="AD36" s="112"/>
      <c r="AE36" s="111" t="str">
        <f>IFERROR(__xludf.DUMMYFUNCTION("""COMPUTED_VALUE"""),"Terrasi")</f>
        <v>Terrasi</v>
      </c>
      <c r="AF36" s="111" t="str">
        <f>IFERROR(__xludf.DUMMYFUNCTION("""COMPUTED_VALUE"""),"Way to Toxic")</f>
        <v>Way to Toxic</v>
      </c>
      <c r="AG36" s="111" t="str">
        <f>IFERROR(__xludf.DUMMYFUNCTION("""COMPUTED_VALUE"""),"Burning Legion")</f>
        <v>Burning Legion</v>
      </c>
      <c r="AH36" s="108">
        <f>IFERROR(__xludf.DUMMYFUNCTION("""COMPUTED_VALUE"""),408.38)</f>
        <v>408.38</v>
      </c>
      <c r="AI36" s="111" t="str">
        <f>IFERROR(__xludf.DUMMYFUNCTION("""COMPUTED_VALUE"""),"4 days ago")</f>
        <v>4 days ago</v>
      </c>
      <c r="AJ36" s="113"/>
      <c r="AK36" s="111" t="str">
        <f>IFERROR(__xludf.DUMMYFUNCTION("""COMPUTED_VALUE"""),"Bubblebee")</f>
        <v>Bubblebee</v>
      </c>
      <c r="AL36" s="111" t="str">
        <f>IFERROR(__xludf.DUMMYFUNCTION("""COMPUTED_VALUE"""),"Pink Shorties")</f>
        <v>Pink Shorties</v>
      </c>
      <c r="AM36" s="111" t="str">
        <f>IFERROR(__xludf.DUMMYFUNCTION("""COMPUTED_VALUE"""),"The Maelstrom")</f>
        <v>The Maelstrom</v>
      </c>
      <c r="AN36" s="111">
        <f>IFERROR(__xludf.DUMMYFUNCTION("""COMPUTED_VALUE"""),405.06)</f>
        <v>405.06</v>
      </c>
      <c r="AO36" s="111" t="str">
        <f>IFERROR(__xludf.DUMMYFUNCTION("""COMPUTED_VALUE"""),"27 days ago")</f>
        <v>27 days ago</v>
      </c>
      <c r="AP36" s="114"/>
      <c r="AQ36" s="111" t="str">
        <f>IFERROR(__xludf.DUMMYFUNCTION("""COMPUTED_VALUE"""),"Icypriest")</f>
        <v>Icypriest</v>
      </c>
      <c r="AR36" s="111" t="str">
        <f>IFERROR(__xludf.DUMMYFUNCTION("""COMPUTED_VALUE"""),"Twisted")</f>
        <v>Twisted</v>
      </c>
      <c r="AS36" s="111" t="str">
        <f>IFERROR(__xludf.DUMMYFUNCTION("""COMPUTED_VALUE"""),"Twisting Nether")</f>
        <v>Twisting Nether</v>
      </c>
      <c r="AT36" s="108">
        <f>IFERROR(__xludf.DUMMYFUNCTION("""COMPUTED_VALUE"""),405.25)</f>
        <v>405.25</v>
      </c>
      <c r="AU36" s="111" t="str">
        <f>IFERROR(__xludf.DUMMYFUNCTION("""COMPUTED_VALUE"""),"11 days ago")</f>
        <v>11 days ago</v>
      </c>
      <c r="AV36" s="115"/>
      <c r="AW36" s="116" t="str">
        <f>IFERROR(__xludf.DUMMYFUNCTION("""COMPUTED_VALUE"""),"Madbane")</f>
        <v>Madbane</v>
      </c>
      <c r="AX36" s="111" t="str">
        <f>IFERROR(__xludf.DUMMYFUNCTION("""COMPUTED_VALUE"""),"")</f>
        <v/>
      </c>
      <c r="AY36" s="111" t="str">
        <f>IFERROR(__xludf.DUMMYFUNCTION("""COMPUTED_VALUE"""),"Draenor")</f>
        <v>Draenor</v>
      </c>
      <c r="AZ36" s="108">
        <f>IFERROR(__xludf.DUMMYFUNCTION("""COMPUTED_VALUE"""),407.06)</f>
        <v>407.06</v>
      </c>
      <c r="BA36" s="111" t="str">
        <f>IFERROR(__xludf.DUMMYFUNCTION("""COMPUTED_VALUE"""),"3 hours ago")</f>
        <v>3 hours ago</v>
      </c>
      <c r="BB36" s="117"/>
      <c r="BC36" s="116"/>
      <c r="BD36" s="111"/>
      <c r="BE36" s="111"/>
      <c r="BF36" s="108"/>
      <c r="BG36" s="111"/>
      <c r="BH36" s="118"/>
      <c r="BI36" s="116" t="str">
        <f>IFERROR(__xludf.DUMMYFUNCTION("""COMPUTED_VALUE"""),"Kawoh")</f>
        <v>Kawoh</v>
      </c>
      <c r="BJ36" s="111" t="str">
        <f>IFERROR(__xludf.DUMMYFUNCTION("""COMPUTED_VALUE"""),"Horn Of Gondor")</f>
        <v>Horn Of Gondor</v>
      </c>
      <c r="BK36" s="111" t="str">
        <f>IFERROR(__xludf.DUMMYFUNCTION("""COMPUTED_VALUE"""),"Kazzak")</f>
        <v>Kazzak</v>
      </c>
      <c r="BL36" s="108">
        <f>IFERROR(__xludf.DUMMYFUNCTION("""COMPUTED_VALUE"""),404.94)</f>
        <v>404.94</v>
      </c>
      <c r="BM36" s="111" t="str">
        <f>IFERROR(__xludf.DUMMYFUNCTION("""COMPUTED_VALUE"""),"19 days ago")</f>
        <v>19 days ago</v>
      </c>
      <c r="BN36" s="119"/>
      <c r="BO36" s="116" t="str">
        <f>IFERROR(__xludf.DUMMYFUNCTION("""COMPUTED_VALUE"""),"Öfkematör")</f>
        <v>Öfkematör</v>
      </c>
      <c r="BP36" s="111" t="str">
        <f>IFERROR(__xludf.DUMMYFUNCTION("""COMPUTED_VALUE"""),"")</f>
        <v/>
      </c>
      <c r="BQ36" s="111" t="str">
        <f>IFERROR(__xludf.DUMMYFUNCTION("""COMPUTED_VALUE"""),"Twisting Nether")</f>
        <v>Twisting Nether</v>
      </c>
      <c r="BR36" s="108">
        <f>IFERROR(__xludf.DUMMYFUNCTION("""COMPUTED_VALUE"""),404.0)</f>
        <v>404</v>
      </c>
      <c r="BS36" s="111" t="str">
        <f>IFERROR(__xludf.DUMMYFUNCTION("""COMPUTED_VALUE"""),"24 days ago")</f>
        <v>24 days ago</v>
      </c>
      <c r="BT36" s="120"/>
      <c r="BU36" s="107" t="str">
        <f t="shared" ref="BU36:BY36" si="31">G13</f>
        <v>Weabooslayer</v>
      </c>
      <c r="BV36" s="107" t="str">
        <f t="shared" si="31"/>
        <v>Merry Graverobbers</v>
      </c>
      <c r="BW36" s="107" t="str">
        <f t="shared" si="31"/>
        <v>Stormreaver</v>
      </c>
      <c r="BX36" s="107">
        <f t="shared" si="31"/>
        <v>412.13</v>
      </c>
      <c r="BY36" s="107" t="str">
        <f t="shared" si="31"/>
        <v>3 days ago</v>
      </c>
      <c r="BZ36" s="108"/>
    </row>
    <row r="37">
      <c r="A37" t="str">
        <f>IFERROR(__xludf.DUMMYFUNCTION("""COMPUTED_VALUE"""),"Shadowslady")</f>
        <v>Shadowslady</v>
      </c>
      <c r="B37" t="str">
        <f>IFERROR(__xludf.DUMMYFUNCTION("""COMPUTED_VALUE"""),"Heffalumps and Woo..")</f>
        <v>Heffalumps and Woo..</v>
      </c>
      <c r="C37" t="str">
        <f>IFERROR(__xludf.DUMMYFUNCTION("""COMPUTED_VALUE"""),"Tarren Mill")</f>
        <v>Tarren Mill</v>
      </c>
      <c r="D37">
        <f>IFERROR(__xludf.DUMMYFUNCTION("""COMPUTED_VALUE"""),407.75)</f>
        <v>407.75</v>
      </c>
      <c r="E37" t="str">
        <f>IFERROR(__xludf.DUMMYFUNCTION("""COMPUTED_VALUE"""),"27 days ago")</f>
        <v>27 days ago</v>
      </c>
      <c r="F37" s="94"/>
      <c r="L37" s="95"/>
      <c r="M37" t="str">
        <f>IFERROR(__xludf.DUMMYFUNCTION("""COMPUTED_VALUE"""),"Lunarshot")</f>
        <v>Lunarshot</v>
      </c>
      <c r="N37" t="str">
        <f>IFERROR(__xludf.DUMMYFUNCTION("""COMPUTED_VALUE"""),"Omnicide")</f>
        <v>Omnicide</v>
      </c>
      <c r="O37" t="str">
        <f>IFERROR(__xludf.DUMMYFUNCTION("""COMPUTED_VALUE"""),"Ravencrest")</f>
        <v>Ravencrest</v>
      </c>
      <c r="P37">
        <f>IFERROR(__xludf.DUMMYFUNCTION("""COMPUTED_VALUE"""),407.56)</f>
        <v>407.56</v>
      </c>
      <c r="Q37" t="str">
        <f>IFERROR(__xludf.DUMMYFUNCTION("""COMPUTED_VALUE"""),"19 days ago")</f>
        <v>19 days ago</v>
      </c>
      <c r="R37" s="96"/>
      <c r="S37" t="str">
        <f>IFERROR(__xludf.DUMMYFUNCTION("""COMPUTED_VALUE"""),"Twiísted")</f>
        <v>Twiísted</v>
      </c>
      <c r="T37" t="str">
        <f>IFERROR(__xludf.DUMMYFUNCTION("""COMPUTED_VALUE"""),"Nelivia")</f>
        <v>Nelivia</v>
      </c>
      <c r="U37" t="str">
        <f>IFERROR(__xludf.DUMMYFUNCTION("""COMPUTED_VALUE"""),"Draenor")</f>
        <v>Draenor</v>
      </c>
      <c r="V37">
        <f>IFERROR(__xludf.DUMMYFUNCTION("""COMPUTED_VALUE"""),404.13)</f>
        <v>404.13</v>
      </c>
      <c r="W37" t="str">
        <f>IFERROR(__xludf.DUMMYFUNCTION("""COMPUTED_VALUE"""),"25 days ago")</f>
        <v>25 days ago</v>
      </c>
      <c r="X37" s="97"/>
      <c r="Y37" s="111" t="str">
        <f>IFERROR(__xludf.DUMMYFUNCTION("""COMPUTED_VALUE"""),"Baskov")</f>
        <v>Baskov</v>
      </c>
      <c r="Z37" s="111" t="str">
        <f>IFERROR(__xludf.DUMMYFUNCTION("""COMPUTED_VALUE"""),"Ad Elysium")</f>
        <v>Ad Elysium</v>
      </c>
      <c r="AA37" s="111" t="str">
        <f>IFERROR(__xludf.DUMMYFUNCTION("""COMPUTED_VALUE"""),"Draenor")</f>
        <v>Draenor</v>
      </c>
      <c r="AB37" s="108">
        <f>IFERROR(__xludf.DUMMYFUNCTION("""COMPUTED_VALUE"""),406.0)</f>
        <v>406</v>
      </c>
      <c r="AC37" s="111" t="str">
        <f>IFERROR(__xludf.DUMMYFUNCTION("""COMPUTED_VALUE"""),"19 days ago")</f>
        <v>19 days ago</v>
      </c>
      <c r="AD37" s="112"/>
      <c r="AE37" s="111" t="str">
        <f>IFERROR(__xludf.DUMMYFUNCTION("""COMPUTED_VALUE"""),"Indulgeme")</f>
        <v>Indulgeme</v>
      </c>
      <c r="AF37" s="111" t="str">
        <f>IFERROR(__xludf.DUMMYFUNCTION("""COMPUTED_VALUE"""),"Debatable")</f>
        <v>Debatable</v>
      </c>
      <c r="AG37" s="111" t="str">
        <f>IFERROR(__xludf.DUMMYFUNCTION("""COMPUTED_VALUE"""),"Tarren Mill")</f>
        <v>Tarren Mill</v>
      </c>
      <c r="AH37" s="108">
        <f>IFERROR(__xludf.DUMMYFUNCTION("""COMPUTED_VALUE"""),408.0)</f>
        <v>408</v>
      </c>
      <c r="AI37" s="111" t="str">
        <f>IFERROR(__xludf.DUMMYFUNCTION("""COMPUTED_VALUE"""),"15 hours ago")</f>
        <v>15 hours ago</v>
      </c>
      <c r="AJ37" s="113"/>
      <c r="AK37" s="111" t="str">
        <f>IFERROR(__xludf.DUMMYFUNCTION("""COMPUTED_VALUE"""),"Shinychan")</f>
        <v>Shinychan</v>
      </c>
      <c r="AL37" s="111" t="str">
        <f>IFERROR(__xludf.DUMMYFUNCTION("""COMPUTED_VALUE"""),"")</f>
        <v/>
      </c>
      <c r="AM37" s="111" t="str">
        <f>IFERROR(__xludf.DUMMYFUNCTION("""COMPUTED_VALUE"""),"Alonsus")</f>
        <v>Alonsus</v>
      </c>
      <c r="AN37" s="111">
        <f>IFERROR(__xludf.DUMMYFUNCTION("""COMPUTED_VALUE"""),404.75)</f>
        <v>404.75</v>
      </c>
      <c r="AO37" s="111" t="str">
        <f>IFERROR(__xludf.DUMMYFUNCTION("""COMPUTED_VALUE"""),"27 days ago")</f>
        <v>27 days ago</v>
      </c>
      <c r="AP37" s="114"/>
      <c r="AQ37" s="111" t="str">
        <f>IFERROR(__xludf.DUMMYFUNCTION("""COMPUTED_VALUE"""),"Scottia")</f>
        <v>Scottia</v>
      </c>
      <c r="AR37" s="111" t="str">
        <f>IFERROR(__xludf.DUMMYFUNCTION("""COMPUTED_VALUE"""),"")</f>
        <v/>
      </c>
      <c r="AS37" s="111" t="str">
        <f>IFERROR(__xludf.DUMMYFUNCTION("""COMPUTED_VALUE"""),"Twisting Nether")</f>
        <v>Twisting Nether</v>
      </c>
      <c r="AT37" s="108">
        <f>IFERROR(__xludf.DUMMYFUNCTION("""COMPUTED_VALUE"""),405.19)</f>
        <v>405.19</v>
      </c>
      <c r="AU37" s="111" t="str">
        <f>IFERROR(__xludf.DUMMYFUNCTION("""COMPUTED_VALUE"""),"18 days ago")</f>
        <v>18 days ago</v>
      </c>
      <c r="AV37" s="115"/>
      <c r="AW37" s="116" t="str">
        <f>IFERROR(__xludf.DUMMYFUNCTION("""COMPUTED_VALUE"""),"Ilyadris")</f>
        <v>Ilyadris</v>
      </c>
      <c r="AX37" s="111" t="str">
        <f>IFERROR(__xludf.DUMMYFUNCTION("""COMPUTED_VALUE"""),"Ragnarök")</f>
        <v>Ragnarök</v>
      </c>
      <c r="AY37" s="111" t="str">
        <f>IFERROR(__xludf.DUMMYFUNCTION("""COMPUTED_VALUE"""),"Argent Dawn")</f>
        <v>Argent Dawn</v>
      </c>
      <c r="AZ37" s="108">
        <f>IFERROR(__xludf.DUMMYFUNCTION("""COMPUTED_VALUE"""),406.94)</f>
        <v>406.94</v>
      </c>
      <c r="BA37" s="111" t="str">
        <f>IFERROR(__xludf.DUMMYFUNCTION("""COMPUTED_VALUE"""),"20 days ago")</f>
        <v>20 days ago</v>
      </c>
      <c r="BB37" s="117"/>
      <c r="BC37" s="116"/>
      <c r="BD37" s="111"/>
      <c r="BE37" s="111"/>
      <c r="BF37" s="108"/>
      <c r="BG37" s="111"/>
      <c r="BH37" s="118"/>
      <c r="BI37" s="116" t="str">
        <f>IFERROR(__xludf.DUMMYFUNCTION("""COMPUTED_VALUE"""),"Xoxoxoxooxxo")</f>
        <v>Xoxoxoxooxxo</v>
      </c>
      <c r="BJ37" s="111" t="str">
        <f>IFERROR(__xludf.DUMMYFUNCTION("""COMPUTED_VALUE"""),"Big Steady Hands")</f>
        <v>Big Steady Hands</v>
      </c>
      <c r="BK37" s="111" t="str">
        <f>IFERROR(__xludf.DUMMYFUNCTION("""COMPUTED_VALUE"""),"Kazzak")</f>
        <v>Kazzak</v>
      </c>
      <c r="BL37" s="108">
        <f>IFERROR(__xludf.DUMMYFUNCTION("""COMPUTED_VALUE"""),404.81)</f>
        <v>404.81</v>
      </c>
      <c r="BM37" s="111" t="str">
        <f>IFERROR(__xludf.DUMMYFUNCTION("""COMPUTED_VALUE"""),"10 days ago")</f>
        <v>10 days ago</v>
      </c>
      <c r="BN37" s="119"/>
      <c r="BO37" s="116" t="str">
        <f>IFERROR(__xludf.DUMMYFUNCTION("""COMPUTED_VALUE"""),"Rãgeous")</f>
        <v>Rãgeous</v>
      </c>
      <c r="BP37" s="111" t="str">
        <f>IFERROR(__xludf.DUMMYFUNCTION("""COMPUTED_VALUE"""),"")</f>
        <v/>
      </c>
      <c r="BQ37" s="111" t="str">
        <f>IFERROR(__xludf.DUMMYFUNCTION("""COMPUTED_VALUE"""),"Silvermoon")</f>
        <v>Silvermoon</v>
      </c>
      <c r="BR37" s="108">
        <f>IFERROR(__xludf.DUMMYFUNCTION("""COMPUTED_VALUE"""),404.0)</f>
        <v>404</v>
      </c>
      <c r="BS37" s="111" t="str">
        <f>IFERROR(__xludf.DUMMYFUNCTION("""COMPUTED_VALUE"""),"6 days ago")</f>
        <v>6 days ago</v>
      </c>
      <c r="BT37" s="120"/>
      <c r="BU37" s="107" t="str">
        <f t="shared" ref="BU37:BY37" si="32">G14</f>
        <v>Athûl</v>
      </c>
      <c r="BV37" s="107" t="str">
        <f t="shared" si="32"/>
        <v/>
      </c>
      <c r="BW37" s="107" t="str">
        <f t="shared" si="32"/>
        <v>Kazzak</v>
      </c>
      <c r="BX37" s="107">
        <f t="shared" si="32"/>
        <v>412</v>
      </c>
      <c r="BY37" s="107" t="str">
        <f t="shared" si="32"/>
        <v>3 days ago</v>
      </c>
      <c r="BZ37" s="108"/>
    </row>
    <row r="38">
      <c r="A38" t="str">
        <f>IFERROR(__xludf.DUMMYFUNCTION("""COMPUTED_VALUE"""),"Ìnfamous")</f>
        <v>Ìnfamous</v>
      </c>
      <c r="B38" t="str">
        <f>IFERROR(__xludf.DUMMYFUNCTION("""COMPUTED_VALUE"""),"Diverse Society")</f>
        <v>Diverse Society</v>
      </c>
      <c r="C38" t="str">
        <f>IFERROR(__xludf.DUMMYFUNCTION("""COMPUTED_VALUE"""),"The Maelstrom")</f>
        <v>The Maelstrom</v>
      </c>
      <c r="D38">
        <f>IFERROR(__xludf.DUMMYFUNCTION("""COMPUTED_VALUE"""),407.75)</f>
        <v>407.75</v>
      </c>
      <c r="E38" t="str">
        <f>IFERROR(__xludf.DUMMYFUNCTION("""COMPUTED_VALUE"""),"3 days ago")</f>
        <v>3 days ago</v>
      </c>
      <c r="F38" s="94"/>
      <c r="L38" s="95"/>
      <c r="M38" t="str">
        <f>IFERROR(__xludf.DUMMYFUNCTION("""COMPUTED_VALUE"""),"Yarcondudu")</f>
        <v>Yarcondudu</v>
      </c>
      <c r="N38" t="str">
        <f>IFERROR(__xludf.DUMMYFUNCTION("""COMPUTED_VALUE"""),"Cruel")</f>
        <v>Cruel</v>
      </c>
      <c r="O38" t="str">
        <f>IFERROR(__xludf.DUMMYFUNCTION("""COMPUTED_VALUE"""),"Kazzak")</f>
        <v>Kazzak</v>
      </c>
      <c r="P38">
        <f>IFERROR(__xludf.DUMMYFUNCTION("""COMPUTED_VALUE"""),407.19)</f>
        <v>407.19</v>
      </c>
      <c r="Q38" t="str">
        <f>IFERROR(__xludf.DUMMYFUNCTION("""COMPUTED_VALUE"""),"23 days ago")</f>
        <v>23 days ago</v>
      </c>
      <c r="R38" s="96"/>
      <c r="S38" t="str">
        <f>IFERROR(__xludf.DUMMYFUNCTION("""COMPUTED_VALUE"""),"Zoomgpewpew")</f>
        <v>Zoomgpewpew</v>
      </c>
      <c r="T38" t="str">
        <f>IFERROR(__xludf.DUMMYFUNCTION("""COMPUTED_VALUE"""),"Reign of Terror")</f>
        <v>Reign of Terror</v>
      </c>
      <c r="U38" t="str">
        <f>IFERROR(__xludf.DUMMYFUNCTION("""COMPUTED_VALUE"""),"Kazzak")</f>
        <v>Kazzak</v>
      </c>
      <c r="V38">
        <f>IFERROR(__xludf.DUMMYFUNCTION("""COMPUTED_VALUE"""),404.0)</f>
        <v>404</v>
      </c>
      <c r="W38" t="str">
        <f>IFERROR(__xludf.DUMMYFUNCTION("""COMPUTED_VALUE"""),"9 days ago")</f>
        <v>9 days ago</v>
      </c>
      <c r="X38" s="97"/>
      <c r="Y38" s="111" t="str">
        <f>IFERROR(__xludf.DUMMYFUNCTION("""COMPUTED_VALUE"""),"Notgoodenoug")</f>
        <v>Notgoodenoug</v>
      </c>
      <c r="Z38" s="111" t="str">
        <f>IFERROR(__xludf.DUMMYFUNCTION("""COMPUTED_VALUE"""),"Premonition")</f>
        <v>Premonition</v>
      </c>
      <c r="AA38" s="111" t="str">
        <f>IFERROR(__xludf.DUMMYFUNCTION("""COMPUTED_VALUE"""),"Magtheridon")</f>
        <v>Magtheridon</v>
      </c>
      <c r="AB38" s="108">
        <f>IFERROR(__xludf.DUMMYFUNCTION("""COMPUTED_VALUE"""),405.75)</f>
        <v>405.75</v>
      </c>
      <c r="AC38" s="111" t="str">
        <f>IFERROR(__xludf.DUMMYFUNCTION("""COMPUTED_VALUE"""),"6 days ago")</f>
        <v>6 days ago</v>
      </c>
      <c r="AD38" s="112"/>
      <c r="AE38" s="111" t="str">
        <f>IFERROR(__xludf.DUMMYFUNCTION("""COMPUTED_VALUE"""),"Wumonk")</f>
        <v>Wumonk</v>
      </c>
      <c r="AF38" s="111" t="str">
        <f>IFERROR(__xludf.DUMMYFUNCTION("""COMPUTED_VALUE"""),"Alternative")</f>
        <v>Alternative</v>
      </c>
      <c r="AG38" s="111" t="str">
        <f>IFERROR(__xludf.DUMMYFUNCTION("""COMPUTED_VALUE"""),"Kazzak")</f>
        <v>Kazzak</v>
      </c>
      <c r="AH38" s="108">
        <f>IFERROR(__xludf.DUMMYFUNCTION("""COMPUTED_VALUE"""),407.81)</f>
        <v>407.81</v>
      </c>
      <c r="AI38" s="111" t="str">
        <f>IFERROR(__xludf.DUMMYFUNCTION("""COMPUTED_VALUE"""),"28 days ago")</f>
        <v>28 days ago</v>
      </c>
      <c r="AJ38" s="113"/>
      <c r="AK38" s="111" t="str">
        <f>IFERROR(__xludf.DUMMYFUNCTION("""COMPUTED_VALUE"""),"Naymerya")</f>
        <v>Naymerya</v>
      </c>
      <c r="AL38" s="111" t="str">
        <f>IFERROR(__xludf.DUMMYFUNCTION("""COMPUTED_VALUE"""),"")</f>
        <v/>
      </c>
      <c r="AM38" s="111" t="str">
        <f>IFERROR(__xludf.DUMMYFUNCTION("""COMPUTED_VALUE"""),"Kazzak")</f>
        <v>Kazzak</v>
      </c>
      <c r="AN38" s="111">
        <f>IFERROR(__xludf.DUMMYFUNCTION("""COMPUTED_VALUE"""),404.44)</f>
        <v>404.44</v>
      </c>
      <c r="AO38" s="111" t="str">
        <f>IFERROR(__xludf.DUMMYFUNCTION("""COMPUTED_VALUE"""),"1 day ago")</f>
        <v>1 day ago</v>
      </c>
      <c r="AP38" s="114"/>
      <c r="AQ38" s="111" t="str">
        <f>IFERROR(__xludf.DUMMYFUNCTION("""COMPUTED_VALUE"""),"Skodpræst")</f>
        <v>Skodpræst</v>
      </c>
      <c r="AR38" s="111" t="str">
        <f>IFERROR(__xludf.DUMMYFUNCTION("""COMPUTED_VALUE"""),"The Pandemonium")</f>
        <v>The Pandemonium</v>
      </c>
      <c r="AS38" s="111" t="str">
        <f>IFERROR(__xludf.DUMMYFUNCTION("""COMPUTED_VALUE"""),"The Maelstrom")</f>
        <v>The Maelstrom</v>
      </c>
      <c r="AT38" s="108">
        <f>IFERROR(__xludf.DUMMYFUNCTION("""COMPUTED_VALUE"""),405.06)</f>
        <v>405.06</v>
      </c>
      <c r="AU38" s="111" t="str">
        <f>IFERROR(__xludf.DUMMYFUNCTION("""COMPUTED_VALUE"""),"5 days ago")</f>
        <v>5 days ago</v>
      </c>
      <c r="AV38" s="115"/>
      <c r="AW38" s="116" t="str">
        <f>IFERROR(__xludf.DUMMYFUNCTION("""COMPUTED_VALUE"""),"Risky")</f>
        <v>Risky</v>
      </c>
      <c r="AX38" s="111" t="str">
        <f>IFERROR(__xludf.DUMMYFUNCTION("""COMPUTED_VALUE"""),"")</f>
        <v/>
      </c>
      <c r="AY38" s="111" t="str">
        <f>IFERROR(__xludf.DUMMYFUNCTION("""COMPUTED_VALUE"""),"Argent Dawn")</f>
        <v>Argent Dawn</v>
      </c>
      <c r="AZ38" s="108">
        <f>IFERROR(__xludf.DUMMYFUNCTION("""COMPUTED_VALUE"""),406.94)</f>
        <v>406.94</v>
      </c>
      <c r="BA38" s="111" t="str">
        <f>IFERROR(__xludf.DUMMYFUNCTION("""COMPUTED_VALUE"""),"2 days ago")</f>
        <v>2 days ago</v>
      </c>
      <c r="BB38" s="117"/>
      <c r="BC38" s="116"/>
      <c r="BD38" s="111"/>
      <c r="BE38" s="111"/>
      <c r="BF38" s="108"/>
      <c r="BG38" s="111"/>
      <c r="BH38" s="118"/>
      <c r="BI38" s="116" t="str">
        <f>IFERROR(__xludf.DUMMYFUNCTION("""COMPUTED_VALUE"""),"Beldaar")</f>
        <v>Beldaar</v>
      </c>
      <c r="BJ38" s="111" t="str">
        <f>IFERROR(__xludf.DUMMYFUNCTION("""COMPUTED_VALUE"""),"Acoustic")</f>
        <v>Acoustic</v>
      </c>
      <c r="BK38" s="111" t="str">
        <f>IFERROR(__xludf.DUMMYFUNCTION("""COMPUTED_VALUE"""),"Twisting Nether")</f>
        <v>Twisting Nether</v>
      </c>
      <c r="BL38" s="108">
        <f>IFERROR(__xludf.DUMMYFUNCTION("""COMPUTED_VALUE"""),404.63)</f>
        <v>404.63</v>
      </c>
      <c r="BM38" s="111" t="str">
        <f>IFERROR(__xludf.DUMMYFUNCTION("""COMPUTED_VALUE"""),"10 hours ago")</f>
        <v>10 hours ago</v>
      </c>
      <c r="BN38" s="119"/>
      <c r="BO38" s="116" t="str">
        <f>IFERROR(__xludf.DUMMYFUNCTION("""COMPUTED_VALUE"""),"Decrullyp")</f>
        <v>Decrullyp</v>
      </c>
      <c r="BP38" s="111" t="str">
        <f>IFERROR(__xludf.DUMMYFUNCTION("""COMPUTED_VALUE"""),"BeNeLeague")</f>
        <v>BeNeLeague</v>
      </c>
      <c r="BQ38" s="111" t="str">
        <f>IFERROR(__xludf.DUMMYFUNCTION("""COMPUTED_VALUE"""),"Draenor")</f>
        <v>Draenor</v>
      </c>
      <c r="BR38" s="108">
        <f>IFERROR(__xludf.DUMMYFUNCTION("""COMPUTED_VALUE"""),403.88)</f>
        <v>403.88</v>
      </c>
      <c r="BS38" s="111" t="str">
        <f>IFERROR(__xludf.DUMMYFUNCTION("""COMPUTED_VALUE"""),"24 days ago")</f>
        <v>24 days ago</v>
      </c>
      <c r="BT38" s="120"/>
      <c r="BU38" s="107" t="str">
        <f t="shared" ref="BU38:BY38" si="33">G15</f>
        <v>Speedy</v>
      </c>
      <c r="BV38" s="107" t="str">
        <f t="shared" si="33"/>
        <v>Team Epic</v>
      </c>
      <c r="BW38" s="107" t="str">
        <f t="shared" si="33"/>
        <v>Moonglade</v>
      </c>
      <c r="BX38" s="107">
        <f t="shared" si="33"/>
        <v>411.94</v>
      </c>
      <c r="BY38" s="107" t="str">
        <f t="shared" si="33"/>
        <v>2 hours ago</v>
      </c>
      <c r="BZ38" s="108"/>
    </row>
    <row r="39">
      <c r="A39" t="str">
        <f>IFERROR(__xludf.DUMMYFUNCTION("""COMPUTED_VALUE"""),"Kikksi")</f>
        <v>Kikksi</v>
      </c>
      <c r="B39" t="str">
        <f>IFERROR(__xludf.DUMMYFUNCTION("""COMPUTED_VALUE"""),"Ninth Order")</f>
        <v>Ninth Order</v>
      </c>
      <c r="C39" t="str">
        <f>IFERROR(__xludf.DUMMYFUNCTION("""COMPUTED_VALUE"""),"Draenor")</f>
        <v>Draenor</v>
      </c>
      <c r="D39">
        <f>IFERROR(__xludf.DUMMYFUNCTION("""COMPUTED_VALUE"""),407.69)</f>
        <v>407.69</v>
      </c>
      <c r="E39" t="str">
        <f>IFERROR(__xludf.DUMMYFUNCTION("""COMPUTED_VALUE"""),"8 days ago")</f>
        <v>8 days ago</v>
      </c>
      <c r="F39" s="94"/>
      <c r="L39" s="95"/>
      <c r="M39" t="str">
        <f>IFERROR(__xludf.DUMMYFUNCTION("""COMPUTED_VALUE"""),"Cirah")</f>
        <v>Cirah</v>
      </c>
      <c r="N39" t="str">
        <f>IFERROR(__xludf.DUMMYFUNCTION("""COMPUTED_VALUE"""),"Kompromissi")</f>
        <v>Kompromissi</v>
      </c>
      <c r="O39" t="str">
        <f>IFERROR(__xludf.DUMMYFUNCTION("""COMPUTED_VALUE"""),"Sylvanas")</f>
        <v>Sylvanas</v>
      </c>
      <c r="P39">
        <f>IFERROR(__xludf.DUMMYFUNCTION("""COMPUTED_VALUE"""),407.06)</f>
        <v>407.06</v>
      </c>
      <c r="Q39" t="str">
        <f>IFERROR(__xludf.DUMMYFUNCTION("""COMPUTED_VALUE"""),"2 days ago")</f>
        <v>2 days ago</v>
      </c>
      <c r="R39" s="96"/>
      <c r="S39" t="str">
        <f>IFERROR(__xludf.DUMMYFUNCTION("""COMPUTED_VALUE"""),"Ananasie")</f>
        <v>Ananasie</v>
      </c>
      <c r="T39" t="str">
        <f>IFERROR(__xludf.DUMMYFUNCTION("""COMPUTED_VALUE"""),"Basement Dwellers")</f>
        <v>Basement Dwellers</v>
      </c>
      <c r="U39" t="str">
        <f>IFERROR(__xludf.DUMMYFUNCTION("""COMPUTED_VALUE"""),"Kazzak")</f>
        <v>Kazzak</v>
      </c>
      <c r="V39">
        <f>IFERROR(__xludf.DUMMYFUNCTION("""COMPUTED_VALUE"""),403.81)</f>
        <v>403.81</v>
      </c>
      <c r="W39" t="str">
        <f>IFERROR(__xludf.DUMMYFUNCTION("""COMPUTED_VALUE"""),"11 days ago")</f>
        <v>11 days ago</v>
      </c>
      <c r="X39" s="97"/>
      <c r="Y39" s="111" t="str">
        <f>IFERROR(__xludf.DUMMYFUNCTION("""COMPUTED_VALUE"""),"Enigma")</f>
        <v>Enigma</v>
      </c>
      <c r="Z39" s="111" t="str">
        <f>IFERROR(__xludf.DUMMYFUNCTION("""COMPUTED_VALUE"""),"Entmoot")</f>
        <v>Entmoot</v>
      </c>
      <c r="AA39" s="111" t="str">
        <f>IFERROR(__xludf.DUMMYFUNCTION("""COMPUTED_VALUE"""),"Twisting Nether")</f>
        <v>Twisting Nether</v>
      </c>
      <c r="AB39" s="108">
        <f>IFERROR(__xludf.DUMMYFUNCTION("""COMPUTED_VALUE"""),405.63)</f>
        <v>405.63</v>
      </c>
      <c r="AC39" s="111" t="str">
        <f>IFERROR(__xludf.DUMMYFUNCTION("""COMPUTED_VALUE"""),"5 days ago")</f>
        <v>5 days ago</v>
      </c>
      <c r="AD39" s="112"/>
      <c r="AE39" s="111" t="str">
        <f>IFERROR(__xludf.DUMMYFUNCTION("""COMPUTED_VALUE"""),"Snylte")</f>
        <v>Snylte</v>
      </c>
      <c r="AF39" s="111" t="str">
        <f>IFERROR(__xludf.DUMMYFUNCTION("""COMPUTED_VALUE"""),"")</f>
        <v/>
      </c>
      <c r="AG39" s="111" t="str">
        <f>IFERROR(__xludf.DUMMYFUNCTION("""COMPUTED_VALUE"""),"Draenor")</f>
        <v>Draenor</v>
      </c>
      <c r="AH39" s="108">
        <f>IFERROR(__xludf.DUMMYFUNCTION("""COMPUTED_VALUE"""),407.69)</f>
        <v>407.69</v>
      </c>
      <c r="AI39" s="111" t="str">
        <f>IFERROR(__xludf.DUMMYFUNCTION("""COMPUTED_VALUE"""),"4 days ago")</f>
        <v>4 days ago</v>
      </c>
      <c r="AJ39" s="113"/>
      <c r="AK39" s="111" t="str">
        <f>IFERROR(__xludf.DUMMYFUNCTION("""COMPUTED_VALUE"""),"Loveangle")</f>
        <v>Loveangle</v>
      </c>
      <c r="AL39" s="111" t="str">
        <f>IFERROR(__xludf.DUMMYFUNCTION("""COMPUTED_VALUE"""),"Novus")</f>
        <v>Novus</v>
      </c>
      <c r="AM39" s="111" t="str">
        <f>IFERROR(__xludf.DUMMYFUNCTION("""COMPUTED_VALUE"""),"Twisting Nether")</f>
        <v>Twisting Nether</v>
      </c>
      <c r="AN39" s="111">
        <f>IFERROR(__xludf.DUMMYFUNCTION("""COMPUTED_VALUE"""),404.44)</f>
        <v>404.44</v>
      </c>
      <c r="AO39" s="111" t="str">
        <f>IFERROR(__xludf.DUMMYFUNCTION("""COMPUTED_VALUE"""),"12 days ago")</f>
        <v>12 days ago</v>
      </c>
      <c r="AP39" s="114"/>
      <c r="AQ39" s="111" t="str">
        <f>IFERROR(__xludf.DUMMYFUNCTION("""COMPUTED_VALUE"""),"Oipi")</f>
        <v>Oipi</v>
      </c>
      <c r="AR39" s="111" t="str">
        <f>IFERROR(__xludf.DUMMYFUNCTION("""COMPUTED_VALUE"""),"Muffins")</f>
        <v>Muffins</v>
      </c>
      <c r="AS39" s="111" t="str">
        <f>IFERROR(__xludf.DUMMYFUNCTION("""COMPUTED_VALUE"""),"Twisting Nether")</f>
        <v>Twisting Nether</v>
      </c>
      <c r="AT39" s="108">
        <f>IFERROR(__xludf.DUMMYFUNCTION("""COMPUTED_VALUE"""),404.94)</f>
        <v>404.94</v>
      </c>
      <c r="AU39" s="111" t="str">
        <f>IFERROR(__xludf.DUMMYFUNCTION("""COMPUTED_VALUE"""),"16 days ago")</f>
        <v>16 days ago</v>
      </c>
      <c r="AV39" s="115"/>
      <c r="AW39" s="116" t="str">
        <f>IFERROR(__xludf.DUMMYFUNCTION("""COMPUTED_VALUE"""),"Nuance")</f>
        <v>Nuance</v>
      </c>
      <c r="AX39" s="111" t="str">
        <f>IFERROR(__xludf.DUMMYFUNCTION("""COMPUTED_VALUE"""),"Alfheim")</f>
        <v>Alfheim</v>
      </c>
      <c r="AY39" s="111" t="str">
        <f>IFERROR(__xludf.DUMMYFUNCTION("""COMPUTED_VALUE"""),"Silvermoon")</f>
        <v>Silvermoon</v>
      </c>
      <c r="AZ39" s="108">
        <f>IFERROR(__xludf.DUMMYFUNCTION("""COMPUTED_VALUE"""),406.88)</f>
        <v>406.88</v>
      </c>
      <c r="BA39" s="111" t="str">
        <f>IFERROR(__xludf.DUMMYFUNCTION("""COMPUTED_VALUE"""),"21 hour ago")</f>
        <v>21 hour ago</v>
      </c>
      <c r="BB39" s="117"/>
      <c r="BC39" s="116"/>
      <c r="BD39" s="111"/>
      <c r="BE39" s="111"/>
      <c r="BF39" s="108"/>
      <c r="BG39" s="111"/>
      <c r="BH39" s="118"/>
      <c r="BI39" s="116" t="str">
        <f>IFERROR(__xludf.DUMMYFUNCTION("""COMPUTED_VALUE"""),"Imalucbox")</f>
        <v>Imalucbox</v>
      </c>
      <c r="BJ39" s="111" t="str">
        <f>IFERROR(__xludf.DUMMYFUNCTION("""COMPUTED_VALUE"""),"Never")</f>
        <v>Never</v>
      </c>
      <c r="BK39" s="111" t="str">
        <f>IFERROR(__xludf.DUMMYFUNCTION("""COMPUTED_VALUE"""),"Kazzak")</f>
        <v>Kazzak</v>
      </c>
      <c r="BL39" s="108">
        <f>IFERROR(__xludf.DUMMYFUNCTION("""COMPUTED_VALUE"""),404.44)</f>
        <v>404.44</v>
      </c>
      <c r="BM39" s="111" t="str">
        <f>IFERROR(__xludf.DUMMYFUNCTION("""COMPUTED_VALUE"""),"14 days ago")</f>
        <v>14 days ago</v>
      </c>
      <c r="BN39" s="119"/>
      <c r="BO39" s="116" t="str">
        <f>IFERROR(__xludf.DUMMYFUNCTION("""COMPUTED_VALUE"""),"Lynggård")</f>
        <v>Lynggård</v>
      </c>
      <c r="BP39" s="111" t="str">
        <f>IFERROR(__xludf.DUMMYFUNCTION("""COMPUTED_VALUE"""),"")</f>
        <v/>
      </c>
      <c r="BQ39" s="111" t="str">
        <f>IFERROR(__xludf.DUMMYFUNCTION("""COMPUTED_VALUE"""),"Quel'Thalas")</f>
        <v>Quel'Thalas</v>
      </c>
      <c r="BR39" s="108">
        <f>IFERROR(__xludf.DUMMYFUNCTION("""COMPUTED_VALUE"""),403.81)</f>
        <v>403.81</v>
      </c>
      <c r="BS39" s="111" t="str">
        <f>IFERROR(__xludf.DUMMYFUNCTION("""COMPUTED_VALUE"""),"22 days ago")</f>
        <v>22 days ago</v>
      </c>
      <c r="BT39" s="120"/>
      <c r="BU39" s="107" t="str">
        <f t="shared" ref="BU39:BY39" si="34">G16</f>
        <v>Donjudge</v>
      </c>
      <c r="BV39" s="107" t="str">
        <f t="shared" si="34"/>
        <v>Highlights</v>
      </c>
      <c r="BW39" s="107" t="str">
        <f t="shared" si="34"/>
        <v>Kazzak</v>
      </c>
      <c r="BX39" s="107">
        <f t="shared" si="34"/>
        <v>411.06</v>
      </c>
      <c r="BY39" s="107" t="str">
        <f t="shared" si="34"/>
        <v>9 days ago</v>
      </c>
      <c r="BZ39" s="108"/>
    </row>
    <row r="40">
      <c r="A40" t="str">
        <f>IFERROR(__xludf.DUMMYFUNCTION("""COMPUTED_VALUE"""),"Runicveins")</f>
        <v>Runicveins</v>
      </c>
      <c r="B40" t="str">
        <f>IFERROR(__xludf.DUMMYFUNCTION("""COMPUTED_VALUE"""),"")</f>
        <v/>
      </c>
      <c r="C40" t="str">
        <f>IFERROR(__xludf.DUMMYFUNCTION("""COMPUTED_VALUE"""),"Draenor")</f>
        <v>Draenor</v>
      </c>
      <c r="D40">
        <f>IFERROR(__xludf.DUMMYFUNCTION("""COMPUTED_VALUE"""),407.69)</f>
        <v>407.69</v>
      </c>
      <c r="E40" t="str">
        <f>IFERROR(__xludf.DUMMYFUNCTION("""COMPUTED_VALUE"""),"1 day ago")</f>
        <v>1 day ago</v>
      </c>
      <c r="F40" s="94"/>
      <c r="L40" s="95"/>
      <c r="M40" t="str">
        <f>IFERROR(__xludf.DUMMYFUNCTION("""COMPUTED_VALUE"""),"Bearcowbear")</f>
        <v>Bearcowbear</v>
      </c>
      <c r="N40" t="str">
        <f>IFERROR(__xludf.DUMMYFUNCTION("""COMPUTED_VALUE"""),"Novus")</f>
        <v>Novus</v>
      </c>
      <c r="O40" t="str">
        <f>IFERROR(__xludf.DUMMYFUNCTION("""COMPUTED_VALUE"""),"Twisting Nether")</f>
        <v>Twisting Nether</v>
      </c>
      <c r="P40">
        <f>IFERROR(__xludf.DUMMYFUNCTION("""COMPUTED_VALUE"""),407.0)</f>
        <v>407</v>
      </c>
      <c r="Q40" t="str">
        <f>IFERROR(__xludf.DUMMYFUNCTION("""COMPUTED_VALUE"""),"7 days ago")</f>
        <v>7 days ago</v>
      </c>
      <c r="R40" s="96"/>
      <c r="S40" t="str">
        <f>IFERROR(__xludf.DUMMYFUNCTION("""COMPUTED_VALUE"""),"Tomori")</f>
        <v>Tomori</v>
      </c>
      <c r="T40" t="str">
        <f>IFERROR(__xludf.DUMMYFUNCTION("""COMPUTED_VALUE"""),"Amused to Death")</f>
        <v>Amused to Death</v>
      </c>
      <c r="U40" t="str">
        <f>IFERROR(__xludf.DUMMYFUNCTION("""COMPUTED_VALUE"""),"Defias Brotherhood")</f>
        <v>Defias Brotherhood</v>
      </c>
      <c r="V40">
        <f>IFERROR(__xludf.DUMMYFUNCTION("""COMPUTED_VALUE"""),403.19)</f>
        <v>403.19</v>
      </c>
      <c r="W40" t="str">
        <f>IFERROR(__xludf.DUMMYFUNCTION("""COMPUTED_VALUE"""),"26 days ago")</f>
        <v>26 days ago</v>
      </c>
      <c r="X40" s="97"/>
      <c r="Y40" s="111" t="str">
        <f>IFERROR(__xludf.DUMMYFUNCTION("""COMPUTED_VALUE"""),"Elstad")</f>
        <v>Elstad</v>
      </c>
      <c r="Z40" s="111" t="str">
        <f>IFERROR(__xludf.DUMMYFUNCTION("""COMPUTED_VALUE"""),"")</f>
        <v/>
      </c>
      <c r="AA40" s="111" t="str">
        <f>IFERROR(__xludf.DUMMYFUNCTION("""COMPUTED_VALUE"""),"Argent Dawn")</f>
        <v>Argent Dawn</v>
      </c>
      <c r="AB40" s="108">
        <f>IFERROR(__xludf.DUMMYFUNCTION("""COMPUTED_VALUE"""),405.56)</f>
        <v>405.56</v>
      </c>
      <c r="AC40" s="111" t="str">
        <f>IFERROR(__xludf.DUMMYFUNCTION("""COMPUTED_VALUE"""),"19 days ago")</f>
        <v>19 days ago</v>
      </c>
      <c r="AD40" s="112"/>
      <c r="AE40" s="111" t="str">
        <f>IFERROR(__xludf.DUMMYFUNCTION("""COMPUTED_VALUE"""),"Catsya")</f>
        <v>Catsya</v>
      </c>
      <c r="AF40" s="111" t="str">
        <f>IFERROR(__xludf.DUMMYFUNCTION("""COMPUTED_VALUE"""),"Acrid")</f>
        <v>Acrid</v>
      </c>
      <c r="AG40" s="111" t="str">
        <f>IFERROR(__xludf.DUMMYFUNCTION("""COMPUTED_VALUE"""),"Draenor")</f>
        <v>Draenor</v>
      </c>
      <c r="AH40" s="108">
        <f>IFERROR(__xludf.DUMMYFUNCTION("""COMPUTED_VALUE"""),407.69)</f>
        <v>407.69</v>
      </c>
      <c r="AI40" s="111" t="str">
        <f>IFERROR(__xludf.DUMMYFUNCTION("""COMPUTED_VALUE"""),"7 days ago")</f>
        <v>7 days ago</v>
      </c>
      <c r="AJ40" s="113"/>
      <c r="AK40" s="111" t="str">
        <f>IFERROR(__xludf.DUMMYFUNCTION("""COMPUTED_VALUE"""),"Fintusius")</f>
        <v>Fintusius</v>
      </c>
      <c r="AL40" s="111" t="str">
        <f>IFERROR(__xludf.DUMMYFUNCTION("""COMPUTED_VALUE"""),"Sylvanas Refugees")</f>
        <v>Sylvanas Refugees</v>
      </c>
      <c r="AM40" s="111" t="str">
        <f>IFERROR(__xludf.DUMMYFUNCTION("""COMPUTED_VALUE"""),"Ravencrest")</f>
        <v>Ravencrest</v>
      </c>
      <c r="AN40" s="111">
        <f>IFERROR(__xludf.DUMMYFUNCTION("""COMPUTED_VALUE"""),404.38)</f>
        <v>404.38</v>
      </c>
      <c r="AO40" s="111" t="str">
        <f>IFERROR(__xludf.DUMMYFUNCTION("""COMPUTED_VALUE"""),"6 days ago")</f>
        <v>6 days ago</v>
      </c>
      <c r="AP40" s="114"/>
      <c r="AQ40" s="111" t="str">
        <f>IFERROR(__xludf.DUMMYFUNCTION("""COMPUTED_VALUE"""),"Gedebanger")</f>
        <v>Gedebanger</v>
      </c>
      <c r="AR40" s="111" t="str">
        <f>IFERROR(__xludf.DUMMYFUNCTION("""COMPUTED_VALUE"""),"")</f>
        <v/>
      </c>
      <c r="AS40" s="111" t="str">
        <f>IFERROR(__xludf.DUMMYFUNCTION("""COMPUTED_VALUE"""),"Laughing Skull")</f>
        <v>Laughing Skull</v>
      </c>
      <c r="AT40" s="108">
        <f>IFERROR(__xludf.DUMMYFUNCTION("""COMPUTED_VALUE"""),404.31)</f>
        <v>404.31</v>
      </c>
      <c r="AU40" s="111" t="str">
        <f>IFERROR(__xludf.DUMMYFUNCTION("""COMPUTED_VALUE"""),"23 days ago")</f>
        <v>23 days ago</v>
      </c>
      <c r="AV40" s="115"/>
      <c r="AW40" s="116" t="str">
        <f>IFERROR(__xludf.DUMMYFUNCTION("""COMPUTED_VALUE"""),"Tiarøg")</f>
        <v>Tiarøg</v>
      </c>
      <c r="AX40" s="111" t="str">
        <f>IFERROR(__xludf.DUMMYFUNCTION("""COMPUTED_VALUE"""),"Infernum")</f>
        <v>Infernum</v>
      </c>
      <c r="AY40" s="111" t="str">
        <f>IFERROR(__xludf.DUMMYFUNCTION("""COMPUTED_VALUE"""),"Silvermoon")</f>
        <v>Silvermoon</v>
      </c>
      <c r="AZ40" s="108">
        <f>IFERROR(__xludf.DUMMYFUNCTION("""COMPUTED_VALUE"""),406.56)</f>
        <v>406.56</v>
      </c>
      <c r="BA40" s="111" t="str">
        <f>IFERROR(__xludf.DUMMYFUNCTION("""COMPUTED_VALUE"""),"17 days ago")</f>
        <v>17 days ago</v>
      </c>
      <c r="BB40" s="117"/>
      <c r="BC40" s="116"/>
      <c r="BD40" s="111"/>
      <c r="BE40" s="111"/>
      <c r="BF40" s="108"/>
      <c r="BG40" s="111"/>
      <c r="BH40" s="118"/>
      <c r="BI40" s="116" t="str">
        <f>IFERROR(__xludf.DUMMYFUNCTION("""COMPUTED_VALUE"""),"Shérlóck")</f>
        <v>Shérlóck</v>
      </c>
      <c r="BJ40" s="111" t="str">
        <f>IFERROR(__xludf.DUMMYFUNCTION("""COMPUTED_VALUE"""),"Gehenna")</f>
        <v>Gehenna</v>
      </c>
      <c r="BK40" s="111" t="str">
        <f>IFERROR(__xludf.DUMMYFUNCTION("""COMPUTED_VALUE"""),"Stormreaver")</f>
        <v>Stormreaver</v>
      </c>
      <c r="BL40" s="108">
        <f>IFERROR(__xludf.DUMMYFUNCTION("""COMPUTED_VALUE"""),404.31)</f>
        <v>404.31</v>
      </c>
      <c r="BM40" s="111" t="str">
        <f>IFERROR(__xludf.DUMMYFUNCTION("""COMPUTED_VALUE"""),"1 day ago")</f>
        <v>1 day ago</v>
      </c>
      <c r="BN40" s="119"/>
      <c r="BO40" s="116" t="str">
        <f>IFERROR(__xludf.DUMMYFUNCTION("""COMPUTED_VALUE"""),"Argarnor")</f>
        <v>Argarnor</v>
      </c>
      <c r="BP40" s="111" t="str">
        <f>IFERROR(__xludf.DUMMYFUNCTION("""COMPUTED_VALUE"""),"Warriors of Wrath")</f>
        <v>Warriors of Wrath</v>
      </c>
      <c r="BQ40" s="111" t="str">
        <f>IFERROR(__xludf.DUMMYFUNCTION("""COMPUTED_VALUE"""),"Ravencrest")</f>
        <v>Ravencrest</v>
      </c>
      <c r="BR40" s="108">
        <f>IFERROR(__xludf.DUMMYFUNCTION("""COMPUTED_VALUE"""),403.81)</f>
        <v>403.81</v>
      </c>
      <c r="BS40" s="111" t="str">
        <f>IFERROR(__xludf.DUMMYFUNCTION("""COMPUTED_VALUE"""),"9 days ago")</f>
        <v>9 days ago</v>
      </c>
      <c r="BT40" s="120"/>
      <c r="BU40" s="107" t="str">
        <f t="shared" ref="BU40:BY40" si="35">G17</f>
        <v>Unrealism</v>
      </c>
      <c r="BV40" s="107" t="str">
        <f t="shared" si="35"/>
        <v>samasafya</v>
      </c>
      <c r="BW40" s="107" t="str">
        <f t="shared" si="35"/>
        <v>Ravencrest</v>
      </c>
      <c r="BX40" s="107">
        <f t="shared" si="35"/>
        <v>411</v>
      </c>
      <c r="BY40" s="107" t="str">
        <f t="shared" si="35"/>
        <v>29 days ago</v>
      </c>
      <c r="BZ40" s="108"/>
    </row>
    <row r="41">
      <c r="A41" t="str">
        <f>IFERROR(__xludf.DUMMYFUNCTION("""COMPUTED_VALUE"""),"Colddsun")</f>
        <v>Colddsun</v>
      </c>
      <c r="B41" t="str">
        <f>IFERROR(__xludf.DUMMYFUNCTION("""COMPUTED_VALUE"""),"All Desire")</f>
        <v>All Desire</v>
      </c>
      <c r="C41" t="str">
        <f>IFERROR(__xludf.DUMMYFUNCTION("""COMPUTED_VALUE"""),"Chamber of Aspects")</f>
        <v>Chamber of Aspects</v>
      </c>
      <c r="D41">
        <f>IFERROR(__xludf.DUMMYFUNCTION("""COMPUTED_VALUE"""),407.5)</f>
        <v>407.5</v>
      </c>
      <c r="E41" t="str">
        <f>IFERROR(__xludf.DUMMYFUNCTION("""COMPUTED_VALUE"""),"17 days ago")</f>
        <v>17 days ago</v>
      </c>
      <c r="F41" s="94"/>
      <c r="L41" s="95"/>
      <c r="M41" t="str">
        <f>IFERROR(__xludf.DUMMYFUNCTION("""COMPUTED_VALUE"""),"Tüna")</f>
        <v>Tüna</v>
      </c>
      <c r="N41" t="str">
        <f>IFERROR(__xludf.DUMMYFUNCTION("""COMPUTED_VALUE"""),"YouKnowWhatTheySay")</f>
        <v>YouKnowWhatTheySay</v>
      </c>
      <c r="O41" t="str">
        <f>IFERROR(__xludf.DUMMYFUNCTION("""COMPUTED_VALUE"""),"Kazzak")</f>
        <v>Kazzak</v>
      </c>
      <c r="P41">
        <f>IFERROR(__xludf.DUMMYFUNCTION("""COMPUTED_VALUE"""),406.81)</f>
        <v>406.81</v>
      </c>
      <c r="Q41" t="str">
        <f>IFERROR(__xludf.DUMMYFUNCTION("""COMPUTED_VALUE"""),"28 days ago")</f>
        <v>28 days ago</v>
      </c>
      <c r="R41" s="96"/>
      <c r="S41" t="str">
        <f>IFERROR(__xludf.DUMMYFUNCTION("""COMPUTED_VALUE"""),"Lexî")</f>
        <v>Lexî</v>
      </c>
      <c r="T41" t="str">
        <f>IFERROR(__xludf.DUMMYFUNCTION("""COMPUTED_VALUE"""),"Excesse")</f>
        <v>Excesse</v>
      </c>
      <c r="U41" t="str">
        <f>IFERROR(__xludf.DUMMYFUNCTION("""COMPUTED_VALUE"""),"Haomarush")</f>
        <v>Haomarush</v>
      </c>
      <c r="V41">
        <f>IFERROR(__xludf.DUMMYFUNCTION("""COMPUTED_VALUE"""),402.56)</f>
        <v>402.56</v>
      </c>
      <c r="W41" t="str">
        <f>IFERROR(__xludf.DUMMYFUNCTION("""COMPUTED_VALUE"""),"4 days ago")</f>
        <v>4 days ago</v>
      </c>
      <c r="X41" s="97"/>
      <c r="Y41" s="111" t="str">
        <f>IFERROR(__xludf.DUMMYFUNCTION("""COMPUTED_VALUE"""),"Lemonswirl")</f>
        <v>Lemonswirl</v>
      </c>
      <c r="Z41" s="111" t="str">
        <f>IFERROR(__xludf.DUMMYFUNCTION("""COMPUTED_VALUE"""),"Phoênix")</f>
        <v>Phoênix</v>
      </c>
      <c r="AA41" s="111" t="str">
        <f>IFERROR(__xludf.DUMMYFUNCTION("""COMPUTED_VALUE"""),"Twisting Nether")</f>
        <v>Twisting Nether</v>
      </c>
      <c r="AB41" s="108">
        <f>IFERROR(__xludf.DUMMYFUNCTION("""COMPUTED_VALUE"""),405.38)</f>
        <v>405.38</v>
      </c>
      <c r="AC41" s="111" t="str">
        <f>IFERROR(__xludf.DUMMYFUNCTION("""COMPUTED_VALUE"""),"13 days ago")</f>
        <v>13 days ago</v>
      </c>
      <c r="AD41" s="112"/>
      <c r="AE41" s="111" t="str">
        <f>IFERROR(__xludf.DUMMYFUNCTION("""COMPUTED_VALUE"""),"Kiareine")</f>
        <v>Kiareine</v>
      </c>
      <c r="AF41" s="111" t="str">
        <f>IFERROR(__xludf.DUMMYFUNCTION("""COMPUTED_VALUE"""),"Defenestrate")</f>
        <v>Defenestrate</v>
      </c>
      <c r="AG41" s="111" t="str">
        <f>IFERROR(__xludf.DUMMYFUNCTION("""COMPUTED_VALUE"""),"Tarren Mill")</f>
        <v>Tarren Mill</v>
      </c>
      <c r="AH41" s="108">
        <f>IFERROR(__xludf.DUMMYFUNCTION("""COMPUTED_VALUE"""),407.69)</f>
        <v>407.69</v>
      </c>
      <c r="AI41" s="111" t="str">
        <f>IFERROR(__xludf.DUMMYFUNCTION("""COMPUTED_VALUE"""),"2 days ago")</f>
        <v>2 days ago</v>
      </c>
      <c r="AJ41" s="113"/>
      <c r="AK41" s="111" t="str">
        <f>IFERROR(__xludf.DUMMYFUNCTION("""COMPUTED_VALUE"""),"Willydore")</f>
        <v>Willydore</v>
      </c>
      <c r="AL41" s="111" t="str">
        <f>IFERROR(__xludf.DUMMYFUNCTION("""COMPUTED_VALUE"""),"Triggered")</f>
        <v>Triggered</v>
      </c>
      <c r="AM41" s="111" t="str">
        <f>IFERROR(__xludf.DUMMYFUNCTION("""COMPUTED_VALUE"""),"Argent Dawn")</f>
        <v>Argent Dawn</v>
      </c>
      <c r="AN41" s="111">
        <f>IFERROR(__xludf.DUMMYFUNCTION("""COMPUTED_VALUE"""),404.06)</f>
        <v>404.06</v>
      </c>
      <c r="AO41" s="111" t="str">
        <f>IFERROR(__xludf.DUMMYFUNCTION("""COMPUTED_VALUE"""),"15 days ago")</f>
        <v>15 days ago</v>
      </c>
      <c r="AP41" s="114"/>
      <c r="AQ41" s="111" t="str">
        <f>IFERROR(__xludf.DUMMYFUNCTION("""COMPUTED_VALUE"""),"Redgunner")</f>
        <v>Redgunner</v>
      </c>
      <c r="AR41" s="111" t="str">
        <f>IFERROR(__xludf.DUMMYFUNCTION("""COMPUTED_VALUE"""),"Brotherhood Of San..")</f>
        <v>Brotherhood Of San..</v>
      </c>
      <c r="AS41" s="111" t="str">
        <f>IFERROR(__xludf.DUMMYFUNCTION("""COMPUTED_VALUE"""),"Silvermoon")</f>
        <v>Silvermoon</v>
      </c>
      <c r="AT41" s="108">
        <f>IFERROR(__xludf.DUMMYFUNCTION("""COMPUTED_VALUE"""),404.19)</f>
        <v>404.19</v>
      </c>
      <c r="AU41" s="111" t="str">
        <f>IFERROR(__xludf.DUMMYFUNCTION("""COMPUTED_VALUE"""),"1 day ago")</f>
        <v>1 day ago</v>
      </c>
      <c r="AV41" s="115"/>
      <c r="AW41" s="116" t="str">
        <f>IFERROR(__xludf.DUMMYFUNCTION("""COMPUTED_VALUE"""),"Máze")</f>
        <v>Máze</v>
      </c>
      <c r="AX41" s="111" t="str">
        <f>IFERROR(__xludf.DUMMYFUNCTION("""COMPUTED_VALUE"""),"Endless")</f>
        <v>Endless</v>
      </c>
      <c r="AY41" s="111" t="str">
        <f>IFERROR(__xludf.DUMMYFUNCTION("""COMPUTED_VALUE"""),"Kazzak")</f>
        <v>Kazzak</v>
      </c>
      <c r="AZ41" s="108">
        <f>IFERROR(__xludf.DUMMYFUNCTION("""COMPUTED_VALUE"""),406.5)</f>
        <v>406.5</v>
      </c>
      <c r="BA41" s="111" t="str">
        <f>IFERROR(__xludf.DUMMYFUNCTION("""COMPUTED_VALUE"""),"10 days ago")</f>
        <v>10 days ago</v>
      </c>
      <c r="BB41" s="117"/>
      <c r="BC41" s="116"/>
      <c r="BD41" s="111"/>
      <c r="BE41" s="111"/>
      <c r="BF41" s="108"/>
      <c r="BG41" s="111"/>
      <c r="BH41" s="118"/>
      <c r="BI41" s="116" t="str">
        <f>IFERROR(__xludf.DUMMYFUNCTION("""COMPUTED_VALUE"""),"Marïä")</f>
        <v>Marïä</v>
      </c>
      <c r="BJ41" s="111" t="str">
        <f>IFERROR(__xludf.DUMMYFUNCTION("""COMPUTED_VALUE"""),"The Panda Next Door")</f>
        <v>The Panda Next Door</v>
      </c>
      <c r="BK41" s="111" t="str">
        <f>IFERROR(__xludf.DUMMYFUNCTION("""COMPUTED_VALUE"""),"Kazzak")</f>
        <v>Kazzak</v>
      </c>
      <c r="BL41" s="108">
        <f>IFERROR(__xludf.DUMMYFUNCTION("""COMPUTED_VALUE"""),404.25)</f>
        <v>404.25</v>
      </c>
      <c r="BM41" s="111" t="str">
        <f>IFERROR(__xludf.DUMMYFUNCTION("""COMPUTED_VALUE"""),"13 days ago")</f>
        <v>13 days ago</v>
      </c>
      <c r="BN41" s="119"/>
      <c r="BO41" s="116" t="str">
        <f>IFERROR(__xludf.DUMMYFUNCTION("""COMPUTED_VALUE"""),"Momønga")</f>
        <v>Momønga</v>
      </c>
      <c r="BP41" s="111" t="str">
        <f>IFERROR(__xludf.DUMMYFUNCTION("""COMPUTED_VALUE"""),"Future")</f>
        <v>Future</v>
      </c>
      <c r="BQ41" s="111" t="str">
        <f>IFERROR(__xludf.DUMMYFUNCTION("""COMPUTED_VALUE"""),"Twisting Nether")</f>
        <v>Twisting Nether</v>
      </c>
      <c r="BR41" s="108">
        <f>IFERROR(__xludf.DUMMYFUNCTION("""COMPUTED_VALUE"""),403.56)</f>
        <v>403.56</v>
      </c>
      <c r="BS41" s="111" t="str">
        <f>IFERROR(__xludf.DUMMYFUNCTION("""COMPUTED_VALUE"""),"26 days ago")</f>
        <v>26 days ago</v>
      </c>
      <c r="BT41" s="120"/>
      <c r="BU41" s="107" t="str">
        <f t="shared" ref="BU41:BY41" si="36">G18</f>
        <v>Alexmon</v>
      </c>
      <c r="BV41" s="107" t="str">
        <f t="shared" si="36"/>
        <v>The Phantom Troupe</v>
      </c>
      <c r="BW41" s="107" t="str">
        <f t="shared" si="36"/>
        <v>Draenor</v>
      </c>
      <c r="BX41" s="107">
        <f t="shared" si="36"/>
        <v>411</v>
      </c>
      <c r="BY41" s="107" t="str">
        <f t="shared" si="36"/>
        <v>12 hours ago</v>
      </c>
      <c r="BZ41" s="108"/>
    </row>
    <row r="42">
      <c r="A42" t="str">
        <f>IFERROR(__xludf.DUMMYFUNCTION("""COMPUTED_VALUE"""),"Sovanos")</f>
        <v>Sovanos</v>
      </c>
      <c r="B42" t="str">
        <f>IFERROR(__xludf.DUMMYFUNCTION("""COMPUTED_VALUE"""),"GOT BEEF")</f>
        <v>GOT BEEF</v>
      </c>
      <c r="C42" t="str">
        <f>IFERROR(__xludf.DUMMYFUNCTION("""COMPUTED_VALUE"""),"Draenor")</f>
        <v>Draenor</v>
      </c>
      <c r="D42">
        <f>IFERROR(__xludf.DUMMYFUNCTION("""COMPUTED_VALUE"""),407.0)</f>
        <v>407</v>
      </c>
      <c r="E42" t="str">
        <f>IFERROR(__xludf.DUMMYFUNCTION("""COMPUTED_VALUE"""),"16 days ago")</f>
        <v>16 days ago</v>
      </c>
      <c r="F42" s="94"/>
      <c r="L42" s="95"/>
      <c r="M42" t="str">
        <f>IFERROR(__xludf.DUMMYFUNCTION("""COMPUTED_VALUE"""),"Ohnej")</f>
        <v>Ohnej</v>
      </c>
      <c r="N42" t="str">
        <f>IFERROR(__xludf.DUMMYFUNCTION("""COMPUTED_VALUE"""),"Red Empire")</f>
        <v>Red Empire</v>
      </c>
      <c r="O42" t="str">
        <f>IFERROR(__xludf.DUMMYFUNCTION("""COMPUTED_VALUE"""),"Tarren Mill")</f>
        <v>Tarren Mill</v>
      </c>
      <c r="P42">
        <f>IFERROR(__xludf.DUMMYFUNCTION("""COMPUTED_VALUE"""),406.75)</f>
        <v>406.75</v>
      </c>
      <c r="Q42" t="str">
        <f>IFERROR(__xludf.DUMMYFUNCTION("""COMPUTED_VALUE"""),"22 days ago")</f>
        <v>22 days ago</v>
      </c>
      <c r="R42" s="96"/>
      <c r="S42" t="str">
        <f>IFERROR(__xludf.DUMMYFUNCTION("""COMPUTED_VALUE"""),"Xylophobia")</f>
        <v>Xylophobia</v>
      </c>
      <c r="T42" t="str">
        <f>IFERROR(__xludf.DUMMYFUNCTION("""COMPUTED_VALUE"""),"")</f>
        <v/>
      </c>
      <c r="U42" t="str">
        <f>IFERROR(__xludf.DUMMYFUNCTION("""COMPUTED_VALUE"""),"Draenor")</f>
        <v>Draenor</v>
      </c>
      <c r="V42">
        <f>IFERROR(__xludf.DUMMYFUNCTION("""COMPUTED_VALUE"""),402.44)</f>
        <v>402.44</v>
      </c>
      <c r="W42" t="str">
        <f>IFERROR(__xludf.DUMMYFUNCTION("""COMPUTED_VALUE"""),"9 days ago")</f>
        <v>9 days ago</v>
      </c>
      <c r="X42" s="97"/>
      <c r="Y42" s="111" t="str">
        <f>IFERROR(__xludf.DUMMYFUNCTION("""COMPUTED_VALUE"""),"Darkadmirals")</f>
        <v>Darkadmirals</v>
      </c>
      <c r="Z42" s="111" t="str">
        <f>IFERROR(__xludf.DUMMYFUNCTION("""COMPUTED_VALUE"""),"")</f>
        <v/>
      </c>
      <c r="AA42" s="111" t="str">
        <f>IFERROR(__xludf.DUMMYFUNCTION("""COMPUTED_VALUE"""),"Kazzak")</f>
        <v>Kazzak</v>
      </c>
      <c r="AB42" s="108">
        <f>IFERROR(__xludf.DUMMYFUNCTION("""COMPUTED_VALUE"""),405.06)</f>
        <v>405.06</v>
      </c>
      <c r="AC42" s="111" t="str">
        <f>IFERROR(__xludf.DUMMYFUNCTION("""COMPUTED_VALUE"""),"5 days ago")</f>
        <v>5 days ago</v>
      </c>
      <c r="AD42" s="112"/>
      <c r="AE42" s="111" t="str">
        <f>IFERROR(__xludf.DUMMYFUNCTION("""COMPUTED_VALUE"""),"Flaszkagie")</f>
        <v>Flaszkagie</v>
      </c>
      <c r="AF42" s="111" t="str">
        <f>IFERROR(__xludf.DUMMYFUNCTION("""COMPUTED_VALUE"""),"")</f>
        <v/>
      </c>
      <c r="AG42" s="111" t="str">
        <f>IFERROR(__xludf.DUMMYFUNCTION("""COMPUTED_VALUE"""),"Silvermoon")</f>
        <v>Silvermoon</v>
      </c>
      <c r="AH42" s="108">
        <f>IFERROR(__xludf.DUMMYFUNCTION("""COMPUTED_VALUE"""),407.69)</f>
        <v>407.69</v>
      </c>
      <c r="AI42" s="111" t="str">
        <f>IFERROR(__xludf.DUMMYFUNCTION("""COMPUTED_VALUE"""),"4 days ago")</f>
        <v>4 days ago</v>
      </c>
      <c r="AJ42" s="113"/>
      <c r="AK42" s="111" t="str">
        <f>IFERROR(__xludf.DUMMYFUNCTION("""COMPUTED_VALUE"""),"Tenori")</f>
        <v>Tenori</v>
      </c>
      <c r="AL42" s="111" t="str">
        <f>IFERROR(__xludf.DUMMYFUNCTION("""COMPUTED_VALUE"""),"Solenya")</f>
        <v>Solenya</v>
      </c>
      <c r="AM42" s="111" t="str">
        <f>IFERROR(__xludf.DUMMYFUNCTION("""COMPUTED_VALUE"""),"Draenor")</f>
        <v>Draenor</v>
      </c>
      <c r="AN42" s="111">
        <f>IFERROR(__xludf.DUMMYFUNCTION("""COMPUTED_VALUE"""),403.94)</f>
        <v>403.94</v>
      </c>
      <c r="AO42" s="111" t="str">
        <f>IFERROR(__xludf.DUMMYFUNCTION("""COMPUTED_VALUE"""),"4 days ago")</f>
        <v>4 days ago</v>
      </c>
      <c r="AP42" s="114"/>
      <c r="AQ42" s="111" t="str">
        <f>IFERROR(__xludf.DUMMYFUNCTION("""COMPUTED_VALUE"""),"Gigaplz")</f>
        <v>Gigaplz</v>
      </c>
      <c r="AR42" s="111" t="str">
        <f>IFERROR(__xludf.DUMMYFUNCTION("""COMPUTED_VALUE"""),"Tiras Valesh")</f>
        <v>Tiras Valesh</v>
      </c>
      <c r="AS42" s="111" t="str">
        <f>IFERROR(__xludf.DUMMYFUNCTION("""COMPUTED_VALUE"""),"Kazzak")</f>
        <v>Kazzak</v>
      </c>
      <c r="AT42" s="108">
        <f>IFERROR(__xludf.DUMMYFUNCTION("""COMPUTED_VALUE"""),403.88)</f>
        <v>403.88</v>
      </c>
      <c r="AU42" s="111" t="str">
        <f>IFERROR(__xludf.DUMMYFUNCTION("""COMPUTED_VALUE"""),"21 day ago")</f>
        <v>21 day ago</v>
      </c>
      <c r="AV42" s="115"/>
      <c r="AW42" s="116" t="str">
        <f>IFERROR(__xludf.DUMMYFUNCTION("""COMPUTED_VALUE"""),"Celerityx")</f>
        <v>Celerityx</v>
      </c>
      <c r="AX42" s="111" t="str">
        <f>IFERROR(__xludf.DUMMYFUNCTION("""COMPUTED_VALUE"""),"Linear")</f>
        <v>Linear</v>
      </c>
      <c r="AY42" s="111" t="str">
        <f>IFERROR(__xludf.DUMMYFUNCTION("""COMPUTED_VALUE"""),"Defias Brotherhood")</f>
        <v>Defias Brotherhood</v>
      </c>
      <c r="AZ42" s="108">
        <f>IFERROR(__xludf.DUMMYFUNCTION("""COMPUTED_VALUE"""),406.44)</f>
        <v>406.44</v>
      </c>
      <c r="BA42" s="111" t="str">
        <f>IFERROR(__xludf.DUMMYFUNCTION("""COMPUTED_VALUE"""),"3 days ago")</f>
        <v>3 days ago</v>
      </c>
      <c r="BB42" s="117"/>
      <c r="BC42" s="116"/>
      <c r="BD42" s="111"/>
      <c r="BE42" s="111"/>
      <c r="BF42" s="108"/>
      <c r="BG42" s="111"/>
      <c r="BH42" s="118"/>
      <c r="BI42" s="116" t="str">
        <f>IFERROR(__xludf.DUMMYFUNCTION("""COMPUTED_VALUE"""),"Xcelsior")</f>
        <v>Xcelsior</v>
      </c>
      <c r="BJ42" s="111" t="str">
        <f>IFERROR(__xludf.DUMMYFUNCTION("""COMPUTED_VALUE"""),"Reset")</f>
        <v>Reset</v>
      </c>
      <c r="BK42" s="111" t="str">
        <f>IFERROR(__xludf.DUMMYFUNCTION("""COMPUTED_VALUE"""),"Ravencrest")</f>
        <v>Ravencrest</v>
      </c>
      <c r="BL42" s="108">
        <f>IFERROR(__xludf.DUMMYFUNCTION("""COMPUTED_VALUE"""),403.81)</f>
        <v>403.81</v>
      </c>
      <c r="BM42" s="111" t="str">
        <f>IFERROR(__xludf.DUMMYFUNCTION("""COMPUTED_VALUE"""),"24 days ago")</f>
        <v>24 days ago</v>
      </c>
      <c r="BN42" s="119"/>
      <c r="BO42" s="116" t="str">
        <f>IFERROR(__xludf.DUMMYFUNCTION("""COMPUTED_VALUE"""),"Ostehøvlen")</f>
        <v>Ostehøvlen</v>
      </c>
      <c r="BP42" s="111" t="str">
        <f>IFERROR(__xludf.DUMMYFUNCTION("""COMPUTED_VALUE"""),"Det Bare Banter")</f>
        <v>Det Bare Banter</v>
      </c>
      <c r="BQ42" s="111" t="str">
        <f>IFERROR(__xludf.DUMMYFUNCTION("""COMPUTED_VALUE"""),"Tarren Mill")</f>
        <v>Tarren Mill</v>
      </c>
      <c r="BR42" s="108">
        <f>IFERROR(__xludf.DUMMYFUNCTION("""COMPUTED_VALUE"""),403.38)</f>
        <v>403.38</v>
      </c>
      <c r="BS42" s="111" t="str">
        <f>IFERROR(__xludf.DUMMYFUNCTION("""COMPUTED_VALUE"""),"4 days ago")</f>
        <v>4 days ago</v>
      </c>
      <c r="BT42" s="120"/>
      <c r="BU42" s="107" t="str">
        <f t="shared" ref="BU42:BY42" si="37">G19</f>
        <v>Landianio</v>
      </c>
      <c r="BV42" s="107" t="str">
        <f t="shared" si="37"/>
        <v>Solacium</v>
      </c>
      <c r="BW42" s="107" t="str">
        <f t="shared" si="37"/>
        <v>Kazzak</v>
      </c>
      <c r="BX42" s="107">
        <f t="shared" si="37"/>
        <v>410.94</v>
      </c>
      <c r="BY42" s="107" t="str">
        <f t="shared" si="37"/>
        <v>10 days ago</v>
      </c>
      <c r="BZ42" s="108"/>
    </row>
    <row r="43">
      <c r="A43" t="str">
        <f>IFERROR(__xludf.DUMMYFUNCTION("""COMPUTED_VALUE"""),"Zerato")</f>
        <v>Zerato</v>
      </c>
      <c r="B43" t="str">
        <f>IFERROR(__xludf.DUMMYFUNCTION("""COMPUTED_VALUE"""),"Future")</f>
        <v>Future</v>
      </c>
      <c r="C43" t="str">
        <f>IFERROR(__xludf.DUMMYFUNCTION("""COMPUTED_VALUE"""),"Twisting Nether")</f>
        <v>Twisting Nether</v>
      </c>
      <c r="D43">
        <f>IFERROR(__xludf.DUMMYFUNCTION("""COMPUTED_VALUE"""),406.56)</f>
        <v>406.56</v>
      </c>
      <c r="E43" t="str">
        <f>IFERROR(__xludf.DUMMYFUNCTION("""COMPUTED_VALUE"""),"26 days ago")</f>
        <v>26 days ago</v>
      </c>
      <c r="F43" s="94"/>
      <c r="L43" s="95"/>
      <c r="M43" t="str">
        <f>IFERROR(__xludf.DUMMYFUNCTION("""COMPUTED_VALUE"""),"Vynai")</f>
        <v>Vynai</v>
      </c>
      <c r="N43" t="str">
        <f>IFERROR(__xludf.DUMMYFUNCTION("""COMPUTED_VALUE"""),"Do You Need")</f>
        <v>Do You Need</v>
      </c>
      <c r="O43" t="str">
        <f>IFERROR(__xludf.DUMMYFUNCTION("""COMPUTED_VALUE"""),"Tarren Mill")</f>
        <v>Tarren Mill</v>
      </c>
      <c r="P43">
        <f>IFERROR(__xludf.DUMMYFUNCTION("""COMPUTED_VALUE"""),406.63)</f>
        <v>406.63</v>
      </c>
      <c r="Q43" t="str">
        <f>IFERROR(__xludf.DUMMYFUNCTION("""COMPUTED_VALUE"""),"23 days ago")</f>
        <v>23 days ago</v>
      </c>
      <c r="R43" s="96"/>
      <c r="S43" t="str">
        <f>IFERROR(__xludf.DUMMYFUNCTION("""COMPUTED_VALUE"""),"Spinoo")</f>
        <v>Spinoo</v>
      </c>
      <c r="T43" t="str">
        <f>IFERROR(__xludf.DUMMYFUNCTION("""COMPUTED_VALUE"""),"Resolve")</f>
        <v>Resolve</v>
      </c>
      <c r="U43" t="str">
        <f>IFERROR(__xludf.DUMMYFUNCTION("""COMPUTED_VALUE"""),"Defias Brotherhood")</f>
        <v>Defias Brotherhood</v>
      </c>
      <c r="V43">
        <f>IFERROR(__xludf.DUMMYFUNCTION("""COMPUTED_VALUE"""),401.44)</f>
        <v>401.44</v>
      </c>
      <c r="W43" t="str">
        <f>IFERROR(__xludf.DUMMYFUNCTION("""COMPUTED_VALUE"""),"11 days ago")</f>
        <v>11 days ago</v>
      </c>
      <c r="X43" s="97"/>
      <c r="Y43" s="111" t="str">
        <f>IFERROR(__xludf.DUMMYFUNCTION("""COMPUTED_VALUE"""),"Kuszaushko")</f>
        <v>Kuszaushko</v>
      </c>
      <c r="Z43" s="111" t="str">
        <f>IFERROR(__xludf.DUMMYFUNCTION("""COMPUTED_VALUE"""),"")</f>
        <v/>
      </c>
      <c r="AA43" s="111" t="str">
        <f>IFERROR(__xludf.DUMMYFUNCTION("""COMPUTED_VALUE"""),"Twisting Nether")</f>
        <v>Twisting Nether</v>
      </c>
      <c r="AB43" s="108">
        <f>IFERROR(__xludf.DUMMYFUNCTION("""COMPUTED_VALUE"""),404.63)</f>
        <v>404.63</v>
      </c>
      <c r="AC43" s="111" t="str">
        <f>IFERROR(__xludf.DUMMYFUNCTION("""COMPUTED_VALUE"""),"6 days ago")</f>
        <v>6 days ago</v>
      </c>
      <c r="AD43" s="112"/>
      <c r="AE43" s="111" t="str">
        <f>IFERROR(__xludf.DUMMYFUNCTION("""COMPUTED_VALUE"""),"Amerack")</f>
        <v>Amerack</v>
      </c>
      <c r="AF43" s="111" t="str">
        <f>IFERROR(__xludf.DUMMYFUNCTION("""COMPUTED_VALUE"""),"Fused has Fans")</f>
        <v>Fused has Fans</v>
      </c>
      <c r="AG43" s="111" t="str">
        <f>IFERROR(__xludf.DUMMYFUNCTION("""COMPUTED_VALUE"""),"Tarren Mill")</f>
        <v>Tarren Mill</v>
      </c>
      <c r="AH43" s="108">
        <f>IFERROR(__xludf.DUMMYFUNCTION("""COMPUTED_VALUE"""),407.56)</f>
        <v>407.56</v>
      </c>
      <c r="AI43" s="111" t="str">
        <f>IFERROR(__xludf.DUMMYFUNCTION("""COMPUTED_VALUE"""),"11 days ago")</f>
        <v>11 days ago</v>
      </c>
      <c r="AJ43" s="113"/>
      <c r="AK43" s="111" t="str">
        <f>IFERROR(__xludf.DUMMYFUNCTION("""COMPUTED_VALUE"""),"Nalarean")</f>
        <v>Nalarean</v>
      </c>
      <c r="AL43" s="111" t="str">
        <f>IFERROR(__xludf.DUMMYFUNCTION("""COMPUTED_VALUE"""),"")</f>
        <v/>
      </c>
      <c r="AM43" s="111" t="str">
        <f>IFERROR(__xludf.DUMMYFUNCTION("""COMPUTED_VALUE"""),"Stormscale")</f>
        <v>Stormscale</v>
      </c>
      <c r="AN43" s="111">
        <f>IFERROR(__xludf.DUMMYFUNCTION("""COMPUTED_VALUE"""),403.75)</f>
        <v>403.75</v>
      </c>
      <c r="AO43" s="111" t="str">
        <f>IFERROR(__xludf.DUMMYFUNCTION("""COMPUTED_VALUE"""),"18 days ago")</f>
        <v>18 days ago</v>
      </c>
      <c r="AP43" s="114"/>
      <c r="AQ43" s="111" t="str">
        <f>IFERROR(__xludf.DUMMYFUNCTION("""COMPUTED_VALUE"""),"Pettzzon")</f>
        <v>Pettzzon</v>
      </c>
      <c r="AR43" s="111" t="str">
        <f>IFERROR(__xludf.DUMMYFUNCTION("""COMPUTED_VALUE"""),"")</f>
        <v/>
      </c>
      <c r="AS43" s="111" t="str">
        <f>IFERROR(__xludf.DUMMYFUNCTION("""COMPUTED_VALUE"""),"Talnivarr")</f>
        <v>Talnivarr</v>
      </c>
      <c r="AT43" s="108">
        <f>IFERROR(__xludf.DUMMYFUNCTION("""COMPUTED_VALUE"""),403.69)</f>
        <v>403.69</v>
      </c>
      <c r="AU43" s="111" t="str">
        <f>IFERROR(__xludf.DUMMYFUNCTION("""COMPUTED_VALUE"""),"4 days ago")</f>
        <v>4 days ago</v>
      </c>
      <c r="AV43" s="115"/>
      <c r="AW43" s="116" t="str">
        <f>IFERROR(__xludf.DUMMYFUNCTION("""COMPUTED_VALUE"""),"Mirq")</f>
        <v>Mirq</v>
      </c>
      <c r="AX43" s="111" t="str">
        <f>IFERROR(__xludf.DUMMYFUNCTION("""COMPUTED_VALUE"""),"")</f>
        <v/>
      </c>
      <c r="AY43" s="111" t="str">
        <f>IFERROR(__xludf.DUMMYFUNCTION("""COMPUTED_VALUE"""),"Terokkar")</f>
        <v>Terokkar</v>
      </c>
      <c r="AZ43" s="108">
        <f>IFERROR(__xludf.DUMMYFUNCTION("""COMPUTED_VALUE"""),406.31)</f>
        <v>406.31</v>
      </c>
      <c r="BA43" s="111" t="str">
        <f>IFERROR(__xludf.DUMMYFUNCTION("""COMPUTED_VALUE"""),"5 days ago")</f>
        <v>5 days ago</v>
      </c>
      <c r="BB43" s="117"/>
      <c r="BC43" s="116"/>
      <c r="BD43" s="111"/>
      <c r="BE43" s="111"/>
      <c r="BF43" s="108"/>
      <c r="BG43" s="111"/>
      <c r="BH43" s="118"/>
      <c r="BI43" s="116" t="str">
        <f>IFERROR(__xludf.DUMMYFUNCTION("""COMPUTED_VALUE"""),"Nocturnall")</f>
        <v>Nocturnall</v>
      </c>
      <c r="BJ43" s="111" t="str">
        <f>IFERROR(__xludf.DUMMYFUNCTION("""COMPUTED_VALUE"""),"Aess")</f>
        <v>Aess</v>
      </c>
      <c r="BK43" s="111" t="str">
        <f>IFERROR(__xludf.DUMMYFUNCTION("""COMPUTED_VALUE"""),"Twisting Nether")</f>
        <v>Twisting Nether</v>
      </c>
      <c r="BL43" s="108">
        <f>IFERROR(__xludf.DUMMYFUNCTION("""COMPUTED_VALUE"""),403.75)</f>
        <v>403.75</v>
      </c>
      <c r="BM43" s="111" t="str">
        <f>IFERROR(__xludf.DUMMYFUNCTION("""COMPUTED_VALUE"""),"12 days ago")</f>
        <v>12 days ago</v>
      </c>
      <c r="BN43" s="119"/>
      <c r="BO43" s="116" t="str">
        <f>IFERROR(__xludf.DUMMYFUNCTION("""COMPUTED_VALUE"""),"Nooboclap")</f>
        <v>Nooboclap</v>
      </c>
      <c r="BP43" s="111" t="str">
        <f>IFERROR(__xludf.DUMMYFUNCTION("""COMPUTED_VALUE"""),"BIG CITY LIFE")</f>
        <v>BIG CITY LIFE</v>
      </c>
      <c r="BQ43" s="111" t="str">
        <f>IFERROR(__xludf.DUMMYFUNCTION("""COMPUTED_VALUE"""),"Terokkar")</f>
        <v>Terokkar</v>
      </c>
      <c r="BR43" s="108">
        <f>IFERROR(__xludf.DUMMYFUNCTION("""COMPUTED_VALUE"""),403.0)</f>
        <v>403</v>
      </c>
      <c r="BS43" s="111" t="str">
        <f>IFERROR(__xludf.DUMMYFUNCTION("""COMPUTED_VALUE"""),"5 days ago")</f>
        <v>5 days ago</v>
      </c>
      <c r="BT43" s="120"/>
      <c r="BU43" s="107" t="str">
        <f t="shared" ref="BU43:BY43" si="38">G20</f>
        <v>Realchill</v>
      </c>
      <c r="BV43" s="107" t="str">
        <f t="shared" si="38"/>
        <v>Orz</v>
      </c>
      <c r="BW43" s="107" t="str">
        <f t="shared" si="38"/>
        <v>Draenor</v>
      </c>
      <c r="BX43" s="107">
        <f t="shared" si="38"/>
        <v>410.69</v>
      </c>
      <c r="BY43" s="107" t="str">
        <f t="shared" si="38"/>
        <v>8 days ago</v>
      </c>
      <c r="BZ43" s="108"/>
    </row>
    <row r="44">
      <c r="A44" t="str">
        <f>IFERROR(__xludf.DUMMYFUNCTION("""COMPUTED_VALUE"""),"Centac")</f>
        <v>Centac</v>
      </c>
      <c r="B44" t="str">
        <f>IFERROR(__xludf.DUMMYFUNCTION("""COMPUTED_VALUE"""),"Plata o Plomo")</f>
        <v>Plata o Plomo</v>
      </c>
      <c r="C44" t="str">
        <f>IFERROR(__xludf.DUMMYFUNCTION("""COMPUTED_VALUE"""),"Tarren Mill")</f>
        <v>Tarren Mill</v>
      </c>
      <c r="D44">
        <f>IFERROR(__xludf.DUMMYFUNCTION("""COMPUTED_VALUE"""),406.31)</f>
        <v>406.31</v>
      </c>
      <c r="E44" t="str">
        <f>IFERROR(__xludf.DUMMYFUNCTION("""COMPUTED_VALUE"""),"13 days ago")</f>
        <v>13 days ago</v>
      </c>
      <c r="F44" s="94"/>
      <c r="L44" s="95"/>
      <c r="M44" t="str">
        <f>IFERROR(__xludf.DUMMYFUNCTION("""COMPUTED_VALUE"""),"Sereneh")</f>
        <v>Sereneh</v>
      </c>
      <c r="N44" t="str">
        <f>IFERROR(__xludf.DUMMYFUNCTION("""COMPUTED_VALUE"""),"Sodium Chloride")</f>
        <v>Sodium Chloride</v>
      </c>
      <c r="O44" t="str">
        <f>IFERROR(__xludf.DUMMYFUNCTION("""COMPUTED_VALUE"""),"Silvermoon")</f>
        <v>Silvermoon</v>
      </c>
      <c r="P44">
        <f>IFERROR(__xludf.DUMMYFUNCTION("""COMPUTED_VALUE"""),406.56)</f>
        <v>406.56</v>
      </c>
      <c r="Q44" t="str">
        <f>IFERROR(__xludf.DUMMYFUNCTION("""COMPUTED_VALUE"""),"29 days ago")</f>
        <v>29 days ago</v>
      </c>
      <c r="R44" s="96"/>
      <c r="S44" t="str">
        <f>IFERROR(__xludf.DUMMYFUNCTION("""COMPUTED_VALUE"""),"Lesyndra")</f>
        <v>Lesyndra</v>
      </c>
      <c r="T44" t="str">
        <f>IFERROR(__xludf.DUMMYFUNCTION("""COMPUTED_VALUE"""),"Borderline Violent")</f>
        <v>Borderline Violent</v>
      </c>
      <c r="U44" t="str">
        <f>IFERROR(__xludf.DUMMYFUNCTION("""COMPUTED_VALUE"""),"Kazzak")</f>
        <v>Kazzak</v>
      </c>
      <c r="V44">
        <f>IFERROR(__xludf.DUMMYFUNCTION("""COMPUTED_VALUE"""),401.31)</f>
        <v>401.31</v>
      </c>
      <c r="W44" t="str">
        <f>IFERROR(__xludf.DUMMYFUNCTION("""COMPUTED_VALUE"""),"6 days ago")</f>
        <v>6 days ago</v>
      </c>
      <c r="X44" s="97"/>
      <c r="Y44" s="111" t="str">
        <f>IFERROR(__xludf.DUMMYFUNCTION("""COMPUTED_VALUE"""),"Haki")</f>
        <v>Haki</v>
      </c>
      <c r="Z44" s="111" t="str">
        <f>IFERROR(__xludf.DUMMYFUNCTION("""COMPUTED_VALUE"""),"Mana Curve")</f>
        <v>Mana Curve</v>
      </c>
      <c r="AA44" s="111" t="str">
        <f>IFERROR(__xludf.DUMMYFUNCTION("""COMPUTED_VALUE"""),"Kazzak")</f>
        <v>Kazzak</v>
      </c>
      <c r="AB44" s="108">
        <f>IFERROR(__xludf.DUMMYFUNCTION("""COMPUTED_VALUE"""),404.31)</f>
        <v>404.31</v>
      </c>
      <c r="AC44" s="111" t="str">
        <f>IFERROR(__xludf.DUMMYFUNCTION("""COMPUTED_VALUE"""),"20 days ago")</f>
        <v>20 days ago</v>
      </c>
      <c r="AD44" s="112"/>
      <c r="AE44" s="111" t="str">
        <f>IFERROR(__xludf.DUMMYFUNCTION("""COMPUTED_VALUE"""),"Pandaké")</f>
        <v>Pandaké</v>
      </c>
      <c r="AF44" s="111" t="str">
        <f>IFERROR(__xludf.DUMMYFUNCTION("""COMPUTED_VALUE"""),"The Panda Next Door")</f>
        <v>The Panda Next Door</v>
      </c>
      <c r="AG44" s="111" t="str">
        <f>IFERROR(__xludf.DUMMYFUNCTION("""COMPUTED_VALUE"""),"Kazzak")</f>
        <v>Kazzak</v>
      </c>
      <c r="AH44" s="108">
        <f>IFERROR(__xludf.DUMMYFUNCTION("""COMPUTED_VALUE"""),407.56)</f>
        <v>407.56</v>
      </c>
      <c r="AI44" s="111" t="str">
        <f>IFERROR(__xludf.DUMMYFUNCTION("""COMPUTED_VALUE"""),"7 days ago")</f>
        <v>7 days ago</v>
      </c>
      <c r="AJ44" s="113"/>
      <c r="AK44" s="111" t="str">
        <f>IFERROR(__xludf.DUMMYFUNCTION("""COMPUTED_VALUE"""),"Løcô")</f>
        <v>Løcô</v>
      </c>
      <c r="AL44" s="111" t="str">
        <f>IFERROR(__xludf.DUMMYFUNCTION("""COMPUTED_VALUE"""),"Greenfield")</f>
        <v>Greenfield</v>
      </c>
      <c r="AM44" s="111" t="str">
        <f>IFERROR(__xludf.DUMMYFUNCTION("""COMPUTED_VALUE"""),"Chamber of Aspects")</f>
        <v>Chamber of Aspects</v>
      </c>
      <c r="AN44" s="111">
        <f>IFERROR(__xludf.DUMMYFUNCTION("""COMPUTED_VALUE"""),403.5)</f>
        <v>403.5</v>
      </c>
      <c r="AO44" s="111" t="str">
        <f>IFERROR(__xludf.DUMMYFUNCTION("""COMPUTED_VALUE"""),"18 days ago")</f>
        <v>18 days ago</v>
      </c>
      <c r="AP44" s="114"/>
      <c r="AQ44" s="111" t="str">
        <f>IFERROR(__xludf.DUMMYFUNCTION("""COMPUTED_VALUE"""),"Netyria")</f>
        <v>Netyria</v>
      </c>
      <c r="AR44" s="111" t="str">
        <f>IFERROR(__xludf.DUMMYFUNCTION("""COMPUTED_VALUE"""),"Noted")</f>
        <v>Noted</v>
      </c>
      <c r="AS44" s="111" t="str">
        <f>IFERROR(__xludf.DUMMYFUNCTION("""COMPUTED_VALUE"""),"Twisting Nether")</f>
        <v>Twisting Nether</v>
      </c>
      <c r="AT44" s="108">
        <f>IFERROR(__xludf.DUMMYFUNCTION("""COMPUTED_VALUE"""),403.56)</f>
        <v>403.56</v>
      </c>
      <c r="AU44" s="111" t="str">
        <f>IFERROR(__xludf.DUMMYFUNCTION("""COMPUTED_VALUE"""),"29 days ago")</f>
        <v>29 days ago</v>
      </c>
      <c r="AV44" s="115"/>
      <c r="AW44" s="116" t="str">
        <f>IFERROR(__xludf.DUMMYFUNCTION("""COMPUTED_VALUE"""),"Aríya")</f>
        <v>Aríya</v>
      </c>
      <c r="AX44" s="111" t="str">
        <f>IFERROR(__xludf.DUMMYFUNCTION("""COMPUTED_VALUE"""),"Prime")</f>
        <v>Prime</v>
      </c>
      <c r="AY44" s="111" t="str">
        <f>IFERROR(__xludf.DUMMYFUNCTION("""COMPUTED_VALUE"""),"Defias Brotherhood")</f>
        <v>Defias Brotherhood</v>
      </c>
      <c r="AZ44" s="108">
        <f>IFERROR(__xludf.DUMMYFUNCTION("""COMPUTED_VALUE"""),406.13)</f>
        <v>406.13</v>
      </c>
      <c r="BA44" s="111" t="str">
        <f>IFERROR(__xludf.DUMMYFUNCTION("""COMPUTED_VALUE"""),"3 days ago")</f>
        <v>3 days ago</v>
      </c>
      <c r="BB44" s="117"/>
      <c r="BC44" s="116"/>
      <c r="BD44" s="111"/>
      <c r="BE44" s="111"/>
      <c r="BF44" s="108"/>
      <c r="BG44" s="111"/>
      <c r="BH44" s="118"/>
      <c r="BI44" s="116" t="str">
        <f>IFERROR(__xludf.DUMMYFUNCTION("""COMPUTED_VALUE"""),"Jynxer")</f>
        <v>Jynxer</v>
      </c>
      <c r="BJ44" s="111" t="str">
        <f>IFERROR(__xludf.DUMMYFUNCTION("""COMPUTED_VALUE"""),"DoNotResuscitate")</f>
        <v>DoNotResuscitate</v>
      </c>
      <c r="BK44" s="111" t="str">
        <f>IFERROR(__xludf.DUMMYFUNCTION("""COMPUTED_VALUE"""),"Twisting Nether")</f>
        <v>Twisting Nether</v>
      </c>
      <c r="BL44" s="108">
        <f>IFERROR(__xludf.DUMMYFUNCTION("""COMPUTED_VALUE"""),403.44)</f>
        <v>403.44</v>
      </c>
      <c r="BM44" s="111" t="str">
        <f>IFERROR(__xludf.DUMMYFUNCTION("""COMPUTED_VALUE"""),"29 days ago")</f>
        <v>29 days ago</v>
      </c>
      <c r="BN44" s="119"/>
      <c r="BO44" s="116" t="str">
        <f>IFERROR(__xludf.DUMMYFUNCTION("""COMPUTED_VALUE"""),"Argabull")</f>
        <v>Argabull</v>
      </c>
      <c r="BP44" s="111" t="str">
        <f>IFERROR(__xludf.DUMMYFUNCTION("""COMPUTED_VALUE"""),"")</f>
        <v/>
      </c>
      <c r="BQ44" s="111" t="str">
        <f>IFERROR(__xludf.DUMMYFUNCTION("""COMPUTED_VALUE"""),"Kazzak")</f>
        <v>Kazzak</v>
      </c>
      <c r="BR44" s="108">
        <f>IFERROR(__xludf.DUMMYFUNCTION("""COMPUTED_VALUE"""),402.88)</f>
        <v>402.88</v>
      </c>
      <c r="BS44" s="111" t="str">
        <f>IFERROR(__xludf.DUMMYFUNCTION("""COMPUTED_VALUE"""),"21 hour ago")</f>
        <v>21 hour ago</v>
      </c>
      <c r="BT44" s="120"/>
      <c r="BU44" s="107" t="str">
        <f t="shared" ref="BU44:BY44" si="39">G21</f>
        <v>Amoveo</v>
      </c>
      <c r="BV44" s="107" t="str">
        <f t="shared" si="39"/>
        <v>Novella</v>
      </c>
      <c r="BW44" s="107" t="str">
        <f t="shared" si="39"/>
        <v>Draenor</v>
      </c>
      <c r="BX44" s="107">
        <f t="shared" si="39"/>
        <v>410.63</v>
      </c>
      <c r="BY44" s="107" t="str">
        <f t="shared" si="39"/>
        <v>5 days ago</v>
      </c>
      <c r="BZ44" s="108"/>
    </row>
    <row r="45">
      <c r="A45" t="str">
        <f>IFERROR(__xludf.DUMMYFUNCTION("""COMPUTED_VALUE"""),"Slimygriever")</f>
        <v>Slimygriever</v>
      </c>
      <c r="B45" t="str">
        <f>IFERROR(__xludf.DUMMYFUNCTION("""COMPUTED_VALUE"""),"")</f>
        <v/>
      </c>
      <c r="C45" t="str">
        <f>IFERROR(__xludf.DUMMYFUNCTION("""COMPUTED_VALUE"""),"Defias Brotherhood")</f>
        <v>Defias Brotherhood</v>
      </c>
      <c r="D45">
        <f>IFERROR(__xludf.DUMMYFUNCTION("""COMPUTED_VALUE"""),406.0)</f>
        <v>406</v>
      </c>
      <c r="E45" t="str">
        <f>IFERROR(__xludf.DUMMYFUNCTION("""COMPUTED_VALUE"""),"22 days ago")</f>
        <v>22 days ago</v>
      </c>
      <c r="F45" s="94"/>
      <c r="L45" s="95"/>
      <c r="M45" t="str">
        <f>IFERROR(__xludf.DUMMYFUNCTION("""COMPUTED_VALUE"""),"Bejnik")</f>
        <v>Bejnik</v>
      </c>
      <c r="N45" t="str">
        <f>IFERROR(__xludf.DUMMYFUNCTION("""COMPUTED_VALUE"""),"Primori Morte")</f>
        <v>Primori Morte</v>
      </c>
      <c r="O45" t="str">
        <f>IFERROR(__xludf.DUMMYFUNCTION("""COMPUTED_VALUE"""),"Burning Legion")</f>
        <v>Burning Legion</v>
      </c>
      <c r="P45">
        <f>IFERROR(__xludf.DUMMYFUNCTION("""COMPUTED_VALUE"""),406.5)</f>
        <v>406.5</v>
      </c>
      <c r="Q45" t="str">
        <f>IFERROR(__xludf.DUMMYFUNCTION("""COMPUTED_VALUE"""),"4 days ago")</f>
        <v>4 days ago</v>
      </c>
      <c r="R45" s="96"/>
      <c r="S45" t="str">
        <f>IFERROR(__xludf.DUMMYFUNCTION("""COMPUTED_VALUE"""),"Snygghunter")</f>
        <v>Snygghunter</v>
      </c>
      <c r="T45" t="str">
        <f>IFERROR(__xludf.DUMMYFUNCTION("""COMPUTED_VALUE"""),"Sentience")</f>
        <v>Sentience</v>
      </c>
      <c r="U45" t="str">
        <f>IFERROR(__xludf.DUMMYFUNCTION("""COMPUTED_VALUE"""),"Tarren Mill")</f>
        <v>Tarren Mill</v>
      </c>
      <c r="V45">
        <f>IFERROR(__xludf.DUMMYFUNCTION("""COMPUTED_VALUE"""),401.25)</f>
        <v>401.25</v>
      </c>
      <c r="W45" t="str">
        <f>IFERROR(__xludf.DUMMYFUNCTION("""COMPUTED_VALUE"""),"29 days ago")</f>
        <v>29 days ago</v>
      </c>
      <c r="X45" s="97"/>
      <c r="Y45" s="111" t="str">
        <f>IFERROR(__xludf.DUMMYFUNCTION("""COMPUTED_VALUE"""),"Imbáss")</f>
        <v>Imbáss</v>
      </c>
      <c r="Z45" s="111" t="str">
        <f>IFERROR(__xludf.DUMMYFUNCTION("""COMPUTED_VALUE"""),"")</f>
        <v/>
      </c>
      <c r="AA45" s="111" t="str">
        <f>IFERROR(__xludf.DUMMYFUNCTION("""COMPUTED_VALUE"""),"Draenor")</f>
        <v>Draenor</v>
      </c>
      <c r="AB45" s="108">
        <f>IFERROR(__xludf.DUMMYFUNCTION("""COMPUTED_VALUE"""),404.06)</f>
        <v>404.06</v>
      </c>
      <c r="AC45" s="111" t="str">
        <f>IFERROR(__xludf.DUMMYFUNCTION("""COMPUTED_VALUE"""),"5 days ago")</f>
        <v>5 days ago</v>
      </c>
      <c r="AD45" s="112"/>
      <c r="AE45" s="111" t="str">
        <f>IFERROR(__xludf.DUMMYFUNCTION("""COMPUTED_VALUE"""),"Warrenmonk")</f>
        <v>Warrenmonk</v>
      </c>
      <c r="AF45" s="111" t="str">
        <f>IFERROR(__xludf.DUMMYFUNCTION("""COMPUTED_VALUE"""),"")</f>
        <v/>
      </c>
      <c r="AG45" s="111" t="str">
        <f>IFERROR(__xludf.DUMMYFUNCTION("""COMPUTED_VALUE"""),"Defias Brotherhood")</f>
        <v>Defias Brotherhood</v>
      </c>
      <c r="AH45" s="108">
        <f>IFERROR(__xludf.DUMMYFUNCTION("""COMPUTED_VALUE"""),407.25)</f>
        <v>407.25</v>
      </c>
      <c r="AI45" s="111" t="str">
        <f>IFERROR(__xludf.DUMMYFUNCTION("""COMPUTED_VALUE"""),"2 days ago")</f>
        <v>2 days ago</v>
      </c>
      <c r="AJ45" s="113"/>
      <c r="AK45" s="111" t="str">
        <f>IFERROR(__xludf.DUMMYFUNCTION("""COMPUTED_VALUE"""),"Zerura")</f>
        <v>Zerura</v>
      </c>
      <c r="AL45" s="111" t="str">
        <f>IFERROR(__xludf.DUMMYFUNCTION("""COMPUTED_VALUE"""),"The Alternative")</f>
        <v>The Alternative</v>
      </c>
      <c r="AM45" s="111" t="str">
        <f>IFERROR(__xludf.DUMMYFUNCTION("""COMPUTED_VALUE"""),"Silvermoon")</f>
        <v>Silvermoon</v>
      </c>
      <c r="AN45" s="111">
        <f>IFERROR(__xludf.DUMMYFUNCTION("""COMPUTED_VALUE"""),403.38)</f>
        <v>403.38</v>
      </c>
      <c r="AO45" s="111" t="str">
        <f>IFERROR(__xludf.DUMMYFUNCTION("""COMPUTED_VALUE"""),"16 days ago")</f>
        <v>16 days ago</v>
      </c>
      <c r="AP45" s="114"/>
      <c r="AQ45" s="111" t="str">
        <f>IFERROR(__xludf.DUMMYFUNCTION("""COMPUTED_VALUE"""),"Ranelaghx")</f>
        <v>Ranelaghx</v>
      </c>
      <c r="AR45" s="111" t="str">
        <f>IFERROR(__xludf.DUMMYFUNCTION("""COMPUTED_VALUE"""),"MRK")</f>
        <v>MRK</v>
      </c>
      <c r="AS45" s="111" t="str">
        <f>IFERROR(__xludf.DUMMYFUNCTION("""COMPUTED_VALUE"""),"Kazzak")</f>
        <v>Kazzak</v>
      </c>
      <c r="AT45" s="108">
        <f>IFERROR(__xludf.DUMMYFUNCTION("""COMPUTED_VALUE"""),403.13)</f>
        <v>403.13</v>
      </c>
      <c r="AU45" s="111" t="str">
        <f>IFERROR(__xludf.DUMMYFUNCTION("""COMPUTED_VALUE"""),"9 days ago")</f>
        <v>9 days ago</v>
      </c>
      <c r="AV45" s="115"/>
      <c r="AW45" s="116" t="str">
        <f>IFERROR(__xludf.DUMMYFUNCTION("""COMPUTED_VALUE"""),"Silentblades")</f>
        <v>Silentblades</v>
      </c>
      <c r="AX45" s="111" t="str">
        <f>IFERROR(__xludf.DUMMYFUNCTION("""COMPUTED_VALUE"""),"Unlimited Patience")</f>
        <v>Unlimited Patience</v>
      </c>
      <c r="AY45" s="111" t="str">
        <f>IFERROR(__xludf.DUMMYFUNCTION("""COMPUTED_VALUE"""),"Argent Dawn")</f>
        <v>Argent Dawn</v>
      </c>
      <c r="AZ45" s="108">
        <f>IFERROR(__xludf.DUMMYFUNCTION("""COMPUTED_VALUE"""),405.94)</f>
        <v>405.94</v>
      </c>
      <c r="BA45" s="111" t="str">
        <f>IFERROR(__xludf.DUMMYFUNCTION("""COMPUTED_VALUE"""),"23 days ago")</f>
        <v>23 days ago</v>
      </c>
      <c r="BB45" s="117"/>
      <c r="BC45" s="116"/>
      <c r="BD45" s="111"/>
      <c r="BE45" s="111"/>
      <c r="BF45" s="108"/>
      <c r="BG45" s="111"/>
      <c r="BH45" s="118"/>
      <c r="BI45" s="116" t="str">
        <f>IFERROR(__xludf.DUMMYFUNCTION("""COMPUTED_VALUE"""),"Zyce")</f>
        <v>Zyce</v>
      </c>
      <c r="BJ45" s="111" t="str">
        <f>IFERROR(__xludf.DUMMYFUNCTION("""COMPUTED_VALUE"""),"The Rejected Few")</f>
        <v>The Rejected Few</v>
      </c>
      <c r="BK45" s="111" t="str">
        <f>IFERROR(__xludf.DUMMYFUNCTION("""COMPUTED_VALUE"""),"Draenor")</f>
        <v>Draenor</v>
      </c>
      <c r="BL45" s="108">
        <f>IFERROR(__xludf.DUMMYFUNCTION("""COMPUTED_VALUE"""),403.13)</f>
        <v>403.13</v>
      </c>
      <c r="BM45" s="111" t="str">
        <f>IFERROR(__xludf.DUMMYFUNCTION("""COMPUTED_VALUE"""),"20 days ago")</f>
        <v>20 days ago</v>
      </c>
      <c r="BN45" s="119"/>
      <c r="BO45" s="116" t="str">
        <f>IFERROR(__xludf.DUMMYFUNCTION("""COMPUTED_VALUE"""),"Marxus")</f>
        <v>Marxus</v>
      </c>
      <c r="BP45" s="111" t="str">
        <f>IFERROR(__xludf.DUMMYFUNCTION("""COMPUTED_VALUE"""),"Team Epic")</f>
        <v>Team Epic</v>
      </c>
      <c r="BQ45" s="111" t="str">
        <f>IFERROR(__xludf.DUMMYFUNCTION("""COMPUTED_VALUE"""),"Steamwheedle Cartel")</f>
        <v>Steamwheedle Cartel</v>
      </c>
      <c r="BR45" s="108">
        <f>IFERROR(__xludf.DUMMYFUNCTION("""COMPUTED_VALUE"""),402.81)</f>
        <v>402.81</v>
      </c>
      <c r="BS45" s="111" t="str">
        <f>IFERROR(__xludf.DUMMYFUNCTION("""COMPUTED_VALUE"""),"1 day ago")</f>
        <v>1 day ago</v>
      </c>
      <c r="BT45" s="120"/>
      <c r="BU45" s="107" t="str">
        <f t="shared" ref="BU45:BY45" si="40">G22</f>
        <v>Kirisaitedh</v>
      </c>
      <c r="BV45" s="107" t="str">
        <f t="shared" si="40"/>
        <v>Faithlèss</v>
      </c>
      <c r="BW45" s="107" t="str">
        <f t="shared" si="40"/>
        <v>Kazzak</v>
      </c>
      <c r="BX45" s="107">
        <f t="shared" si="40"/>
        <v>410.63</v>
      </c>
      <c r="BY45" s="107" t="str">
        <f t="shared" si="40"/>
        <v>6 days ago</v>
      </c>
      <c r="BZ45" s="108"/>
    </row>
    <row r="46">
      <c r="A46" t="str">
        <f>IFERROR(__xludf.DUMMYFUNCTION("""COMPUTED_VALUE"""),"Bävermatsqt")</f>
        <v>Bävermatsqt</v>
      </c>
      <c r="B46" t="str">
        <f>IFERROR(__xludf.DUMMYFUNCTION("""COMPUTED_VALUE"""),"Delusional")</f>
        <v>Delusional</v>
      </c>
      <c r="C46" t="str">
        <f>IFERROR(__xludf.DUMMYFUNCTION("""COMPUTED_VALUE"""),"Ravencrest")</f>
        <v>Ravencrest</v>
      </c>
      <c r="D46">
        <f>IFERROR(__xludf.DUMMYFUNCTION("""COMPUTED_VALUE"""),405.94)</f>
        <v>405.94</v>
      </c>
      <c r="E46" t="str">
        <f>IFERROR(__xludf.DUMMYFUNCTION("""COMPUTED_VALUE"""),"5 days ago")</f>
        <v>5 days ago</v>
      </c>
      <c r="F46" s="94"/>
      <c r="L46" s="95"/>
      <c r="M46" t="str">
        <f>IFERROR(__xludf.DUMMYFUNCTION("""COMPUTED_VALUE"""),"Nazgo")</f>
        <v>Nazgo</v>
      </c>
      <c r="N46" t="str">
        <f>IFERROR(__xludf.DUMMYFUNCTION("""COMPUTED_VALUE"""),"Dark Glare")</f>
        <v>Dark Glare</v>
      </c>
      <c r="O46" t="str">
        <f>IFERROR(__xludf.DUMMYFUNCTION("""COMPUTED_VALUE"""),"Moonglade")</f>
        <v>Moonglade</v>
      </c>
      <c r="P46">
        <f>IFERROR(__xludf.DUMMYFUNCTION("""COMPUTED_VALUE"""),406.5)</f>
        <v>406.5</v>
      </c>
      <c r="Q46" t="str">
        <f>IFERROR(__xludf.DUMMYFUNCTION("""COMPUTED_VALUE"""),"19 days ago")</f>
        <v>19 days ago</v>
      </c>
      <c r="R46" s="96"/>
      <c r="S46" t="str">
        <f>IFERROR(__xludf.DUMMYFUNCTION("""COMPUTED_VALUE"""),"Tianji")</f>
        <v>Tianji</v>
      </c>
      <c r="T46" t="str">
        <f>IFERROR(__xludf.DUMMYFUNCTION("""COMPUTED_VALUE"""),"Hammer")</f>
        <v>Hammer</v>
      </c>
      <c r="U46" t="str">
        <f>IFERROR(__xludf.DUMMYFUNCTION("""COMPUTED_VALUE"""),"Silvermoon")</f>
        <v>Silvermoon</v>
      </c>
      <c r="V46">
        <f>IFERROR(__xludf.DUMMYFUNCTION("""COMPUTED_VALUE"""),401.19)</f>
        <v>401.19</v>
      </c>
      <c r="W46" t="str">
        <f>IFERROR(__xludf.DUMMYFUNCTION("""COMPUTED_VALUE"""),"1 day ago")</f>
        <v>1 day ago</v>
      </c>
      <c r="X46" s="97"/>
      <c r="Y46" s="111" t="str">
        <f>IFERROR(__xludf.DUMMYFUNCTION("""COMPUTED_VALUE"""),"Róllie")</f>
        <v>Róllie</v>
      </c>
      <c r="Z46" s="111" t="str">
        <f>IFERROR(__xludf.DUMMYFUNCTION("""COMPUTED_VALUE"""),"")</f>
        <v/>
      </c>
      <c r="AA46" s="111" t="str">
        <f>IFERROR(__xludf.DUMMYFUNCTION("""COMPUTED_VALUE"""),"Kazzak")</f>
        <v>Kazzak</v>
      </c>
      <c r="AB46" s="108">
        <f>IFERROR(__xludf.DUMMYFUNCTION("""COMPUTED_VALUE"""),403.5)</f>
        <v>403.5</v>
      </c>
      <c r="AC46" s="111" t="str">
        <f>IFERROR(__xludf.DUMMYFUNCTION("""COMPUTED_VALUE"""),"3 days ago")</f>
        <v>3 days ago</v>
      </c>
      <c r="AD46" s="112"/>
      <c r="AE46" s="111" t="str">
        <f>IFERROR(__xludf.DUMMYFUNCTION("""COMPUTED_VALUE"""),"Mat")</f>
        <v>Mat</v>
      </c>
      <c r="AF46" s="111" t="str">
        <f>IFERROR(__xludf.DUMMYFUNCTION("""COMPUTED_VALUE"""),"Suggestion")</f>
        <v>Suggestion</v>
      </c>
      <c r="AG46" s="111" t="str">
        <f>IFERROR(__xludf.DUMMYFUNCTION("""COMPUTED_VALUE"""),"Draenor")</f>
        <v>Draenor</v>
      </c>
      <c r="AH46" s="108">
        <f>IFERROR(__xludf.DUMMYFUNCTION("""COMPUTED_VALUE"""),406.94)</f>
        <v>406.94</v>
      </c>
      <c r="AI46" s="111" t="str">
        <f>IFERROR(__xludf.DUMMYFUNCTION("""COMPUTED_VALUE"""),"1 day ago")</f>
        <v>1 day ago</v>
      </c>
      <c r="AJ46" s="113"/>
      <c r="AK46" s="111" t="str">
        <f>IFERROR(__xludf.DUMMYFUNCTION("""COMPUTED_VALUE"""),"Menase")</f>
        <v>Menase</v>
      </c>
      <c r="AL46" s="111" t="str">
        <f>IFERROR(__xludf.DUMMYFUNCTION("""COMPUTED_VALUE"""),"")</f>
        <v/>
      </c>
      <c r="AM46" s="111" t="str">
        <f>IFERROR(__xludf.DUMMYFUNCTION("""COMPUTED_VALUE"""),"Twisting Nether")</f>
        <v>Twisting Nether</v>
      </c>
      <c r="AN46" s="111">
        <f>IFERROR(__xludf.DUMMYFUNCTION("""COMPUTED_VALUE"""),402.5)</f>
        <v>402.5</v>
      </c>
      <c r="AO46" s="111" t="str">
        <f>IFERROR(__xludf.DUMMYFUNCTION("""COMPUTED_VALUE"""),"19 days ago")</f>
        <v>19 days ago</v>
      </c>
      <c r="AP46" s="114"/>
      <c r="AQ46" s="111" t="str">
        <f>IFERROR(__xludf.DUMMYFUNCTION("""COMPUTED_VALUE"""),"Nihilism")</f>
        <v>Nihilism</v>
      </c>
      <c r="AR46" s="111" t="str">
        <f>IFERROR(__xludf.DUMMYFUNCTION("""COMPUTED_VALUE"""),"DLC")</f>
        <v>DLC</v>
      </c>
      <c r="AS46" s="111" t="str">
        <f>IFERROR(__xludf.DUMMYFUNCTION("""COMPUTED_VALUE"""),"Dragonblight")</f>
        <v>Dragonblight</v>
      </c>
      <c r="AT46" s="108">
        <f>IFERROR(__xludf.DUMMYFUNCTION("""COMPUTED_VALUE"""),403.06)</f>
        <v>403.06</v>
      </c>
      <c r="AU46" s="111" t="str">
        <f>IFERROR(__xludf.DUMMYFUNCTION("""COMPUTED_VALUE"""),"2 days ago")</f>
        <v>2 days ago</v>
      </c>
      <c r="AV46" s="115"/>
      <c r="AW46" s="116" t="str">
        <f>IFERROR(__xludf.DUMMYFUNCTION("""COMPUTED_VALUE"""),"Samuyi")</f>
        <v>Samuyi</v>
      </c>
      <c r="AX46" s="111" t="str">
        <f>IFERROR(__xludf.DUMMYFUNCTION("""COMPUTED_VALUE"""),"Warpath")</f>
        <v>Warpath</v>
      </c>
      <c r="AY46" s="111" t="str">
        <f>IFERROR(__xludf.DUMMYFUNCTION("""COMPUTED_VALUE"""),"Twisting Nether")</f>
        <v>Twisting Nether</v>
      </c>
      <c r="AZ46" s="108">
        <f>IFERROR(__xludf.DUMMYFUNCTION("""COMPUTED_VALUE"""),405.69)</f>
        <v>405.69</v>
      </c>
      <c r="BA46" s="111" t="str">
        <f>IFERROR(__xludf.DUMMYFUNCTION("""COMPUTED_VALUE"""),"12 days ago")</f>
        <v>12 days ago</v>
      </c>
      <c r="BB46" s="117"/>
      <c r="BC46" s="116"/>
      <c r="BD46" s="111"/>
      <c r="BE46" s="111"/>
      <c r="BF46" s="108"/>
      <c r="BG46" s="111"/>
      <c r="BH46" s="118"/>
      <c r="BI46" s="116" t="str">
        <f>IFERROR(__xludf.DUMMYFUNCTION("""COMPUTED_VALUE"""),"Envydia")</f>
        <v>Envydia</v>
      </c>
      <c r="BJ46" s="111" t="str">
        <f>IFERROR(__xludf.DUMMYFUNCTION("""COMPUTED_VALUE"""),"")</f>
        <v/>
      </c>
      <c r="BK46" s="111" t="str">
        <f>IFERROR(__xludf.DUMMYFUNCTION("""COMPUTED_VALUE"""),"Silvermoon")</f>
        <v>Silvermoon</v>
      </c>
      <c r="BL46" s="108">
        <f>IFERROR(__xludf.DUMMYFUNCTION("""COMPUTED_VALUE"""),402.94)</f>
        <v>402.94</v>
      </c>
      <c r="BM46" s="111" t="str">
        <f>IFERROR(__xludf.DUMMYFUNCTION("""COMPUTED_VALUE"""),"5 days ago")</f>
        <v>5 days ago</v>
      </c>
      <c r="BN46" s="119"/>
      <c r="BO46" s="116" t="str">
        <f>IFERROR(__xludf.DUMMYFUNCTION("""COMPUTED_VALUE"""),"Papagio")</f>
        <v>Papagio</v>
      </c>
      <c r="BP46" s="111" t="str">
        <f>IFERROR(__xludf.DUMMYFUNCTION("""COMPUTED_VALUE"""),"Noted")</f>
        <v>Noted</v>
      </c>
      <c r="BQ46" s="111" t="str">
        <f>IFERROR(__xludf.DUMMYFUNCTION("""COMPUTED_VALUE"""),"Twisting Nether")</f>
        <v>Twisting Nether</v>
      </c>
      <c r="BR46" s="108">
        <f>IFERROR(__xludf.DUMMYFUNCTION("""COMPUTED_VALUE"""),402.69)</f>
        <v>402.69</v>
      </c>
      <c r="BS46" s="111" t="str">
        <f>IFERROR(__xludf.DUMMYFUNCTION("""COMPUTED_VALUE"""),"15 days ago")</f>
        <v>15 days ago</v>
      </c>
      <c r="BT46" s="120"/>
      <c r="BU46" s="107" t="str">
        <f t="shared" ref="BU46:BY46" si="41">G23</f>
        <v>Matherdh</v>
      </c>
      <c r="BV46" s="107" t="str">
        <f t="shared" si="41"/>
        <v>BIG CITY LIFE</v>
      </c>
      <c r="BW46" s="107" t="str">
        <f t="shared" si="41"/>
        <v>Darkspear</v>
      </c>
      <c r="BX46" s="107">
        <f t="shared" si="41"/>
        <v>410.56</v>
      </c>
      <c r="BY46" s="107" t="str">
        <f t="shared" si="41"/>
        <v>1 day ago</v>
      </c>
      <c r="BZ46" s="108"/>
    </row>
    <row r="47">
      <c r="A47" t="str">
        <f>IFERROR(__xludf.DUMMYFUNCTION("""COMPUTED_VALUE"""),"Blacktear")</f>
        <v>Blacktear</v>
      </c>
      <c r="B47" t="str">
        <f>IFERROR(__xludf.DUMMYFUNCTION("""COMPUTED_VALUE"""),"Infinity")</f>
        <v>Infinity</v>
      </c>
      <c r="C47" t="str">
        <f>IFERROR(__xludf.DUMMYFUNCTION("""COMPUTED_VALUE"""),"Ragnaros")</f>
        <v>Ragnaros</v>
      </c>
      <c r="D47">
        <f>IFERROR(__xludf.DUMMYFUNCTION("""COMPUTED_VALUE"""),405.75)</f>
        <v>405.75</v>
      </c>
      <c r="E47" t="str">
        <f>IFERROR(__xludf.DUMMYFUNCTION("""COMPUTED_VALUE"""),"9 days ago")</f>
        <v>9 days ago</v>
      </c>
      <c r="F47" s="94"/>
      <c r="L47" s="95"/>
      <c r="M47" t="str">
        <f>IFERROR(__xludf.DUMMYFUNCTION("""COMPUTED_VALUE"""),"Nodoora")</f>
        <v>Nodoora</v>
      </c>
      <c r="N47" t="str">
        <f>IFERROR(__xludf.DUMMYFUNCTION("""COMPUTED_VALUE"""),"Vehemence")</f>
        <v>Vehemence</v>
      </c>
      <c r="O47" t="str">
        <f>IFERROR(__xludf.DUMMYFUNCTION("""COMPUTED_VALUE"""),"Kazzak")</f>
        <v>Kazzak</v>
      </c>
      <c r="P47">
        <f>IFERROR(__xludf.DUMMYFUNCTION("""COMPUTED_VALUE"""),406.38)</f>
        <v>406.38</v>
      </c>
      <c r="Q47" t="str">
        <f>IFERROR(__xludf.DUMMYFUNCTION("""COMPUTED_VALUE"""),"1 day ago")</f>
        <v>1 day ago</v>
      </c>
      <c r="R47" s="96"/>
      <c r="S47" t="str">
        <f>IFERROR(__xludf.DUMMYFUNCTION("""COMPUTED_VALUE"""),"Durakna")</f>
        <v>Durakna</v>
      </c>
      <c r="T47" t="str">
        <f>IFERROR(__xludf.DUMMYFUNCTION("""COMPUTED_VALUE"""),"Outdated")</f>
        <v>Outdated</v>
      </c>
      <c r="U47" t="str">
        <f>IFERROR(__xludf.DUMMYFUNCTION("""COMPUTED_VALUE"""),"Twisting Nether")</f>
        <v>Twisting Nether</v>
      </c>
      <c r="V47">
        <f>IFERROR(__xludf.DUMMYFUNCTION("""COMPUTED_VALUE"""),401.0)</f>
        <v>401</v>
      </c>
      <c r="W47" t="str">
        <f>IFERROR(__xludf.DUMMYFUNCTION("""COMPUTED_VALUE"""),"4 days ago")</f>
        <v>4 days ago</v>
      </c>
      <c r="X47" s="97"/>
      <c r="Y47" s="111" t="str">
        <f>IFERROR(__xludf.DUMMYFUNCTION("""COMPUTED_VALUE"""),"Ibemagik")</f>
        <v>Ibemagik</v>
      </c>
      <c r="Z47" s="111" t="str">
        <f>IFERROR(__xludf.DUMMYFUNCTION("""COMPUTED_VALUE"""),"Martyrdom")</f>
        <v>Martyrdom</v>
      </c>
      <c r="AA47" s="111" t="str">
        <f>IFERROR(__xludf.DUMMYFUNCTION("""COMPUTED_VALUE"""),"Tarren Mill")</f>
        <v>Tarren Mill</v>
      </c>
      <c r="AB47" s="108">
        <f>IFERROR(__xludf.DUMMYFUNCTION("""COMPUTED_VALUE"""),403.38)</f>
        <v>403.38</v>
      </c>
      <c r="AC47" s="111" t="str">
        <f>IFERROR(__xludf.DUMMYFUNCTION("""COMPUTED_VALUE"""),"22 days ago")</f>
        <v>22 days ago</v>
      </c>
      <c r="AD47" s="112"/>
      <c r="AE47" s="111" t="str">
        <f>IFERROR(__xludf.DUMMYFUNCTION("""COMPUTED_VALUE"""),"Ragnachow")</f>
        <v>Ragnachow</v>
      </c>
      <c r="AF47" s="111" t="str">
        <f>IFERROR(__xludf.DUMMYFUNCTION("""COMPUTED_VALUE"""),"Gehenna")</f>
        <v>Gehenna</v>
      </c>
      <c r="AG47" s="111" t="str">
        <f>IFERROR(__xludf.DUMMYFUNCTION("""COMPUTED_VALUE"""),"Stormreaver")</f>
        <v>Stormreaver</v>
      </c>
      <c r="AH47" s="108">
        <f>IFERROR(__xludf.DUMMYFUNCTION("""COMPUTED_VALUE"""),406.94)</f>
        <v>406.94</v>
      </c>
      <c r="AI47" s="111" t="str">
        <f>IFERROR(__xludf.DUMMYFUNCTION("""COMPUTED_VALUE"""),"2 days ago")</f>
        <v>2 days ago</v>
      </c>
      <c r="AJ47" s="113"/>
      <c r="AK47" s="111" t="str">
        <f>IFERROR(__xludf.DUMMYFUNCTION("""COMPUTED_VALUE"""),"Teolar")</f>
        <v>Teolar</v>
      </c>
      <c r="AL47" s="111" t="str">
        <f>IFERROR(__xludf.DUMMYFUNCTION("""COMPUTED_VALUE"""),"")</f>
        <v/>
      </c>
      <c r="AM47" s="111" t="str">
        <f>IFERROR(__xludf.DUMMYFUNCTION("""COMPUTED_VALUE"""),"Ravencrest")</f>
        <v>Ravencrest</v>
      </c>
      <c r="AN47" s="111">
        <f>IFERROR(__xludf.DUMMYFUNCTION("""COMPUTED_VALUE"""),402.31)</f>
        <v>402.31</v>
      </c>
      <c r="AO47" s="111" t="str">
        <f>IFERROR(__xludf.DUMMYFUNCTION("""COMPUTED_VALUE"""),"2 days ago")</f>
        <v>2 days ago</v>
      </c>
      <c r="AP47" s="114"/>
      <c r="AQ47" s="111" t="str">
        <f>IFERROR(__xludf.DUMMYFUNCTION("""COMPUTED_VALUE"""),"Meixie")</f>
        <v>Meixie</v>
      </c>
      <c r="AR47" s="111" t="str">
        <f>IFERROR(__xludf.DUMMYFUNCTION("""COMPUTED_VALUE"""),"Hammer")</f>
        <v>Hammer</v>
      </c>
      <c r="AS47" s="111" t="str">
        <f>IFERROR(__xludf.DUMMYFUNCTION("""COMPUTED_VALUE"""),"Silvermoon")</f>
        <v>Silvermoon</v>
      </c>
      <c r="AT47" s="108">
        <f>IFERROR(__xludf.DUMMYFUNCTION("""COMPUTED_VALUE"""),403.06)</f>
        <v>403.06</v>
      </c>
      <c r="AU47" s="111" t="str">
        <f>IFERROR(__xludf.DUMMYFUNCTION("""COMPUTED_VALUE"""),"1 day ago")</f>
        <v>1 day ago</v>
      </c>
      <c r="AV47" s="115"/>
      <c r="AW47" s="116" t="str">
        <f>IFERROR(__xludf.DUMMYFUNCTION("""COMPUTED_VALUE"""),"Jesterx")</f>
        <v>Jesterx</v>
      </c>
      <c r="AX47" s="111" t="str">
        <f>IFERROR(__xludf.DUMMYFUNCTION("""COMPUTED_VALUE"""),"Crypt")</f>
        <v>Crypt</v>
      </c>
      <c r="AY47" s="111" t="str">
        <f>IFERROR(__xludf.DUMMYFUNCTION("""COMPUTED_VALUE"""),"Draenor")</f>
        <v>Draenor</v>
      </c>
      <c r="AZ47" s="108">
        <f>IFERROR(__xludf.DUMMYFUNCTION("""COMPUTED_VALUE"""),405.56)</f>
        <v>405.56</v>
      </c>
      <c r="BA47" s="111" t="str">
        <f>IFERROR(__xludf.DUMMYFUNCTION("""COMPUTED_VALUE"""),"3 days ago")</f>
        <v>3 days ago</v>
      </c>
      <c r="BB47" s="117"/>
      <c r="BC47" s="116"/>
      <c r="BD47" s="111"/>
      <c r="BE47" s="111"/>
      <c r="BF47" s="108"/>
      <c r="BG47" s="111"/>
      <c r="BH47" s="118"/>
      <c r="BI47" s="116" t="str">
        <f>IFERROR(__xludf.DUMMYFUNCTION("""COMPUTED_VALUE"""),"Dreamfactory")</f>
        <v>Dreamfactory</v>
      </c>
      <c r="BJ47" s="111" t="str">
        <f>IFERROR(__xludf.DUMMYFUNCTION("""COMPUTED_VALUE"""),"Deplete")</f>
        <v>Deplete</v>
      </c>
      <c r="BK47" s="111" t="str">
        <f>IFERROR(__xludf.DUMMYFUNCTION("""COMPUTED_VALUE"""),"Kazzak")</f>
        <v>Kazzak</v>
      </c>
      <c r="BL47" s="108">
        <f>IFERROR(__xludf.DUMMYFUNCTION("""COMPUTED_VALUE"""),402.44)</f>
        <v>402.44</v>
      </c>
      <c r="BM47" s="111" t="str">
        <f>IFERROR(__xludf.DUMMYFUNCTION("""COMPUTED_VALUE"""),"21 day ago")</f>
        <v>21 day ago</v>
      </c>
      <c r="BN47" s="119"/>
      <c r="BO47" s="116" t="str">
        <f>IFERROR(__xludf.DUMMYFUNCTION("""COMPUTED_VALUE"""),"Radonium")</f>
        <v>Radonium</v>
      </c>
      <c r="BP47" s="111" t="str">
        <f>IFERROR(__xludf.DUMMYFUNCTION("""COMPUTED_VALUE"""),"Pandemic Legion")</f>
        <v>Pandemic Legion</v>
      </c>
      <c r="BQ47" s="111" t="str">
        <f>IFERROR(__xludf.DUMMYFUNCTION("""COMPUTED_VALUE"""),"Twisting Nether")</f>
        <v>Twisting Nether</v>
      </c>
      <c r="BR47" s="108">
        <f>IFERROR(__xludf.DUMMYFUNCTION("""COMPUTED_VALUE"""),402.69)</f>
        <v>402.69</v>
      </c>
      <c r="BS47" s="111" t="str">
        <f>IFERROR(__xludf.DUMMYFUNCTION("""COMPUTED_VALUE"""),"18 days ago")</f>
        <v>18 days ago</v>
      </c>
      <c r="BT47" s="120"/>
      <c r="BU47" s="107" t="str">
        <f t="shared" ref="BU47:BY47" si="42">G24</f>
        <v>Aasdd</v>
      </c>
      <c r="BV47" s="107" t="str">
        <f t="shared" si="42"/>
        <v>Sky Walkers</v>
      </c>
      <c r="BW47" s="107" t="str">
        <f t="shared" si="42"/>
        <v>Kazzak</v>
      </c>
      <c r="BX47" s="107">
        <f t="shared" si="42"/>
        <v>410.44</v>
      </c>
      <c r="BY47" s="107" t="str">
        <f t="shared" si="42"/>
        <v>28 days ago</v>
      </c>
      <c r="BZ47" s="18"/>
    </row>
    <row r="48">
      <c r="A48" t="str">
        <f>IFERROR(__xludf.DUMMYFUNCTION("""COMPUTED_VALUE"""),"Calvo")</f>
        <v>Calvo</v>
      </c>
      <c r="B48" t="str">
        <f>IFERROR(__xludf.DUMMYFUNCTION("""COMPUTED_VALUE"""),"Lobsters of Spice ..")</f>
        <v>Lobsters of Spice ..</v>
      </c>
      <c r="C48" t="str">
        <f>IFERROR(__xludf.DUMMYFUNCTION("""COMPUTED_VALUE"""),"Silvermoon")</f>
        <v>Silvermoon</v>
      </c>
      <c r="D48">
        <f>IFERROR(__xludf.DUMMYFUNCTION("""COMPUTED_VALUE"""),405.69)</f>
        <v>405.69</v>
      </c>
      <c r="E48" t="str">
        <f>IFERROR(__xludf.DUMMYFUNCTION("""COMPUTED_VALUE"""),"19 days ago")</f>
        <v>19 days ago</v>
      </c>
      <c r="F48" s="94"/>
      <c r="L48" s="95"/>
      <c r="M48" t="str">
        <f>IFERROR(__xludf.DUMMYFUNCTION("""COMPUTED_VALUE"""),"Dubbdäck")</f>
        <v>Dubbdäck</v>
      </c>
      <c r="N48" t="str">
        <f>IFERROR(__xludf.DUMMYFUNCTION("""COMPUTED_VALUE"""),"Endurance")</f>
        <v>Endurance</v>
      </c>
      <c r="O48" t="str">
        <f>IFERROR(__xludf.DUMMYFUNCTION("""COMPUTED_VALUE"""),"Twisting Nether")</f>
        <v>Twisting Nether</v>
      </c>
      <c r="P48">
        <f>IFERROR(__xludf.DUMMYFUNCTION("""COMPUTED_VALUE"""),406.38)</f>
        <v>406.38</v>
      </c>
      <c r="Q48" t="str">
        <f>IFERROR(__xludf.DUMMYFUNCTION("""COMPUTED_VALUE"""),"9 days ago")</f>
        <v>9 days ago</v>
      </c>
      <c r="R48" s="96"/>
      <c r="S48" t="str">
        <f>IFERROR(__xludf.DUMMYFUNCTION("""COMPUTED_VALUE"""),"Sreptightboi")</f>
        <v>Sreptightboi</v>
      </c>
      <c r="T48" t="str">
        <f>IFERROR(__xludf.DUMMYFUNCTION("""COMPUTED_VALUE"""),"")</f>
        <v/>
      </c>
      <c r="U48" t="str">
        <f>IFERROR(__xludf.DUMMYFUNCTION("""COMPUTED_VALUE"""),"Draenor")</f>
        <v>Draenor</v>
      </c>
      <c r="V48">
        <f>IFERROR(__xludf.DUMMYFUNCTION("""COMPUTED_VALUE"""),400.69)</f>
        <v>400.69</v>
      </c>
      <c r="W48" t="str">
        <f>IFERROR(__xludf.DUMMYFUNCTION("""COMPUTED_VALUE"""),"15 days ago")</f>
        <v>15 days ago</v>
      </c>
      <c r="X48" s="97"/>
      <c r="Y48" s="111" t="str">
        <f>IFERROR(__xludf.DUMMYFUNCTION("""COMPUTED_VALUE"""),"Phönix")</f>
        <v>Phönix</v>
      </c>
      <c r="Z48" s="111" t="str">
        <f>IFERROR(__xludf.DUMMYFUNCTION("""COMPUTED_VALUE"""),"")</f>
        <v/>
      </c>
      <c r="AA48" s="111" t="str">
        <f>IFERROR(__xludf.DUMMYFUNCTION("""COMPUTED_VALUE"""),"Twisting Nether")</f>
        <v>Twisting Nether</v>
      </c>
      <c r="AB48" s="108">
        <f>IFERROR(__xludf.DUMMYFUNCTION("""COMPUTED_VALUE"""),403.0)</f>
        <v>403</v>
      </c>
      <c r="AC48" s="111" t="str">
        <f>IFERROR(__xludf.DUMMYFUNCTION("""COMPUTED_VALUE"""),"17 days ago")</f>
        <v>17 days ago</v>
      </c>
      <c r="AD48" s="112"/>
      <c r="AE48" s="111" t="str">
        <f>IFERROR(__xludf.DUMMYFUNCTION("""COMPUTED_VALUE"""),"Mentalfist")</f>
        <v>Mentalfist</v>
      </c>
      <c r="AF48" s="111" t="str">
        <f>IFERROR(__xludf.DUMMYFUNCTION("""COMPUTED_VALUE"""),"From Ashes")</f>
        <v>From Ashes</v>
      </c>
      <c r="AG48" s="111" t="str">
        <f>IFERROR(__xludf.DUMMYFUNCTION("""COMPUTED_VALUE"""),"Kazzak")</f>
        <v>Kazzak</v>
      </c>
      <c r="AH48" s="108">
        <f>IFERROR(__xludf.DUMMYFUNCTION("""COMPUTED_VALUE"""),406.88)</f>
        <v>406.88</v>
      </c>
      <c r="AI48" s="111" t="str">
        <f>IFERROR(__xludf.DUMMYFUNCTION("""COMPUTED_VALUE"""),"19 days ago")</f>
        <v>19 days ago</v>
      </c>
      <c r="AJ48" s="113"/>
      <c r="AK48" s="111" t="str">
        <f>IFERROR(__xludf.DUMMYFUNCTION("""COMPUTED_VALUE"""),"Father")</f>
        <v>Father</v>
      </c>
      <c r="AL48" s="111" t="str">
        <f>IFERROR(__xludf.DUMMYFUNCTION("""COMPUTED_VALUE"""),"Nascent")</f>
        <v>Nascent</v>
      </c>
      <c r="AM48" s="111" t="str">
        <f>IFERROR(__xludf.DUMMYFUNCTION("""COMPUTED_VALUE"""),"Shadowsong")</f>
        <v>Shadowsong</v>
      </c>
      <c r="AN48" s="111">
        <f>IFERROR(__xludf.DUMMYFUNCTION("""COMPUTED_VALUE"""),401.94)</f>
        <v>401.94</v>
      </c>
      <c r="AO48" s="111" t="str">
        <f>IFERROR(__xludf.DUMMYFUNCTION("""COMPUTED_VALUE"""),"9 days ago")</f>
        <v>9 days ago</v>
      </c>
      <c r="AP48" s="114"/>
      <c r="AQ48" s="111" t="str">
        <f>IFERROR(__xludf.DUMMYFUNCTION("""COMPUTED_VALUE"""),"Trállas")</f>
        <v>Trállas</v>
      </c>
      <c r="AR48" s="111" t="str">
        <f>IFERROR(__xludf.DUMMYFUNCTION("""COMPUTED_VALUE"""),"")</f>
        <v/>
      </c>
      <c r="AS48" s="111" t="str">
        <f>IFERROR(__xludf.DUMMYFUNCTION("""COMPUTED_VALUE"""),"Twisting Nether")</f>
        <v>Twisting Nether</v>
      </c>
      <c r="AT48" s="108">
        <f>IFERROR(__xludf.DUMMYFUNCTION("""COMPUTED_VALUE"""),402.63)</f>
        <v>402.63</v>
      </c>
      <c r="AU48" s="111" t="str">
        <f>IFERROR(__xludf.DUMMYFUNCTION("""COMPUTED_VALUE"""),"12 days ago")</f>
        <v>12 days ago</v>
      </c>
      <c r="AV48" s="115"/>
      <c r="AW48" s="116" t="str">
        <f>IFERROR(__xludf.DUMMYFUNCTION("""COMPUTED_VALUE"""),"Hamtheman")</f>
        <v>Hamtheman</v>
      </c>
      <c r="AX48" s="111" t="str">
        <f>IFERROR(__xludf.DUMMYFUNCTION("""COMPUTED_VALUE"""),"")</f>
        <v/>
      </c>
      <c r="AY48" s="111" t="str">
        <f>IFERROR(__xludf.DUMMYFUNCTION("""COMPUTED_VALUE"""),"Draenor")</f>
        <v>Draenor</v>
      </c>
      <c r="AZ48" s="108">
        <f>IFERROR(__xludf.DUMMYFUNCTION("""COMPUTED_VALUE"""),405.38)</f>
        <v>405.38</v>
      </c>
      <c r="BA48" s="111" t="str">
        <f>IFERROR(__xludf.DUMMYFUNCTION("""COMPUTED_VALUE"""),"20 days ago")</f>
        <v>20 days ago</v>
      </c>
      <c r="BB48" s="117"/>
      <c r="BC48" s="116"/>
      <c r="BD48" s="111"/>
      <c r="BE48" s="111"/>
      <c r="BF48" s="108"/>
      <c r="BG48" s="111"/>
      <c r="BH48" s="118"/>
      <c r="BI48" s="116" t="str">
        <f>IFERROR(__xludf.DUMMYFUNCTION("""COMPUTED_VALUE"""),"Darkrula")</f>
        <v>Darkrula</v>
      </c>
      <c r="BJ48" s="111" t="str">
        <f>IFERROR(__xludf.DUMMYFUNCTION("""COMPUTED_VALUE"""),"Enkelt")</f>
        <v>Enkelt</v>
      </c>
      <c r="BK48" s="111" t="str">
        <f>IFERROR(__xludf.DUMMYFUNCTION("""COMPUTED_VALUE"""),"Kazzak")</f>
        <v>Kazzak</v>
      </c>
      <c r="BL48" s="108">
        <f>IFERROR(__xludf.DUMMYFUNCTION("""COMPUTED_VALUE"""),402.38)</f>
        <v>402.38</v>
      </c>
      <c r="BM48" s="111" t="str">
        <f>IFERROR(__xludf.DUMMYFUNCTION("""COMPUTED_VALUE"""),"20 days ago")</f>
        <v>20 days ago</v>
      </c>
      <c r="BN48" s="119"/>
      <c r="BO48" s="116" t="str">
        <f>IFERROR(__xludf.DUMMYFUNCTION("""COMPUTED_VALUE"""),"Vilisia")</f>
        <v>Vilisia</v>
      </c>
      <c r="BP48" s="111" t="str">
        <f>IFERROR(__xludf.DUMMYFUNCTION("""COMPUTED_VALUE"""),"Ad Elysium")</f>
        <v>Ad Elysium</v>
      </c>
      <c r="BQ48" s="111" t="str">
        <f>IFERROR(__xludf.DUMMYFUNCTION("""COMPUTED_VALUE"""),"Draenor")</f>
        <v>Draenor</v>
      </c>
      <c r="BR48" s="108">
        <f>IFERROR(__xludf.DUMMYFUNCTION("""COMPUTED_VALUE"""),402.44)</f>
        <v>402.44</v>
      </c>
      <c r="BS48" s="111" t="str">
        <f>IFERROR(__xludf.DUMMYFUNCTION("""COMPUTED_VALUE"""),"28 days ago")</f>
        <v>28 days ago</v>
      </c>
      <c r="BT48" s="120"/>
      <c r="BU48" s="107" t="str">
        <f t="shared" ref="BU48:BY48" si="43">G25</f>
        <v>Pratyeka</v>
      </c>
      <c r="BV48" s="107" t="str">
        <f t="shared" si="43"/>
        <v/>
      </c>
      <c r="BW48" s="107" t="str">
        <f t="shared" si="43"/>
        <v>Tarren Mill</v>
      </c>
      <c r="BX48" s="107">
        <f t="shared" si="43"/>
        <v>410.19</v>
      </c>
      <c r="BY48" s="107" t="str">
        <f t="shared" si="43"/>
        <v>2 hours ago</v>
      </c>
      <c r="BZ48" s="108"/>
    </row>
    <row r="49">
      <c r="A49" t="str">
        <f>IFERROR(__xludf.DUMMYFUNCTION("""COMPUTED_VALUE"""),"Teick")</f>
        <v>Teick</v>
      </c>
      <c r="B49" t="str">
        <f>IFERROR(__xludf.DUMMYFUNCTION("""COMPUTED_VALUE"""),"Postal")</f>
        <v>Postal</v>
      </c>
      <c r="C49" t="str">
        <f>IFERROR(__xludf.DUMMYFUNCTION("""COMPUTED_VALUE"""),"Aszune")</f>
        <v>Aszune</v>
      </c>
      <c r="D49">
        <f>IFERROR(__xludf.DUMMYFUNCTION("""COMPUTED_VALUE"""),405.56)</f>
        <v>405.56</v>
      </c>
      <c r="E49" t="str">
        <f>IFERROR(__xludf.DUMMYFUNCTION("""COMPUTED_VALUE"""),"19 days ago")</f>
        <v>19 days ago</v>
      </c>
      <c r="F49" s="94"/>
      <c r="L49" s="95"/>
      <c r="M49" t="str">
        <f>IFERROR(__xludf.DUMMYFUNCTION("""COMPUTED_VALUE"""),"Pawzzidruid")</f>
        <v>Pawzzidruid</v>
      </c>
      <c r="N49" t="str">
        <f>IFERROR(__xludf.DUMMYFUNCTION("""COMPUTED_VALUE"""),"Fight Club Penguin")</f>
        <v>Fight Club Penguin</v>
      </c>
      <c r="O49" t="str">
        <f>IFERROR(__xludf.DUMMYFUNCTION("""COMPUTED_VALUE"""),"Tarren Mill")</f>
        <v>Tarren Mill</v>
      </c>
      <c r="P49">
        <f>IFERROR(__xludf.DUMMYFUNCTION("""COMPUTED_VALUE"""),406.38)</f>
        <v>406.38</v>
      </c>
      <c r="Q49" t="str">
        <f>IFERROR(__xludf.DUMMYFUNCTION("""COMPUTED_VALUE"""),"2 days ago")</f>
        <v>2 days ago</v>
      </c>
      <c r="R49" s="96"/>
      <c r="S49" t="str">
        <f>IFERROR(__xludf.DUMMYFUNCTION("""COMPUTED_VALUE"""),"Dreadbraid")</f>
        <v>Dreadbraid</v>
      </c>
      <c r="T49" t="str">
        <f>IFERROR(__xludf.DUMMYFUNCTION("""COMPUTED_VALUE"""),"")</f>
        <v/>
      </c>
      <c r="U49" t="str">
        <f>IFERROR(__xludf.DUMMYFUNCTION("""COMPUTED_VALUE"""),"Argent Dawn")</f>
        <v>Argent Dawn</v>
      </c>
      <c r="V49">
        <f>IFERROR(__xludf.DUMMYFUNCTION("""COMPUTED_VALUE"""),400.63)</f>
        <v>400.63</v>
      </c>
      <c r="W49" t="str">
        <f>IFERROR(__xludf.DUMMYFUNCTION("""COMPUTED_VALUE"""),"8 days ago")</f>
        <v>8 days ago</v>
      </c>
      <c r="X49" s="97"/>
      <c r="Y49" s="111" t="str">
        <f>IFERROR(__xludf.DUMMYFUNCTION("""COMPUTED_VALUE"""),"Demonícflame")</f>
        <v>Demonícflame</v>
      </c>
      <c r="Z49" s="111" t="str">
        <f>IFERROR(__xludf.DUMMYFUNCTION("""COMPUTED_VALUE"""),"Burial")</f>
        <v>Burial</v>
      </c>
      <c r="AA49" s="111" t="str">
        <f>IFERROR(__xludf.DUMMYFUNCTION("""COMPUTED_VALUE"""),"Draenor")</f>
        <v>Draenor</v>
      </c>
      <c r="AB49" s="108">
        <f>IFERROR(__xludf.DUMMYFUNCTION("""COMPUTED_VALUE"""),402.94)</f>
        <v>402.94</v>
      </c>
      <c r="AC49" s="111" t="str">
        <f>IFERROR(__xludf.DUMMYFUNCTION("""COMPUTED_VALUE"""),"27 days ago")</f>
        <v>27 days ago</v>
      </c>
      <c r="AD49" s="112"/>
      <c r="AE49" s="111" t="str">
        <f>IFERROR(__xludf.DUMMYFUNCTION("""COMPUTED_VALUE"""),"Saicmonk")</f>
        <v>Saicmonk</v>
      </c>
      <c r="AF49" s="111" t="str">
        <f>IFERROR(__xludf.DUMMYFUNCTION("""COMPUTED_VALUE"""),"Perfection")</f>
        <v>Perfection</v>
      </c>
      <c r="AG49" s="111" t="str">
        <f>IFERROR(__xludf.DUMMYFUNCTION("""COMPUTED_VALUE"""),"Tarren Mill")</f>
        <v>Tarren Mill</v>
      </c>
      <c r="AH49" s="108">
        <f>IFERROR(__xludf.DUMMYFUNCTION("""COMPUTED_VALUE"""),406.81)</f>
        <v>406.81</v>
      </c>
      <c r="AI49" s="111" t="str">
        <f>IFERROR(__xludf.DUMMYFUNCTION("""COMPUTED_VALUE"""),"13 days ago")</f>
        <v>13 days ago</v>
      </c>
      <c r="AJ49" s="113"/>
      <c r="AK49" s="111" t="str">
        <f>IFERROR(__xludf.DUMMYFUNCTION("""COMPUTED_VALUE"""),"Shioon")</f>
        <v>Shioon</v>
      </c>
      <c r="AL49" s="111" t="str">
        <f>IFERROR(__xludf.DUMMYFUNCTION("""COMPUTED_VALUE"""),"")</f>
        <v/>
      </c>
      <c r="AM49" s="111" t="str">
        <f>IFERROR(__xludf.DUMMYFUNCTION("""COMPUTED_VALUE"""),"Stormscale")</f>
        <v>Stormscale</v>
      </c>
      <c r="AN49" s="111">
        <f>IFERROR(__xludf.DUMMYFUNCTION("""COMPUTED_VALUE"""),401.5)</f>
        <v>401.5</v>
      </c>
      <c r="AO49" s="111" t="str">
        <f>IFERROR(__xludf.DUMMYFUNCTION("""COMPUTED_VALUE"""),"20 days ago")</f>
        <v>20 days ago</v>
      </c>
      <c r="AP49" s="114"/>
      <c r="AQ49" s="111" t="str">
        <f>IFERROR(__xludf.DUMMYFUNCTION("""COMPUTED_VALUE"""),"Lorepriest")</f>
        <v>Lorepriest</v>
      </c>
      <c r="AR49" s="111" t="str">
        <f>IFERROR(__xludf.DUMMYFUNCTION("""COMPUTED_VALUE"""),"Reign of Terror")</f>
        <v>Reign of Terror</v>
      </c>
      <c r="AS49" s="111" t="str">
        <f>IFERROR(__xludf.DUMMYFUNCTION("""COMPUTED_VALUE"""),"Kazzak")</f>
        <v>Kazzak</v>
      </c>
      <c r="AT49" s="108">
        <f>IFERROR(__xludf.DUMMYFUNCTION("""COMPUTED_VALUE"""),402.63)</f>
        <v>402.63</v>
      </c>
      <c r="AU49" s="111" t="str">
        <f>IFERROR(__xludf.DUMMYFUNCTION("""COMPUTED_VALUE"""),"8 days ago")</f>
        <v>8 days ago</v>
      </c>
      <c r="AV49" s="115"/>
      <c r="AW49" s="116" t="str">
        <f>IFERROR(__xludf.DUMMYFUNCTION("""COMPUTED_VALUE"""),"Buckierogue")</f>
        <v>Buckierogue</v>
      </c>
      <c r="AX49" s="111" t="str">
        <f>IFERROR(__xludf.DUMMYFUNCTION("""COMPUTED_VALUE"""),"Luce")</f>
        <v>Luce</v>
      </c>
      <c r="AY49" s="111" t="str">
        <f>IFERROR(__xludf.DUMMYFUNCTION("""COMPUTED_VALUE"""),"Draenor")</f>
        <v>Draenor</v>
      </c>
      <c r="AZ49" s="108">
        <f>IFERROR(__xludf.DUMMYFUNCTION("""COMPUTED_VALUE"""),405.06)</f>
        <v>405.06</v>
      </c>
      <c r="BA49" s="111" t="str">
        <f>IFERROR(__xludf.DUMMYFUNCTION("""COMPUTED_VALUE"""),"1 day ago")</f>
        <v>1 day ago</v>
      </c>
      <c r="BB49" s="117"/>
      <c r="BC49" s="116"/>
      <c r="BD49" s="111"/>
      <c r="BE49" s="111"/>
      <c r="BF49" s="108"/>
      <c r="BG49" s="111"/>
      <c r="BH49" s="118"/>
      <c r="BI49" s="116" t="str">
        <f>IFERROR(__xludf.DUMMYFUNCTION("""COMPUTED_VALUE"""),"Ritalína")</f>
        <v>Ritalína</v>
      </c>
      <c r="BJ49" s="111" t="str">
        <f>IFERROR(__xludf.DUMMYFUNCTION("""COMPUTED_VALUE"""),"Iceni")</f>
        <v>Iceni</v>
      </c>
      <c r="BK49" s="111" t="str">
        <f>IFERROR(__xludf.DUMMYFUNCTION("""COMPUTED_VALUE"""),"Outland")</f>
        <v>Outland</v>
      </c>
      <c r="BL49" s="108">
        <f>IFERROR(__xludf.DUMMYFUNCTION("""COMPUTED_VALUE"""),401.94)</f>
        <v>401.94</v>
      </c>
      <c r="BM49" s="111" t="str">
        <f>IFERROR(__xludf.DUMMYFUNCTION("""COMPUTED_VALUE"""),"10 days ago")</f>
        <v>10 days ago</v>
      </c>
      <c r="BN49" s="119"/>
      <c r="BO49" s="116" t="str">
        <f>IFERROR(__xludf.DUMMYFUNCTION("""COMPUTED_VALUE"""),"Renfrí")</f>
        <v>Renfrí</v>
      </c>
      <c r="BP49" s="111" t="str">
        <f>IFERROR(__xludf.DUMMYFUNCTION("""COMPUTED_VALUE"""),"Vengeance Incarnate")</f>
        <v>Vengeance Incarnate</v>
      </c>
      <c r="BQ49" s="111" t="str">
        <f>IFERROR(__xludf.DUMMYFUNCTION("""COMPUTED_VALUE"""),"Burning Legion")</f>
        <v>Burning Legion</v>
      </c>
      <c r="BR49" s="108">
        <f>IFERROR(__xludf.DUMMYFUNCTION("""COMPUTED_VALUE"""),402.13)</f>
        <v>402.13</v>
      </c>
      <c r="BS49" s="111" t="str">
        <f>IFERROR(__xludf.DUMMYFUNCTION("""COMPUTED_VALUE"""),"5 days ago")</f>
        <v>5 days ago</v>
      </c>
      <c r="BT49" s="120"/>
      <c r="BU49" s="107" t="str">
        <f t="shared" ref="BU49:BY49" si="44">G26</f>
        <v>Sararith</v>
      </c>
      <c r="BV49" s="107" t="str">
        <f t="shared" si="44"/>
        <v>NeXtLeVeL</v>
      </c>
      <c r="BW49" s="107" t="str">
        <f t="shared" si="44"/>
        <v>Tarren Mill</v>
      </c>
      <c r="BX49" s="107">
        <f t="shared" si="44"/>
        <v>410.13</v>
      </c>
      <c r="BY49" s="107" t="str">
        <f t="shared" si="44"/>
        <v>5 days ago</v>
      </c>
      <c r="BZ49" s="108"/>
    </row>
    <row r="50">
      <c r="A50" t="str">
        <f>IFERROR(__xludf.DUMMYFUNCTION("""COMPUTED_VALUE"""),"Ithanaia")</f>
        <v>Ithanaia</v>
      </c>
      <c r="B50" t="str">
        <f>IFERROR(__xludf.DUMMYFUNCTION("""COMPUTED_VALUE"""),"Legalise Peacebloom")</f>
        <v>Legalise Peacebloom</v>
      </c>
      <c r="C50" t="str">
        <f>IFERROR(__xludf.DUMMYFUNCTION("""COMPUTED_VALUE"""),"Argent Dawn")</f>
        <v>Argent Dawn</v>
      </c>
      <c r="D50">
        <f>IFERROR(__xludf.DUMMYFUNCTION("""COMPUTED_VALUE"""),405.25)</f>
        <v>405.25</v>
      </c>
      <c r="E50" t="str">
        <f>IFERROR(__xludf.DUMMYFUNCTION("""COMPUTED_VALUE"""),"19 days ago")</f>
        <v>19 days ago</v>
      </c>
      <c r="F50" s="94"/>
      <c r="L50" s="95"/>
      <c r="M50" t="str">
        <f>IFERROR(__xludf.DUMMYFUNCTION("""COMPUTED_VALUE"""),"Mcscroogee")</f>
        <v>Mcscroogee</v>
      </c>
      <c r="N50" t="str">
        <f>IFERROR(__xludf.DUMMYFUNCTION("""COMPUTED_VALUE"""),"Severance")</f>
        <v>Severance</v>
      </c>
      <c r="O50" t="str">
        <f>IFERROR(__xludf.DUMMYFUNCTION("""COMPUTED_VALUE"""),"Kazzak")</f>
        <v>Kazzak</v>
      </c>
      <c r="P50">
        <f>IFERROR(__xludf.DUMMYFUNCTION("""COMPUTED_VALUE"""),406.31)</f>
        <v>406.31</v>
      </c>
      <c r="Q50" t="str">
        <f>IFERROR(__xludf.DUMMYFUNCTION("""COMPUTED_VALUE"""),"13 days ago")</f>
        <v>13 days ago</v>
      </c>
      <c r="R50" s="96"/>
      <c r="S50" t="str">
        <f>IFERROR(__xludf.DUMMYFUNCTION("""COMPUTED_VALUE"""),"Montagem")</f>
        <v>Montagem</v>
      </c>
      <c r="T50" t="str">
        <f>IFERROR(__xludf.DUMMYFUNCTION("""COMPUTED_VALUE"""),"")</f>
        <v/>
      </c>
      <c r="U50" t="str">
        <f>IFERROR(__xludf.DUMMYFUNCTION("""COMPUTED_VALUE"""),"Draenor")</f>
        <v>Draenor</v>
      </c>
      <c r="V50">
        <f>IFERROR(__xludf.DUMMYFUNCTION("""COMPUTED_VALUE"""),399.94)</f>
        <v>399.94</v>
      </c>
      <c r="W50" t="str">
        <f>IFERROR(__xludf.DUMMYFUNCTION("""COMPUTED_VALUE"""),"5 days ago")</f>
        <v>5 days ago</v>
      </c>
      <c r="X50" s="97"/>
      <c r="Y50" s="111" t="str">
        <f>IFERROR(__xludf.DUMMYFUNCTION("""COMPUTED_VALUE"""),"Melficé")</f>
        <v>Melficé</v>
      </c>
      <c r="Z50" s="111" t="str">
        <f>IFERROR(__xludf.DUMMYFUNCTION("""COMPUTED_VALUE"""),"")</f>
        <v/>
      </c>
      <c r="AA50" s="111" t="str">
        <f>IFERROR(__xludf.DUMMYFUNCTION("""COMPUTED_VALUE"""),"Ravencrest")</f>
        <v>Ravencrest</v>
      </c>
      <c r="AB50" s="108">
        <f>IFERROR(__xludf.DUMMYFUNCTION("""COMPUTED_VALUE"""),402.88)</f>
        <v>402.88</v>
      </c>
      <c r="AC50" s="111" t="str">
        <f>IFERROR(__xludf.DUMMYFUNCTION("""COMPUTED_VALUE"""),"18 days ago")</f>
        <v>18 days ago</v>
      </c>
      <c r="AD50" s="112"/>
      <c r="AE50" s="111" t="str">
        <f>IFERROR(__xludf.DUMMYFUNCTION("""COMPUTED_VALUE"""),"Dáhliá")</f>
        <v>Dáhliá</v>
      </c>
      <c r="AF50" s="111" t="str">
        <f>IFERROR(__xludf.DUMMYFUNCTION("""COMPUTED_VALUE"""),"Coalition")</f>
        <v>Coalition</v>
      </c>
      <c r="AG50" s="111" t="str">
        <f>IFERROR(__xludf.DUMMYFUNCTION("""COMPUTED_VALUE"""),"Draenor")</f>
        <v>Draenor</v>
      </c>
      <c r="AH50" s="108">
        <f>IFERROR(__xludf.DUMMYFUNCTION("""COMPUTED_VALUE"""),406.5)</f>
        <v>406.5</v>
      </c>
      <c r="AI50" s="111" t="str">
        <f>IFERROR(__xludf.DUMMYFUNCTION("""COMPUTED_VALUE"""),"3 days ago")</f>
        <v>3 days ago</v>
      </c>
      <c r="AJ50" s="113"/>
      <c r="AK50" s="111" t="str">
        <f>IFERROR(__xludf.DUMMYFUNCTION("""COMPUTED_VALUE"""),"Wendysia")</f>
        <v>Wendysia</v>
      </c>
      <c r="AL50" s="111" t="str">
        <f>IFERROR(__xludf.DUMMYFUNCTION("""COMPUTED_VALUE"""),"No Skill No Kill")</f>
        <v>No Skill No Kill</v>
      </c>
      <c r="AM50" s="111" t="str">
        <f>IFERROR(__xludf.DUMMYFUNCTION("""COMPUTED_VALUE"""),"Drak'thul")</f>
        <v>Drak'thul</v>
      </c>
      <c r="AN50" s="111">
        <f>IFERROR(__xludf.DUMMYFUNCTION("""COMPUTED_VALUE"""),401.25)</f>
        <v>401.25</v>
      </c>
      <c r="AO50" s="111" t="str">
        <f>IFERROR(__xludf.DUMMYFUNCTION("""COMPUTED_VALUE"""),"13 days ago")</f>
        <v>13 days ago</v>
      </c>
      <c r="AP50" s="114"/>
      <c r="AQ50" s="111" t="str">
        <f>IFERROR(__xludf.DUMMYFUNCTION("""COMPUTED_VALUE"""),"Måzikeen")</f>
        <v>Måzikeen</v>
      </c>
      <c r="AR50" s="111" t="str">
        <f>IFERROR(__xludf.DUMMYFUNCTION("""COMPUTED_VALUE"""),"Locus")</f>
        <v>Locus</v>
      </c>
      <c r="AS50" s="111" t="str">
        <f>IFERROR(__xludf.DUMMYFUNCTION("""COMPUTED_VALUE"""),"Kazzak")</f>
        <v>Kazzak</v>
      </c>
      <c r="AT50" s="108">
        <f>IFERROR(__xludf.DUMMYFUNCTION("""COMPUTED_VALUE"""),402.5)</f>
        <v>402.5</v>
      </c>
      <c r="AU50" s="111" t="str">
        <f>IFERROR(__xludf.DUMMYFUNCTION("""COMPUTED_VALUE"""),"15 days ago")</f>
        <v>15 days ago</v>
      </c>
      <c r="AV50" s="115"/>
      <c r="AW50" s="116" t="str">
        <f>IFERROR(__xludf.DUMMYFUNCTION("""COMPUTED_VALUE"""),"Simon")</f>
        <v>Simon</v>
      </c>
      <c r="AX50" s="111" t="str">
        <f>IFERROR(__xludf.DUMMYFUNCTION("""COMPUTED_VALUE"""),"Phoenix")</f>
        <v>Phoenix</v>
      </c>
      <c r="AY50" s="111" t="str">
        <f>IFERROR(__xludf.DUMMYFUNCTION("""COMPUTED_VALUE"""),"Silvermoon")</f>
        <v>Silvermoon</v>
      </c>
      <c r="AZ50" s="108">
        <f>IFERROR(__xludf.DUMMYFUNCTION("""COMPUTED_VALUE"""),404.81)</f>
        <v>404.81</v>
      </c>
      <c r="BA50" s="111" t="str">
        <f>IFERROR(__xludf.DUMMYFUNCTION("""COMPUTED_VALUE"""),"19 days ago")</f>
        <v>19 days ago</v>
      </c>
      <c r="BB50" s="117"/>
      <c r="BC50" s="116"/>
      <c r="BD50" s="111"/>
      <c r="BE50" s="111"/>
      <c r="BF50" s="108"/>
      <c r="BG50" s="111"/>
      <c r="BH50" s="118"/>
      <c r="BI50" s="116" t="str">
        <f>IFERROR(__xludf.DUMMYFUNCTION("""COMPUTED_VALUE"""),"Vildern")</f>
        <v>Vildern</v>
      </c>
      <c r="BJ50" s="111" t="str">
        <f>IFERROR(__xludf.DUMMYFUNCTION("""COMPUTED_VALUE"""),"Divided")</f>
        <v>Divided</v>
      </c>
      <c r="BK50" s="111" t="str">
        <f>IFERROR(__xludf.DUMMYFUNCTION("""COMPUTED_VALUE"""),"Defias Brotherhood")</f>
        <v>Defias Brotherhood</v>
      </c>
      <c r="BL50" s="108">
        <f>IFERROR(__xludf.DUMMYFUNCTION("""COMPUTED_VALUE"""),401.88)</f>
        <v>401.88</v>
      </c>
      <c r="BM50" s="111" t="str">
        <f>IFERROR(__xludf.DUMMYFUNCTION("""COMPUTED_VALUE"""),"10 days ago")</f>
        <v>10 days ago</v>
      </c>
      <c r="BN50" s="119"/>
      <c r="BO50" s="116" t="str">
        <f>IFERROR(__xludf.DUMMYFUNCTION("""COMPUTED_VALUE"""),"Cidrew")</f>
        <v>Cidrew</v>
      </c>
      <c r="BP50" s="111" t="str">
        <f>IFERROR(__xludf.DUMMYFUNCTION("""COMPUTED_VALUE"""),"Ego")</f>
        <v>Ego</v>
      </c>
      <c r="BQ50" s="111" t="str">
        <f>IFERROR(__xludf.DUMMYFUNCTION("""COMPUTED_VALUE"""),"Tarren Mill")</f>
        <v>Tarren Mill</v>
      </c>
      <c r="BR50" s="108">
        <f>IFERROR(__xludf.DUMMYFUNCTION("""COMPUTED_VALUE"""),402.06)</f>
        <v>402.06</v>
      </c>
      <c r="BS50" s="111" t="str">
        <f>IFERROR(__xludf.DUMMYFUNCTION("""COMPUTED_VALUE"""),"27 days ago")</f>
        <v>27 days ago</v>
      </c>
      <c r="BT50" s="120"/>
      <c r="BU50" s="107" t="str">
        <f t="shared" ref="BU50:BY50" si="45">G27</f>
        <v>Peroxcyde</v>
      </c>
      <c r="BV50" s="107" t="str">
        <f t="shared" si="45"/>
        <v/>
      </c>
      <c r="BW50" s="107" t="str">
        <f t="shared" si="45"/>
        <v>Ravencrest</v>
      </c>
      <c r="BX50" s="107">
        <f t="shared" si="45"/>
        <v>410</v>
      </c>
      <c r="BY50" s="107" t="str">
        <f t="shared" si="45"/>
        <v>3 days ago</v>
      </c>
      <c r="BZ50" s="108"/>
    </row>
    <row r="51">
      <c r="A51" t="str">
        <f>IFERROR(__xludf.DUMMYFUNCTION("""COMPUTED_VALUE"""),"Mershann")</f>
        <v>Mershann</v>
      </c>
      <c r="B51" t="str">
        <f>IFERROR(__xludf.DUMMYFUNCTION("""COMPUTED_VALUE"""),"")</f>
        <v/>
      </c>
      <c r="C51" t="str">
        <f>IFERROR(__xludf.DUMMYFUNCTION("""COMPUTED_VALUE"""),"Tarren Mill")</f>
        <v>Tarren Mill</v>
      </c>
      <c r="D51">
        <f>IFERROR(__xludf.DUMMYFUNCTION("""COMPUTED_VALUE"""),405.25)</f>
        <v>405.25</v>
      </c>
      <c r="E51" t="str">
        <f>IFERROR(__xludf.DUMMYFUNCTION("""COMPUTED_VALUE"""),"16 days ago")</f>
        <v>16 days ago</v>
      </c>
      <c r="F51" s="94"/>
      <c r="L51" s="95"/>
      <c r="M51" t="str">
        <f>IFERROR(__xludf.DUMMYFUNCTION("""COMPUTED_VALUE"""),"Dookiez")</f>
        <v>Dookiez</v>
      </c>
      <c r="N51" t="str">
        <f>IFERROR(__xludf.DUMMYFUNCTION("""COMPUTED_VALUE"""),"")</f>
        <v/>
      </c>
      <c r="O51" t="str">
        <f>IFERROR(__xludf.DUMMYFUNCTION("""COMPUTED_VALUE"""),"Stormrage")</f>
        <v>Stormrage</v>
      </c>
      <c r="P51">
        <f>IFERROR(__xludf.DUMMYFUNCTION("""COMPUTED_VALUE"""),405.88)</f>
        <v>405.88</v>
      </c>
      <c r="Q51" t="str">
        <f>IFERROR(__xludf.DUMMYFUNCTION("""COMPUTED_VALUE"""),"5 days ago")</f>
        <v>5 days ago</v>
      </c>
      <c r="R51" s="96"/>
      <c r="S51" t="str">
        <f>IFERROR(__xludf.DUMMYFUNCTION("""COMPUTED_VALUE"""),"Hunterland")</f>
        <v>Hunterland</v>
      </c>
      <c r="T51" t="str">
        <f>IFERROR(__xludf.DUMMYFUNCTION("""COMPUTED_VALUE"""),"Luna Wolves")</f>
        <v>Luna Wolves</v>
      </c>
      <c r="U51" t="str">
        <f>IFERROR(__xludf.DUMMYFUNCTION("""COMPUTED_VALUE"""),"Draenor")</f>
        <v>Draenor</v>
      </c>
      <c r="V51">
        <f>IFERROR(__xludf.DUMMYFUNCTION("""COMPUTED_VALUE"""),399.88)</f>
        <v>399.88</v>
      </c>
      <c r="W51" t="str">
        <f>IFERROR(__xludf.DUMMYFUNCTION("""COMPUTED_VALUE"""),"28 days ago")</f>
        <v>28 days ago</v>
      </c>
      <c r="X51" s="97"/>
      <c r="Y51" s="111" t="str">
        <f>IFERROR(__xludf.DUMMYFUNCTION("""COMPUTED_VALUE"""),"Teinor")</f>
        <v>Teinor</v>
      </c>
      <c r="Z51" s="111" t="str">
        <f>IFERROR(__xludf.DUMMYFUNCTION("""COMPUTED_VALUE"""),"")</f>
        <v/>
      </c>
      <c r="AA51" s="111" t="str">
        <f>IFERROR(__xludf.DUMMYFUNCTION("""COMPUTED_VALUE"""),"Kazzak")</f>
        <v>Kazzak</v>
      </c>
      <c r="AB51" s="108">
        <f>IFERROR(__xludf.DUMMYFUNCTION("""COMPUTED_VALUE"""),402.81)</f>
        <v>402.81</v>
      </c>
      <c r="AC51" s="111" t="str">
        <f>IFERROR(__xludf.DUMMYFUNCTION("""COMPUTED_VALUE"""),"7 days ago")</f>
        <v>7 days ago</v>
      </c>
      <c r="AD51" s="112"/>
      <c r="AE51" s="111" t="str">
        <f>IFERROR(__xludf.DUMMYFUNCTION("""COMPUTED_VALUE"""),"Lunlia")</f>
        <v>Lunlia</v>
      </c>
      <c r="AF51" s="111" t="str">
        <f>IFERROR(__xludf.DUMMYFUNCTION("""COMPUTED_VALUE"""),"")</f>
        <v/>
      </c>
      <c r="AG51" s="111" t="str">
        <f>IFERROR(__xludf.DUMMYFUNCTION("""COMPUTED_VALUE"""),"Draenor")</f>
        <v>Draenor</v>
      </c>
      <c r="AH51" s="108">
        <f>IFERROR(__xludf.DUMMYFUNCTION("""COMPUTED_VALUE"""),406.5)</f>
        <v>406.5</v>
      </c>
      <c r="AI51" s="111" t="str">
        <f>IFERROR(__xludf.DUMMYFUNCTION("""COMPUTED_VALUE"""),"1 day ago")</f>
        <v>1 day ago</v>
      </c>
      <c r="AJ51" s="113"/>
      <c r="AK51" s="111" t="str">
        <f>IFERROR(__xludf.DUMMYFUNCTION("""COMPUTED_VALUE"""),"Floydbanks")</f>
        <v>Floydbanks</v>
      </c>
      <c r="AL51" s="111" t="str">
        <f>IFERROR(__xludf.DUMMYFUNCTION("""COMPUTED_VALUE"""),"")</f>
        <v/>
      </c>
      <c r="AM51" s="111" t="str">
        <f>IFERROR(__xludf.DUMMYFUNCTION("""COMPUTED_VALUE"""),"Ravencrest")</f>
        <v>Ravencrest</v>
      </c>
      <c r="AN51" s="111">
        <f>IFERROR(__xludf.DUMMYFUNCTION("""COMPUTED_VALUE"""),400.94)</f>
        <v>400.94</v>
      </c>
      <c r="AO51" s="111" t="str">
        <f>IFERROR(__xludf.DUMMYFUNCTION("""COMPUTED_VALUE"""),"10 hours ago")</f>
        <v>10 hours ago</v>
      </c>
      <c r="AP51" s="114"/>
      <c r="AQ51" s="111" t="str">
        <f>IFERROR(__xludf.DUMMYFUNCTION("""COMPUTED_VALUE"""),"Misena")</f>
        <v>Misena</v>
      </c>
      <c r="AR51" s="111" t="str">
        <f>IFERROR(__xludf.DUMMYFUNCTION("""COMPUTED_VALUE"""),"Enkelt")</f>
        <v>Enkelt</v>
      </c>
      <c r="AS51" s="111" t="str">
        <f>IFERROR(__xludf.DUMMYFUNCTION("""COMPUTED_VALUE"""),"Kazzak")</f>
        <v>Kazzak</v>
      </c>
      <c r="AT51" s="108">
        <f>IFERROR(__xludf.DUMMYFUNCTION("""COMPUTED_VALUE"""),402.25)</f>
        <v>402.25</v>
      </c>
      <c r="AU51" s="111" t="str">
        <f>IFERROR(__xludf.DUMMYFUNCTION("""COMPUTED_VALUE"""),"15 days ago")</f>
        <v>15 days ago</v>
      </c>
      <c r="AV51" s="115"/>
      <c r="AW51" s="116" t="str">
        <f>IFERROR(__xludf.DUMMYFUNCTION("""COMPUTED_VALUE"""),"Kiyonee")</f>
        <v>Kiyonee</v>
      </c>
      <c r="AX51" s="111" t="str">
        <f>IFERROR(__xludf.DUMMYFUNCTION("""COMPUTED_VALUE"""),"Red Empire")</f>
        <v>Red Empire</v>
      </c>
      <c r="AY51" s="111" t="str">
        <f>IFERROR(__xludf.DUMMYFUNCTION("""COMPUTED_VALUE"""),"Tarren Mill")</f>
        <v>Tarren Mill</v>
      </c>
      <c r="AZ51" s="108">
        <f>IFERROR(__xludf.DUMMYFUNCTION("""COMPUTED_VALUE"""),404.75)</f>
        <v>404.75</v>
      </c>
      <c r="BA51" s="111" t="str">
        <f>IFERROR(__xludf.DUMMYFUNCTION("""COMPUTED_VALUE"""),"16 days ago")</f>
        <v>16 days ago</v>
      </c>
      <c r="BB51" s="117"/>
      <c r="BC51" s="116"/>
      <c r="BD51" s="111"/>
      <c r="BE51" s="111"/>
      <c r="BF51" s="108"/>
      <c r="BG51" s="111"/>
      <c r="BH51" s="118"/>
      <c r="BI51" s="116" t="str">
        <f>IFERROR(__xludf.DUMMYFUNCTION("""COMPUTED_VALUE"""),"Camore")</f>
        <v>Camore</v>
      </c>
      <c r="BJ51" s="111" t="str">
        <f>IFERROR(__xludf.DUMMYFUNCTION("""COMPUTED_VALUE"""),"Innuéndo")</f>
        <v>Innuéndo</v>
      </c>
      <c r="BK51" s="111" t="str">
        <f>IFERROR(__xludf.DUMMYFUNCTION("""COMPUTED_VALUE"""),"Twisting Nether")</f>
        <v>Twisting Nether</v>
      </c>
      <c r="BL51" s="108">
        <f>IFERROR(__xludf.DUMMYFUNCTION("""COMPUTED_VALUE"""),401.69)</f>
        <v>401.69</v>
      </c>
      <c r="BM51" s="111" t="str">
        <f>IFERROR(__xludf.DUMMYFUNCTION("""COMPUTED_VALUE"""),"19 days ago")</f>
        <v>19 days ago</v>
      </c>
      <c r="BN51" s="119"/>
      <c r="BO51" s="116" t="str">
        <f>IFERROR(__xludf.DUMMYFUNCTION("""COMPUTED_VALUE"""),"Johnyhustler")</f>
        <v>Johnyhustler</v>
      </c>
      <c r="BP51" s="111" t="str">
        <f>IFERROR(__xludf.DUMMYFUNCTION("""COMPUTED_VALUE"""),"Horn Of Gondor")</f>
        <v>Horn Of Gondor</v>
      </c>
      <c r="BQ51" s="111" t="str">
        <f>IFERROR(__xludf.DUMMYFUNCTION("""COMPUTED_VALUE"""),"Kazzak")</f>
        <v>Kazzak</v>
      </c>
      <c r="BR51" s="108">
        <f>IFERROR(__xludf.DUMMYFUNCTION("""COMPUTED_VALUE"""),401.81)</f>
        <v>401.81</v>
      </c>
      <c r="BS51" s="111" t="str">
        <f>IFERROR(__xludf.DUMMYFUNCTION("""COMPUTED_VALUE"""),"6 days ago")</f>
        <v>6 days ago</v>
      </c>
      <c r="BT51" s="120"/>
      <c r="BU51" s="107" t="str">
        <f t="shared" ref="BU51:BY51" si="46">G28</f>
        <v>Phyrralul</v>
      </c>
      <c r="BV51" s="107" t="str">
        <f t="shared" si="46"/>
        <v>Krafthuset</v>
      </c>
      <c r="BW51" s="107" t="str">
        <f t="shared" si="46"/>
        <v>Twisting Nether</v>
      </c>
      <c r="BX51" s="107">
        <f t="shared" si="46"/>
        <v>409.69</v>
      </c>
      <c r="BY51" s="107" t="str">
        <f t="shared" si="46"/>
        <v>15 days ago</v>
      </c>
      <c r="BZ51" s="108"/>
    </row>
    <row r="52">
      <c r="A52" t="str">
        <f>IFERROR(__xludf.DUMMYFUNCTION("IFERROR(QUERY(IMPORTHTML(""https://www.wowprogress.com/gearscore/en/char_rating/prev/3/class.deathknight/lfg.1/raids_week./lang.en#char_rating"", ""table"", 1), ""SELECT Col1, Col2, Col4, Col5, Col6 OFFSET 1"", 0), IFERROR(QUERY(IMPORTHTML(""https://www.w"&amp;"owprogress.com/gearscore/en/char_rating/next/1/class.deathknight/lfg.1/raids_week./lang.en#char_rating"", ""table"", 1), ""SELECT Col1, Col2, Col4, Col5, Col6 OFFSET 1"", 0), CONCATENATE(""Google Import Error at min: "", TO_TEXT(A3))))"),"Google Import Error at min: 36")</f>
        <v>Google Import Error at min: 36</v>
      </c>
      <c r="F52" s="94"/>
      <c r="G52" t="str">
        <f>IFERROR(__xludf.DUMMYFUNCTION("IFERROR(QUERY(IMPORTHTML(""https://www.wowprogress.com/gearscore/en/char_rating/prev/3/class.demon_hunter/lfg.1/raids_week./lang.en#char_rating"", ""table"", 1), ""SELECT Col1, Col2, Col4, Col5, Col6 OFFSET 1"", 0), IFERROR(QUERY(IMPORTHTML(""https://www."&amp;"wowprogress.com/gearscore/en/char_rating/next/1/class.demon_hunter/lfg.1/raids_week./lang.en#char_rating"", ""table"", 1), ""SELECT Col1, Col2, Col4, Col5, Col6 OFFSET 1"", 0), CONCATENATE(""Google Import Error at min: "", TO_TEXT(A3))))"),"Samathi")</f>
        <v>Samathi</v>
      </c>
      <c r="H52" t="str">
        <f>IFERROR(__xludf.DUMMYFUNCTION("""COMPUTED_VALUE"""),"REAL MADRID")</f>
        <v>REAL MADRID</v>
      </c>
      <c r="I52" t="str">
        <f>IFERROR(__xludf.DUMMYFUNCTION("""COMPUTED_VALUE"""),"Kazzak")</f>
        <v>Kazzak</v>
      </c>
      <c r="J52">
        <f>IFERROR(__xludf.DUMMYFUNCTION("""COMPUTED_VALUE"""),407.69)</f>
        <v>407.69</v>
      </c>
      <c r="K52" t="str">
        <f>IFERROR(__xludf.DUMMYFUNCTION("""COMPUTED_VALUE"""),"5 days ago")</f>
        <v>5 days ago</v>
      </c>
      <c r="L52" s="95"/>
      <c r="M52" t="str">
        <f>IFERROR(__xludf.DUMMYFUNCTION("IFERROR(QUERY(IMPORTHTML(""https://www.wowprogress.com/gearscore/en/char_rating/prev/3/class.druid/lfg.1/raids_week./lang.en#char_rating"", ""table"", 1), ""SELECT Col1, Col2, Col4, Col5, Col6 OFFSET 1"", 0), IFERROR(QUERY(IMPORTHTML(""https://www.wowprog"&amp;"ress.com/gearscore/en/char_rating/next/1/class.druid/lfg.1/raids_week./lang.en#char_rating"", ""table"", 1), ""SELECT Col1, Col2, Col4, Col5, Col6 OFFSET 1"", 0), CONCATENATE(""Google Import Error at min: "", TO_TEXT(A3))))"),"Allessìa")</f>
        <v>Allessìa</v>
      </c>
      <c r="N52" t="str">
        <f>IFERROR(__xludf.DUMMYFUNCTION("""COMPUTED_VALUE"""),"Caedes")</f>
        <v>Caedes</v>
      </c>
      <c r="O52" t="str">
        <f>IFERROR(__xludf.DUMMYFUNCTION("""COMPUTED_VALUE"""),"Draenor")</f>
        <v>Draenor</v>
      </c>
      <c r="P52">
        <f>IFERROR(__xludf.DUMMYFUNCTION("""COMPUTED_VALUE"""),405.69)</f>
        <v>405.69</v>
      </c>
      <c r="Q52" t="str">
        <f>IFERROR(__xludf.DUMMYFUNCTION("""COMPUTED_VALUE"""),"6 days ago")</f>
        <v>6 days ago</v>
      </c>
      <c r="R52" s="96"/>
      <c r="S52" t="str">
        <f>IFERROR(__xludf.DUMMYFUNCTION("IFERROR(QUERY(IMPORTHTML(""https://www.wowprogress.com/gearscore/en/char_rating/prev/3/class.hunter/lfg.1/raids_week./lang.en#char_rating"", ""table"", 1), ""SELECT Col1, Col2, Col4, Col5, Col6 OFFSET 1"", 0), IFERROR(QUERY(IMPORTHTML(""https://www.wowpro"&amp;"gress.com/gearscore/en/char_rating/next/1/class.hunter/lfg.1/raids_week./lang.en#char_rating"", ""table"", 1), ""SELECT Col1, Col2, Col4, Col5, Col6 OFFSET 1"", 0), CONCATENATE(""Google Import Error at min: "", TO_TEXT(A3))))"),"Icyhunt")</f>
        <v>Icyhunt</v>
      </c>
      <c r="T52" t="str">
        <f>IFERROR(__xludf.DUMMYFUNCTION("""COMPUTED_VALUE"""),"Drift")</f>
        <v>Drift</v>
      </c>
      <c r="U52" t="str">
        <f>IFERROR(__xludf.DUMMYFUNCTION("""COMPUTED_VALUE"""),"Twisting Nether")</f>
        <v>Twisting Nether</v>
      </c>
      <c r="V52">
        <f>IFERROR(__xludf.DUMMYFUNCTION("""COMPUTED_VALUE"""),399.75)</f>
        <v>399.75</v>
      </c>
      <c r="W52" t="str">
        <f>IFERROR(__xludf.DUMMYFUNCTION("""COMPUTED_VALUE"""),"11 days ago")</f>
        <v>11 days ago</v>
      </c>
      <c r="X52" s="97"/>
      <c r="Y52" s="124" t="str">
        <f>IFERROR(__xludf.DUMMYFUNCTION("IFERROR(QUERY(IMPORTHTML(""https://www.wowprogress.com/gearscore/en/char_rating/prev/3/class.mage/lfg.1/raids_week./lang.en#char_rating"", ""table"", 1), ""SELECT Col1, Col2, Col4, Col5, Col6 OFFSET 1"", 0), IFERROR(QUERY(IMPORTHTML(""https://www.wowprogr"&amp;"ess.com/gearscore/en/char_rating/next/1/class.mage/lfg.1/raids_week./lang.en#char_rating"", ""table"", 1), ""SELECT Col1, Col2, Col4, Col5, Col6 OFFSET 1"", 0), CONCATENATE(""Google Import Error at min: "", TO_TEXT(A3))))
"),"Heartflame")</f>
        <v>Heartflame</v>
      </c>
      <c r="Z52" s="16" t="str">
        <f>IFERROR(__xludf.DUMMYFUNCTION("""COMPUTED_VALUE"""),"")</f>
        <v/>
      </c>
      <c r="AA52" s="16" t="str">
        <f>IFERROR(__xludf.DUMMYFUNCTION("""COMPUTED_VALUE"""),"Kazzak")</f>
        <v>Kazzak</v>
      </c>
      <c r="AB52" s="16">
        <f>IFERROR(__xludf.DUMMYFUNCTION("""COMPUTED_VALUE"""),402.75)</f>
        <v>402.75</v>
      </c>
      <c r="AC52" s="16" t="str">
        <f>IFERROR(__xludf.DUMMYFUNCTION("""COMPUTED_VALUE"""),"7 days ago")</f>
        <v>7 days ago</v>
      </c>
      <c r="AD52" s="99"/>
      <c r="AE52" s="16" t="str">
        <f>IFERROR(__xludf.DUMMYFUNCTION("IFERROR(QUERY(IMPORTHTML(""https://www.wowprogress.com/gearscore/en/char_rating/prev/3/class.monk/lfg.1/raids_week./lang.en#char_rating"", ""table"", 1), ""SELECT Col1, Col2, Col4, Col5, Col6 OFFSET 1"", 0), IFERROR(QUERY(IMPORTHTML(""https://www.wowprogr"&amp;"ess.com/gearscore/en/char_rating/next/1/class.monk/lfg.1/raids_week./lang.en#char_rating"", ""table"", 1), ""SELECT Col1, Col2, Col4, Col5, Col6 OFFSET 1"", 0), CONCATENATE(""Google Import Error at min: "", TO_TEXT(A3))))"),"Píngpòng")</f>
        <v>Píngpòng</v>
      </c>
      <c r="AF52" s="16" t="str">
        <f>IFERROR(__xludf.DUMMYFUNCTION("""COMPUTED_VALUE"""),"Whispers of the Ol..")</f>
        <v>Whispers of the Ol..</v>
      </c>
      <c r="AG52" s="16" t="str">
        <f>IFERROR(__xludf.DUMMYFUNCTION("""COMPUTED_VALUE"""),"Tarren Mill")</f>
        <v>Tarren Mill</v>
      </c>
      <c r="AH52" s="18">
        <f>IFERROR(__xludf.DUMMYFUNCTION("""COMPUTED_VALUE"""),406.44)</f>
        <v>406.44</v>
      </c>
      <c r="AI52" s="16" t="str">
        <f>IFERROR(__xludf.DUMMYFUNCTION("""COMPUTED_VALUE"""),"24 days ago")</f>
        <v>24 days ago</v>
      </c>
      <c r="AJ52" s="100"/>
      <c r="AK52" s="16" t="str">
        <f>IFERROR(__xludf.DUMMYFUNCTION("IFERROR(QUERY(IMPORTHTML(""https://www.wowprogress.com/gearscore/en/char_rating/prev/3/class.paladin/lfg.1/raids_week./lang.en#char_rating"", ""table"", 1), ""SELECT Col1, Col2, Col4, Col5, Col6 OFFSET 1"", 0), IFERROR(QUERY(IMPORTHTML(""https://www.wowpr"&amp;"ogress.com/gearscore/en/char_rating/next/1/class.paladin/lfg.1/raids_week./lang.en#char_rating"", ""table"", 1), ""SELECT Col1, Col2, Col4, Col5, Col6 OFFSET 1"", 0), CONCATENATE(""Google Import Error at min: "", TO_TEXT(A3))))"),"Kypal")</f>
        <v>Kypal</v>
      </c>
      <c r="AL52" s="16" t="str">
        <f>IFERROR(__xludf.DUMMYFUNCTION("""COMPUTED_VALUE"""),"")</f>
        <v/>
      </c>
      <c r="AM52" s="16" t="str">
        <f>IFERROR(__xludf.DUMMYFUNCTION("""COMPUTED_VALUE"""),"Silvermoon")</f>
        <v>Silvermoon</v>
      </c>
      <c r="AN52" s="18">
        <f>IFERROR(__xludf.DUMMYFUNCTION("""COMPUTED_VALUE"""),400.81)</f>
        <v>400.81</v>
      </c>
      <c r="AO52" s="16" t="str">
        <f>IFERROR(__xludf.DUMMYFUNCTION("""COMPUTED_VALUE"""),"2 days ago")</f>
        <v>2 days ago</v>
      </c>
      <c r="AP52" s="101"/>
      <c r="AQ52" s="25" t="str">
        <f>IFERROR(__xludf.DUMMYFUNCTION("IFERROR(QUERY(IMPORTHTML(""https://www.wowprogress.com/gearscore/en/char_rating/prev/3/class.priest/lfg.1/raids_week./lang.en#char_rating"", ""table"", 1), ""SELECT Col1, Col2, Col4, Col5, Col6 OFFSET 1"", 0), IFERROR(QUERY(IMPORTHTML(""https://www.wowpro"&amp;"gress.com/gearscore/en/char_rating/next/1/class.priest/lfg.1/raids_week./lang.en#char_rating"", ""table"", 1), ""SELECT Col1, Col2, Col4, Col5, Col6 OFFSET 1"", 0), CONCATENATE(""Google Import Error at min: "", TO_TEXT(A3))))
"),"Ryanfrog")</f>
        <v>Ryanfrog</v>
      </c>
      <c r="AR52" s="16" t="str">
        <f>IFERROR(__xludf.DUMMYFUNCTION("""COMPUTED_VALUE"""),"Heffalumps and Woo..")</f>
        <v>Heffalumps and Woo..</v>
      </c>
      <c r="AS52" s="16" t="str">
        <f>IFERROR(__xludf.DUMMYFUNCTION("""COMPUTED_VALUE"""),"Tarren Mill")</f>
        <v>Tarren Mill</v>
      </c>
      <c r="AT52" s="18">
        <f>IFERROR(__xludf.DUMMYFUNCTION("""COMPUTED_VALUE"""),402.25)</f>
        <v>402.25</v>
      </c>
      <c r="AU52" s="16" t="str">
        <f>IFERROR(__xludf.DUMMYFUNCTION("""COMPUTED_VALUE"""),"12 hours ago")</f>
        <v>12 hours ago</v>
      </c>
      <c r="AV52" s="102"/>
      <c r="AW52" s="25" t="str">
        <f>IFERROR(__xludf.DUMMYFUNCTION("IFERROR(QUERY(IMPORTHTML(""https://www.wowprogress.com/gearscore/en/char_rating/prev/3/class.rogue/lfg.1/raids_week./lang.en#char_rating"", ""table"", 1), ""SELECT Col1, Col2, Col4, Col5, Col6 OFFSET 1"", 0), IFERROR(QUERY(IMPORTHTML(""https://www.wowprog"&amp;"ress.com/gearscore/en/char_rating/next/1/class.rogue/lfg.1/raids_week./lang.en#char_rating"", ""table"", 1), ""SELECT Col1, Col2, Col4, Col5, Col6 OFFSET 1"", 0), CONCATENATE(""Google Import Error at min: "", TO_TEXT(A3))))
"),"Whízp")</f>
        <v>Whízp</v>
      </c>
      <c r="AX52" s="16" t="str">
        <f>IFERROR(__xludf.DUMMYFUNCTION("""COMPUTED_VALUE"""),"Hoax")</f>
        <v>Hoax</v>
      </c>
      <c r="AY52" s="16" t="str">
        <f>IFERROR(__xludf.DUMMYFUNCTION("""COMPUTED_VALUE"""),"Kazzak")</f>
        <v>Kazzak</v>
      </c>
      <c r="AZ52" s="18">
        <f>IFERROR(__xludf.DUMMYFUNCTION("""COMPUTED_VALUE"""),404.5)</f>
        <v>404.5</v>
      </c>
      <c r="BA52" s="16" t="str">
        <f>IFERROR(__xludf.DUMMYFUNCTION("""COMPUTED_VALUE"""),"4 days ago")</f>
        <v>4 days ago</v>
      </c>
      <c r="BB52" s="103"/>
      <c r="BC52" s="25" t="str">
        <f>IFERROR(__xludf.DUMMYFUNCTION("IFERROR(QUERY(IMPORTHTML(""https://www.wowprogress.com/gearscore/en/char_rating/prev/3/class.shaman/lfg.1/raids_week./lang.en#char_rating"", ""table"", 1), ""SELECT Col1, Col2, Col4, Col5, Col6 OFFSET 1"", 0), IFERROR(QUERY(IMPORTHTML(""https://www.wowpro"&amp;"gress.com/gearscore/en/char_rating/next/1/class.shaman/lfg.1/raids_week./lang.en#char_rating"", ""table"", 1), ""SELECT Col1, Col2, Col4, Col5, Col6 OFFSET 1"", 0), CONCATENATE(""Google Import Error at min: "", TO_TEXT(A3))))
"),"Shámbulancé")</f>
        <v>Shámbulancé</v>
      </c>
      <c r="BD52" s="16" t="str">
        <f>IFERROR(__xludf.DUMMYFUNCTION("""COMPUTED_VALUE"""),"Fang")</f>
        <v>Fang</v>
      </c>
      <c r="BE52" s="16" t="str">
        <f>IFERROR(__xludf.DUMMYFUNCTION("""COMPUTED_VALUE"""),"Kazzak")</f>
        <v>Kazzak</v>
      </c>
      <c r="BF52" s="18">
        <f>IFERROR(__xludf.DUMMYFUNCTION("""COMPUTED_VALUE"""),392.63)</f>
        <v>392.63</v>
      </c>
      <c r="BG52" s="16" t="str">
        <f>IFERROR(__xludf.DUMMYFUNCTION("""COMPUTED_VALUE"""),"18 days ago")</f>
        <v>18 days ago</v>
      </c>
      <c r="BH52" s="104"/>
      <c r="BI52" s="25" t="str">
        <f>IFERROR(__xludf.DUMMYFUNCTION("IFERROR(QUERY(IMPORTHTML(""https://www.wowprogress.com/gearscore/en/char_rating/prev/3/class.warlock/lfg.1/raids_week./lang.en#char_rating"", ""table"", 1), ""SELECT Col1, Col2, Col4, Col5, Col6 OFFSET 1"", 0), IFERROR(QUERY(IMPORTHTML(""https://www.wowpr"&amp;"ogress.com/gearscore/en/char_rating/next/1/class.warlock/lfg.1/raids_week./lang.en#char_rating"", ""table"", 1), ""SELECT Col1, Col2, Col4, Col5, Col6 OFFSET 1"", 0), CONCATENATE(""Google Import Error at min: "", TO_TEXT(A3))))
"),"Sq")</f>
        <v>Sq</v>
      </c>
      <c r="BJ52" s="16" t="str">
        <f>IFERROR(__xludf.DUMMYFUNCTION("""COMPUTED_VALUE"""),"")</f>
        <v/>
      </c>
      <c r="BK52" s="16" t="str">
        <f>IFERROR(__xludf.DUMMYFUNCTION("""COMPUTED_VALUE"""),"Sunstrider")</f>
        <v>Sunstrider</v>
      </c>
      <c r="BL52" s="18">
        <f>IFERROR(__xludf.DUMMYFUNCTION("""COMPUTED_VALUE"""),401.44)</f>
        <v>401.44</v>
      </c>
      <c r="BM52" s="16" t="str">
        <f>IFERROR(__xludf.DUMMYFUNCTION("""COMPUTED_VALUE"""),"2 days ago")</f>
        <v>2 days ago</v>
      </c>
      <c r="BN52" s="105"/>
      <c r="BO52" s="25" t="str">
        <f>IFERROR(__xludf.DUMMYFUNCTION("IFERROR(QUERY(IMPORTHTML(""https://www.wowprogress.com/gearscore/en/char_rating/prev/3/class.warrior/lfg.1/raids_week./lang.en#char_rating"", ""table"", 1), ""SELECT Col1, Col2, Col4, Col5, Col6 OFFSET 1"", 0), IFERROR(QUERY(IMPORTHTML(""https://www.wowpr"&amp;"ogress.com/gearscore/en/char_rating/next/1/class.warrior/lfg.1/raids_week./lang.en#char_rating"", ""table"", 1), ""SELECT Col1, Col2, Col4, Col5, Col6 OFFSET 1"", 0), CONCATENATE(""Google Import Error at min: "", TO_TEXT(A3))))"),"Midoriw")</f>
        <v>Midoriw</v>
      </c>
      <c r="BP52" s="16" t="str">
        <f>IFERROR(__xludf.DUMMYFUNCTION("""COMPUTED_VALUE"""),"Clique")</f>
        <v>Clique</v>
      </c>
      <c r="BQ52" s="16" t="str">
        <f>IFERROR(__xludf.DUMMYFUNCTION("""COMPUTED_VALUE"""),"Draenor")</f>
        <v>Draenor</v>
      </c>
      <c r="BR52" s="18">
        <f>IFERROR(__xludf.DUMMYFUNCTION("""COMPUTED_VALUE"""),401.75)</f>
        <v>401.75</v>
      </c>
      <c r="BS52" s="16" t="str">
        <f>IFERROR(__xludf.DUMMYFUNCTION("""COMPUTED_VALUE"""),"9 days ago")</f>
        <v>9 days ago</v>
      </c>
      <c r="BT52" s="106"/>
      <c r="BU52" s="107" t="str">
        <f t="shared" ref="BU52:BY52" si="47">M6</f>
        <v>Mythraeth</v>
      </c>
      <c r="BV52" s="107" t="str">
        <f t="shared" si="47"/>
        <v/>
      </c>
      <c r="BW52" s="107" t="str">
        <f t="shared" si="47"/>
        <v>Tarren Mill</v>
      </c>
      <c r="BX52" s="107">
        <f t="shared" si="47"/>
        <v>413.31</v>
      </c>
      <c r="BY52" s="107" t="str">
        <f t="shared" si="47"/>
        <v>26 days ago</v>
      </c>
      <c r="BZ52" s="108"/>
    </row>
    <row r="53">
      <c r="F53" s="94"/>
      <c r="G53" t="str">
        <f>IFERROR(__xludf.DUMMYFUNCTION("""COMPUTED_VALUE"""),"Braadh")</f>
        <v>Braadh</v>
      </c>
      <c r="H53" t="str">
        <f>IFERROR(__xludf.DUMMYFUNCTION("""COMPUTED_VALUE"""),"Nelivia")</f>
        <v>Nelivia</v>
      </c>
      <c r="I53" t="str">
        <f>IFERROR(__xludf.DUMMYFUNCTION("""COMPUTED_VALUE"""),"Draenor")</f>
        <v>Draenor</v>
      </c>
      <c r="J53">
        <f>IFERROR(__xludf.DUMMYFUNCTION("""COMPUTED_VALUE"""),407.69)</f>
        <v>407.69</v>
      </c>
      <c r="K53" t="str">
        <f>IFERROR(__xludf.DUMMYFUNCTION("""COMPUTED_VALUE"""),"12 days ago")</f>
        <v>12 days ago</v>
      </c>
      <c r="L53" s="95"/>
      <c r="M53" t="str">
        <f>IFERROR(__xludf.DUMMYFUNCTION("""COMPUTED_VALUE"""),"Caerie")</f>
        <v>Caerie</v>
      </c>
      <c r="N53" t="str">
        <f>IFERROR(__xludf.DUMMYFUNCTION("""COMPUTED_VALUE"""),"Stigmatize")</f>
        <v>Stigmatize</v>
      </c>
      <c r="O53" t="str">
        <f>IFERROR(__xludf.DUMMYFUNCTION("""COMPUTED_VALUE"""),"Burning Legion")</f>
        <v>Burning Legion</v>
      </c>
      <c r="P53">
        <f>IFERROR(__xludf.DUMMYFUNCTION("""COMPUTED_VALUE"""),405.56)</f>
        <v>405.56</v>
      </c>
      <c r="Q53" t="str">
        <f>IFERROR(__xludf.DUMMYFUNCTION("""COMPUTED_VALUE"""),"19 days ago")</f>
        <v>19 days ago</v>
      </c>
      <c r="R53" s="96"/>
      <c r="S53" t="str">
        <f>IFERROR(__xludf.DUMMYFUNCTION("""COMPUTED_VALUE"""),"Horuu")</f>
        <v>Horuu</v>
      </c>
      <c r="T53" t="str">
        <f>IFERROR(__xludf.DUMMYFUNCTION("""COMPUTED_VALUE"""),"Famous")</f>
        <v>Famous</v>
      </c>
      <c r="U53" t="str">
        <f>IFERROR(__xludf.DUMMYFUNCTION("""COMPUTED_VALUE"""),"Tarren Mill")</f>
        <v>Tarren Mill</v>
      </c>
      <c r="V53">
        <f>IFERROR(__xludf.DUMMYFUNCTION("""COMPUTED_VALUE"""),399.75)</f>
        <v>399.75</v>
      </c>
      <c r="W53" t="str">
        <f>IFERROR(__xludf.DUMMYFUNCTION("""COMPUTED_VALUE"""),"22 days ago")</f>
        <v>22 days ago</v>
      </c>
      <c r="X53" s="97"/>
      <c r="Y53" s="111" t="str">
        <f>IFERROR(__xludf.DUMMYFUNCTION("""COMPUTED_VALUE"""),"Zulamana")</f>
        <v>Zulamana</v>
      </c>
      <c r="Z53" s="111" t="str">
        <f>IFERROR(__xludf.DUMMYFUNCTION("""COMPUTED_VALUE"""),"We Did It")</f>
        <v>We Did It</v>
      </c>
      <c r="AA53" s="111" t="str">
        <f>IFERROR(__xludf.DUMMYFUNCTION("""COMPUTED_VALUE"""),"Ragnaros")</f>
        <v>Ragnaros</v>
      </c>
      <c r="AB53" s="111">
        <f>IFERROR(__xludf.DUMMYFUNCTION("""COMPUTED_VALUE"""),402.25)</f>
        <v>402.25</v>
      </c>
      <c r="AC53" s="111" t="str">
        <f>IFERROR(__xludf.DUMMYFUNCTION("""COMPUTED_VALUE"""),"17 days ago")</f>
        <v>17 days ago</v>
      </c>
      <c r="AD53" s="112"/>
      <c r="AE53" s="111" t="str">
        <f>IFERROR(__xludf.DUMMYFUNCTION("""COMPUTED_VALUE"""),"Zarelithe")</f>
        <v>Zarelithe</v>
      </c>
      <c r="AF53" s="111" t="str">
        <f>IFERROR(__xludf.DUMMYFUNCTION("""COMPUTED_VALUE"""),"")</f>
        <v/>
      </c>
      <c r="AG53" s="111" t="str">
        <f>IFERROR(__xludf.DUMMYFUNCTION("""COMPUTED_VALUE"""),"Tarren Mill")</f>
        <v>Tarren Mill</v>
      </c>
      <c r="AH53" s="108">
        <f>IFERROR(__xludf.DUMMYFUNCTION("""COMPUTED_VALUE"""),406.44)</f>
        <v>406.44</v>
      </c>
      <c r="AI53" s="111" t="str">
        <f>IFERROR(__xludf.DUMMYFUNCTION("""COMPUTED_VALUE"""),"20 days ago")</f>
        <v>20 days ago</v>
      </c>
      <c r="AJ53" s="113"/>
      <c r="AK53" s="111" t="str">
        <f>IFERROR(__xludf.DUMMYFUNCTION("""COMPUTED_VALUE"""),"Regjiz")</f>
        <v>Regjiz</v>
      </c>
      <c r="AL53" s="111" t="str">
        <f>IFERROR(__xludf.DUMMYFUNCTION("""COMPUTED_VALUE"""),"O o O")</f>
        <v>O o O</v>
      </c>
      <c r="AM53" s="111" t="str">
        <f>IFERROR(__xludf.DUMMYFUNCTION("""COMPUTED_VALUE"""),"Kazzak")</f>
        <v>Kazzak</v>
      </c>
      <c r="AN53" s="108">
        <f>IFERROR(__xludf.DUMMYFUNCTION("""COMPUTED_VALUE"""),400.31)</f>
        <v>400.31</v>
      </c>
      <c r="AO53" s="111" t="str">
        <f>IFERROR(__xludf.DUMMYFUNCTION("""COMPUTED_VALUE"""),"11 days ago")</f>
        <v>11 days ago</v>
      </c>
      <c r="AP53" s="114"/>
      <c r="AQ53" s="116" t="str">
        <f>IFERROR(__xludf.DUMMYFUNCTION("""COMPUTED_VALUE"""),"Holybuda")</f>
        <v>Holybuda</v>
      </c>
      <c r="AR53" s="111" t="str">
        <f>IFERROR(__xludf.DUMMYFUNCTION("""COMPUTED_VALUE"""),"Gehenna")</f>
        <v>Gehenna</v>
      </c>
      <c r="AS53" s="111" t="str">
        <f>IFERROR(__xludf.DUMMYFUNCTION("""COMPUTED_VALUE"""),"Stormreaver")</f>
        <v>Stormreaver</v>
      </c>
      <c r="AT53" s="108">
        <f>IFERROR(__xludf.DUMMYFUNCTION("""COMPUTED_VALUE"""),401.75)</f>
        <v>401.75</v>
      </c>
      <c r="AU53" s="111" t="str">
        <f>IFERROR(__xludf.DUMMYFUNCTION("""COMPUTED_VALUE"""),"3 days ago")</f>
        <v>3 days ago</v>
      </c>
      <c r="AV53" s="115"/>
      <c r="AW53" s="116" t="str">
        <f>IFERROR(__xludf.DUMMYFUNCTION("""COMPUTED_VALUE"""),"Yoshimï")</f>
        <v>Yoshimï</v>
      </c>
      <c r="AX53" s="111" t="str">
        <f>IFERROR(__xludf.DUMMYFUNCTION("""COMPUTED_VALUE"""),"Vanir")</f>
        <v>Vanir</v>
      </c>
      <c r="AY53" s="111" t="str">
        <f>IFERROR(__xludf.DUMMYFUNCTION("""COMPUTED_VALUE"""),"Chamber of Aspects")</f>
        <v>Chamber of Aspects</v>
      </c>
      <c r="AZ53" s="108">
        <f>IFERROR(__xludf.DUMMYFUNCTION("""COMPUTED_VALUE"""),404.44)</f>
        <v>404.44</v>
      </c>
      <c r="BA53" s="111" t="str">
        <f>IFERROR(__xludf.DUMMYFUNCTION("""COMPUTED_VALUE"""),"4 days ago")</f>
        <v>4 days ago</v>
      </c>
      <c r="BB53" s="117"/>
      <c r="BC53" s="116" t="str">
        <f>IFERROR(__xludf.DUMMYFUNCTION("""COMPUTED_VALUE"""),"Nevérlucky")</f>
        <v>Nevérlucky</v>
      </c>
      <c r="BD53" s="111" t="str">
        <f>IFERROR(__xludf.DUMMYFUNCTION("""COMPUTED_VALUE"""),"")</f>
        <v/>
      </c>
      <c r="BE53" s="111" t="str">
        <f>IFERROR(__xludf.DUMMYFUNCTION("""COMPUTED_VALUE"""),"Ragnaros")</f>
        <v>Ragnaros</v>
      </c>
      <c r="BF53" s="108">
        <f>IFERROR(__xludf.DUMMYFUNCTION("""COMPUTED_VALUE"""),392.5)</f>
        <v>392.5</v>
      </c>
      <c r="BG53" s="111" t="str">
        <f>IFERROR(__xludf.DUMMYFUNCTION("""COMPUTED_VALUE"""),"10 days ago")</f>
        <v>10 days ago</v>
      </c>
      <c r="BH53" s="118"/>
      <c r="BI53" s="116" t="str">
        <f>IFERROR(__xludf.DUMMYFUNCTION("""COMPUTED_VALUE"""),"Nesslock")</f>
        <v>Nesslock</v>
      </c>
      <c r="BJ53" s="111" t="str">
        <f>IFERROR(__xludf.DUMMYFUNCTION("""COMPUTED_VALUE"""),"Routa")</f>
        <v>Routa</v>
      </c>
      <c r="BK53" s="111" t="str">
        <f>IFERROR(__xludf.DUMMYFUNCTION("""COMPUTED_VALUE"""),"Stormreaver")</f>
        <v>Stormreaver</v>
      </c>
      <c r="BL53" s="108">
        <f>IFERROR(__xludf.DUMMYFUNCTION("""COMPUTED_VALUE"""),401.06)</f>
        <v>401.06</v>
      </c>
      <c r="BM53" s="111" t="str">
        <f>IFERROR(__xludf.DUMMYFUNCTION("""COMPUTED_VALUE"""),"13 days ago")</f>
        <v>13 days ago</v>
      </c>
      <c r="BN53" s="119"/>
      <c r="BO53" s="116" t="str">
        <f>IFERROR(__xludf.DUMMYFUNCTION("""COMPUTED_VALUE"""),"Qzmannoqtirl")</f>
        <v>Qzmannoqtirl</v>
      </c>
      <c r="BP53" s="111" t="str">
        <f>IFERROR(__xludf.DUMMYFUNCTION("""COMPUTED_VALUE"""),"Famous")</f>
        <v>Famous</v>
      </c>
      <c r="BQ53" s="111" t="str">
        <f>IFERROR(__xludf.DUMMYFUNCTION("""COMPUTED_VALUE"""),"Tarren Mill")</f>
        <v>Tarren Mill</v>
      </c>
      <c r="BR53" s="108">
        <f>IFERROR(__xludf.DUMMYFUNCTION("""COMPUTED_VALUE"""),401.63)</f>
        <v>401.63</v>
      </c>
      <c r="BS53" s="111" t="str">
        <f>IFERROR(__xludf.DUMMYFUNCTION("""COMPUTED_VALUE"""),"18 days ago")</f>
        <v>18 days ago</v>
      </c>
      <c r="BT53" s="120"/>
      <c r="BU53" s="107" t="str">
        <f t="shared" ref="BU53:BY53" si="48">M7</f>
        <v>Eternalize</v>
      </c>
      <c r="BV53" s="107" t="str">
        <f t="shared" si="48"/>
        <v>Safety Dance</v>
      </c>
      <c r="BW53" s="107" t="str">
        <f t="shared" si="48"/>
        <v>Burning Legion</v>
      </c>
      <c r="BX53" s="107">
        <f t="shared" si="48"/>
        <v>411.75</v>
      </c>
      <c r="BY53" s="107" t="str">
        <f t="shared" si="48"/>
        <v>4 days ago</v>
      </c>
      <c r="BZ53" s="108"/>
    </row>
    <row r="54">
      <c r="E54" s="93"/>
      <c r="F54" s="94"/>
      <c r="G54" t="str">
        <f>IFERROR(__xludf.DUMMYFUNCTION("""COMPUTED_VALUE"""),"Havocy")</f>
        <v>Havocy</v>
      </c>
      <c r="H54" t="str">
        <f>IFERROR(__xludf.DUMMYFUNCTION("""COMPUTED_VALUE"""),"Coup detat")</f>
        <v>Coup detat</v>
      </c>
      <c r="I54" t="str">
        <f>IFERROR(__xludf.DUMMYFUNCTION("""COMPUTED_VALUE"""),"Kazzak")</f>
        <v>Kazzak</v>
      </c>
      <c r="J54">
        <f>IFERROR(__xludf.DUMMYFUNCTION("""COMPUTED_VALUE"""),407.38)</f>
        <v>407.38</v>
      </c>
      <c r="K54" t="str">
        <f>IFERROR(__xludf.DUMMYFUNCTION("""COMPUTED_VALUE"""),"11 hours ago")</f>
        <v>11 hours ago</v>
      </c>
      <c r="L54" s="95"/>
      <c r="M54" t="str">
        <f>IFERROR(__xludf.DUMMYFUNCTION("""COMPUTED_VALUE"""),"Bowafuzzle")</f>
        <v>Bowafuzzle</v>
      </c>
      <c r="N54" t="str">
        <f>IFERROR(__xludf.DUMMYFUNCTION("""COMPUTED_VALUE"""),"Aeonic")</f>
        <v>Aeonic</v>
      </c>
      <c r="O54" t="str">
        <f>IFERROR(__xludf.DUMMYFUNCTION("""COMPUTED_VALUE"""),"Ravencrest")</f>
        <v>Ravencrest</v>
      </c>
      <c r="P54">
        <f>IFERROR(__xludf.DUMMYFUNCTION("""COMPUTED_VALUE"""),405.5)</f>
        <v>405.5</v>
      </c>
      <c r="Q54" t="str">
        <f>IFERROR(__xludf.DUMMYFUNCTION("""COMPUTED_VALUE"""),"2 days ago")</f>
        <v>2 days ago</v>
      </c>
      <c r="R54" s="96"/>
      <c r="S54" t="str">
        <f>IFERROR(__xludf.DUMMYFUNCTION("""COMPUTED_VALUE"""),"Dzago")</f>
        <v>Dzago</v>
      </c>
      <c r="T54" t="str">
        <f>IFERROR(__xludf.DUMMYFUNCTION("""COMPUTED_VALUE"""),"")</f>
        <v/>
      </c>
      <c r="U54" t="str">
        <f>IFERROR(__xludf.DUMMYFUNCTION("""COMPUTED_VALUE"""),"Burning Legion")</f>
        <v>Burning Legion</v>
      </c>
      <c r="V54">
        <f>IFERROR(__xludf.DUMMYFUNCTION("""COMPUTED_VALUE"""),398.88)</f>
        <v>398.88</v>
      </c>
      <c r="W54" t="str">
        <f>IFERROR(__xludf.DUMMYFUNCTION("""COMPUTED_VALUE"""),"13 days ago")</f>
        <v>13 days ago</v>
      </c>
      <c r="X54" s="97"/>
      <c r="Y54" s="111" t="str">
        <f>IFERROR(__xludf.DUMMYFUNCTION("""COMPUTED_VALUE"""),"Barklin")</f>
        <v>Barklin</v>
      </c>
      <c r="Z54" s="111" t="str">
        <f>IFERROR(__xludf.DUMMYFUNCTION("""COMPUTED_VALUE"""),"Hiraeth")</f>
        <v>Hiraeth</v>
      </c>
      <c r="AA54" s="111" t="str">
        <f>IFERROR(__xludf.DUMMYFUNCTION("""COMPUTED_VALUE"""),"Argent Dawn")</f>
        <v>Argent Dawn</v>
      </c>
      <c r="AB54" s="111">
        <f>IFERROR(__xludf.DUMMYFUNCTION("""COMPUTED_VALUE"""),402.06)</f>
        <v>402.06</v>
      </c>
      <c r="AC54" s="111" t="str">
        <f>IFERROR(__xludf.DUMMYFUNCTION("""COMPUTED_VALUE"""),"25 days ago")</f>
        <v>25 days ago</v>
      </c>
      <c r="AD54" s="112"/>
      <c r="AE54" s="111" t="str">
        <f>IFERROR(__xludf.DUMMYFUNCTION("""COMPUTED_VALUE"""),"Hoshíumi")</f>
        <v>Hoshíumi</v>
      </c>
      <c r="AF54" s="111" t="str">
        <f>IFERROR(__xludf.DUMMYFUNCTION("""COMPUTED_VALUE"""),"")</f>
        <v/>
      </c>
      <c r="AG54" s="111" t="str">
        <f>IFERROR(__xludf.DUMMYFUNCTION("""COMPUTED_VALUE"""),"Draenor")</f>
        <v>Draenor</v>
      </c>
      <c r="AH54" s="108">
        <f>IFERROR(__xludf.DUMMYFUNCTION("""COMPUTED_VALUE"""),406.38)</f>
        <v>406.38</v>
      </c>
      <c r="AI54" s="111" t="str">
        <f>IFERROR(__xludf.DUMMYFUNCTION("""COMPUTED_VALUE"""),"6 days ago")</f>
        <v>6 days ago</v>
      </c>
      <c r="AJ54" s="113"/>
      <c r="AK54" s="111" t="str">
        <f>IFERROR(__xludf.DUMMYFUNCTION("""COMPUTED_VALUE"""),"Equin")</f>
        <v>Equin</v>
      </c>
      <c r="AL54" s="111" t="str">
        <f>IFERROR(__xludf.DUMMYFUNCTION("""COMPUTED_VALUE"""),"")</f>
        <v/>
      </c>
      <c r="AM54" s="111" t="str">
        <f>IFERROR(__xludf.DUMMYFUNCTION("""COMPUTED_VALUE"""),"Burning Legion")</f>
        <v>Burning Legion</v>
      </c>
      <c r="AN54" s="108">
        <f>IFERROR(__xludf.DUMMYFUNCTION("""COMPUTED_VALUE"""),400.19)</f>
        <v>400.19</v>
      </c>
      <c r="AO54" s="111" t="str">
        <f>IFERROR(__xludf.DUMMYFUNCTION("""COMPUTED_VALUE"""),"1 day ago")</f>
        <v>1 day ago</v>
      </c>
      <c r="AP54" s="114"/>
      <c r="AQ54" s="116" t="str">
        <f>IFERROR(__xludf.DUMMYFUNCTION("""COMPUTED_VALUE"""),"Kitlyn")</f>
        <v>Kitlyn</v>
      </c>
      <c r="AR54" s="111" t="str">
        <f>IFERROR(__xludf.DUMMYFUNCTION("""COMPUTED_VALUE"""),"Innominatum")</f>
        <v>Innominatum</v>
      </c>
      <c r="AS54" s="111" t="str">
        <f>IFERROR(__xludf.DUMMYFUNCTION("""COMPUTED_VALUE"""),"Twisting Nether")</f>
        <v>Twisting Nether</v>
      </c>
      <c r="AT54" s="108">
        <f>IFERROR(__xludf.DUMMYFUNCTION("""COMPUTED_VALUE"""),401.63)</f>
        <v>401.63</v>
      </c>
      <c r="AU54" s="111" t="str">
        <f>IFERROR(__xludf.DUMMYFUNCTION("""COMPUTED_VALUE"""),"14 days ago")</f>
        <v>14 days ago</v>
      </c>
      <c r="AV54" s="115"/>
      <c r="AW54" s="116" t="str">
        <f>IFERROR(__xludf.DUMMYFUNCTION("""COMPUTED_VALUE"""),"Neyrah")</f>
        <v>Neyrah</v>
      </c>
      <c r="AX54" s="111" t="str">
        <f>IFERROR(__xludf.DUMMYFUNCTION("""COMPUTED_VALUE"""),"")</f>
        <v/>
      </c>
      <c r="AY54" s="111" t="str">
        <f>IFERROR(__xludf.DUMMYFUNCTION("""COMPUTED_VALUE"""),"Tarren Mill")</f>
        <v>Tarren Mill</v>
      </c>
      <c r="AZ54" s="108">
        <f>IFERROR(__xludf.DUMMYFUNCTION("""COMPUTED_VALUE"""),404.25)</f>
        <v>404.25</v>
      </c>
      <c r="BA54" s="111" t="str">
        <f>IFERROR(__xludf.DUMMYFUNCTION("""COMPUTED_VALUE"""),"13 days ago")</f>
        <v>13 days ago</v>
      </c>
      <c r="BB54" s="117"/>
      <c r="BC54" s="116" t="str">
        <f>IFERROR(__xludf.DUMMYFUNCTION("""COMPUTED_VALUE"""),"Uncèrtain")</f>
        <v>Uncèrtain</v>
      </c>
      <c r="BD54" s="111" t="str">
        <f>IFERROR(__xludf.DUMMYFUNCTION("""COMPUTED_VALUE"""),"Not Nonagon")</f>
        <v>Not Nonagon</v>
      </c>
      <c r="BE54" s="111" t="str">
        <f>IFERROR(__xludf.DUMMYFUNCTION("""COMPUTED_VALUE"""),"Draenor")</f>
        <v>Draenor</v>
      </c>
      <c r="BF54" s="108">
        <f>IFERROR(__xludf.DUMMYFUNCTION("""COMPUTED_VALUE"""),392.31)</f>
        <v>392.31</v>
      </c>
      <c r="BG54" s="111" t="str">
        <f>IFERROR(__xludf.DUMMYFUNCTION("""COMPUTED_VALUE"""),"13 days ago")</f>
        <v>13 days ago</v>
      </c>
      <c r="BH54" s="118"/>
      <c r="BI54" s="116" t="str">
        <f>IFERROR(__xludf.DUMMYFUNCTION("""COMPUTED_VALUE"""),"Reformxd")</f>
        <v>Reformxd</v>
      </c>
      <c r="BJ54" s="111" t="str">
        <f>IFERROR(__xludf.DUMMYFUNCTION("""COMPUTED_VALUE"""),"")</f>
        <v/>
      </c>
      <c r="BK54" s="111" t="str">
        <f>IFERROR(__xludf.DUMMYFUNCTION("""COMPUTED_VALUE"""),"Draenor")</f>
        <v>Draenor</v>
      </c>
      <c r="BL54" s="108">
        <f>IFERROR(__xludf.DUMMYFUNCTION("""COMPUTED_VALUE"""),400.88)</f>
        <v>400.88</v>
      </c>
      <c r="BM54" s="111" t="str">
        <f>IFERROR(__xludf.DUMMYFUNCTION("""COMPUTED_VALUE"""),"10 days ago")</f>
        <v>10 days ago</v>
      </c>
      <c r="BN54" s="119"/>
      <c r="BO54" s="116" t="str">
        <f>IFERROR(__xludf.DUMMYFUNCTION("""COMPUTED_VALUE"""),"Bromag")</f>
        <v>Bromag</v>
      </c>
      <c r="BP54" s="111" t="str">
        <f>IFERROR(__xludf.DUMMYFUNCTION("""COMPUTED_VALUE"""),"No Reason")</f>
        <v>No Reason</v>
      </c>
      <c r="BQ54" s="111" t="str">
        <f>IFERROR(__xludf.DUMMYFUNCTION("""COMPUTED_VALUE"""),"Twisting Nether")</f>
        <v>Twisting Nether</v>
      </c>
      <c r="BR54" s="108">
        <f>IFERROR(__xludf.DUMMYFUNCTION("""COMPUTED_VALUE"""),401.56)</f>
        <v>401.56</v>
      </c>
      <c r="BS54" s="111" t="str">
        <f>IFERROR(__xludf.DUMMYFUNCTION("""COMPUTED_VALUE"""),"15 days ago")</f>
        <v>15 days ago</v>
      </c>
      <c r="BT54" s="120"/>
      <c r="BU54" s="107" t="str">
        <f t="shared" ref="BU54:BY54" si="49">M8</f>
        <v>Boomkin</v>
      </c>
      <c r="BV54" s="107" t="str">
        <f t="shared" si="49"/>
        <v>Team Epic</v>
      </c>
      <c r="BW54" s="107" t="str">
        <f t="shared" si="49"/>
        <v>Steamwheedle Cartel</v>
      </c>
      <c r="BX54" s="107">
        <f t="shared" si="49"/>
        <v>411.5</v>
      </c>
      <c r="BY54" s="107" t="str">
        <f t="shared" si="49"/>
        <v>16 hours ago</v>
      </c>
      <c r="BZ54" s="108"/>
    </row>
    <row r="55">
      <c r="F55" s="94"/>
      <c r="G55" t="str">
        <f>IFERROR(__xludf.DUMMYFUNCTION("""COMPUTED_VALUE"""),"Zinaria")</f>
        <v>Zinaria</v>
      </c>
      <c r="H55" t="str">
        <f>IFERROR(__xludf.DUMMYFUNCTION("""COMPUTED_VALUE"""),"Paradigm")</f>
        <v>Paradigm</v>
      </c>
      <c r="I55" t="str">
        <f>IFERROR(__xludf.DUMMYFUNCTION("""COMPUTED_VALUE"""),"Draenor")</f>
        <v>Draenor</v>
      </c>
      <c r="J55">
        <f>IFERROR(__xludf.DUMMYFUNCTION("""COMPUTED_VALUE"""),407.38)</f>
        <v>407.38</v>
      </c>
      <c r="K55" t="str">
        <f>IFERROR(__xludf.DUMMYFUNCTION("""COMPUTED_VALUE"""),"10 days ago")</f>
        <v>10 days ago</v>
      </c>
      <c r="L55" s="95"/>
      <c r="M55" t="str">
        <f>IFERROR(__xludf.DUMMYFUNCTION("""COMPUTED_VALUE"""),"Tescoexpress")</f>
        <v>Tescoexpress</v>
      </c>
      <c r="N55" t="str">
        <f>IFERROR(__xludf.DUMMYFUNCTION("""COMPUTED_VALUE"""),"Nocturnal Supremacy")</f>
        <v>Nocturnal Supremacy</v>
      </c>
      <c r="O55" t="str">
        <f>IFERROR(__xludf.DUMMYFUNCTION("""COMPUTED_VALUE"""),"Twisting Nether")</f>
        <v>Twisting Nether</v>
      </c>
      <c r="P55">
        <f>IFERROR(__xludf.DUMMYFUNCTION("""COMPUTED_VALUE"""),405.5)</f>
        <v>405.5</v>
      </c>
      <c r="Q55" t="str">
        <f>IFERROR(__xludf.DUMMYFUNCTION("""COMPUTED_VALUE"""),"5 days ago")</f>
        <v>5 days ago</v>
      </c>
      <c r="R55" s="96"/>
      <c r="S55" t="str">
        <f>IFERROR(__xludf.DUMMYFUNCTION("""COMPUTED_VALUE"""),"Vôdka")</f>
        <v>Vôdka</v>
      </c>
      <c r="T55" t="str">
        <f>IFERROR(__xludf.DUMMYFUNCTION("""COMPUTED_VALUE"""),"")</f>
        <v/>
      </c>
      <c r="U55" t="str">
        <f>IFERROR(__xludf.DUMMYFUNCTION("""COMPUTED_VALUE"""),"Arathor")</f>
        <v>Arathor</v>
      </c>
      <c r="V55">
        <f>IFERROR(__xludf.DUMMYFUNCTION("""COMPUTED_VALUE"""),398.13)</f>
        <v>398.13</v>
      </c>
      <c r="W55" t="str">
        <f>IFERROR(__xludf.DUMMYFUNCTION("""COMPUTED_VALUE"""),"23 days ago")</f>
        <v>23 days ago</v>
      </c>
      <c r="X55" s="97"/>
      <c r="Y55" s="111" t="str">
        <f>IFERROR(__xludf.DUMMYFUNCTION("""COMPUTED_VALUE"""),"Firelord")</f>
        <v>Firelord</v>
      </c>
      <c r="Z55" s="111" t="str">
        <f>IFERROR(__xludf.DUMMYFUNCTION("""COMPUTED_VALUE"""),"")</f>
        <v/>
      </c>
      <c r="AA55" s="111" t="str">
        <f>IFERROR(__xludf.DUMMYFUNCTION("""COMPUTED_VALUE"""),"Kazzak")</f>
        <v>Kazzak</v>
      </c>
      <c r="AB55" s="111">
        <f>IFERROR(__xludf.DUMMYFUNCTION("""COMPUTED_VALUE"""),401.75)</f>
        <v>401.75</v>
      </c>
      <c r="AC55" s="111" t="str">
        <f>IFERROR(__xludf.DUMMYFUNCTION("""COMPUTED_VALUE"""),"4 days ago")</f>
        <v>4 days ago</v>
      </c>
      <c r="AD55" s="112"/>
      <c r="AE55" s="111" t="str">
        <f>IFERROR(__xludf.DUMMYFUNCTION("""COMPUTED_VALUE"""),"Lintmonk")</f>
        <v>Lintmonk</v>
      </c>
      <c r="AF55" s="111" t="str">
        <f>IFERROR(__xludf.DUMMYFUNCTION("""COMPUTED_VALUE"""),"Chromex")</f>
        <v>Chromex</v>
      </c>
      <c r="AG55" s="111" t="str">
        <f>IFERROR(__xludf.DUMMYFUNCTION("""COMPUTED_VALUE"""),"Ravencrest")</f>
        <v>Ravencrest</v>
      </c>
      <c r="AH55" s="108">
        <f>IFERROR(__xludf.DUMMYFUNCTION("""COMPUTED_VALUE"""),406.31)</f>
        <v>406.31</v>
      </c>
      <c r="AI55" s="111" t="str">
        <f>IFERROR(__xludf.DUMMYFUNCTION("""COMPUTED_VALUE"""),"20 days ago")</f>
        <v>20 days ago</v>
      </c>
      <c r="AJ55" s="113"/>
      <c r="AK55" s="111" t="str">
        <f>IFERROR(__xludf.DUMMYFUNCTION("""COMPUTED_VALUE"""),"Kyrla")</f>
        <v>Kyrla</v>
      </c>
      <c r="AL55" s="111" t="str">
        <f>IFERROR(__xludf.DUMMYFUNCTION("""COMPUTED_VALUE"""),"")</f>
        <v/>
      </c>
      <c r="AM55" s="111" t="str">
        <f>IFERROR(__xludf.DUMMYFUNCTION("""COMPUTED_VALUE"""),"Ragnaros")</f>
        <v>Ragnaros</v>
      </c>
      <c r="AN55" s="108">
        <f>IFERROR(__xludf.DUMMYFUNCTION("""COMPUTED_VALUE"""),400.06)</f>
        <v>400.06</v>
      </c>
      <c r="AO55" s="111" t="str">
        <f>IFERROR(__xludf.DUMMYFUNCTION("""COMPUTED_VALUE"""),"27 days ago")</f>
        <v>27 days ago</v>
      </c>
      <c r="AP55" s="114"/>
      <c r="AQ55" s="116" t="str">
        <f>IFERROR(__xludf.DUMMYFUNCTION("""COMPUTED_VALUE"""),"Drysadne")</f>
        <v>Drysadne</v>
      </c>
      <c r="AR55" s="111" t="str">
        <f>IFERROR(__xludf.DUMMYFUNCTION("""COMPUTED_VALUE"""),"Stormwall")</f>
        <v>Stormwall</v>
      </c>
      <c r="AS55" s="111" t="str">
        <f>IFERROR(__xludf.DUMMYFUNCTION("""COMPUTED_VALUE"""),"Draenor")</f>
        <v>Draenor</v>
      </c>
      <c r="AT55" s="108">
        <f>IFERROR(__xludf.DUMMYFUNCTION("""COMPUTED_VALUE"""),401.31)</f>
        <v>401.31</v>
      </c>
      <c r="AU55" s="111" t="str">
        <f>IFERROR(__xludf.DUMMYFUNCTION("""COMPUTED_VALUE"""),"16 days ago")</f>
        <v>16 days ago</v>
      </c>
      <c r="AV55" s="115"/>
      <c r="AW55" s="116" t="str">
        <f>IFERROR(__xludf.DUMMYFUNCTION("""COMPUTED_VALUE"""),"Nevershroud")</f>
        <v>Nevershroud</v>
      </c>
      <c r="AX55" s="111" t="str">
        <f>IFERROR(__xludf.DUMMYFUNCTION("""COMPUTED_VALUE"""),"Sometimes Gifted")</f>
        <v>Sometimes Gifted</v>
      </c>
      <c r="AY55" s="111" t="str">
        <f>IFERROR(__xludf.DUMMYFUNCTION("""COMPUTED_VALUE"""),"Ragnaros")</f>
        <v>Ragnaros</v>
      </c>
      <c r="AZ55" s="108">
        <f>IFERROR(__xludf.DUMMYFUNCTION("""COMPUTED_VALUE"""),404.19)</f>
        <v>404.19</v>
      </c>
      <c r="BA55" s="111" t="str">
        <f>IFERROR(__xludf.DUMMYFUNCTION("""COMPUTED_VALUE"""),"7 days ago")</f>
        <v>7 days ago</v>
      </c>
      <c r="BB55" s="117"/>
      <c r="BC55" s="116" t="str">
        <f>IFERROR(__xludf.DUMMYFUNCTION("""COMPUTED_VALUE"""),"Thundamentâl")</f>
        <v>Thundamentâl</v>
      </c>
      <c r="BD55" s="111" t="str">
        <f>IFERROR(__xludf.DUMMYFUNCTION("""COMPUTED_VALUE"""),"")</f>
        <v/>
      </c>
      <c r="BE55" s="125" t="str">
        <f>IFERROR(__xludf.DUMMYFUNCTION("""COMPUTED_VALUE"""),"Ragnaros")</f>
        <v>Ragnaros</v>
      </c>
      <c r="BF55" s="111">
        <f>IFERROR(__xludf.DUMMYFUNCTION("""COMPUTED_VALUE"""),390.25)</f>
        <v>390.25</v>
      </c>
      <c r="BG55" s="111" t="str">
        <f>IFERROR(__xludf.DUMMYFUNCTION("""COMPUTED_VALUE"""),"25 days ago")</f>
        <v>25 days ago</v>
      </c>
      <c r="BH55" s="118"/>
      <c r="BI55" s="116" t="str">
        <f>IFERROR(__xludf.DUMMYFUNCTION("""COMPUTED_VALUE"""),"Dstroyzehh")</f>
        <v>Dstroyzehh</v>
      </c>
      <c r="BJ55" s="111" t="str">
        <f>IFERROR(__xludf.DUMMYFUNCTION("""COMPUTED_VALUE"""),"")</f>
        <v/>
      </c>
      <c r="BK55" s="111" t="str">
        <f>IFERROR(__xludf.DUMMYFUNCTION("""COMPUTED_VALUE"""),"Twisting Nether")</f>
        <v>Twisting Nether</v>
      </c>
      <c r="BL55" s="108">
        <f>IFERROR(__xludf.DUMMYFUNCTION("""COMPUTED_VALUE"""),400.81)</f>
        <v>400.81</v>
      </c>
      <c r="BM55" s="111" t="str">
        <f>IFERROR(__xludf.DUMMYFUNCTION("""COMPUTED_VALUE"""),"16 days ago")</f>
        <v>16 days ago</v>
      </c>
      <c r="BN55" s="119"/>
      <c r="BO55" s="116" t="str">
        <f>IFERROR(__xludf.DUMMYFUNCTION("""COMPUTED_VALUE"""),"Archáos")</f>
        <v>Archáos</v>
      </c>
      <c r="BP55" s="111" t="str">
        <f>IFERROR(__xludf.DUMMYFUNCTION("""COMPUTED_VALUE"""),"Never")</f>
        <v>Never</v>
      </c>
      <c r="BQ55" s="111" t="str">
        <f>IFERROR(__xludf.DUMMYFUNCTION("""COMPUTED_VALUE"""),"Kazzak")</f>
        <v>Kazzak</v>
      </c>
      <c r="BR55" s="108">
        <f>IFERROR(__xludf.DUMMYFUNCTION("""COMPUTED_VALUE"""),401.31)</f>
        <v>401.31</v>
      </c>
      <c r="BS55" s="111" t="str">
        <f>IFERROR(__xludf.DUMMYFUNCTION("""COMPUTED_VALUE"""),"16 days ago")</f>
        <v>16 days ago</v>
      </c>
      <c r="BT55" s="120"/>
      <c r="BU55" s="107" t="str">
        <f t="shared" ref="BU55:BY55" si="50">M9</f>
        <v>Jellyxd</v>
      </c>
      <c r="BV55" s="107" t="str">
        <f t="shared" si="50"/>
        <v>Acoustic</v>
      </c>
      <c r="BW55" s="107" t="str">
        <f t="shared" si="50"/>
        <v>Twisting Nether</v>
      </c>
      <c r="BX55" s="107">
        <f t="shared" si="50"/>
        <v>411.25</v>
      </c>
      <c r="BY55" s="107" t="str">
        <f t="shared" si="50"/>
        <v>2 hours ago</v>
      </c>
      <c r="BZ55" s="108"/>
    </row>
    <row r="56">
      <c r="F56" s="94"/>
      <c r="G56" t="str">
        <f>IFERROR(__xludf.DUMMYFUNCTION("""COMPUTED_VALUE"""),"Draxle")</f>
        <v>Draxle</v>
      </c>
      <c r="H56" t="str">
        <f>IFERROR(__xludf.DUMMYFUNCTION("""COMPUTED_VALUE"""),"Repose")</f>
        <v>Repose</v>
      </c>
      <c r="I56" t="str">
        <f>IFERROR(__xludf.DUMMYFUNCTION("""COMPUTED_VALUE"""),"Ragnaros")</f>
        <v>Ragnaros</v>
      </c>
      <c r="J56">
        <f>IFERROR(__xludf.DUMMYFUNCTION("""COMPUTED_VALUE"""),407.13)</f>
        <v>407.13</v>
      </c>
      <c r="K56" t="str">
        <f>IFERROR(__xludf.DUMMYFUNCTION("""COMPUTED_VALUE"""),"21 day ago")</f>
        <v>21 day ago</v>
      </c>
      <c r="L56" s="95"/>
      <c r="M56" t="str">
        <f>IFERROR(__xludf.DUMMYFUNCTION("""COMPUTED_VALUE"""),"Marsilo")</f>
        <v>Marsilo</v>
      </c>
      <c r="N56" t="str">
        <f>IFERROR(__xludf.DUMMYFUNCTION("""COMPUTED_VALUE"""),"")</f>
        <v/>
      </c>
      <c r="O56" t="str">
        <f>IFERROR(__xludf.DUMMYFUNCTION("""COMPUTED_VALUE"""),"Twisting Nether")</f>
        <v>Twisting Nether</v>
      </c>
      <c r="P56">
        <f>IFERROR(__xludf.DUMMYFUNCTION("""COMPUTED_VALUE"""),405.44)</f>
        <v>405.44</v>
      </c>
      <c r="Q56" t="str">
        <f>IFERROR(__xludf.DUMMYFUNCTION("""COMPUTED_VALUE"""),"2 days ago")</f>
        <v>2 days ago</v>
      </c>
      <c r="R56" s="96"/>
      <c r="S56" t="str">
        <f>IFERROR(__xludf.DUMMYFUNCTION("""COMPUTED_VALUE"""),"Rotgull")</f>
        <v>Rotgull</v>
      </c>
      <c r="T56" t="str">
        <f>IFERROR(__xludf.DUMMYFUNCTION("""COMPUTED_VALUE"""),"")</f>
        <v/>
      </c>
      <c r="U56" t="str">
        <f>IFERROR(__xludf.DUMMYFUNCTION("""COMPUTED_VALUE"""),"Ravencrest")</f>
        <v>Ravencrest</v>
      </c>
      <c r="V56">
        <f>IFERROR(__xludf.DUMMYFUNCTION("""COMPUTED_VALUE"""),397.69)</f>
        <v>397.69</v>
      </c>
      <c r="W56" t="str">
        <f>IFERROR(__xludf.DUMMYFUNCTION("""COMPUTED_VALUE"""),"24 days ago")</f>
        <v>24 days ago</v>
      </c>
      <c r="X56" s="97"/>
      <c r="Y56" s="111" t="str">
        <f>IFERROR(__xludf.DUMMYFUNCTION("""COMPUTED_VALUE"""),"Gino")</f>
        <v>Gino</v>
      </c>
      <c r="Z56" s="111" t="str">
        <f>IFERROR(__xludf.DUMMYFUNCTION("""COMPUTED_VALUE"""),"AuctionHousing")</f>
        <v>AuctionHousing</v>
      </c>
      <c r="AA56" s="111" t="str">
        <f>IFERROR(__xludf.DUMMYFUNCTION("""COMPUTED_VALUE"""),"Aggra")</f>
        <v>Aggra</v>
      </c>
      <c r="AB56" s="111">
        <f>IFERROR(__xludf.DUMMYFUNCTION("""COMPUTED_VALUE"""),401.63)</f>
        <v>401.63</v>
      </c>
      <c r="AC56" s="111" t="str">
        <f>IFERROR(__xludf.DUMMYFUNCTION("""COMPUTED_VALUE"""),"19 days ago")</f>
        <v>19 days ago</v>
      </c>
      <c r="AD56" s="112"/>
      <c r="AE56" s="111" t="str">
        <f>IFERROR(__xludf.DUMMYFUNCTION("""COMPUTED_VALUE"""),"Kaiying")</f>
        <v>Kaiying</v>
      </c>
      <c r="AF56" s="111" t="str">
        <f>IFERROR(__xludf.DUMMYFUNCTION("""COMPUTED_VALUE"""),"Hammer")</f>
        <v>Hammer</v>
      </c>
      <c r="AG56" s="111" t="str">
        <f>IFERROR(__xludf.DUMMYFUNCTION("""COMPUTED_VALUE"""),"Silvermoon")</f>
        <v>Silvermoon</v>
      </c>
      <c r="AH56" s="108">
        <f>IFERROR(__xludf.DUMMYFUNCTION("""COMPUTED_VALUE"""),406.0)</f>
        <v>406</v>
      </c>
      <c r="AI56" s="111" t="str">
        <f>IFERROR(__xludf.DUMMYFUNCTION("""COMPUTED_VALUE"""),"1 day ago")</f>
        <v>1 day ago</v>
      </c>
      <c r="AJ56" s="113"/>
      <c r="AK56" s="111" t="str">
        <f>IFERROR(__xludf.DUMMYFUNCTION("""COMPUTED_VALUE"""),"Oochie")</f>
        <v>Oochie</v>
      </c>
      <c r="AL56" s="111" t="str">
        <f>IFERROR(__xludf.DUMMYFUNCTION("""COMPUTED_VALUE"""),"")</f>
        <v/>
      </c>
      <c r="AM56" s="111" t="str">
        <f>IFERROR(__xludf.DUMMYFUNCTION("""COMPUTED_VALUE"""),"Doomhammer")</f>
        <v>Doomhammer</v>
      </c>
      <c r="AN56" s="108">
        <f>IFERROR(__xludf.DUMMYFUNCTION("""COMPUTED_VALUE"""),400.06)</f>
        <v>400.06</v>
      </c>
      <c r="AO56" s="111" t="str">
        <f>IFERROR(__xludf.DUMMYFUNCTION("""COMPUTED_VALUE"""),"26 days ago")</f>
        <v>26 days ago</v>
      </c>
      <c r="AP56" s="114"/>
      <c r="AQ56" s="116" t="str">
        <f>IFERROR(__xludf.DUMMYFUNCTION("""COMPUTED_VALUE"""),"Callann")</f>
        <v>Callann</v>
      </c>
      <c r="AR56" s="111" t="str">
        <f>IFERROR(__xludf.DUMMYFUNCTION("""COMPUTED_VALUE"""),"Gargoyles")</f>
        <v>Gargoyles</v>
      </c>
      <c r="AS56" s="111" t="str">
        <f>IFERROR(__xludf.DUMMYFUNCTION("""COMPUTED_VALUE"""),"Tarren Mill")</f>
        <v>Tarren Mill</v>
      </c>
      <c r="AT56" s="108">
        <f>IFERROR(__xludf.DUMMYFUNCTION("""COMPUTED_VALUE"""),401.19)</f>
        <v>401.19</v>
      </c>
      <c r="AU56" s="111" t="str">
        <f>IFERROR(__xludf.DUMMYFUNCTION("""COMPUTED_VALUE"""),"2 days ago")</f>
        <v>2 days ago</v>
      </c>
      <c r="AV56" s="115"/>
      <c r="AW56" s="116" t="str">
        <f>IFERROR(__xludf.DUMMYFUNCTION("""COMPUTED_VALUE"""),"Daggertime")</f>
        <v>Daggertime</v>
      </c>
      <c r="AX56" s="111" t="str">
        <f>IFERROR(__xludf.DUMMYFUNCTION("""COMPUTED_VALUE"""),"")</f>
        <v/>
      </c>
      <c r="AY56" s="111" t="str">
        <f>IFERROR(__xludf.DUMMYFUNCTION("""COMPUTED_VALUE"""),"Ragnaros")</f>
        <v>Ragnaros</v>
      </c>
      <c r="AZ56" s="108">
        <f>IFERROR(__xludf.DUMMYFUNCTION("""COMPUTED_VALUE"""),404.06)</f>
        <v>404.06</v>
      </c>
      <c r="BA56" s="111" t="str">
        <f>IFERROR(__xludf.DUMMYFUNCTION("""COMPUTED_VALUE"""),"7 days ago")</f>
        <v>7 days ago</v>
      </c>
      <c r="BB56" s="117"/>
      <c r="BC56" s="116" t="str">
        <f>IFERROR(__xludf.DUMMYFUNCTION("""COMPUTED_VALUE"""),"Kolatman")</f>
        <v>Kolatman</v>
      </c>
      <c r="BD56" s="111" t="str">
        <f>IFERROR(__xludf.DUMMYFUNCTION("""COMPUTED_VALUE"""),"Chillout Squad")</f>
        <v>Chillout Squad</v>
      </c>
      <c r="BE56" s="111" t="str">
        <f>IFERROR(__xludf.DUMMYFUNCTION("""COMPUTED_VALUE"""),"Burning Legion")</f>
        <v>Burning Legion</v>
      </c>
      <c r="BF56" s="108">
        <f>IFERROR(__xludf.DUMMYFUNCTION("""COMPUTED_VALUE"""),389.19)</f>
        <v>389.19</v>
      </c>
      <c r="BG56" s="111" t="str">
        <f>IFERROR(__xludf.DUMMYFUNCTION("""COMPUTED_VALUE"""),"23 hours ago")</f>
        <v>23 hours ago</v>
      </c>
      <c r="BH56" s="118"/>
      <c r="BI56" s="116" t="str">
        <f>IFERROR(__xludf.DUMMYFUNCTION("""COMPUTED_VALUE"""),"Xija")</f>
        <v>Xija</v>
      </c>
      <c r="BJ56" s="111" t="str">
        <f>IFERROR(__xludf.DUMMYFUNCTION("""COMPUTED_VALUE"""),"Infinus")</f>
        <v>Infinus</v>
      </c>
      <c r="BK56" s="111" t="str">
        <f>IFERROR(__xludf.DUMMYFUNCTION("""COMPUTED_VALUE"""),"Silvermoon")</f>
        <v>Silvermoon</v>
      </c>
      <c r="BL56" s="108">
        <f>IFERROR(__xludf.DUMMYFUNCTION("""COMPUTED_VALUE"""),400.63)</f>
        <v>400.63</v>
      </c>
      <c r="BM56" s="111" t="str">
        <f>IFERROR(__xludf.DUMMYFUNCTION("""COMPUTED_VALUE"""),"13 days ago")</f>
        <v>13 days ago</v>
      </c>
      <c r="BN56" s="119"/>
      <c r="BO56" s="116" t="str">
        <f>IFERROR(__xludf.DUMMYFUNCTION("""COMPUTED_VALUE"""),"Maganiaw")</f>
        <v>Maganiaw</v>
      </c>
      <c r="BP56" s="111" t="str">
        <f>IFERROR(__xludf.DUMMYFUNCTION("""COMPUTED_VALUE"""),"Fused has Fans")</f>
        <v>Fused has Fans</v>
      </c>
      <c r="BQ56" s="111" t="str">
        <f>IFERROR(__xludf.DUMMYFUNCTION("""COMPUTED_VALUE"""),"Tarren Mill")</f>
        <v>Tarren Mill</v>
      </c>
      <c r="BR56" s="108">
        <f>IFERROR(__xludf.DUMMYFUNCTION("""COMPUTED_VALUE"""),401.06)</f>
        <v>401.06</v>
      </c>
      <c r="BS56" s="111" t="str">
        <f>IFERROR(__xludf.DUMMYFUNCTION("""COMPUTED_VALUE"""),"11 days ago")</f>
        <v>11 days ago</v>
      </c>
      <c r="BT56" s="120"/>
      <c r="BU56" s="107" t="str">
        <f t="shared" ref="BU56:BY56" si="51">M10</f>
        <v>Sylais</v>
      </c>
      <c r="BV56" s="107" t="str">
        <f t="shared" si="51"/>
        <v>Safety Dance</v>
      </c>
      <c r="BW56" s="107" t="str">
        <f t="shared" si="51"/>
        <v>Argent Dawn</v>
      </c>
      <c r="BX56" s="107">
        <f t="shared" si="51"/>
        <v>411.13</v>
      </c>
      <c r="BY56" s="107" t="str">
        <f t="shared" si="51"/>
        <v>3 days ago</v>
      </c>
      <c r="BZ56" s="108"/>
    </row>
    <row r="57">
      <c r="F57" s="94"/>
      <c r="G57" t="str">
        <f>IFERROR(__xludf.DUMMYFUNCTION("""COMPUTED_VALUE"""),"Sacrina")</f>
        <v>Sacrina</v>
      </c>
      <c r="H57" t="str">
        <f>IFERROR(__xludf.DUMMYFUNCTION("""COMPUTED_VALUE"""),"The Axemen")</f>
        <v>The Axemen</v>
      </c>
      <c r="I57" t="str">
        <f>IFERROR(__xludf.DUMMYFUNCTION("""COMPUTED_VALUE"""),"Ravencrest")</f>
        <v>Ravencrest</v>
      </c>
      <c r="J57">
        <f>IFERROR(__xludf.DUMMYFUNCTION("""COMPUTED_VALUE"""),407.13)</f>
        <v>407.13</v>
      </c>
      <c r="K57" t="str">
        <f>IFERROR(__xludf.DUMMYFUNCTION("""COMPUTED_VALUE"""),"1 day ago")</f>
        <v>1 day ago</v>
      </c>
      <c r="L57" s="95"/>
      <c r="M57" t="str">
        <f>IFERROR(__xludf.DUMMYFUNCTION("""COMPUTED_VALUE"""),"Ardenna")</f>
        <v>Ardenna</v>
      </c>
      <c r="N57" t="str">
        <f>IFERROR(__xludf.DUMMYFUNCTION("""COMPUTED_VALUE"""),"Swamp Animals")</f>
        <v>Swamp Animals</v>
      </c>
      <c r="O57" t="str">
        <f>IFERROR(__xludf.DUMMYFUNCTION("""COMPUTED_VALUE"""),"Ravencrest")</f>
        <v>Ravencrest</v>
      </c>
      <c r="P57">
        <f>IFERROR(__xludf.DUMMYFUNCTION("""COMPUTED_VALUE"""),405.31)</f>
        <v>405.31</v>
      </c>
      <c r="Q57" t="str">
        <f>IFERROR(__xludf.DUMMYFUNCTION("""COMPUTED_VALUE"""),"4 days ago")</f>
        <v>4 days ago</v>
      </c>
      <c r="R57" s="96"/>
      <c r="S57" t="str">
        <f>IFERROR(__xludf.DUMMYFUNCTION("""COMPUTED_VALUE"""),"Luukhunt")</f>
        <v>Luukhunt</v>
      </c>
      <c r="T57" t="str">
        <f>IFERROR(__xludf.DUMMYFUNCTION("""COMPUTED_VALUE"""),"Raid")</f>
        <v>Raid</v>
      </c>
      <c r="U57" t="str">
        <f>IFERROR(__xludf.DUMMYFUNCTION("""COMPUTED_VALUE"""),"Silvermoon")</f>
        <v>Silvermoon</v>
      </c>
      <c r="V57">
        <f>IFERROR(__xludf.DUMMYFUNCTION("""COMPUTED_VALUE"""),397.63)</f>
        <v>397.63</v>
      </c>
      <c r="W57" t="str">
        <f>IFERROR(__xludf.DUMMYFUNCTION("""COMPUTED_VALUE"""),"23 days ago")</f>
        <v>23 days ago</v>
      </c>
      <c r="X57" s="97"/>
      <c r="Y57" s="111" t="str">
        <f>IFERROR(__xludf.DUMMYFUNCTION("""COMPUTED_VALUE"""),"Carkmartrite")</f>
        <v>Carkmartrite</v>
      </c>
      <c r="Z57" s="111" t="str">
        <f>IFERROR(__xludf.DUMMYFUNCTION("""COMPUTED_VALUE"""),"DPS POLICE")</f>
        <v>DPS POLICE</v>
      </c>
      <c r="AA57" s="111" t="str">
        <f>IFERROR(__xludf.DUMMYFUNCTION("""COMPUTED_VALUE"""),"Stormscale")</f>
        <v>Stormscale</v>
      </c>
      <c r="AB57" s="111">
        <f>IFERROR(__xludf.DUMMYFUNCTION("""COMPUTED_VALUE"""),401.56)</f>
        <v>401.56</v>
      </c>
      <c r="AC57" s="111" t="str">
        <f>IFERROR(__xludf.DUMMYFUNCTION("""COMPUTED_VALUE"""),"2 days ago")</f>
        <v>2 days ago</v>
      </c>
      <c r="AD57" s="112"/>
      <c r="AE57" s="111" t="str">
        <f>IFERROR(__xludf.DUMMYFUNCTION("""COMPUTED_VALUE"""),"Bunnytastic")</f>
        <v>Bunnytastic</v>
      </c>
      <c r="AF57" s="111" t="str">
        <f>IFERROR(__xludf.DUMMYFUNCTION("""COMPUTED_VALUE"""),"Volt Dynamix")</f>
        <v>Volt Dynamix</v>
      </c>
      <c r="AG57" s="111" t="str">
        <f>IFERROR(__xludf.DUMMYFUNCTION("""COMPUTED_VALUE"""),"Draenor")</f>
        <v>Draenor</v>
      </c>
      <c r="AH57" s="108">
        <f>IFERROR(__xludf.DUMMYFUNCTION("""COMPUTED_VALUE"""),405.94)</f>
        <v>405.94</v>
      </c>
      <c r="AI57" s="111" t="str">
        <f>IFERROR(__xludf.DUMMYFUNCTION("""COMPUTED_VALUE"""),"9 days ago")</f>
        <v>9 days ago</v>
      </c>
      <c r="AJ57" s="113"/>
      <c r="AK57" s="111" t="str">
        <f>IFERROR(__xludf.DUMMYFUNCTION("""COMPUTED_VALUE"""),"Narkotïka")</f>
        <v>Narkotïka</v>
      </c>
      <c r="AL57" s="111" t="str">
        <f>IFERROR(__xludf.DUMMYFUNCTION("""COMPUTED_VALUE"""),"")</f>
        <v/>
      </c>
      <c r="AM57" s="111" t="str">
        <f>IFERROR(__xludf.DUMMYFUNCTION("""COMPUTED_VALUE"""),"Stormscale")</f>
        <v>Stormscale</v>
      </c>
      <c r="AN57" s="108">
        <f>IFERROR(__xludf.DUMMYFUNCTION("""COMPUTED_VALUE"""),399.88)</f>
        <v>399.88</v>
      </c>
      <c r="AO57" s="111" t="str">
        <f>IFERROR(__xludf.DUMMYFUNCTION("""COMPUTED_VALUE"""),"5 days ago")</f>
        <v>5 days ago</v>
      </c>
      <c r="AP57" s="114"/>
      <c r="AQ57" s="116" t="str">
        <f>IFERROR(__xludf.DUMMYFUNCTION("""COMPUTED_VALUE"""),"Nobune")</f>
        <v>Nobune</v>
      </c>
      <c r="AR57" s="111" t="str">
        <f>IFERROR(__xludf.DUMMYFUNCTION("""COMPUTED_VALUE"""),"")</f>
        <v/>
      </c>
      <c r="AS57" s="111" t="str">
        <f>IFERROR(__xludf.DUMMYFUNCTION("""COMPUTED_VALUE"""),"Silvermoon")</f>
        <v>Silvermoon</v>
      </c>
      <c r="AT57" s="108">
        <f>IFERROR(__xludf.DUMMYFUNCTION("""COMPUTED_VALUE"""),401.13)</f>
        <v>401.13</v>
      </c>
      <c r="AU57" s="111" t="str">
        <f>IFERROR(__xludf.DUMMYFUNCTION("""COMPUTED_VALUE"""),"17 days ago")</f>
        <v>17 days ago</v>
      </c>
      <c r="AV57" s="115"/>
      <c r="AW57" s="116" t="str">
        <f>IFERROR(__xludf.DUMMYFUNCTION("""COMPUTED_VALUE"""),"Abuserr")</f>
        <v>Abuserr</v>
      </c>
      <c r="AX57" s="111" t="str">
        <f>IFERROR(__xludf.DUMMYFUNCTION("""COMPUTED_VALUE"""),"Solacium")</f>
        <v>Solacium</v>
      </c>
      <c r="AY57" s="111" t="str">
        <f>IFERROR(__xludf.DUMMYFUNCTION("""COMPUTED_VALUE"""),"Kazzak")</f>
        <v>Kazzak</v>
      </c>
      <c r="AZ57" s="108">
        <f>IFERROR(__xludf.DUMMYFUNCTION("""COMPUTED_VALUE"""),403.81)</f>
        <v>403.81</v>
      </c>
      <c r="BA57" s="111" t="str">
        <f>IFERROR(__xludf.DUMMYFUNCTION("""COMPUTED_VALUE"""),"8 days ago")</f>
        <v>8 days ago</v>
      </c>
      <c r="BB57" s="117"/>
      <c r="BC57" s="116" t="str">
        <f>IFERROR(__xludf.DUMMYFUNCTION("""COMPUTED_VALUE"""),"Akoda")</f>
        <v>Akoda</v>
      </c>
      <c r="BD57" s="111" t="str">
        <f>IFERROR(__xludf.DUMMYFUNCTION("""COMPUTED_VALUE"""),"Replicant")</f>
        <v>Replicant</v>
      </c>
      <c r="BE57" s="111" t="str">
        <f>IFERROR(__xludf.DUMMYFUNCTION("""COMPUTED_VALUE"""),"The Maelstrom")</f>
        <v>The Maelstrom</v>
      </c>
      <c r="BF57" s="108">
        <f>IFERROR(__xludf.DUMMYFUNCTION("""COMPUTED_VALUE"""),389.0)</f>
        <v>389</v>
      </c>
      <c r="BG57" s="111" t="str">
        <f>IFERROR(__xludf.DUMMYFUNCTION("""COMPUTED_VALUE"""),"17 days ago")</f>
        <v>17 days ago</v>
      </c>
      <c r="BH57" s="118"/>
      <c r="BI57" s="116" t="str">
        <f>IFERROR(__xludf.DUMMYFUNCTION("""COMPUTED_VALUE"""),"Cakeyysauce")</f>
        <v>Cakeyysauce</v>
      </c>
      <c r="BJ57" s="111" t="str">
        <f>IFERROR(__xludf.DUMMYFUNCTION("""COMPUTED_VALUE"""),"")</f>
        <v/>
      </c>
      <c r="BK57" s="111" t="str">
        <f>IFERROR(__xludf.DUMMYFUNCTION("""COMPUTED_VALUE"""),"Silvermoon")</f>
        <v>Silvermoon</v>
      </c>
      <c r="BL57" s="108">
        <f>IFERROR(__xludf.DUMMYFUNCTION("""COMPUTED_VALUE"""),399.0)</f>
        <v>399</v>
      </c>
      <c r="BM57" s="111" t="str">
        <f>IFERROR(__xludf.DUMMYFUNCTION("""COMPUTED_VALUE"""),"18 days ago")</f>
        <v>18 days ago</v>
      </c>
      <c r="BN57" s="119"/>
      <c r="BO57" s="116" t="str">
        <f>IFERROR(__xludf.DUMMYFUNCTION("""COMPUTED_VALUE"""),"Strung")</f>
        <v>Strung</v>
      </c>
      <c r="BP57" s="111" t="str">
        <f>IFERROR(__xludf.DUMMYFUNCTION("""COMPUTED_VALUE"""),"Battle trip")</f>
        <v>Battle trip</v>
      </c>
      <c r="BQ57" s="111" t="str">
        <f>IFERROR(__xludf.DUMMYFUNCTION("""COMPUTED_VALUE"""),"Kazzak")</f>
        <v>Kazzak</v>
      </c>
      <c r="BR57" s="108">
        <f>IFERROR(__xludf.DUMMYFUNCTION("""COMPUTED_VALUE"""),399.94)</f>
        <v>399.94</v>
      </c>
      <c r="BS57" s="111" t="str">
        <f>IFERROR(__xludf.DUMMYFUNCTION("""COMPUTED_VALUE"""),"17 days ago")</f>
        <v>17 days ago</v>
      </c>
      <c r="BT57" s="120"/>
      <c r="BU57" s="107" t="str">
        <f t="shared" ref="BU57:BY57" si="52">M11</f>
        <v>Ekóó</v>
      </c>
      <c r="BV57" s="107" t="str">
        <f t="shared" si="52"/>
        <v>Deplete</v>
      </c>
      <c r="BW57" s="107" t="str">
        <f t="shared" si="52"/>
        <v>Kazzak</v>
      </c>
      <c r="BX57" s="107">
        <f t="shared" si="52"/>
        <v>411</v>
      </c>
      <c r="BY57" s="107" t="str">
        <f t="shared" si="52"/>
        <v>18 days ago</v>
      </c>
      <c r="BZ57" s="108"/>
    </row>
    <row r="58">
      <c r="F58" s="94"/>
      <c r="G58" t="str">
        <f>IFERROR(__xludf.DUMMYFUNCTION("""COMPUTED_VALUE"""),"Sakkari")</f>
        <v>Sakkari</v>
      </c>
      <c r="H58" t="str">
        <f>IFERROR(__xludf.DUMMYFUNCTION("""COMPUTED_VALUE"""),"Trîggered")</f>
        <v>Trîggered</v>
      </c>
      <c r="I58" t="str">
        <f>IFERROR(__xludf.DUMMYFUNCTION("""COMPUTED_VALUE"""),"Kazzak")</f>
        <v>Kazzak</v>
      </c>
      <c r="J58">
        <f>IFERROR(__xludf.DUMMYFUNCTION("""COMPUTED_VALUE"""),407.13)</f>
        <v>407.13</v>
      </c>
      <c r="K58" t="str">
        <f>IFERROR(__xludf.DUMMYFUNCTION("""COMPUTED_VALUE"""),"27 days ago")</f>
        <v>27 days ago</v>
      </c>
      <c r="L58" s="95"/>
      <c r="M58" t="str">
        <f>IFERROR(__xludf.DUMMYFUNCTION("""COMPUTED_VALUE"""),"Belina")</f>
        <v>Belina</v>
      </c>
      <c r="N58" t="str">
        <f>IFERROR(__xludf.DUMMYFUNCTION("""COMPUTED_VALUE"""),"Tainted Uprising")</f>
        <v>Tainted Uprising</v>
      </c>
      <c r="O58" t="str">
        <f>IFERROR(__xludf.DUMMYFUNCTION("""COMPUTED_VALUE"""),"Emerald Dream")</f>
        <v>Emerald Dream</v>
      </c>
      <c r="P58">
        <f>IFERROR(__xludf.DUMMYFUNCTION("""COMPUTED_VALUE"""),405.25)</f>
        <v>405.25</v>
      </c>
      <c r="Q58" t="str">
        <f>IFERROR(__xludf.DUMMYFUNCTION("""COMPUTED_VALUE"""),"4 days ago")</f>
        <v>4 days ago</v>
      </c>
      <c r="R58" s="96"/>
      <c r="S58" t="str">
        <f>IFERROR(__xludf.DUMMYFUNCTION("""COMPUTED_VALUE"""),"Devetta")</f>
        <v>Devetta</v>
      </c>
      <c r="T58" t="str">
        <f>IFERROR(__xludf.DUMMYFUNCTION("""COMPUTED_VALUE"""),"Fireflyers")</f>
        <v>Fireflyers</v>
      </c>
      <c r="U58" t="str">
        <f>IFERROR(__xludf.DUMMYFUNCTION("""COMPUTED_VALUE"""),"Hellfire")</f>
        <v>Hellfire</v>
      </c>
      <c r="V58">
        <f>IFERROR(__xludf.DUMMYFUNCTION("""COMPUTED_VALUE"""),396.44)</f>
        <v>396.44</v>
      </c>
      <c r="W58" t="str">
        <f>IFERROR(__xludf.DUMMYFUNCTION("""COMPUTED_VALUE"""),"5 days ago")</f>
        <v>5 days ago</v>
      </c>
      <c r="X58" s="97"/>
      <c r="Y58" s="111" t="str">
        <f>IFERROR(__xludf.DUMMYFUNCTION("""COMPUTED_VALUE"""),"Teeheez")</f>
        <v>Teeheez</v>
      </c>
      <c r="Z58" s="111" t="str">
        <f>IFERROR(__xludf.DUMMYFUNCTION("""COMPUTED_VALUE"""),"")</f>
        <v/>
      </c>
      <c r="AA58" s="111" t="str">
        <f>IFERROR(__xludf.DUMMYFUNCTION("""COMPUTED_VALUE"""),"Tarren Mill")</f>
        <v>Tarren Mill</v>
      </c>
      <c r="AB58" s="111">
        <f>IFERROR(__xludf.DUMMYFUNCTION("""COMPUTED_VALUE"""),401.5)</f>
        <v>401.5</v>
      </c>
      <c r="AC58" s="111" t="str">
        <f>IFERROR(__xludf.DUMMYFUNCTION("""COMPUTED_VALUE"""),"27 days ago")</f>
        <v>27 days ago</v>
      </c>
      <c r="AD58" s="112"/>
      <c r="AE58" s="111" t="str">
        <f>IFERROR(__xludf.DUMMYFUNCTION("""COMPUTED_VALUE"""),"Tuzzaa")</f>
        <v>Tuzzaa</v>
      </c>
      <c r="AF58" s="111" t="str">
        <f>IFERROR(__xludf.DUMMYFUNCTION("""COMPUTED_VALUE"""),"Family Dinner")</f>
        <v>Family Dinner</v>
      </c>
      <c r="AG58" s="111" t="str">
        <f>IFERROR(__xludf.DUMMYFUNCTION("""COMPUTED_VALUE"""),"Twisting Nether")</f>
        <v>Twisting Nether</v>
      </c>
      <c r="AH58" s="108">
        <f>IFERROR(__xludf.DUMMYFUNCTION("""COMPUTED_VALUE"""),405.75)</f>
        <v>405.75</v>
      </c>
      <c r="AI58" s="111" t="str">
        <f>IFERROR(__xludf.DUMMYFUNCTION("""COMPUTED_VALUE"""),"9 days ago")</f>
        <v>9 days ago</v>
      </c>
      <c r="AJ58" s="113"/>
      <c r="AK58" s="111" t="str">
        <f>IFERROR(__xludf.DUMMYFUNCTION("""COMPUTED_VALUE"""),"Ebayhealer")</f>
        <v>Ebayhealer</v>
      </c>
      <c r="AL58" s="111" t="str">
        <f>IFERROR(__xludf.DUMMYFUNCTION("""COMPUTED_VALUE"""),"Reclaim")</f>
        <v>Reclaim</v>
      </c>
      <c r="AM58" s="111" t="str">
        <f>IFERROR(__xludf.DUMMYFUNCTION("""COMPUTED_VALUE"""),"Kazzak")</f>
        <v>Kazzak</v>
      </c>
      <c r="AN58" s="108">
        <f>IFERROR(__xludf.DUMMYFUNCTION("""COMPUTED_VALUE"""),399.44)</f>
        <v>399.44</v>
      </c>
      <c r="AO58" s="111" t="str">
        <f>IFERROR(__xludf.DUMMYFUNCTION("""COMPUTED_VALUE"""),"5 days ago")</f>
        <v>5 days ago</v>
      </c>
      <c r="AP58" s="114"/>
      <c r="AQ58" s="116" t="str">
        <f>IFERROR(__xludf.DUMMYFUNCTION("""COMPUTED_VALUE"""),"Lawlee")</f>
        <v>Lawlee</v>
      </c>
      <c r="AR58" s="111" t="str">
        <f>IFERROR(__xludf.DUMMYFUNCTION("""COMPUTED_VALUE"""),"Innuéndo")</f>
        <v>Innuéndo</v>
      </c>
      <c r="AS58" s="111" t="str">
        <f>IFERROR(__xludf.DUMMYFUNCTION("""COMPUTED_VALUE"""),"Twisting Nether")</f>
        <v>Twisting Nether</v>
      </c>
      <c r="AT58" s="108">
        <f>IFERROR(__xludf.DUMMYFUNCTION("""COMPUTED_VALUE"""),401.06)</f>
        <v>401.06</v>
      </c>
      <c r="AU58" s="111" t="str">
        <f>IFERROR(__xludf.DUMMYFUNCTION("""COMPUTED_VALUE"""),"21 day ago")</f>
        <v>21 day ago</v>
      </c>
      <c r="AV58" s="115"/>
      <c r="AW58" s="116" t="str">
        <f>IFERROR(__xludf.DUMMYFUNCTION("""COMPUTED_VALUE"""),"Lumsk")</f>
        <v>Lumsk</v>
      </c>
      <c r="AX58" s="111" t="str">
        <f>IFERROR(__xludf.DUMMYFUNCTION("""COMPUTED_VALUE"""),"")</f>
        <v/>
      </c>
      <c r="AY58" s="111" t="str">
        <f>IFERROR(__xludf.DUMMYFUNCTION("""COMPUTED_VALUE"""),"Ravencrest")</f>
        <v>Ravencrest</v>
      </c>
      <c r="AZ58" s="108">
        <f>IFERROR(__xludf.DUMMYFUNCTION("""COMPUTED_VALUE"""),403.75)</f>
        <v>403.75</v>
      </c>
      <c r="BA58" s="111" t="str">
        <f>IFERROR(__xludf.DUMMYFUNCTION("""COMPUTED_VALUE"""),"1 day ago")</f>
        <v>1 day ago</v>
      </c>
      <c r="BB58" s="117"/>
      <c r="BC58" s="116" t="str">
        <f>IFERROR(__xludf.DUMMYFUNCTION("""COMPUTED_VALUE"""),"Garrah")</f>
        <v>Garrah</v>
      </c>
      <c r="BD58" s="111" t="str">
        <f>IFERROR(__xludf.DUMMYFUNCTION("""COMPUTED_VALUE"""),"Squish")</f>
        <v>Squish</v>
      </c>
      <c r="BE58" s="111" t="str">
        <f>IFERROR(__xludf.DUMMYFUNCTION("""COMPUTED_VALUE"""),"Tarren Mill")</f>
        <v>Tarren Mill</v>
      </c>
      <c r="BF58" s="108">
        <f>IFERROR(__xludf.DUMMYFUNCTION("""COMPUTED_VALUE"""),388.56)</f>
        <v>388.56</v>
      </c>
      <c r="BG58" s="111" t="str">
        <f>IFERROR(__xludf.DUMMYFUNCTION("""COMPUTED_VALUE"""),"17 hours ago")</f>
        <v>17 hours ago</v>
      </c>
      <c r="BH58" s="118"/>
      <c r="BI58" s="116" t="str">
        <f>IFERROR(__xludf.DUMMYFUNCTION("""COMPUTED_VALUE"""),"Veéto")</f>
        <v>Veéto</v>
      </c>
      <c r="BJ58" s="111" t="str">
        <f>IFERROR(__xludf.DUMMYFUNCTION("""COMPUTED_VALUE"""),"")</f>
        <v/>
      </c>
      <c r="BK58" s="111" t="str">
        <f>IFERROR(__xludf.DUMMYFUNCTION("""COMPUTED_VALUE"""),"Kazzak")</f>
        <v>Kazzak</v>
      </c>
      <c r="BL58" s="108">
        <f>IFERROR(__xludf.DUMMYFUNCTION("""COMPUTED_VALUE"""),398.69)</f>
        <v>398.69</v>
      </c>
      <c r="BM58" s="111" t="str">
        <f>IFERROR(__xludf.DUMMYFUNCTION("""COMPUTED_VALUE"""),"27 days ago")</f>
        <v>27 days ago</v>
      </c>
      <c r="BN58" s="119"/>
      <c r="BO58" s="116" t="str">
        <f>IFERROR(__xludf.DUMMYFUNCTION("""COMPUTED_VALUE"""),"Valhá")</f>
        <v>Valhá</v>
      </c>
      <c r="BP58" s="111" t="str">
        <f>IFERROR(__xludf.DUMMYFUNCTION("""COMPUTED_VALUE"""),"Crimson")</f>
        <v>Crimson</v>
      </c>
      <c r="BQ58" s="111" t="str">
        <f>IFERROR(__xludf.DUMMYFUNCTION("""COMPUTED_VALUE"""),"Tarren Mill")</f>
        <v>Tarren Mill</v>
      </c>
      <c r="BR58" s="108">
        <f>IFERROR(__xludf.DUMMYFUNCTION("""COMPUTED_VALUE"""),399.69)</f>
        <v>399.69</v>
      </c>
      <c r="BS58" s="111" t="str">
        <f>IFERROR(__xludf.DUMMYFUNCTION("""COMPUTED_VALUE"""),"16 days ago")</f>
        <v>16 days ago</v>
      </c>
      <c r="BT58" s="120"/>
      <c r="BU58" s="107" t="str">
        <f t="shared" ref="BU58:BY58" si="53">M12</f>
        <v>Hackim</v>
      </c>
      <c r="BV58" s="107" t="str">
        <f t="shared" si="53"/>
        <v/>
      </c>
      <c r="BW58" s="107" t="str">
        <f t="shared" si="53"/>
        <v>Draenor</v>
      </c>
      <c r="BX58" s="107">
        <f t="shared" si="53"/>
        <v>410.63</v>
      </c>
      <c r="BY58" s="107" t="str">
        <f t="shared" si="53"/>
        <v>11 days ago</v>
      </c>
      <c r="BZ58" s="108"/>
    </row>
    <row r="59">
      <c r="F59" s="94"/>
      <c r="G59" t="str">
        <f>IFERROR(__xludf.DUMMYFUNCTION("""COMPUTED_VALUE"""),"Megaisback")</f>
        <v>Megaisback</v>
      </c>
      <c r="H59" t="str">
        <f>IFERROR(__xludf.DUMMYFUNCTION("""COMPUTED_VALUE"""),"Last Stand Warriors")</f>
        <v>Last Stand Warriors</v>
      </c>
      <c r="I59" t="str">
        <f>IFERROR(__xludf.DUMMYFUNCTION("""COMPUTED_VALUE"""),"Kazzak")</f>
        <v>Kazzak</v>
      </c>
      <c r="J59">
        <f>IFERROR(__xludf.DUMMYFUNCTION("""COMPUTED_VALUE"""),407.06)</f>
        <v>407.06</v>
      </c>
      <c r="K59" t="str">
        <f>IFERROR(__xludf.DUMMYFUNCTION("""COMPUTED_VALUE"""),"10 days ago")</f>
        <v>10 days ago</v>
      </c>
      <c r="L59" s="95"/>
      <c r="M59" t="str">
        <f>IFERROR(__xludf.DUMMYFUNCTION("""COMPUTED_VALUE"""),"Rî")</f>
        <v>Rî</v>
      </c>
      <c r="N59" t="str">
        <f>IFERROR(__xludf.DUMMYFUNCTION("""COMPUTED_VALUE"""),"")</f>
        <v/>
      </c>
      <c r="O59" t="str">
        <f>IFERROR(__xludf.DUMMYFUNCTION("""COMPUTED_VALUE"""),"Stormreaver")</f>
        <v>Stormreaver</v>
      </c>
      <c r="P59">
        <f>IFERROR(__xludf.DUMMYFUNCTION("""COMPUTED_VALUE"""),405.25)</f>
        <v>405.25</v>
      </c>
      <c r="Q59" t="str">
        <f>IFERROR(__xludf.DUMMYFUNCTION("""COMPUTED_VALUE"""),"11 days ago")</f>
        <v>11 days ago</v>
      </c>
      <c r="R59" s="96"/>
      <c r="S59" t="str">
        <f>IFERROR(__xludf.DUMMYFUNCTION("""COMPUTED_VALUE"""),"Harrihaffa")</f>
        <v>Harrihaffa</v>
      </c>
      <c r="T59" t="str">
        <f>IFERROR(__xludf.DUMMYFUNCTION("""COMPUTED_VALUE"""),"Grannpojken")</f>
        <v>Grannpojken</v>
      </c>
      <c r="U59" t="str">
        <f>IFERROR(__xludf.DUMMYFUNCTION("""COMPUTED_VALUE"""),"Frostwhisper")</f>
        <v>Frostwhisper</v>
      </c>
      <c r="V59">
        <f>IFERROR(__xludf.DUMMYFUNCTION("""COMPUTED_VALUE"""),396.0)</f>
        <v>396</v>
      </c>
      <c r="W59" t="str">
        <f>IFERROR(__xludf.DUMMYFUNCTION("""COMPUTED_VALUE"""),"24 days ago")</f>
        <v>24 days ago</v>
      </c>
      <c r="X59" s="97"/>
      <c r="Y59" s="111" t="str">
        <f>IFERROR(__xludf.DUMMYFUNCTION("""COMPUTED_VALUE"""),"Ïceblock")</f>
        <v>Ïceblock</v>
      </c>
      <c r="Z59" s="111" t="str">
        <f>IFERROR(__xludf.DUMMYFUNCTION("""COMPUTED_VALUE"""),"House of Fury")</f>
        <v>House of Fury</v>
      </c>
      <c r="AA59" s="111" t="str">
        <f>IFERROR(__xludf.DUMMYFUNCTION("""COMPUTED_VALUE"""),"Tarren Mill")</f>
        <v>Tarren Mill</v>
      </c>
      <c r="AB59" s="111">
        <f>IFERROR(__xludf.DUMMYFUNCTION("""COMPUTED_VALUE"""),401.44)</f>
        <v>401.44</v>
      </c>
      <c r="AC59" s="111" t="str">
        <f>IFERROR(__xludf.DUMMYFUNCTION("""COMPUTED_VALUE"""),"1 day ago")</f>
        <v>1 day ago</v>
      </c>
      <c r="AD59" s="112"/>
      <c r="AE59" s="111" t="str">
        <f>IFERROR(__xludf.DUMMYFUNCTION("""COMPUTED_VALUE"""),"Hasufin")</f>
        <v>Hasufin</v>
      </c>
      <c r="AF59" s="111" t="str">
        <f>IFERROR(__xludf.DUMMYFUNCTION("""COMPUTED_VALUE"""),"")</f>
        <v/>
      </c>
      <c r="AG59" s="111" t="str">
        <f>IFERROR(__xludf.DUMMYFUNCTION("""COMPUTED_VALUE"""),"Draenor")</f>
        <v>Draenor</v>
      </c>
      <c r="AH59" s="108">
        <f>IFERROR(__xludf.DUMMYFUNCTION("""COMPUTED_VALUE"""),405.75)</f>
        <v>405.75</v>
      </c>
      <c r="AI59" s="111" t="str">
        <f>IFERROR(__xludf.DUMMYFUNCTION("""COMPUTED_VALUE"""),"21 hour ago")</f>
        <v>21 hour ago</v>
      </c>
      <c r="AJ59" s="113"/>
      <c r="AK59" s="111" t="str">
        <f>IFERROR(__xludf.DUMMYFUNCTION("""COMPUTED_VALUE"""),"Legenð")</f>
        <v>Legenð</v>
      </c>
      <c r="AL59" s="111" t="str">
        <f>IFERROR(__xludf.DUMMYFUNCTION("""COMPUTED_VALUE"""),"Quit")</f>
        <v>Quit</v>
      </c>
      <c r="AM59" s="111" t="str">
        <f>IFERROR(__xludf.DUMMYFUNCTION("""COMPUTED_VALUE"""),"Kazzak")</f>
        <v>Kazzak</v>
      </c>
      <c r="AN59" s="108">
        <f>IFERROR(__xludf.DUMMYFUNCTION("""COMPUTED_VALUE"""),399.25)</f>
        <v>399.25</v>
      </c>
      <c r="AO59" s="111" t="str">
        <f>IFERROR(__xludf.DUMMYFUNCTION("""COMPUTED_VALUE"""),"23 days ago")</f>
        <v>23 days ago</v>
      </c>
      <c r="AP59" s="114"/>
      <c r="AQ59" s="116" t="str">
        <f>IFERROR(__xludf.DUMMYFUNCTION("""COMPUTED_VALUE"""),"Finxx")</f>
        <v>Finxx</v>
      </c>
      <c r="AR59" s="111" t="str">
        <f>IFERROR(__xludf.DUMMYFUNCTION("""COMPUTED_VALUE"""),"Vehemence")</f>
        <v>Vehemence</v>
      </c>
      <c r="AS59" s="111" t="str">
        <f>IFERROR(__xludf.DUMMYFUNCTION("""COMPUTED_VALUE"""),"Kazzak")</f>
        <v>Kazzak</v>
      </c>
      <c r="AT59" s="108">
        <f>IFERROR(__xludf.DUMMYFUNCTION("""COMPUTED_VALUE"""),401.0)</f>
        <v>401</v>
      </c>
      <c r="AU59" s="111" t="str">
        <f>IFERROR(__xludf.DUMMYFUNCTION("""COMPUTED_VALUE"""),"25 days ago")</f>
        <v>25 days ago</v>
      </c>
      <c r="AV59" s="115"/>
      <c r="AW59" s="116" t="str">
        <f>IFERROR(__xludf.DUMMYFUNCTION("""COMPUTED_VALUE"""),"Jogoe")</f>
        <v>Jogoe</v>
      </c>
      <c r="AX59" s="111" t="str">
        <f>IFERROR(__xludf.DUMMYFUNCTION("""COMPUTED_VALUE"""),"")</f>
        <v/>
      </c>
      <c r="AY59" s="111" t="str">
        <f>IFERROR(__xludf.DUMMYFUNCTION("""COMPUTED_VALUE"""),"Kazzak")</f>
        <v>Kazzak</v>
      </c>
      <c r="AZ59" s="108">
        <f>IFERROR(__xludf.DUMMYFUNCTION("""COMPUTED_VALUE"""),403.5)</f>
        <v>403.5</v>
      </c>
      <c r="BA59" s="111" t="str">
        <f>IFERROR(__xludf.DUMMYFUNCTION("""COMPUTED_VALUE"""),"23 days ago")</f>
        <v>23 days ago</v>
      </c>
      <c r="BB59" s="117"/>
      <c r="BC59" s="116" t="str">
        <f>IFERROR(__xludf.DUMMYFUNCTION("""COMPUTED_VALUE"""),"Hixr")</f>
        <v>Hixr</v>
      </c>
      <c r="BD59" s="111" t="str">
        <f>IFERROR(__xludf.DUMMYFUNCTION("""COMPUTED_VALUE"""),"")</f>
        <v/>
      </c>
      <c r="BE59" s="111" t="str">
        <f>IFERROR(__xludf.DUMMYFUNCTION("""COMPUTED_VALUE"""),"Twisting Nether")</f>
        <v>Twisting Nether</v>
      </c>
      <c r="BF59" s="108">
        <f>IFERROR(__xludf.DUMMYFUNCTION("""COMPUTED_VALUE"""),388.44)</f>
        <v>388.44</v>
      </c>
      <c r="BG59" s="111" t="str">
        <f>IFERROR(__xludf.DUMMYFUNCTION("""COMPUTED_VALUE"""),"4 days ago")</f>
        <v>4 days ago</v>
      </c>
      <c r="BH59" s="118"/>
      <c r="BI59" s="116" t="str">
        <f>IFERROR(__xludf.DUMMYFUNCTION("""COMPUTED_VALUE"""),"Mannixw")</f>
        <v>Mannixw</v>
      </c>
      <c r="BJ59" s="111" t="str">
        <f>IFERROR(__xludf.DUMMYFUNCTION("""COMPUTED_VALUE"""),"")</f>
        <v/>
      </c>
      <c r="BK59" s="111" t="str">
        <f>IFERROR(__xludf.DUMMYFUNCTION("""COMPUTED_VALUE"""),"Twilight's Hammer")</f>
        <v>Twilight's Hammer</v>
      </c>
      <c r="BL59" s="108">
        <f>IFERROR(__xludf.DUMMYFUNCTION("""COMPUTED_VALUE"""),398.0)</f>
        <v>398</v>
      </c>
      <c r="BM59" s="111" t="str">
        <f>IFERROR(__xludf.DUMMYFUNCTION("""COMPUTED_VALUE"""),"23 days ago")</f>
        <v>23 days ago</v>
      </c>
      <c r="BN59" s="119"/>
      <c r="BO59" s="116" t="str">
        <f>IFERROR(__xludf.DUMMYFUNCTION("""COMPUTED_VALUE"""),"Filthyqq")</f>
        <v>Filthyqq</v>
      </c>
      <c r="BP59" s="111" t="str">
        <f>IFERROR(__xludf.DUMMYFUNCTION("""COMPUTED_VALUE"""),"")</f>
        <v/>
      </c>
      <c r="BQ59" s="111" t="str">
        <f>IFERROR(__xludf.DUMMYFUNCTION("""COMPUTED_VALUE"""),"Tarren Mill")</f>
        <v>Tarren Mill</v>
      </c>
      <c r="BR59" s="108">
        <f>IFERROR(__xludf.DUMMYFUNCTION("""COMPUTED_VALUE"""),399.63)</f>
        <v>399.63</v>
      </c>
      <c r="BS59" s="111" t="str">
        <f>IFERROR(__xludf.DUMMYFUNCTION("""COMPUTED_VALUE"""),"23 days ago")</f>
        <v>23 days ago</v>
      </c>
      <c r="BT59" s="120"/>
      <c r="BU59" s="107" t="str">
        <f t="shared" ref="BU59:BY59" si="54">M13</f>
        <v>Ainé</v>
      </c>
      <c r="BV59" s="107" t="str">
        <f t="shared" si="54"/>
        <v>Turtles</v>
      </c>
      <c r="BW59" s="107" t="str">
        <f t="shared" si="54"/>
        <v>Tarren Mill</v>
      </c>
      <c r="BX59" s="107">
        <f t="shared" si="54"/>
        <v>410.56</v>
      </c>
      <c r="BY59" s="107" t="str">
        <f t="shared" si="54"/>
        <v>26 days ago</v>
      </c>
      <c r="BZ59" s="108"/>
    </row>
    <row r="60">
      <c r="F60" s="94"/>
      <c r="G60" t="str">
        <f>IFERROR(__xludf.DUMMYFUNCTION("""COMPUTED_VALUE"""),"Deylen")</f>
        <v>Deylen</v>
      </c>
      <c r="H60" t="str">
        <f>IFERROR(__xludf.DUMMYFUNCTION("""COMPUTED_VALUE"""),"Out of Range")</f>
        <v>Out of Range</v>
      </c>
      <c r="I60" t="str">
        <f>IFERROR(__xludf.DUMMYFUNCTION("""COMPUTED_VALUE"""),"Draenor")</f>
        <v>Draenor</v>
      </c>
      <c r="J60">
        <f>IFERROR(__xludf.DUMMYFUNCTION("""COMPUTED_VALUE"""),407.06)</f>
        <v>407.06</v>
      </c>
      <c r="K60" t="str">
        <f>IFERROR(__xludf.DUMMYFUNCTION("""COMPUTED_VALUE"""),"1 day ago")</f>
        <v>1 day ago</v>
      </c>
      <c r="L60" s="95"/>
      <c r="M60" t="str">
        <f>IFERROR(__xludf.DUMMYFUNCTION("""COMPUTED_VALUE"""),"Sheltér")</f>
        <v>Sheltér</v>
      </c>
      <c r="N60" t="str">
        <f>IFERROR(__xludf.DUMMYFUNCTION("""COMPUTED_VALUE"""),"From Ashes")</f>
        <v>From Ashes</v>
      </c>
      <c r="O60" t="str">
        <f>IFERROR(__xludf.DUMMYFUNCTION("""COMPUTED_VALUE"""),"Kazzak")</f>
        <v>Kazzak</v>
      </c>
      <c r="P60">
        <f>IFERROR(__xludf.DUMMYFUNCTION("""COMPUTED_VALUE"""),405.19)</f>
        <v>405.19</v>
      </c>
      <c r="Q60" t="str">
        <f>IFERROR(__xludf.DUMMYFUNCTION("""COMPUTED_VALUE"""),"18 days ago")</f>
        <v>18 days ago</v>
      </c>
      <c r="R60" s="96"/>
      <c r="S60" t="str">
        <f>IFERROR(__xludf.DUMMYFUNCTION("""COMPUTED_VALUE"""),"Nohen")</f>
        <v>Nohen</v>
      </c>
      <c r="T60" t="str">
        <f>IFERROR(__xludf.DUMMYFUNCTION("""COMPUTED_VALUE"""),"")</f>
        <v/>
      </c>
      <c r="U60" t="str">
        <f>IFERROR(__xludf.DUMMYFUNCTION("""COMPUTED_VALUE"""),"Twisting Nether")</f>
        <v>Twisting Nether</v>
      </c>
      <c r="V60">
        <f>IFERROR(__xludf.DUMMYFUNCTION("""COMPUTED_VALUE"""),394.06)</f>
        <v>394.06</v>
      </c>
      <c r="W60" t="str">
        <f>IFERROR(__xludf.DUMMYFUNCTION("""COMPUTED_VALUE"""),"6 days ago")</f>
        <v>6 days ago</v>
      </c>
      <c r="X60" s="97"/>
      <c r="Y60" s="111" t="str">
        <f>IFERROR(__xludf.DUMMYFUNCTION("""COMPUTED_VALUE"""),"Lonzehero")</f>
        <v>Lonzehero</v>
      </c>
      <c r="Z60" s="111" t="str">
        <f>IFERROR(__xludf.DUMMYFUNCTION("""COMPUTED_VALUE"""),"Grey Logs")</f>
        <v>Grey Logs</v>
      </c>
      <c r="AA60" s="111" t="str">
        <f>IFERROR(__xludf.DUMMYFUNCTION("""COMPUTED_VALUE"""),"Twisting Nether")</f>
        <v>Twisting Nether</v>
      </c>
      <c r="AB60" s="111">
        <f>IFERROR(__xludf.DUMMYFUNCTION("""COMPUTED_VALUE"""),400.94)</f>
        <v>400.94</v>
      </c>
      <c r="AC60" s="111" t="str">
        <f>IFERROR(__xludf.DUMMYFUNCTION("""COMPUTED_VALUE"""),"10 days ago")</f>
        <v>10 days ago</v>
      </c>
      <c r="AD60" s="112"/>
      <c r="AE60" s="111" t="str">
        <f>IFERROR(__xludf.DUMMYFUNCTION("""COMPUTED_VALUE"""),"Curbysdemise")</f>
        <v>Curbysdemise</v>
      </c>
      <c r="AF60" s="111" t="str">
        <f>IFERROR(__xludf.DUMMYFUNCTION("""COMPUTED_VALUE"""),"")</f>
        <v/>
      </c>
      <c r="AG60" s="111" t="str">
        <f>IFERROR(__xludf.DUMMYFUNCTION("""COMPUTED_VALUE"""),"Twisting Nether")</f>
        <v>Twisting Nether</v>
      </c>
      <c r="AH60" s="108">
        <f>IFERROR(__xludf.DUMMYFUNCTION("""COMPUTED_VALUE"""),405.44)</f>
        <v>405.44</v>
      </c>
      <c r="AI60" s="111" t="str">
        <f>IFERROR(__xludf.DUMMYFUNCTION("""COMPUTED_VALUE"""),"17 hours ago")</f>
        <v>17 hours ago</v>
      </c>
      <c r="AJ60" s="113"/>
      <c r="AK60" s="111" t="str">
        <f>IFERROR(__xludf.DUMMYFUNCTION("""COMPUTED_VALUE"""),"Shadèmoon")</f>
        <v>Shadèmoon</v>
      </c>
      <c r="AL60" s="111" t="str">
        <f>IFERROR(__xludf.DUMMYFUNCTION("""COMPUTED_VALUE"""),"")</f>
        <v/>
      </c>
      <c r="AM60" s="111" t="str">
        <f>IFERROR(__xludf.DUMMYFUNCTION("""COMPUTED_VALUE"""),"Ragnaros")</f>
        <v>Ragnaros</v>
      </c>
      <c r="AN60" s="108">
        <f>IFERROR(__xludf.DUMMYFUNCTION("""COMPUTED_VALUE"""),399.06)</f>
        <v>399.06</v>
      </c>
      <c r="AO60" s="111" t="str">
        <f>IFERROR(__xludf.DUMMYFUNCTION("""COMPUTED_VALUE"""),"12 days ago")</f>
        <v>12 days ago</v>
      </c>
      <c r="AP60" s="114"/>
      <c r="AQ60" s="116" t="str">
        <f>IFERROR(__xludf.DUMMYFUNCTION("""COMPUTED_VALUE"""),"Shadowstryfe")</f>
        <v>Shadowstryfe</v>
      </c>
      <c r="AR60" s="111" t="str">
        <f>IFERROR(__xludf.DUMMYFUNCTION("""COMPUTED_VALUE"""),"Exultance")</f>
        <v>Exultance</v>
      </c>
      <c r="AS60" s="111" t="str">
        <f>IFERROR(__xludf.DUMMYFUNCTION("""COMPUTED_VALUE"""),"Kul Tiras")</f>
        <v>Kul Tiras</v>
      </c>
      <c r="AT60" s="108">
        <f>IFERROR(__xludf.DUMMYFUNCTION("""COMPUTED_VALUE"""),400.31)</f>
        <v>400.31</v>
      </c>
      <c r="AU60" s="111" t="str">
        <f>IFERROR(__xludf.DUMMYFUNCTION("""COMPUTED_VALUE"""),"25 days ago")</f>
        <v>25 days ago</v>
      </c>
      <c r="AV60" s="115"/>
      <c r="AW60" s="116" t="str">
        <f>IFERROR(__xludf.DUMMYFUNCTION("""COMPUTED_VALUE"""),"Peiriannydd")</f>
        <v>Peiriannydd</v>
      </c>
      <c r="AX60" s="111" t="str">
        <f>IFERROR(__xludf.DUMMYFUNCTION("""COMPUTED_VALUE"""),"Kinetic")</f>
        <v>Kinetic</v>
      </c>
      <c r="AY60" s="111" t="str">
        <f>IFERROR(__xludf.DUMMYFUNCTION("""COMPUTED_VALUE"""),"Tarren Mill")</f>
        <v>Tarren Mill</v>
      </c>
      <c r="AZ60" s="108">
        <f>IFERROR(__xludf.DUMMYFUNCTION("""COMPUTED_VALUE"""),403.06)</f>
        <v>403.06</v>
      </c>
      <c r="BA60" s="111" t="str">
        <f>IFERROR(__xludf.DUMMYFUNCTION("""COMPUTED_VALUE"""),"6 minutes ago")</f>
        <v>6 minutes ago</v>
      </c>
      <c r="BB60" s="117"/>
      <c r="BC60" s="116" t="str">
        <f>IFERROR(__xludf.DUMMYFUNCTION("""COMPUTED_VALUE"""),"Gedefudger")</f>
        <v>Gedefudger</v>
      </c>
      <c r="BD60" s="111" t="str">
        <f>IFERROR(__xludf.DUMMYFUNCTION("""COMPUTED_VALUE"""),"")</f>
        <v/>
      </c>
      <c r="BE60" s="111" t="str">
        <f>IFERROR(__xludf.DUMMYFUNCTION("""COMPUTED_VALUE"""),"Laughing Skull")</f>
        <v>Laughing Skull</v>
      </c>
      <c r="BF60" s="108">
        <f>IFERROR(__xludf.DUMMYFUNCTION("""COMPUTED_VALUE"""),388.38)</f>
        <v>388.38</v>
      </c>
      <c r="BG60" s="111" t="str">
        <f>IFERROR(__xludf.DUMMYFUNCTION("""COMPUTED_VALUE"""),"22 days ago")</f>
        <v>22 days ago</v>
      </c>
      <c r="BH60" s="118"/>
      <c r="BI60" s="116" t="str">
        <f>IFERROR(__xludf.DUMMYFUNCTION("""COMPUTED_VALUE"""),"Zoomglock")</f>
        <v>Zoomglock</v>
      </c>
      <c r="BJ60" s="111" t="str">
        <f>IFERROR(__xludf.DUMMYFUNCTION("""COMPUTED_VALUE"""),"Reign of Terror")</f>
        <v>Reign of Terror</v>
      </c>
      <c r="BK60" s="111" t="str">
        <f>IFERROR(__xludf.DUMMYFUNCTION("""COMPUTED_VALUE"""),"Kazzak")</f>
        <v>Kazzak</v>
      </c>
      <c r="BL60" s="108">
        <f>IFERROR(__xludf.DUMMYFUNCTION("""COMPUTED_VALUE"""),397.63)</f>
        <v>397.63</v>
      </c>
      <c r="BM60" s="111" t="str">
        <f>IFERROR(__xludf.DUMMYFUNCTION("""COMPUTED_VALUE"""),"9 days ago")</f>
        <v>9 days ago</v>
      </c>
      <c r="BN60" s="119"/>
      <c r="BO60" s="116" t="str">
        <f>IFERROR(__xludf.DUMMYFUNCTION("""COMPUTED_VALUE"""),"Fillman")</f>
        <v>Fillman</v>
      </c>
      <c r="BP60" s="111" t="str">
        <f>IFERROR(__xludf.DUMMYFUNCTION("""COMPUTED_VALUE"""),"Famous")</f>
        <v>Famous</v>
      </c>
      <c r="BQ60" s="111" t="str">
        <f>IFERROR(__xludf.DUMMYFUNCTION("""COMPUTED_VALUE"""),"Tarren Mill")</f>
        <v>Tarren Mill</v>
      </c>
      <c r="BR60" s="108">
        <f>IFERROR(__xludf.DUMMYFUNCTION("""COMPUTED_VALUE"""),399.19)</f>
        <v>399.19</v>
      </c>
      <c r="BS60" s="111" t="str">
        <f>IFERROR(__xludf.DUMMYFUNCTION("""COMPUTED_VALUE"""),"22 days ago")</f>
        <v>22 days ago</v>
      </c>
      <c r="BT60" s="120"/>
      <c r="BU60" s="107" t="str">
        <f t="shared" ref="BU60:BY60" si="55">M14</f>
        <v>Randomilidan</v>
      </c>
      <c r="BV60" s="107" t="str">
        <f t="shared" si="55"/>
        <v/>
      </c>
      <c r="BW60" s="107" t="str">
        <f t="shared" si="55"/>
        <v>Draenor</v>
      </c>
      <c r="BX60" s="107">
        <f t="shared" si="55"/>
        <v>410.38</v>
      </c>
      <c r="BY60" s="107" t="str">
        <f t="shared" si="55"/>
        <v>11 days ago</v>
      </c>
      <c r="BZ60" s="108"/>
    </row>
    <row r="61">
      <c r="F61" s="94"/>
      <c r="G61" t="str">
        <f>IFERROR(__xludf.DUMMYFUNCTION("""COMPUTED_VALUE"""),"Demondemon")</f>
        <v>Demondemon</v>
      </c>
      <c r="H61" t="str">
        <f>IFERROR(__xludf.DUMMYFUNCTION("""COMPUTED_VALUE"""),"B E N E F A C T O R")</f>
        <v>B E N E F A C T O R</v>
      </c>
      <c r="I61" t="str">
        <f>IFERROR(__xludf.DUMMYFUNCTION("""COMPUTED_VALUE"""),"Tarren Mill")</f>
        <v>Tarren Mill</v>
      </c>
      <c r="J61">
        <f>IFERROR(__xludf.DUMMYFUNCTION("""COMPUTED_VALUE"""),407.0)</f>
        <v>407</v>
      </c>
      <c r="K61" t="str">
        <f>IFERROR(__xludf.DUMMYFUNCTION("""COMPUTED_VALUE"""),"20 days ago")</f>
        <v>20 days ago</v>
      </c>
      <c r="L61" s="95"/>
      <c r="M61" t="str">
        <f>IFERROR(__xludf.DUMMYFUNCTION("""COMPUTED_VALUE"""),"Foreschin")</f>
        <v>Foreschin</v>
      </c>
      <c r="N61" t="str">
        <f>IFERROR(__xludf.DUMMYFUNCTION("""COMPUTED_VALUE"""),"")</f>
        <v/>
      </c>
      <c r="O61" t="str">
        <f>IFERROR(__xludf.DUMMYFUNCTION("""COMPUTED_VALUE"""),"Draenor")</f>
        <v>Draenor</v>
      </c>
      <c r="P61">
        <f>IFERROR(__xludf.DUMMYFUNCTION("""COMPUTED_VALUE"""),405.19)</f>
        <v>405.19</v>
      </c>
      <c r="Q61" t="str">
        <f>IFERROR(__xludf.DUMMYFUNCTION("""COMPUTED_VALUE"""),"4 days ago")</f>
        <v>4 days ago</v>
      </c>
      <c r="R61" s="96"/>
      <c r="S61" t="str">
        <f>IFERROR(__xludf.DUMMYFUNCTION("""COMPUTED_VALUE"""),"Pullpy")</f>
        <v>Pullpy</v>
      </c>
      <c r="T61" t="str">
        <f>IFERROR(__xludf.DUMMYFUNCTION("""COMPUTED_VALUE"""),"CUBE")</f>
        <v>CUBE</v>
      </c>
      <c r="U61" t="str">
        <f>IFERROR(__xludf.DUMMYFUNCTION("""COMPUTED_VALUE"""),"Ravencrest")</f>
        <v>Ravencrest</v>
      </c>
      <c r="V61">
        <f>IFERROR(__xludf.DUMMYFUNCTION("""COMPUTED_VALUE"""),391.44)</f>
        <v>391.44</v>
      </c>
      <c r="W61" t="str">
        <f>IFERROR(__xludf.DUMMYFUNCTION("""COMPUTED_VALUE"""),"5 days ago")</f>
        <v>5 days ago</v>
      </c>
      <c r="X61" s="97"/>
      <c r="Y61" s="111" t="str">
        <f>IFERROR(__xludf.DUMMYFUNCTION("""COMPUTED_VALUE"""),"Ferse")</f>
        <v>Ferse</v>
      </c>
      <c r="Z61" s="111" t="str">
        <f>IFERROR(__xludf.DUMMYFUNCTION("""COMPUTED_VALUE"""),"")</f>
        <v/>
      </c>
      <c r="AA61" s="111" t="str">
        <f>IFERROR(__xludf.DUMMYFUNCTION("""COMPUTED_VALUE"""),"Kazzak")</f>
        <v>Kazzak</v>
      </c>
      <c r="AB61" s="111">
        <f>IFERROR(__xludf.DUMMYFUNCTION("""COMPUTED_VALUE"""),400.88)</f>
        <v>400.88</v>
      </c>
      <c r="AC61" s="111" t="str">
        <f>IFERROR(__xludf.DUMMYFUNCTION("""COMPUTED_VALUE"""),"2 days ago")</f>
        <v>2 days ago</v>
      </c>
      <c r="AD61" s="112"/>
      <c r="AE61" s="111" t="str">
        <f>IFERROR(__xludf.DUMMYFUNCTION("""COMPUTED_VALUE"""),"Milklee")</f>
        <v>Milklee</v>
      </c>
      <c r="AF61" s="111" t="str">
        <f>IFERROR(__xludf.DUMMYFUNCTION("""COMPUTED_VALUE"""),"")</f>
        <v/>
      </c>
      <c r="AG61" s="111" t="str">
        <f>IFERROR(__xludf.DUMMYFUNCTION("""COMPUTED_VALUE"""),"Ravencrest")</f>
        <v>Ravencrest</v>
      </c>
      <c r="AH61" s="108">
        <f>IFERROR(__xludf.DUMMYFUNCTION("""COMPUTED_VALUE"""),405.44)</f>
        <v>405.44</v>
      </c>
      <c r="AI61" s="111" t="str">
        <f>IFERROR(__xludf.DUMMYFUNCTION("""COMPUTED_VALUE"""),"3 days ago")</f>
        <v>3 days ago</v>
      </c>
      <c r="AJ61" s="113"/>
      <c r="AK61" s="111" t="str">
        <f>IFERROR(__xludf.DUMMYFUNCTION("""COMPUTED_VALUE"""),"Ohnoezz")</f>
        <v>Ohnoezz</v>
      </c>
      <c r="AL61" s="111" t="str">
        <f>IFERROR(__xludf.DUMMYFUNCTION("""COMPUTED_VALUE"""),"")</f>
        <v/>
      </c>
      <c r="AM61" s="111" t="str">
        <f>IFERROR(__xludf.DUMMYFUNCTION("""COMPUTED_VALUE"""),"Twisting Nether")</f>
        <v>Twisting Nether</v>
      </c>
      <c r="AN61" s="108">
        <f>IFERROR(__xludf.DUMMYFUNCTION("""COMPUTED_VALUE"""),398.63)</f>
        <v>398.63</v>
      </c>
      <c r="AO61" s="111" t="str">
        <f>IFERROR(__xludf.DUMMYFUNCTION("""COMPUTED_VALUE"""),"19 days ago")</f>
        <v>19 days ago</v>
      </c>
      <c r="AP61" s="114"/>
      <c r="AQ61" s="116" t="str">
        <f>IFERROR(__xludf.DUMMYFUNCTION("""COMPUTED_VALUE"""),"Reanal")</f>
        <v>Reanal</v>
      </c>
      <c r="AR61" s="111" t="str">
        <f>IFERROR(__xludf.DUMMYFUNCTION("""COMPUTED_VALUE"""),"Misty")</f>
        <v>Misty</v>
      </c>
      <c r="AS61" s="111" t="str">
        <f>IFERROR(__xludf.DUMMYFUNCTION("""COMPUTED_VALUE"""),"Magtheridon")</f>
        <v>Magtheridon</v>
      </c>
      <c r="AT61" s="108">
        <f>IFERROR(__xludf.DUMMYFUNCTION("""COMPUTED_VALUE"""),400.13)</f>
        <v>400.13</v>
      </c>
      <c r="AU61" s="111" t="str">
        <f>IFERROR(__xludf.DUMMYFUNCTION("""COMPUTED_VALUE"""),"4 days ago")</f>
        <v>4 days ago</v>
      </c>
      <c r="AV61" s="115"/>
      <c r="AW61" s="116" t="str">
        <f>IFERROR(__xludf.DUMMYFUNCTION("""COMPUTED_VALUE"""),"Namirna")</f>
        <v>Namirna</v>
      </c>
      <c r="AX61" s="111" t="str">
        <f>IFERROR(__xludf.DUMMYFUNCTION("""COMPUTED_VALUE"""),"")</f>
        <v/>
      </c>
      <c r="AY61" s="111" t="str">
        <f>IFERROR(__xludf.DUMMYFUNCTION("""COMPUTED_VALUE"""),"Draenor")</f>
        <v>Draenor</v>
      </c>
      <c r="AZ61" s="108">
        <f>IFERROR(__xludf.DUMMYFUNCTION("""COMPUTED_VALUE"""),403.06)</f>
        <v>403.06</v>
      </c>
      <c r="BA61" s="111" t="str">
        <f>IFERROR(__xludf.DUMMYFUNCTION("""COMPUTED_VALUE"""),"7 days ago")</f>
        <v>7 days ago</v>
      </c>
      <c r="BB61" s="117"/>
      <c r="BC61" s="116" t="str">
        <f>IFERROR(__xludf.DUMMYFUNCTION("""COMPUTED_VALUE"""),"Vilay")</f>
        <v>Vilay</v>
      </c>
      <c r="BD61" s="111" t="str">
        <f>IFERROR(__xludf.DUMMYFUNCTION("""COMPUTED_VALUE"""),"Accidentally")</f>
        <v>Accidentally</v>
      </c>
      <c r="BE61" s="111" t="str">
        <f>IFERROR(__xludf.DUMMYFUNCTION("""COMPUTED_VALUE"""),"Burning Legion")</f>
        <v>Burning Legion</v>
      </c>
      <c r="BF61" s="108">
        <f>IFERROR(__xludf.DUMMYFUNCTION("""COMPUTED_VALUE"""),387.69)</f>
        <v>387.69</v>
      </c>
      <c r="BG61" s="111" t="str">
        <f>IFERROR(__xludf.DUMMYFUNCTION("""COMPUTED_VALUE"""),"4 days ago")</f>
        <v>4 days ago</v>
      </c>
      <c r="BH61" s="118"/>
      <c r="BI61" s="116" t="str">
        <f>IFERROR(__xludf.DUMMYFUNCTION("""COMPUTED_VALUE"""),"Dinkan")</f>
        <v>Dinkan</v>
      </c>
      <c r="BJ61" s="111" t="str">
        <f>IFERROR(__xludf.DUMMYFUNCTION("""COMPUTED_VALUE"""),"Zero to Hero")</f>
        <v>Zero to Hero</v>
      </c>
      <c r="BK61" s="111" t="str">
        <f>IFERROR(__xludf.DUMMYFUNCTION("""COMPUTED_VALUE"""),"Stormscale")</f>
        <v>Stormscale</v>
      </c>
      <c r="BL61" s="108">
        <f>IFERROR(__xludf.DUMMYFUNCTION("""COMPUTED_VALUE"""),397.56)</f>
        <v>397.56</v>
      </c>
      <c r="BM61" s="111" t="str">
        <f>IFERROR(__xludf.DUMMYFUNCTION("""COMPUTED_VALUE"""),"20 days ago")</f>
        <v>20 days ago</v>
      </c>
      <c r="BN61" s="119"/>
      <c r="BO61" s="116" t="str">
        <f>IFERROR(__xludf.DUMMYFUNCTION("""COMPUTED_VALUE"""),"Tyronce")</f>
        <v>Tyronce</v>
      </c>
      <c r="BP61" s="111" t="str">
        <f>IFERROR(__xludf.DUMMYFUNCTION("""COMPUTED_VALUE"""),"Dimensional")</f>
        <v>Dimensional</v>
      </c>
      <c r="BQ61" s="111" t="str">
        <f>IFERROR(__xludf.DUMMYFUNCTION("""COMPUTED_VALUE"""),"Twisting Nether")</f>
        <v>Twisting Nether</v>
      </c>
      <c r="BR61" s="108">
        <f>IFERROR(__xludf.DUMMYFUNCTION("""COMPUTED_VALUE"""),398.44)</f>
        <v>398.44</v>
      </c>
      <c r="BS61" s="111" t="str">
        <f>IFERROR(__xludf.DUMMYFUNCTION("""COMPUTED_VALUE"""),"3 days ago")</f>
        <v>3 days ago</v>
      </c>
      <c r="BT61" s="120"/>
      <c r="BU61" s="107" t="str">
        <f t="shared" ref="BU61:BY61" si="56">M15</f>
        <v>Treesen</v>
      </c>
      <c r="BV61" s="107" t="str">
        <f t="shared" si="56"/>
        <v/>
      </c>
      <c r="BW61" s="107" t="str">
        <f t="shared" si="56"/>
        <v>Draenor</v>
      </c>
      <c r="BX61" s="107">
        <f t="shared" si="56"/>
        <v>410.38</v>
      </c>
      <c r="BY61" s="107" t="str">
        <f t="shared" si="56"/>
        <v>4 days ago</v>
      </c>
      <c r="BZ61" s="108"/>
    </row>
    <row r="62">
      <c r="F62" s="94"/>
      <c r="G62" t="str">
        <f>IFERROR(__xludf.DUMMYFUNCTION("""COMPUTED_VALUE"""),"Illidahn")</f>
        <v>Illidahn</v>
      </c>
      <c r="H62" t="str">
        <f>IFERROR(__xludf.DUMMYFUNCTION("""COMPUTED_VALUE"""),"Disillusioned")</f>
        <v>Disillusioned</v>
      </c>
      <c r="I62" t="str">
        <f>IFERROR(__xludf.DUMMYFUNCTION("""COMPUTED_VALUE"""),"Draenor")</f>
        <v>Draenor</v>
      </c>
      <c r="J62">
        <f>IFERROR(__xludf.DUMMYFUNCTION("""COMPUTED_VALUE"""),406.88)</f>
        <v>406.88</v>
      </c>
      <c r="K62" t="str">
        <f>IFERROR(__xludf.DUMMYFUNCTION("""COMPUTED_VALUE"""),"27 days ago")</f>
        <v>27 days ago</v>
      </c>
      <c r="L62" s="95"/>
      <c r="M62" t="str">
        <f>IFERROR(__xludf.DUMMYFUNCTION("""COMPUTED_VALUE"""),"Curbyx")</f>
        <v>Curbyx</v>
      </c>
      <c r="N62" t="str">
        <f>IFERROR(__xludf.DUMMYFUNCTION("""COMPUTED_VALUE"""),"")</f>
        <v/>
      </c>
      <c r="O62" t="str">
        <f>IFERROR(__xludf.DUMMYFUNCTION("""COMPUTED_VALUE"""),"Twisting Nether")</f>
        <v>Twisting Nether</v>
      </c>
      <c r="P62">
        <f>IFERROR(__xludf.DUMMYFUNCTION("""COMPUTED_VALUE"""),405.13)</f>
        <v>405.13</v>
      </c>
      <c r="Q62" t="str">
        <f>IFERROR(__xludf.DUMMYFUNCTION("""COMPUTED_VALUE"""),"17 hours ago")</f>
        <v>17 hours ago</v>
      </c>
      <c r="R62" s="96"/>
      <c r="S62" t="str">
        <f>IFERROR(__xludf.DUMMYFUNCTION("""COMPUTED_VALUE"""),"Tyralín")</f>
        <v>Tyralín</v>
      </c>
      <c r="T62" t="str">
        <f>IFERROR(__xludf.DUMMYFUNCTION("""COMPUTED_VALUE"""),"Propheta")</f>
        <v>Propheta</v>
      </c>
      <c r="U62" t="str">
        <f>IFERROR(__xludf.DUMMYFUNCTION("""COMPUTED_VALUE"""),"Twisting Nether")</f>
        <v>Twisting Nether</v>
      </c>
      <c r="V62">
        <f>IFERROR(__xludf.DUMMYFUNCTION("""COMPUTED_VALUE"""),390.88)</f>
        <v>390.88</v>
      </c>
      <c r="W62" t="str">
        <f>IFERROR(__xludf.DUMMYFUNCTION("""COMPUTED_VALUE"""),"9 days ago")</f>
        <v>9 days ago</v>
      </c>
      <c r="X62" s="97"/>
      <c r="Y62" s="111" t="str">
        <f>IFERROR(__xludf.DUMMYFUNCTION("""COMPUTED_VALUE"""),"Neverflame")</f>
        <v>Neverflame</v>
      </c>
      <c r="Z62" s="111" t="str">
        <f>IFERROR(__xludf.DUMMYFUNCTION("""COMPUTED_VALUE"""),"Sometimes Gifted")</f>
        <v>Sometimes Gifted</v>
      </c>
      <c r="AA62" s="111" t="str">
        <f>IFERROR(__xludf.DUMMYFUNCTION("""COMPUTED_VALUE"""),"Ragnaros")</f>
        <v>Ragnaros</v>
      </c>
      <c r="AB62" s="111">
        <f>IFERROR(__xludf.DUMMYFUNCTION("""COMPUTED_VALUE"""),400.75)</f>
        <v>400.75</v>
      </c>
      <c r="AC62" s="111" t="str">
        <f>IFERROR(__xludf.DUMMYFUNCTION("""COMPUTED_VALUE"""),"7 days ago")</f>
        <v>7 days ago</v>
      </c>
      <c r="AD62" s="112"/>
      <c r="AE62" s="111" t="str">
        <f>IFERROR(__xludf.DUMMYFUNCTION("""COMPUTED_VALUE"""),"Potatispung")</f>
        <v>Potatispung</v>
      </c>
      <c r="AF62" s="111" t="str">
        <f>IFERROR(__xludf.DUMMYFUNCTION("""COMPUTED_VALUE"""),"")</f>
        <v/>
      </c>
      <c r="AG62" s="111" t="str">
        <f>IFERROR(__xludf.DUMMYFUNCTION("""COMPUTED_VALUE"""),"Stormscale")</f>
        <v>Stormscale</v>
      </c>
      <c r="AH62" s="108">
        <f>IFERROR(__xludf.DUMMYFUNCTION("""COMPUTED_VALUE"""),405.31)</f>
        <v>405.31</v>
      </c>
      <c r="AI62" s="111" t="str">
        <f>IFERROR(__xludf.DUMMYFUNCTION("""COMPUTED_VALUE"""),"16 days ago")</f>
        <v>16 days ago</v>
      </c>
      <c r="AJ62" s="113"/>
      <c r="AK62" s="111" t="str">
        <f>IFERROR(__xludf.DUMMYFUNCTION("""COMPUTED_VALUE"""),"Wekken")</f>
        <v>Wekken</v>
      </c>
      <c r="AL62" s="111" t="str">
        <f>IFERROR(__xludf.DUMMYFUNCTION("""COMPUTED_VALUE"""),"Maximum Effort")</f>
        <v>Maximum Effort</v>
      </c>
      <c r="AM62" s="111" t="str">
        <f>IFERROR(__xludf.DUMMYFUNCTION("""COMPUTED_VALUE"""),"Chamber of Aspects")</f>
        <v>Chamber of Aspects</v>
      </c>
      <c r="AN62" s="108">
        <f>IFERROR(__xludf.DUMMYFUNCTION("""COMPUTED_VALUE"""),398.0)</f>
        <v>398</v>
      </c>
      <c r="AO62" s="111" t="str">
        <f>IFERROR(__xludf.DUMMYFUNCTION("""COMPUTED_VALUE"""),"19 days ago")</f>
        <v>19 days ago</v>
      </c>
      <c r="AP62" s="114"/>
      <c r="AQ62" s="116" t="str">
        <f>IFERROR(__xludf.DUMMYFUNCTION("""COMPUTED_VALUE"""),"Vicfirth")</f>
        <v>Vicfirth</v>
      </c>
      <c r="AR62" s="111" t="str">
        <f>IFERROR(__xludf.DUMMYFUNCTION("""COMPUTED_VALUE"""),"")</f>
        <v/>
      </c>
      <c r="AS62" s="111" t="str">
        <f>IFERROR(__xludf.DUMMYFUNCTION("""COMPUTED_VALUE"""),"Argent Dawn")</f>
        <v>Argent Dawn</v>
      </c>
      <c r="AT62" s="108">
        <f>IFERROR(__xludf.DUMMYFUNCTION("""COMPUTED_VALUE"""),400.0)</f>
        <v>400</v>
      </c>
      <c r="AU62" s="111" t="str">
        <f>IFERROR(__xludf.DUMMYFUNCTION("""COMPUTED_VALUE"""),"5 days ago")</f>
        <v>5 days ago</v>
      </c>
      <c r="AV62" s="115"/>
      <c r="AW62" s="116" t="str">
        <f>IFERROR(__xludf.DUMMYFUNCTION("""COMPUTED_VALUE"""),"Danteizzard")</f>
        <v>Danteizzard</v>
      </c>
      <c r="AX62" s="111" t="str">
        <f>IFERROR(__xludf.DUMMYFUNCTION("""COMPUTED_VALUE"""),"")</f>
        <v/>
      </c>
      <c r="AY62" s="111" t="str">
        <f>IFERROR(__xludf.DUMMYFUNCTION("""COMPUTED_VALUE"""),"Kazzak")</f>
        <v>Kazzak</v>
      </c>
      <c r="AZ62" s="108">
        <f>IFERROR(__xludf.DUMMYFUNCTION("""COMPUTED_VALUE"""),402.56)</f>
        <v>402.56</v>
      </c>
      <c r="BA62" s="111" t="str">
        <f>IFERROR(__xludf.DUMMYFUNCTION("""COMPUTED_VALUE"""),"19 days ago")</f>
        <v>19 days ago</v>
      </c>
      <c r="BB62" s="117"/>
      <c r="BC62" s="116" t="str">
        <f>IFERROR(__xludf.DUMMYFUNCTION("""COMPUTED_VALUE"""),"Audn")</f>
        <v>Audn</v>
      </c>
      <c r="BD62" s="111" t="str">
        <f>IFERROR(__xludf.DUMMYFUNCTION("""COMPUTED_VALUE"""),"")</f>
        <v/>
      </c>
      <c r="BE62" s="111" t="str">
        <f>IFERROR(__xludf.DUMMYFUNCTION("""COMPUTED_VALUE"""),"Ravencrest")</f>
        <v>Ravencrest</v>
      </c>
      <c r="BF62" s="108">
        <f>IFERROR(__xludf.DUMMYFUNCTION("""COMPUTED_VALUE"""),387.38)</f>
        <v>387.38</v>
      </c>
      <c r="BG62" s="111" t="str">
        <f>IFERROR(__xludf.DUMMYFUNCTION("""COMPUTED_VALUE"""),"25 days ago")</f>
        <v>25 days ago</v>
      </c>
      <c r="BH62" s="118"/>
      <c r="BI62" s="116" t="str">
        <f>IFERROR(__xludf.DUMMYFUNCTION("""COMPUTED_VALUE"""),"Xatures")</f>
        <v>Xatures</v>
      </c>
      <c r="BJ62" s="111" t="str">
        <f>IFERROR(__xludf.DUMMYFUNCTION("""COMPUTED_VALUE"""),"Sylvanas Refugees")</f>
        <v>Sylvanas Refugees</v>
      </c>
      <c r="BK62" s="111" t="str">
        <f>IFERROR(__xludf.DUMMYFUNCTION("""COMPUTED_VALUE"""),"Ravencrest")</f>
        <v>Ravencrest</v>
      </c>
      <c r="BL62" s="108">
        <f>IFERROR(__xludf.DUMMYFUNCTION("""COMPUTED_VALUE"""),397.13)</f>
        <v>397.13</v>
      </c>
      <c r="BM62" s="111" t="str">
        <f>IFERROR(__xludf.DUMMYFUNCTION("""COMPUTED_VALUE"""),"6 days ago")</f>
        <v>6 days ago</v>
      </c>
      <c r="BN62" s="119"/>
      <c r="BO62" s="116" t="str">
        <f>IFERROR(__xludf.DUMMYFUNCTION("""COMPUTED_VALUE"""),"Itshazard")</f>
        <v>Itshazard</v>
      </c>
      <c r="BP62" s="111" t="str">
        <f>IFERROR(__xludf.DUMMYFUNCTION("""COMPUTED_VALUE"""),"")</f>
        <v/>
      </c>
      <c r="BQ62" s="111" t="str">
        <f>IFERROR(__xludf.DUMMYFUNCTION("""COMPUTED_VALUE"""),"Tarren Mill")</f>
        <v>Tarren Mill</v>
      </c>
      <c r="BR62" s="108">
        <f>IFERROR(__xludf.DUMMYFUNCTION("""COMPUTED_VALUE"""),398.25)</f>
        <v>398.25</v>
      </c>
      <c r="BS62" s="111" t="str">
        <f>IFERROR(__xludf.DUMMYFUNCTION("""COMPUTED_VALUE"""),"5 days ago")</f>
        <v>5 days ago</v>
      </c>
      <c r="BT62" s="120"/>
      <c r="BU62" s="107" t="str">
        <f t="shared" ref="BU62:BY62" si="57">M16</f>
        <v>Gigabent</v>
      </c>
      <c r="BV62" s="107" t="str">
        <f t="shared" si="57"/>
        <v>Death Wish</v>
      </c>
      <c r="BW62" s="107" t="str">
        <f t="shared" si="57"/>
        <v>Ravencrest</v>
      </c>
      <c r="BX62" s="107">
        <f t="shared" si="57"/>
        <v>410.31</v>
      </c>
      <c r="BY62" s="107" t="str">
        <f t="shared" si="57"/>
        <v>3 days ago</v>
      </c>
      <c r="BZ62" s="108"/>
    </row>
    <row r="63">
      <c r="F63" s="94"/>
      <c r="G63" t="str">
        <f>IFERROR(__xludf.DUMMYFUNCTION("""COMPUTED_VALUE"""),"Teew")</f>
        <v>Teew</v>
      </c>
      <c r="H63" t="str">
        <f>IFERROR(__xludf.DUMMYFUNCTION("""COMPUTED_VALUE"""),"Immortalìty")</f>
        <v>Immortalìty</v>
      </c>
      <c r="I63" t="str">
        <f>IFERROR(__xludf.DUMMYFUNCTION("""COMPUTED_VALUE"""),"Draenor")</f>
        <v>Draenor</v>
      </c>
      <c r="J63">
        <f>IFERROR(__xludf.DUMMYFUNCTION("""COMPUTED_VALUE"""),406.63)</f>
        <v>406.63</v>
      </c>
      <c r="K63" t="str">
        <f>IFERROR(__xludf.DUMMYFUNCTION("""COMPUTED_VALUE"""),"1 day ago")</f>
        <v>1 day ago</v>
      </c>
      <c r="L63" s="95"/>
      <c r="M63" t="str">
        <f>IFERROR(__xludf.DUMMYFUNCTION("""COMPUTED_VALUE"""),"Mawpaw")</f>
        <v>Mawpaw</v>
      </c>
      <c r="N63" t="str">
        <f>IFERROR(__xludf.DUMMYFUNCTION("""COMPUTED_VALUE"""),"Dark Transformation")</f>
        <v>Dark Transformation</v>
      </c>
      <c r="O63" t="str">
        <f>IFERROR(__xludf.DUMMYFUNCTION("""COMPUTED_VALUE"""),"Kazzak")</f>
        <v>Kazzak</v>
      </c>
      <c r="P63">
        <f>IFERROR(__xludf.DUMMYFUNCTION("""COMPUTED_VALUE"""),405.06)</f>
        <v>405.06</v>
      </c>
      <c r="Q63" t="str">
        <f>IFERROR(__xludf.DUMMYFUNCTION("""COMPUTED_VALUE"""),"3 days ago")</f>
        <v>3 days ago</v>
      </c>
      <c r="R63" s="96"/>
      <c r="S63" t="str">
        <f>IFERROR(__xludf.DUMMYFUNCTION("""COMPUTED_VALUE"""),"Flãrd")</f>
        <v>Flãrd</v>
      </c>
      <c r="T63" t="str">
        <f>IFERROR(__xludf.DUMMYFUNCTION("""COMPUTED_VALUE"""),"Error Code")</f>
        <v>Error Code</v>
      </c>
      <c r="U63" t="str">
        <f>IFERROR(__xludf.DUMMYFUNCTION("""COMPUTED_VALUE"""),"Burning Legion")</f>
        <v>Burning Legion</v>
      </c>
      <c r="V63">
        <f>IFERROR(__xludf.DUMMYFUNCTION("""COMPUTED_VALUE"""),390.56)</f>
        <v>390.56</v>
      </c>
      <c r="W63" t="str">
        <f>IFERROR(__xludf.DUMMYFUNCTION("""COMPUTED_VALUE"""),"15 days ago")</f>
        <v>15 days ago</v>
      </c>
      <c r="X63" s="97"/>
      <c r="Y63" s="111" t="str">
        <f>IFERROR(__xludf.DUMMYFUNCTION("""COMPUTED_VALUE"""),"Elodinn")</f>
        <v>Elodinn</v>
      </c>
      <c r="Z63" s="111" t="str">
        <f>IFERROR(__xludf.DUMMYFUNCTION("""COMPUTED_VALUE"""),"")</f>
        <v/>
      </c>
      <c r="AA63" s="111" t="str">
        <f>IFERROR(__xludf.DUMMYFUNCTION("""COMPUTED_VALUE"""),"Sunstrider")</f>
        <v>Sunstrider</v>
      </c>
      <c r="AB63" s="111">
        <f>IFERROR(__xludf.DUMMYFUNCTION("""COMPUTED_VALUE"""),400.5)</f>
        <v>400.5</v>
      </c>
      <c r="AC63" s="111" t="str">
        <f>IFERROR(__xludf.DUMMYFUNCTION("""COMPUTED_VALUE"""),"24 days ago")</f>
        <v>24 days ago</v>
      </c>
      <c r="AD63" s="112"/>
      <c r="AE63" s="111" t="str">
        <f>IFERROR(__xludf.DUMMYFUNCTION("""COMPUTED_VALUE"""),"Randomxbrew")</f>
        <v>Randomxbrew</v>
      </c>
      <c r="AF63" s="111" t="str">
        <f>IFERROR(__xludf.DUMMYFUNCTION("""COMPUTED_VALUE"""),"Stormwall")</f>
        <v>Stormwall</v>
      </c>
      <c r="AG63" s="111" t="str">
        <f>IFERROR(__xludf.DUMMYFUNCTION("""COMPUTED_VALUE"""),"Draenor")</f>
        <v>Draenor</v>
      </c>
      <c r="AH63" s="108">
        <f>IFERROR(__xludf.DUMMYFUNCTION("""COMPUTED_VALUE"""),405.0)</f>
        <v>405</v>
      </c>
      <c r="AI63" s="111" t="str">
        <f>IFERROR(__xludf.DUMMYFUNCTION("""COMPUTED_VALUE"""),"25 days ago")</f>
        <v>25 days ago</v>
      </c>
      <c r="AJ63" s="113"/>
      <c r="AK63" s="111" t="str">
        <f>IFERROR(__xludf.DUMMYFUNCTION("""COMPUTED_VALUE"""),"Animeiscoolz")</f>
        <v>Animeiscoolz</v>
      </c>
      <c r="AL63" s="111" t="str">
        <f>IFERROR(__xludf.DUMMYFUNCTION("""COMPUTED_VALUE"""),"")</f>
        <v/>
      </c>
      <c r="AM63" s="111" t="str">
        <f>IFERROR(__xludf.DUMMYFUNCTION("""COMPUTED_VALUE"""),"Silvermoon")</f>
        <v>Silvermoon</v>
      </c>
      <c r="AN63" s="108">
        <f>IFERROR(__xludf.DUMMYFUNCTION("""COMPUTED_VALUE"""),397.94)</f>
        <v>397.94</v>
      </c>
      <c r="AO63" s="111" t="str">
        <f>IFERROR(__xludf.DUMMYFUNCTION("""COMPUTED_VALUE"""),"26 days ago")</f>
        <v>26 days ago</v>
      </c>
      <c r="AP63" s="114"/>
      <c r="AQ63" s="116" t="str">
        <f>IFERROR(__xludf.DUMMYFUNCTION("""COMPUTED_VALUE"""),"Regji")</f>
        <v>Regji</v>
      </c>
      <c r="AR63" s="111" t="str">
        <f>IFERROR(__xludf.DUMMYFUNCTION("""COMPUTED_VALUE"""),"O o O")</f>
        <v>O o O</v>
      </c>
      <c r="AS63" s="111" t="str">
        <f>IFERROR(__xludf.DUMMYFUNCTION("""COMPUTED_VALUE"""),"Kazzak")</f>
        <v>Kazzak</v>
      </c>
      <c r="AT63" s="108">
        <f>IFERROR(__xludf.DUMMYFUNCTION("""COMPUTED_VALUE"""),399.81)</f>
        <v>399.81</v>
      </c>
      <c r="AU63" s="111" t="str">
        <f>IFERROR(__xludf.DUMMYFUNCTION("""COMPUTED_VALUE"""),"11 days ago")</f>
        <v>11 days ago</v>
      </c>
      <c r="AV63" s="115"/>
      <c r="AW63" s="116" t="str">
        <f>IFERROR(__xludf.DUMMYFUNCTION("""COMPUTED_VALUE"""),"Trugo")</f>
        <v>Trugo</v>
      </c>
      <c r="AX63" s="111" t="str">
        <f>IFERROR(__xludf.DUMMYFUNCTION("""COMPUTED_VALUE"""),"Euphoria")</f>
        <v>Euphoria</v>
      </c>
      <c r="AY63" s="111" t="str">
        <f>IFERROR(__xludf.DUMMYFUNCTION("""COMPUTED_VALUE"""),"Ragnaros")</f>
        <v>Ragnaros</v>
      </c>
      <c r="AZ63" s="108">
        <f>IFERROR(__xludf.DUMMYFUNCTION("""COMPUTED_VALUE"""),402.44)</f>
        <v>402.44</v>
      </c>
      <c r="BA63" s="111" t="str">
        <f>IFERROR(__xludf.DUMMYFUNCTION("""COMPUTED_VALUE"""),"12 days ago")</f>
        <v>12 days ago</v>
      </c>
      <c r="BB63" s="117"/>
      <c r="BC63" s="116" t="str">
        <f>IFERROR(__xludf.DUMMYFUNCTION("""COMPUTED_VALUE"""),"Waukeon")</f>
        <v>Waukeon</v>
      </c>
      <c r="BD63" s="111" t="str">
        <f>IFERROR(__xludf.DUMMYFUNCTION("""COMPUTED_VALUE"""),"Strength Camp")</f>
        <v>Strength Camp</v>
      </c>
      <c r="BE63" s="111" t="str">
        <f>IFERROR(__xludf.DUMMYFUNCTION("""COMPUTED_VALUE"""),"Silvermoon")</f>
        <v>Silvermoon</v>
      </c>
      <c r="BF63" s="108">
        <f>IFERROR(__xludf.DUMMYFUNCTION("""COMPUTED_VALUE"""),387.19)</f>
        <v>387.19</v>
      </c>
      <c r="BG63" s="111" t="str">
        <f>IFERROR(__xludf.DUMMYFUNCTION("""COMPUTED_VALUE"""),"12 days ago")</f>
        <v>12 days ago</v>
      </c>
      <c r="BH63" s="118"/>
      <c r="BI63" s="116" t="str">
        <f>IFERROR(__xludf.DUMMYFUNCTION("""COMPUTED_VALUE"""),"Sinkqt")</f>
        <v>Sinkqt</v>
      </c>
      <c r="BJ63" s="111" t="str">
        <f>IFERROR(__xludf.DUMMYFUNCTION("""COMPUTED_VALUE"""),"Sage")</f>
        <v>Sage</v>
      </c>
      <c r="BK63" s="111" t="str">
        <f>IFERROR(__xludf.DUMMYFUNCTION("""COMPUTED_VALUE"""),"Tarren Mill")</f>
        <v>Tarren Mill</v>
      </c>
      <c r="BL63" s="108">
        <f>IFERROR(__xludf.DUMMYFUNCTION("""COMPUTED_VALUE"""),396.69)</f>
        <v>396.69</v>
      </c>
      <c r="BM63" s="111" t="str">
        <f>IFERROR(__xludf.DUMMYFUNCTION("""COMPUTED_VALUE"""),"18 days ago")</f>
        <v>18 days ago</v>
      </c>
      <c r="BN63" s="119"/>
      <c r="BO63" s="116" t="str">
        <f>IFERROR(__xludf.DUMMYFUNCTION("""COMPUTED_VALUE"""),"Azgrow")</f>
        <v>Azgrow</v>
      </c>
      <c r="BP63" s="111" t="str">
        <f>IFERROR(__xludf.DUMMYFUNCTION("""COMPUTED_VALUE"""),"Cannon Fodder")</f>
        <v>Cannon Fodder</v>
      </c>
      <c r="BQ63" s="111" t="str">
        <f>IFERROR(__xludf.DUMMYFUNCTION("""COMPUTED_VALUE"""),"Draenor")</f>
        <v>Draenor</v>
      </c>
      <c r="BR63" s="108">
        <f>IFERROR(__xludf.DUMMYFUNCTION("""COMPUTED_VALUE"""),397.56)</f>
        <v>397.56</v>
      </c>
      <c r="BS63" s="111" t="str">
        <f>IFERROR(__xludf.DUMMYFUNCTION("""COMPUTED_VALUE"""),"26 days ago")</f>
        <v>26 days ago</v>
      </c>
      <c r="BT63" s="120"/>
      <c r="BU63" s="107" t="str">
        <f t="shared" ref="BU63:BY63" si="58">M17</f>
        <v>Poxlixo</v>
      </c>
      <c r="BV63" s="107" t="str">
        <f t="shared" si="58"/>
        <v>Stockholm Syndrome</v>
      </c>
      <c r="BW63" s="107" t="str">
        <f t="shared" si="58"/>
        <v>Tarren Mill</v>
      </c>
      <c r="BX63" s="107">
        <f t="shared" si="58"/>
        <v>410.31</v>
      </c>
      <c r="BY63" s="107" t="str">
        <f t="shared" si="58"/>
        <v>2 days ago</v>
      </c>
      <c r="BZ63" s="108"/>
    </row>
    <row r="64">
      <c r="F64" s="94"/>
      <c r="G64" t="str">
        <f>IFERROR(__xludf.DUMMYFUNCTION("""COMPUTED_VALUE"""),"Shaix")</f>
        <v>Shaix</v>
      </c>
      <c r="H64" t="str">
        <f>IFERROR(__xludf.DUMMYFUNCTION("""COMPUTED_VALUE"""),"FourFiveSix")</f>
        <v>FourFiveSix</v>
      </c>
      <c r="I64" t="str">
        <f>IFERROR(__xludf.DUMMYFUNCTION("""COMPUTED_VALUE"""),"Sunstrider")</f>
        <v>Sunstrider</v>
      </c>
      <c r="J64">
        <f>IFERROR(__xludf.DUMMYFUNCTION("""COMPUTED_VALUE"""),406.5)</f>
        <v>406.5</v>
      </c>
      <c r="K64" t="str">
        <f>IFERROR(__xludf.DUMMYFUNCTION("""COMPUTED_VALUE"""),"4 days ago")</f>
        <v>4 days ago</v>
      </c>
      <c r="L64" s="95"/>
      <c r="M64" t="str">
        <f>IFERROR(__xludf.DUMMYFUNCTION("""COMPUTED_VALUE"""),"Darkysh")</f>
        <v>Darkysh</v>
      </c>
      <c r="N64" t="str">
        <f>IFERROR(__xludf.DUMMYFUNCTION("""COMPUTED_VALUE"""),"Indecency")</f>
        <v>Indecency</v>
      </c>
      <c r="O64" t="str">
        <f>IFERROR(__xludf.DUMMYFUNCTION("""COMPUTED_VALUE"""),"Stormscale")</f>
        <v>Stormscale</v>
      </c>
      <c r="P64">
        <f>IFERROR(__xludf.DUMMYFUNCTION("""COMPUTED_VALUE"""),405.06)</f>
        <v>405.06</v>
      </c>
      <c r="Q64" t="str">
        <f>IFERROR(__xludf.DUMMYFUNCTION("""COMPUTED_VALUE"""),"9 days ago")</f>
        <v>9 days ago</v>
      </c>
      <c r="R64" s="96"/>
      <c r="S64" t="str">
        <f>IFERROR(__xludf.DUMMYFUNCTION("""COMPUTED_VALUE"""),"Whispérz")</f>
        <v>Whispérz</v>
      </c>
      <c r="T64" t="str">
        <f>IFERROR(__xludf.DUMMYFUNCTION("""COMPUTED_VALUE"""),"Endless")</f>
        <v>Endless</v>
      </c>
      <c r="U64" t="str">
        <f>IFERROR(__xludf.DUMMYFUNCTION("""COMPUTED_VALUE"""),"Kazzak")</f>
        <v>Kazzak</v>
      </c>
      <c r="V64">
        <f>IFERROR(__xludf.DUMMYFUNCTION("""COMPUTED_VALUE"""),388.63)</f>
        <v>388.63</v>
      </c>
      <c r="W64" t="str">
        <f>IFERROR(__xludf.DUMMYFUNCTION("""COMPUTED_VALUE"""),"4 days ago")</f>
        <v>4 days ago</v>
      </c>
      <c r="X64" s="97"/>
      <c r="Y64" s="111" t="str">
        <f>IFERROR(__xludf.DUMMYFUNCTION("""COMPUTED_VALUE"""),"Ninetta")</f>
        <v>Ninetta</v>
      </c>
      <c r="Z64" s="111" t="str">
        <f>IFERROR(__xludf.DUMMYFUNCTION("""COMPUTED_VALUE"""),"")</f>
        <v/>
      </c>
      <c r="AA64" s="111" t="str">
        <f>IFERROR(__xludf.DUMMYFUNCTION("""COMPUTED_VALUE"""),"Twisting Nether")</f>
        <v>Twisting Nether</v>
      </c>
      <c r="AB64" s="111">
        <f>IFERROR(__xludf.DUMMYFUNCTION("""COMPUTED_VALUE"""),400.38)</f>
        <v>400.38</v>
      </c>
      <c r="AC64" s="111" t="str">
        <f>IFERROR(__xludf.DUMMYFUNCTION("""COMPUTED_VALUE"""),"9 days ago")</f>
        <v>9 days ago</v>
      </c>
      <c r="AD64" s="112"/>
      <c r="AE64" s="111" t="str">
        <f>IFERROR(__xludf.DUMMYFUNCTION("""COMPUTED_VALUE"""),"Benthemonk")</f>
        <v>Benthemonk</v>
      </c>
      <c r="AF64" s="111" t="str">
        <f>IFERROR(__xludf.DUMMYFUNCTION("""COMPUTED_VALUE"""),"")</f>
        <v/>
      </c>
      <c r="AG64" s="111" t="str">
        <f>IFERROR(__xludf.DUMMYFUNCTION("""COMPUTED_VALUE"""),"Ravencrest")</f>
        <v>Ravencrest</v>
      </c>
      <c r="AH64" s="108">
        <f>IFERROR(__xludf.DUMMYFUNCTION("""COMPUTED_VALUE"""),404.75)</f>
        <v>404.75</v>
      </c>
      <c r="AI64" s="111" t="str">
        <f>IFERROR(__xludf.DUMMYFUNCTION("""COMPUTED_VALUE"""),"11 days ago")</f>
        <v>11 days ago</v>
      </c>
      <c r="AJ64" s="113"/>
      <c r="AK64" s="111" t="str">
        <f>IFERROR(__xludf.DUMMYFUNCTION("""COMPUTED_VALUE"""),"Bewtyful")</f>
        <v>Bewtyful</v>
      </c>
      <c r="AL64" s="111" t="str">
        <f>IFERROR(__xludf.DUMMYFUNCTION("""COMPUTED_VALUE"""),"")</f>
        <v/>
      </c>
      <c r="AM64" s="111" t="str">
        <f>IFERROR(__xludf.DUMMYFUNCTION("""COMPUTED_VALUE"""),"Kazzak")</f>
        <v>Kazzak</v>
      </c>
      <c r="AN64" s="108">
        <f>IFERROR(__xludf.DUMMYFUNCTION("""COMPUTED_VALUE"""),397.81)</f>
        <v>397.81</v>
      </c>
      <c r="AO64" s="111" t="str">
        <f>IFERROR(__xludf.DUMMYFUNCTION("""COMPUTED_VALUE"""),"5 days ago")</f>
        <v>5 days ago</v>
      </c>
      <c r="AP64" s="114"/>
      <c r="AQ64" s="116" t="str">
        <f>IFERROR(__xludf.DUMMYFUNCTION("""COMPUTED_VALUE"""),"Thoinad")</f>
        <v>Thoinad</v>
      </c>
      <c r="AR64" s="111" t="str">
        <f>IFERROR(__xludf.DUMMYFUNCTION("""COMPUTED_VALUE"""),"Turtles")</f>
        <v>Turtles</v>
      </c>
      <c r="AS64" s="111" t="str">
        <f>IFERROR(__xludf.DUMMYFUNCTION("""COMPUTED_VALUE"""),"Tarren Mill")</f>
        <v>Tarren Mill</v>
      </c>
      <c r="AT64" s="108">
        <f>IFERROR(__xludf.DUMMYFUNCTION("""COMPUTED_VALUE"""),399.75)</f>
        <v>399.75</v>
      </c>
      <c r="AU64" s="111" t="str">
        <f>IFERROR(__xludf.DUMMYFUNCTION("""COMPUTED_VALUE"""),"26 days ago")</f>
        <v>26 days ago</v>
      </c>
      <c r="AV64" s="115"/>
      <c r="AW64" s="116" t="str">
        <f>IFERROR(__xludf.DUMMYFUNCTION("""COMPUTED_VALUE"""),"Cathrosar")</f>
        <v>Cathrosar</v>
      </c>
      <c r="AX64" s="111" t="str">
        <f>IFERROR(__xludf.DUMMYFUNCTION("""COMPUTED_VALUE"""),"BIG CITY LIFE")</f>
        <v>BIG CITY LIFE</v>
      </c>
      <c r="AY64" s="111" t="str">
        <f>IFERROR(__xludf.DUMMYFUNCTION("""COMPUTED_VALUE"""),"Darkspear")</f>
        <v>Darkspear</v>
      </c>
      <c r="AZ64" s="108">
        <f>IFERROR(__xludf.DUMMYFUNCTION("""COMPUTED_VALUE"""),402.44)</f>
        <v>402.44</v>
      </c>
      <c r="BA64" s="111" t="str">
        <f>IFERROR(__xludf.DUMMYFUNCTION("""COMPUTED_VALUE"""),"13 days ago")</f>
        <v>13 days ago</v>
      </c>
      <c r="BB64" s="117"/>
      <c r="BC64" s="116" t="str">
        <f>IFERROR(__xludf.DUMMYFUNCTION("""COMPUTED_VALUE"""),"Macarond")</f>
        <v>Macarond</v>
      </c>
      <c r="BD64" s="111" t="str">
        <f>IFERROR(__xludf.DUMMYFUNCTION("""COMPUTED_VALUE"""),"BRB")</f>
        <v>BRB</v>
      </c>
      <c r="BE64" s="111" t="str">
        <f>IFERROR(__xludf.DUMMYFUNCTION("""COMPUTED_VALUE"""),"Tarren Mill")</f>
        <v>Tarren Mill</v>
      </c>
      <c r="BF64" s="108">
        <f>IFERROR(__xludf.DUMMYFUNCTION("""COMPUTED_VALUE"""),387.06)</f>
        <v>387.06</v>
      </c>
      <c r="BG64" s="111" t="str">
        <f>IFERROR(__xludf.DUMMYFUNCTION("""COMPUTED_VALUE"""),"12 days ago")</f>
        <v>12 days ago</v>
      </c>
      <c r="BH64" s="118"/>
      <c r="BI64" s="116" t="str">
        <f>IFERROR(__xludf.DUMMYFUNCTION("""COMPUTED_VALUE"""),"Dixíerekt")</f>
        <v>Dixíerekt</v>
      </c>
      <c r="BJ64" s="111" t="str">
        <f>IFERROR(__xludf.DUMMYFUNCTION("""COMPUTED_VALUE"""),"Whispers of the Ol..")</f>
        <v>Whispers of the Ol..</v>
      </c>
      <c r="BK64" s="111" t="str">
        <f>IFERROR(__xludf.DUMMYFUNCTION("""COMPUTED_VALUE"""),"Tarren Mill")</f>
        <v>Tarren Mill</v>
      </c>
      <c r="BL64" s="108">
        <f>IFERROR(__xludf.DUMMYFUNCTION("""COMPUTED_VALUE"""),396.63)</f>
        <v>396.63</v>
      </c>
      <c r="BM64" s="111" t="str">
        <f>IFERROR(__xludf.DUMMYFUNCTION("""COMPUTED_VALUE"""),"24 days ago")</f>
        <v>24 days ago</v>
      </c>
      <c r="BN64" s="119"/>
      <c r="BO64" s="116" t="str">
        <f>IFERROR(__xludf.DUMMYFUNCTION("""COMPUTED_VALUE"""),"Tanekwr")</f>
        <v>Tanekwr</v>
      </c>
      <c r="BP64" s="111" t="str">
        <f>IFERROR(__xludf.DUMMYFUNCTION("""COMPUTED_VALUE"""),"Repose")</f>
        <v>Repose</v>
      </c>
      <c r="BQ64" s="111" t="str">
        <f>IFERROR(__xludf.DUMMYFUNCTION("""COMPUTED_VALUE"""),"Ragnaros")</f>
        <v>Ragnaros</v>
      </c>
      <c r="BR64" s="108">
        <f>IFERROR(__xludf.DUMMYFUNCTION("""COMPUTED_VALUE"""),397.38)</f>
        <v>397.38</v>
      </c>
      <c r="BS64" s="111" t="str">
        <f>IFERROR(__xludf.DUMMYFUNCTION("""COMPUTED_VALUE"""),"20 days ago")</f>
        <v>20 days ago</v>
      </c>
      <c r="BT64" s="120"/>
      <c r="BU64" s="107" t="str">
        <f t="shared" ref="BU64:BY64" si="59">M18</f>
        <v>Boomzord</v>
      </c>
      <c r="BV64" s="107" t="str">
        <f t="shared" si="59"/>
        <v>Vengeance Incarnate</v>
      </c>
      <c r="BW64" s="107" t="str">
        <f t="shared" si="59"/>
        <v>Burning Legion</v>
      </c>
      <c r="BX64" s="107">
        <f t="shared" si="59"/>
        <v>410.25</v>
      </c>
      <c r="BY64" s="107" t="str">
        <f t="shared" si="59"/>
        <v>5 days ago</v>
      </c>
      <c r="BZ64" s="108"/>
    </row>
    <row r="65">
      <c r="F65" s="94"/>
      <c r="G65" t="str">
        <f>IFERROR(__xludf.DUMMYFUNCTION("""COMPUTED_VALUE"""),"Deth")</f>
        <v>Deth</v>
      </c>
      <c r="H65" t="str">
        <f>IFERROR(__xludf.DUMMYFUNCTION("""COMPUTED_VALUE"""),"Famous")</f>
        <v>Famous</v>
      </c>
      <c r="I65" t="str">
        <f>IFERROR(__xludf.DUMMYFUNCTION("""COMPUTED_VALUE"""),"Tarren Mill")</f>
        <v>Tarren Mill</v>
      </c>
      <c r="J65">
        <f>IFERROR(__xludf.DUMMYFUNCTION("""COMPUTED_VALUE"""),406.5)</f>
        <v>406.5</v>
      </c>
      <c r="K65" t="str">
        <f>IFERROR(__xludf.DUMMYFUNCTION("""COMPUTED_VALUE"""),"3 days ago")</f>
        <v>3 days ago</v>
      </c>
      <c r="L65" s="95"/>
      <c r="M65" t="str">
        <f>IFERROR(__xludf.DUMMYFUNCTION("""COMPUTED_VALUE"""),"Naderia")</f>
        <v>Naderia</v>
      </c>
      <c r="N65" t="str">
        <f>IFERROR(__xludf.DUMMYFUNCTION("""COMPUTED_VALUE"""),"BlackRavens")</f>
        <v>BlackRavens</v>
      </c>
      <c r="O65" t="str">
        <f>IFERROR(__xludf.DUMMYFUNCTION("""COMPUTED_VALUE"""),"Twisting Nether")</f>
        <v>Twisting Nether</v>
      </c>
      <c r="P65">
        <f>IFERROR(__xludf.DUMMYFUNCTION("""COMPUTED_VALUE"""),404.88)</f>
        <v>404.88</v>
      </c>
      <c r="Q65" t="str">
        <f>IFERROR(__xludf.DUMMYFUNCTION("""COMPUTED_VALUE"""),"26 days ago")</f>
        <v>26 days ago</v>
      </c>
      <c r="R65" s="96"/>
      <c r="S65" t="str">
        <f>IFERROR(__xludf.DUMMYFUNCTION("""COMPUTED_VALUE"""),"Renehuntz")</f>
        <v>Renehuntz</v>
      </c>
      <c r="T65" t="str">
        <f>IFERROR(__xludf.DUMMYFUNCTION("""COMPUTED_VALUE"""),"")</f>
        <v/>
      </c>
      <c r="U65" t="str">
        <f>IFERROR(__xludf.DUMMYFUNCTION("""COMPUTED_VALUE"""),"Ragnaros")</f>
        <v>Ragnaros</v>
      </c>
      <c r="V65">
        <f>IFERROR(__xludf.DUMMYFUNCTION("""COMPUTED_VALUE"""),388.31)</f>
        <v>388.31</v>
      </c>
      <c r="W65" t="str">
        <f>IFERROR(__xludf.DUMMYFUNCTION("""COMPUTED_VALUE"""),"5 days ago")</f>
        <v>5 days ago</v>
      </c>
      <c r="X65" s="97"/>
      <c r="Y65" s="111" t="str">
        <f>IFERROR(__xludf.DUMMYFUNCTION("""COMPUTED_VALUE"""),"Pheilop")</f>
        <v>Pheilop</v>
      </c>
      <c r="Z65" s="111" t="str">
        <f>IFERROR(__xludf.DUMMYFUNCTION("""COMPUTED_VALUE"""),"Jokers Squad")</f>
        <v>Jokers Squad</v>
      </c>
      <c r="AA65" s="111" t="str">
        <f>IFERROR(__xludf.DUMMYFUNCTION("""COMPUTED_VALUE"""),"Drak'thul")</f>
        <v>Drak'thul</v>
      </c>
      <c r="AB65" s="111">
        <f>IFERROR(__xludf.DUMMYFUNCTION("""COMPUTED_VALUE"""),399.88)</f>
        <v>399.88</v>
      </c>
      <c r="AC65" s="111" t="str">
        <f>IFERROR(__xludf.DUMMYFUNCTION("""COMPUTED_VALUE"""),"15 days ago")</f>
        <v>15 days ago</v>
      </c>
      <c r="AD65" s="112"/>
      <c r="AE65" s="111" t="str">
        <f>IFERROR(__xludf.DUMMYFUNCTION("""COMPUTED_VALUE"""),"Vìdel")</f>
        <v>Vìdel</v>
      </c>
      <c r="AF65" s="111" t="str">
        <f>IFERROR(__xludf.DUMMYFUNCTION("""COMPUTED_VALUE"""),"")</f>
        <v/>
      </c>
      <c r="AG65" s="111" t="str">
        <f>IFERROR(__xludf.DUMMYFUNCTION("""COMPUTED_VALUE"""),"Tarren Mill")</f>
        <v>Tarren Mill</v>
      </c>
      <c r="AH65" s="108">
        <f>IFERROR(__xludf.DUMMYFUNCTION("""COMPUTED_VALUE"""),404.56)</f>
        <v>404.56</v>
      </c>
      <c r="AI65" s="111" t="str">
        <f>IFERROR(__xludf.DUMMYFUNCTION("""COMPUTED_VALUE"""),"28 days ago")</f>
        <v>28 days ago</v>
      </c>
      <c r="AJ65" s="113"/>
      <c r="AK65" s="111" t="str">
        <f>IFERROR(__xludf.DUMMYFUNCTION("""COMPUTED_VALUE"""),"Zupinho")</f>
        <v>Zupinho</v>
      </c>
      <c r="AL65" s="111" t="str">
        <f>IFERROR(__xludf.DUMMYFUNCTION("""COMPUTED_VALUE"""),"")</f>
        <v/>
      </c>
      <c r="AM65" s="111" t="str">
        <f>IFERROR(__xludf.DUMMYFUNCTION("""COMPUTED_VALUE"""),"Ragnaros")</f>
        <v>Ragnaros</v>
      </c>
      <c r="AN65" s="108">
        <f>IFERROR(__xludf.DUMMYFUNCTION("""COMPUTED_VALUE"""),397.63)</f>
        <v>397.63</v>
      </c>
      <c r="AO65" s="111" t="str">
        <f>IFERROR(__xludf.DUMMYFUNCTION("""COMPUTED_VALUE"""),"11 days ago")</f>
        <v>11 days ago</v>
      </c>
      <c r="AP65" s="114"/>
      <c r="AQ65" s="116" t="str">
        <f>IFERROR(__xludf.DUMMYFUNCTION("""COMPUTED_VALUE"""),"Kalei")</f>
        <v>Kalei</v>
      </c>
      <c r="AR65" s="111" t="str">
        <f>IFERROR(__xludf.DUMMYFUNCTION("""COMPUTED_VALUE"""),"High Definition")</f>
        <v>High Definition</v>
      </c>
      <c r="AS65" s="111" t="str">
        <f>IFERROR(__xludf.DUMMYFUNCTION("""COMPUTED_VALUE"""),"Ravenholdt")</f>
        <v>Ravenholdt</v>
      </c>
      <c r="AT65" s="108">
        <f>IFERROR(__xludf.DUMMYFUNCTION("""COMPUTED_VALUE"""),399.69)</f>
        <v>399.69</v>
      </c>
      <c r="AU65" s="111" t="str">
        <f>IFERROR(__xludf.DUMMYFUNCTION("""COMPUTED_VALUE"""),"23 days ago")</f>
        <v>23 days ago</v>
      </c>
      <c r="AV65" s="115"/>
      <c r="AW65" s="116" t="str">
        <f>IFERROR(__xludf.DUMMYFUNCTION("""COMPUTED_VALUE"""),"Catriax")</f>
        <v>Catriax</v>
      </c>
      <c r="AX65" s="111" t="str">
        <f>IFERROR(__xludf.DUMMYFUNCTION("""COMPUTED_VALUE"""),"Rival")</f>
        <v>Rival</v>
      </c>
      <c r="AY65" s="111" t="str">
        <f>IFERROR(__xludf.DUMMYFUNCTION("""COMPUTED_VALUE"""),"Twisting Nether")</f>
        <v>Twisting Nether</v>
      </c>
      <c r="AZ65" s="108">
        <f>IFERROR(__xludf.DUMMYFUNCTION("""COMPUTED_VALUE"""),402.25)</f>
        <v>402.25</v>
      </c>
      <c r="BA65" s="111" t="str">
        <f>IFERROR(__xludf.DUMMYFUNCTION("""COMPUTED_VALUE"""),"29 days ago")</f>
        <v>29 days ago</v>
      </c>
      <c r="BB65" s="117"/>
      <c r="BC65" s="116" t="str">
        <f>IFERROR(__xludf.DUMMYFUNCTION("""COMPUTED_VALUE"""),"Blák")</f>
        <v>Blák</v>
      </c>
      <c r="BD65" s="111" t="str">
        <f>IFERROR(__xludf.DUMMYFUNCTION("""COMPUTED_VALUE"""),"Sylvanas Refugees")</f>
        <v>Sylvanas Refugees</v>
      </c>
      <c r="BE65" s="111" t="str">
        <f>IFERROR(__xludf.DUMMYFUNCTION("""COMPUTED_VALUE"""),"Ravencrest")</f>
        <v>Ravencrest</v>
      </c>
      <c r="BF65" s="108">
        <f>IFERROR(__xludf.DUMMYFUNCTION("""COMPUTED_VALUE"""),385.63)</f>
        <v>385.63</v>
      </c>
      <c r="BG65" s="111" t="str">
        <f>IFERROR(__xludf.DUMMYFUNCTION("""COMPUTED_VALUE"""),"6 days ago")</f>
        <v>6 days ago</v>
      </c>
      <c r="BH65" s="118"/>
      <c r="BI65" s="116" t="str">
        <f>IFERROR(__xludf.DUMMYFUNCTION("""COMPUTED_VALUE"""),"Psytwins")</f>
        <v>Psytwins</v>
      </c>
      <c r="BJ65" s="111" t="str">
        <f>IFERROR(__xludf.DUMMYFUNCTION("""COMPUTED_VALUE"""),"NSFW")</f>
        <v>NSFW</v>
      </c>
      <c r="BK65" s="111" t="str">
        <f>IFERROR(__xludf.DUMMYFUNCTION("""COMPUTED_VALUE"""),"Aggra")</f>
        <v>Aggra</v>
      </c>
      <c r="BL65" s="108">
        <f>IFERROR(__xludf.DUMMYFUNCTION("""COMPUTED_VALUE"""),396.38)</f>
        <v>396.38</v>
      </c>
      <c r="BM65" s="111" t="str">
        <f>IFERROR(__xludf.DUMMYFUNCTION("""COMPUTED_VALUE"""),"3 days ago")</f>
        <v>3 days ago</v>
      </c>
      <c r="BN65" s="119"/>
      <c r="BO65" s="116" t="str">
        <f>IFERROR(__xludf.DUMMYFUNCTION("""COMPUTED_VALUE"""),"Zheani")</f>
        <v>Zheani</v>
      </c>
      <c r="BP65" s="111" t="str">
        <f>IFERROR(__xludf.DUMMYFUNCTION("""COMPUTED_VALUE"""),"")</f>
        <v/>
      </c>
      <c r="BQ65" s="111" t="str">
        <f>IFERROR(__xludf.DUMMYFUNCTION("""COMPUTED_VALUE"""),"Kazzak")</f>
        <v>Kazzak</v>
      </c>
      <c r="BR65" s="108">
        <f>IFERROR(__xludf.DUMMYFUNCTION("""COMPUTED_VALUE"""),397.13)</f>
        <v>397.13</v>
      </c>
      <c r="BS65" s="111" t="str">
        <f>IFERROR(__xludf.DUMMYFUNCTION("""COMPUTED_VALUE"""),"1 day ago")</f>
        <v>1 day ago</v>
      </c>
      <c r="BT65" s="120"/>
      <c r="BU65" s="107" t="str">
        <f t="shared" ref="BU65:BY65" si="60">M19</f>
        <v>Freeyâ</v>
      </c>
      <c r="BV65" s="107" t="str">
        <f t="shared" si="60"/>
        <v>Martyrdom</v>
      </c>
      <c r="BW65" s="107" t="str">
        <f t="shared" si="60"/>
        <v>Tarren Mill</v>
      </c>
      <c r="BX65" s="107">
        <f t="shared" si="60"/>
        <v>409.94</v>
      </c>
      <c r="BY65" s="107" t="str">
        <f t="shared" si="60"/>
        <v>19 days ago</v>
      </c>
      <c r="BZ65" s="108"/>
    </row>
    <row r="66">
      <c r="F66" s="94"/>
      <c r="G66" t="str">
        <f>IFERROR(__xludf.DUMMYFUNCTION("""COMPUTED_VALUE"""),"Skyttdh")</f>
        <v>Skyttdh</v>
      </c>
      <c r="H66" t="str">
        <f>IFERROR(__xludf.DUMMYFUNCTION("""COMPUTED_VALUE"""),"The Cold North")</f>
        <v>The Cold North</v>
      </c>
      <c r="I66" t="str">
        <f>IFERROR(__xludf.DUMMYFUNCTION("""COMPUTED_VALUE"""),"Draenor")</f>
        <v>Draenor</v>
      </c>
      <c r="J66">
        <f>IFERROR(__xludf.DUMMYFUNCTION("""COMPUTED_VALUE"""),406.31)</f>
        <v>406.31</v>
      </c>
      <c r="K66" t="str">
        <f>IFERROR(__xludf.DUMMYFUNCTION("""COMPUTED_VALUE"""),"8 days ago")</f>
        <v>8 days ago</v>
      </c>
      <c r="L66" s="95"/>
      <c r="M66" t="str">
        <f>IFERROR(__xludf.DUMMYFUNCTION("""COMPUTED_VALUE"""),"Helvegên")</f>
        <v>Helvegên</v>
      </c>
      <c r="N66" t="str">
        <f>IFERROR(__xludf.DUMMYFUNCTION("""COMPUTED_VALUE"""),"")</f>
        <v/>
      </c>
      <c r="O66" t="str">
        <f>IFERROR(__xludf.DUMMYFUNCTION("""COMPUTED_VALUE"""),"Twisting Nether")</f>
        <v>Twisting Nether</v>
      </c>
      <c r="P66">
        <f>IFERROR(__xludf.DUMMYFUNCTION("""COMPUTED_VALUE"""),404.81)</f>
        <v>404.81</v>
      </c>
      <c r="Q66" t="str">
        <f>IFERROR(__xludf.DUMMYFUNCTION("""COMPUTED_VALUE"""),"5 days ago")</f>
        <v>5 days ago</v>
      </c>
      <c r="R66" s="96"/>
      <c r="S66" t="str">
        <f>IFERROR(__xludf.DUMMYFUNCTION("""COMPUTED_VALUE"""),"Finurlighed")</f>
        <v>Finurlighed</v>
      </c>
      <c r="T66" t="str">
        <f>IFERROR(__xludf.DUMMYFUNCTION("""COMPUTED_VALUE"""),"Hotfix")</f>
        <v>Hotfix</v>
      </c>
      <c r="U66" t="str">
        <f>IFERROR(__xludf.DUMMYFUNCTION("""COMPUTED_VALUE"""),"Tarren Mill")</f>
        <v>Tarren Mill</v>
      </c>
      <c r="V66">
        <f>IFERROR(__xludf.DUMMYFUNCTION("""COMPUTED_VALUE"""),386.44)</f>
        <v>386.44</v>
      </c>
      <c r="W66" t="str">
        <f>IFERROR(__xludf.DUMMYFUNCTION("""COMPUTED_VALUE"""),"26 days ago")</f>
        <v>26 days ago</v>
      </c>
      <c r="X66" s="97"/>
      <c r="Y66" s="111" t="str">
        <f>IFERROR(__xludf.DUMMYFUNCTION("""COMPUTED_VALUE"""),"Mithrândír")</f>
        <v>Mithrândír</v>
      </c>
      <c r="Z66" s="111" t="str">
        <f>IFERROR(__xludf.DUMMYFUNCTION("""COMPUTED_VALUE"""),"Vi Köper Epics På ..")</f>
        <v>Vi Köper Epics På ..</v>
      </c>
      <c r="AA66" s="111" t="str">
        <f>IFERROR(__xludf.DUMMYFUNCTION("""COMPUTED_VALUE"""),"Silvermoon")</f>
        <v>Silvermoon</v>
      </c>
      <c r="AB66" s="111">
        <f>IFERROR(__xludf.DUMMYFUNCTION("""COMPUTED_VALUE"""),399.75)</f>
        <v>399.75</v>
      </c>
      <c r="AC66" s="111" t="str">
        <f>IFERROR(__xludf.DUMMYFUNCTION("""COMPUTED_VALUE"""),"1 day ago")</f>
        <v>1 day ago</v>
      </c>
      <c r="AD66" s="112"/>
      <c r="AE66" s="111" t="str">
        <f>IFERROR(__xludf.DUMMYFUNCTION("""COMPUTED_VALUE"""),"Chuhen")</f>
        <v>Chuhen</v>
      </c>
      <c r="AF66" s="111" t="str">
        <f>IFERROR(__xludf.DUMMYFUNCTION("""COMPUTED_VALUE"""),"The Ultimate Seduc..")</f>
        <v>The Ultimate Seduc..</v>
      </c>
      <c r="AG66" s="111" t="str">
        <f>IFERROR(__xludf.DUMMYFUNCTION("""COMPUTED_VALUE"""),"Darksorrow")</f>
        <v>Darksorrow</v>
      </c>
      <c r="AH66" s="108">
        <f>IFERROR(__xludf.DUMMYFUNCTION("""COMPUTED_VALUE"""),404.5)</f>
        <v>404.5</v>
      </c>
      <c r="AI66" s="111" t="str">
        <f>IFERROR(__xludf.DUMMYFUNCTION("""COMPUTED_VALUE"""),"8 days ago")</f>
        <v>8 days ago</v>
      </c>
      <c r="AJ66" s="113"/>
      <c r="AK66" s="111" t="str">
        <f>IFERROR(__xludf.DUMMYFUNCTION("""COMPUTED_VALUE"""),"Sovano")</f>
        <v>Sovano</v>
      </c>
      <c r="AL66" s="111" t="str">
        <f>IFERROR(__xludf.DUMMYFUNCTION("""COMPUTED_VALUE"""),"GOT BEEF")</f>
        <v>GOT BEEF</v>
      </c>
      <c r="AM66" s="111" t="str">
        <f>IFERROR(__xludf.DUMMYFUNCTION("""COMPUTED_VALUE"""),"Draenor")</f>
        <v>Draenor</v>
      </c>
      <c r="AN66" s="108">
        <f>IFERROR(__xludf.DUMMYFUNCTION("""COMPUTED_VALUE"""),396.88)</f>
        <v>396.88</v>
      </c>
      <c r="AO66" s="111" t="str">
        <f>IFERROR(__xludf.DUMMYFUNCTION("""COMPUTED_VALUE"""),"16 days ago")</f>
        <v>16 days ago</v>
      </c>
      <c r="AP66" s="114"/>
      <c r="AQ66" s="116" t="str">
        <f>IFERROR(__xludf.DUMMYFUNCTION("""COMPUTED_VALUE"""),"Dumizz")</f>
        <v>Dumizz</v>
      </c>
      <c r="AR66" s="111" t="str">
        <f>IFERROR(__xludf.DUMMYFUNCTION("""COMPUTED_VALUE"""),"NeXtLeVeL")</f>
        <v>NeXtLeVeL</v>
      </c>
      <c r="AS66" s="111" t="str">
        <f>IFERROR(__xludf.DUMMYFUNCTION("""COMPUTED_VALUE"""),"Tarren Mill")</f>
        <v>Tarren Mill</v>
      </c>
      <c r="AT66" s="108">
        <f>IFERROR(__xludf.DUMMYFUNCTION("""COMPUTED_VALUE"""),399.63)</f>
        <v>399.63</v>
      </c>
      <c r="AU66" s="111" t="str">
        <f>IFERROR(__xludf.DUMMYFUNCTION("""COMPUTED_VALUE"""),"21 day ago")</f>
        <v>21 day ago</v>
      </c>
      <c r="AV66" s="115"/>
      <c r="AW66" s="116" t="str">
        <f>IFERROR(__xludf.DUMMYFUNCTION("""COMPUTED_VALUE"""),"Leakass")</f>
        <v>Leakass</v>
      </c>
      <c r="AX66" s="111" t="str">
        <f>IFERROR(__xludf.DUMMYFUNCTION("""COMPUTED_VALUE"""),"Wrath")</f>
        <v>Wrath</v>
      </c>
      <c r="AY66" s="111" t="str">
        <f>IFERROR(__xludf.DUMMYFUNCTION("""COMPUTED_VALUE"""),"Defias Brotherhood")</f>
        <v>Defias Brotherhood</v>
      </c>
      <c r="AZ66" s="108">
        <f>IFERROR(__xludf.DUMMYFUNCTION("""COMPUTED_VALUE"""),401.88)</f>
        <v>401.88</v>
      </c>
      <c r="BA66" s="111" t="str">
        <f>IFERROR(__xludf.DUMMYFUNCTION("""COMPUTED_VALUE"""),"4 days ago")</f>
        <v>4 days ago</v>
      </c>
      <c r="BB66" s="117"/>
      <c r="BC66" s="116" t="str">
        <f>IFERROR(__xludf.DUMMYFUNCTION("""COMPUTED_VALUE"""),"Usirevcz")</f>
        <v>Usirevcz</v>
      </c>
      <c r="BD66" s="111" t="str">
        <f>IFERROR(__xludf.DUMMYFUNCTION("""COMPUTED_VALUE"""),"")</f>
        <v/>
      </c>
      <c r="BE66" s="111" t="str">
        <f>IFERROR(__xludf.DUMMYFUNCTION("""COMPUTED_VALUE"""),"Drak'thul")</f>
        <v>Drak'thul</v>
      </c>
      <c r="BF66" s="108">
        <f>IFERROR(__xludf.DUMMYFUNCTION("""COMPUTED_VALUE"""),383.63)</f>
        <v>383.63</v>
      </c>
      <c r="BG66" s="111" t="str">
        <f>IFERROR(__xludf.DUMMYFUNCTION("""COMPUTED_VALUE"""),"17 days ago")</f>
        <v>17 days ago</v>
      </c>
      <c r="BH66" s="118"/>
      <c r="BI66" s="116" t="str">
        <f>IFERROR(__xludf.DUMMYFUNCTION("""COMPUTED_VALUE"""),"Omnimagus")</f>
        <v>Omnimagus</v>
      </c>
      <c r="BJ66" s="111" t="str">
        <f>IFERROR(__xludf.DUMMYFUNCTION("""COMPUTED_VALUE"""),"DT Reborn")</f>
        <v>DT Reborn</v>
      </c>
      <c r="BK66" s="111" t="str">
        <f>IFERROR(__xludf.DUMMYFUNCTION("""COMPUTED_VALUE"""),"Twisting Nether")</f>
        <v>Twisting Nether</v>
      </c>
      <c r="BL66" s="108">
        <f>IFERROR(__xludf.DUMMYFUNCTION("""COMPUTED_VALUE"""),394.94)</f>
        <v>394.94</v>
      </c>
      <c r="BM66" s="111" t="str">
        <f>IFERROR(__xludf.DUMMYFUNCTION("""COMPUTED_VALUE"""),"21 day ago")</f>
        <v>21 day ago</v>
      </c>
      <c r="BN66" s="119"/>
      <c r="BO66" s="116" t="str">
        <f>IFERROR(__xludf.DUMMYFUNCTION("""COMPUTED_VALUE"""),"Veops")</f>
        <v>Veops</v>
      </c>
      <c r="BP66" s="111" t="str">
        <f>IFERROR(__xludf.DUMMYFUNCTION("""COMPUTED_VALUE"""),"Accidentally")</f>
        <v>Accidentally</v>
      </c>
      <c r="BQ66" s="111" t="str">
        <f>IFERROR(__xludf.DUMMYFUNCTION("""COMPUTED_VALUE"""),"Burning Legion")</f>
        <v>Burning Legion</v>
      </c>
      <c r="BR66" s="108">
        <f>IFERROR(__xludf.DUMMYFUNCTION("""COMPUTED_VALUE"""),396.0)</f>
        <v>396</v>
      </c>
      <c r="BS66" s="111" t="str">
        <f>IFERROR(__xludf.DUMMYFUNCTION("""COMPUTED_VALUE"""),"16 days ago")</f>
        <v>16 days ago</v>
      </c>
      <c r="BT66" s="120"/>
      <c r="BU66" s="107" t="str">
        <f t="shared" ref="BU66:BY66" si="61">M20</f>
        <v>Deidah</v>
      </c>
      <c r="BV66" s="107" t="str">
        <f t="shared" si="61"/>
        <v/>
      </c>
      <c r="BW66" s="107" t="str">
        <f t="shared" si="61"/>
        <v>Argent Dawn</v>
      </c>
      <c r="BX66" s="107">
        <f t="shared" si="61"/>
        <v>409.5</v>
      </c>
      <c r="BY66" s="107" t="str">
        <f t="shared" si="61"/>
        <v>6 days ago</v>
      </c>
      <c r="BZ66" s="108"/>
    </row>
    <row r="67">
      <c r="F67" s="94"/>
      <c r="G67" t="str">
        <f>IFERROR(__xludf.DUMMYFUNCTION("""COMPUTED_VALUE"""),"Dgx")</f>
        <v>Dgx</v>
      </c>
      <c r="H67" t="str">
        <f>IFERROR(__xludf.DUMMYFUNCTION("""COMPUTED_VALUE"""),"Aesthetic Wipes")</f>
        <v>Aesthetic Wipes</v>
      </c>
      <c r="I67" t="str">
        <f>IFERROR(__xludf.DUMMYFUNCTION("""COMPUTED_VALUE"""),"Silvermoon")</f>
        <v>Silvermoon</v>
      </c>
      <c r="J67">
        <f>IFERROR(__xludf.DUMMYFUNCTION("""COMPUTED_VALUE"""),406.25)</f>
        <v>406.25</v>
      </c>
      <c r="K67" t="str">
        <f>IFERROR(__xludf.DUMMYFUNCTION("""COMPUTED_VALUE"""),"5 days ago")</f>
        <v>5 days ago</v>
      </c>
      <c r="L67" s="95"/>
      <c r="M67" t="str">
        <f>IFERROR(__xludf.DUMMYFUNCTION("""COMPUTED_VALUE"""),"Cannabito")</f>
        <v>Cannabito</v>
      </c>
      <c r="N67" t="str">
        <f>IFERROR(__xludf.DUMMYFUNCTION("""COMPUTED_VALUE"""),"")</f>
        <v/>
      </c>
      <c r="O67" t="str">
        <f>IFERROR(__xludf.DUMMYFUNCTION("""COMPUTED_VALUE"""),"Ragnaros")</f>
        <v>Ragnaros</v>
      </c>
      <c r="P67">
        <f>IFERROR(__xludf.DUMMYFUNCTION("""COMPUTED_VALUE"""),404.69)</f>
        <v>404.69</v>
      </c>
      <c r="Q67" t="str">
        <f>IFERROR(__xludf.DUMMYFUNCTION("""COMPUTED_VALUE"""),"4 days ago")</f>
        <v>4 days ago</v>
      </c>
      <c r="R67" s="96"/>
      <c r="S67" t="str">
        <f>IFERROR(__xludf.DUMMYFUNCTION("""COMPUTED_VALUE"""),"Adc")</f>
        <v>Adc</v>
      </c>
      <c r="T67" t="str">
        <f>IFERROR(__xludf.DUMMYFUNCTION("""COMPUTED_VALUE"""),"Potential")</f>
        <v>Potential</v>
      </c>
      <c r="U67" t="str">
        <f>IFERROR(__xludf.DUMMYFUNCTION("""COMPUTED_VALUE"""),"Ravencrest")</f>
        <v>Ravencrest</v>
      </c>
      <c r="V67">
        <f>IFERROR(__xludf.DUMMYFUNCTION("""COMPUTED_VALUE"""),385.13)</f>
        <v>385.13</v>
      </c>
      <c r="W67" t="str">
        <f>IFERROR(__xludf.DUMMYFUNCTION("""COMPUTED_VALUE"""),"10 hours ago")</f>
        <v>10 hours ago</v>
      </c>
      <c r="X67" s="97"/>
      <c r="Y67" s="111" t="str">
        <f>IFERROR(__xludf.DUMMYFUNCTION("""COMPUTED_VALUE"""),"Teila")</f>
        <v>Teila</v>
      </c>
      <c r="Z67" s="111" t="str">
        <f>IFERROR(__xludf.DUMMYFUNCTION("""COMPUTED_VALUE"""),"")</f>
        <v/>
      </c>
      <c r="AA67" s="111" t="str">
        <f>IFERROR(__xludf.DUMMYFUNCTION("""COMPUTED_VALUE"""),"Kazzak")</f>
        <v>Kazzak</v>
      </c>
      <c r="AB67" s="111">
        <f>IFERROR(__xludf.DUMMYFUNCTION("""COMPUTED_VALUE"""),399.44)</f>
        <v>399.44</v>
      </c>
      <c r="AC67" s="111" t="str">
        <f>IFERROR(__xludf.DUMMYFUNCTION("""COMPUTED_VALUE"""),"5 days ago")</f>
        <v>5 days ago</v>
      </c>
      <c r="AD67" s="112"/>
      <c r="AE67" s="111" t="str">
        <f>IFERROR(__xludf.DUMMYFUNCTION("""COMPUTED_VALUE"""),"Øren")</f>
        <v>Øren</v>
      </c>
      <c r="AF67" s="111" t="str">
        <f>IFERROR(__xludf.DUMMYFUNCTION("""COMPUTED_VALUE"""),"Future")</f>
        <v>Future</v>
      </c>
      <c r="AG67" s="111" t="str">
        <f>IFERROR(__xludf.DUMMYFUNCTION("""COMPUTED_VALUE"""),"Twisting Nether")</f>
        <v>Twisting Nether</v>
      </c>
      <c r="AH67" s="108">
        <f>IFERROR(__xludf.DUMMYFUNCTION("""COMPUTED_VALUE"""),404.44)</f>
        <v>404.44</v>
      </c>
      <c r="AI67" s="111" t="str">
        <f>IFERROR(__xludf.DUMMYFUNCTION("""COMPUTED_VALUE"""),"26 days ago")</f>
        <v>26 days ago</v>
      </c>
      <c r="AJ67" s="113"/>
      <c r="AK67" s="111" t="str">
        <f>IFERROR(__xludf.DUMMYFUNCTION("""COMPUTED_VALUE"""),"Sadeukoo")</f>
        <v>Sadeukoo</v>
      </c>
      <c r="AL67" s="111" t="str">
        <f>IFERROR(__xludf.DUMMYFUNCTION("""COMPUTED_VALUE"""),"")</f>
        <v/>
      </c>
      <c r="AM67" s="111" t="str">
        <f>IFERROR(__xludf.DUMMYFUNCTION("""COMPUTED_VALUE"""),"Burning Legion")</f>
        <v>Burning Legion</v>
      </c>
      <c r="AN67" s="108">
        <f>IFERROR(__xludf.DUMMYFUNCTION("""COMPUTED_VALUE"""),396.81)</f>
        <v>396.81</v>
      </c>
      <c r="AO67" s="111" t="str">
        <f>IFERROR(__xludf.DUMMYFUNCTION("""COMPUTED_VALUE"""),"3 days ago")</f>
        <v>3 days ago</v>
      </c>
      <c r="AP67" s="114"/>
      <c r="AQ67" s="116" t="str">
        <f>IFERROR(__xludf.DUMMYFUNCTION("""COMPUTED_VALUE"""),"Sophiae")</f>
        <v>Sophiae</v>
      </c>
      <c r="AR67" s="111" t="str">
        <f>IFERROR(__xludf.DUMMYFUNCTION("""COMPUTED_VALUE"""),"")</f>
        <v/>
      </c>
      <c r="AS67" s="111" t="str">
        <f>IFERROR(__xludf.DUMMYFUNCTION("""COMPUTED_VALUE"""),"Tarren Mill")</f>
        <v>Tarren Mill</v>
      </c>
      <c r="AT67" s="108">
        <f>IFERROR(__xludf.DUMMYFUNCTION("""COMPUTED_VALUE"""),399.63)</f>
        <v>399.63</v>
      </c>
      <c r="AU67" s="111" t="str">
        <f>IFERROR(__xludf.DUMMYFUNCTION("""COMPUTED_VALUE"""),"18 days ago")</f>
        <v>18 days ago</v>
      </c>
      <c r="AV67" s="115"/>
      <c r="AW67" s="116" t="str">
        <f>IFERROR(__xludf.DUMMYFUNCTION("""COMPUTED_VALUE"""),"Cbatilt")</f>
        <v>Cbatilt</v>
      </c>
      <c r="AX67" s="111" t="str">
        <f>IFERROR(__xludf.DUMMYFUNCTION("""COMPUTED_VALUE"""),"")</f>
        <v/>
      </c>
      <c r="AY67" s="111" t="str">
        <f>IFERROR(__xludf.DUMMYFUNCTION("""COMPUTED_VALUE"""),"Grim Batol")</f>
        <v>Grim Batol</v>
      </c>
      <c r="AZ67" s="108">
        <f>IFERROR(__xludf.DUMMYFUNCTION("""COMPUTED_VALUE"""),401.75)</f>
        <v>401.75</v>
      </c>
      <c r="BA67" s="111" t="str">
        <f>IFERROR(__xludf.DUMMYFUNCTION("""COMPUTED_VALUE"""),"16 days ago")</f>
        <v>16 days ago</v>
      </c>
      <c r="BB67" s="117"/>
      <c r="BC67" s="116" t="str">
        <f>IFERROR(__xludf.DUMMYFUNCTION("""COMPUTED_VALUE"""),"Griesch")</f>
        <v>Griesch</v>
      </c>
      <c r="BD67" s="111" t="str">
        <f>IFERROR(__xludf.DUMMYFUNCTION("""COMPUTED_VALUE"""),"Red Empire")</f>
        <v>Red Empire</v>
      </c>
      <c r="BE67" s="111" t="str">
        <f>IFERROR(__xludf.DUMMYFUNCTION("""COMPUTED_VALUE"""),"Tarren Mill")</f>
        <v>Tarren Mill</v>
      </c>
      <c r="BF67" s="108">
        <f>IFERROR(__xludf.DUMMYFUNCTION("""COMPUTED_VALUE"""),376.69)</f>
        <v>376.69</v>
      </c>
      <c r="BG67" s="111" t="str">
        <f>IFERROR(__xludf.DUMMYFUNCTION("""COMPUTED_VALUE"""),"24 days ago")</f>
        <v>24 days ago</v>
      </c>
      <c r="BH67" s="118"/>
      <c r="BI67" s="116" t="str">
        <f>IFERROR(__xludf.DUMMYFUNCTION("""COMPUTED_VALUE"""),"Looneybaz")</f>
        <v>Looneybaz</v>
      </c>
      <c r="BJ67" s="111" t="str">
        <f>IFERROR(__xludf.DUMMYFUNCTION("""COMPUTED_VALUE"""),"NeXtLeVeL")</f>
        <v>NeXtLeVeL</v>
      </c>
      <c r="BK67" s="111" t="str">
        <f>IFERROR(__xludf.DUMMYFUNCTION("""COMPUTED_VALUE"""),"Tarren Mill")</f>
        <v>Tarren Mill</v>
      </c>
      <c r="BL67" s="108">
        <f>IFERROR(__xludf.DUMMYFUNCTION("""COMPUTED_VALUE"""),394.75)</f>
        <v>394.75</v>
      </c>
      <c r="BM67" s="111" t="str">
        <f>IFERROR(__xludf.DUMMYFUNCTION("""COMPUTED_VALUE"""),"27 days ago")</f>
        <v>27 days ago</v>
      </c>
      <c r="BN67" s="119"/>
      <c r="BO67" s="116" t="str">
        <f>IFERROR(__xludf.DUMMYFUNCTION("""COMPUTED_VALUE"""),"Aldrnari")</f>
        <v>Aldrnari</v>
      </c>
      <c r="BP67" s="111" t="str">
        <f>IFERROR(__xludf.DUMMYFUNCTION("""COMPUTED_VALUE"""),"Infernum")</f>
        <v>Infernum</v>
      </c>
      <c r="BQ67" s="111" t="str">
        <f>IFERROR(__xludf.DUMMYFUNCTION("""COMPUTED_VALUE"""),"Silvermoon")</f>
        <v>Silvermoon</v>
      </c>
      <c r="BR67" s="108">
        <f>IFERROR(__xludf.DUMMYFUNCTION("""COMPUTED_VALUE"""),395.88)</f>
        <v>395.88</v>
      </c>
      <c r="BS67" s="111" t="str">
        <f>IFERROR(__xludf.DUMMYFUNCTION("""COMPUTED_VALUE"""),"29 days ago")</f>
        <v>29 days ago</v>
      </c>
      <c r="BT67" s="120"/>
      <c r="BU67" s="107" t="str">
        <f t="shared" ref="BU67:BY67" si="62">M21</f>
        <v>Citcat</v>
      </c>
      <c r="BV67" s="107" t="str">
        <f t="shared" si="62"/>
        <v>Yermaw</v>
      </c>
      <c r="BW67" s="107" t="str">
        <f t="shared" si="62"/>
        <v>Kazzak</v>
      </c>
      <c r="BX67" s="107">
        <f t="shared" si="62"/>
        <v>409.5</v>
      </c>
      <c r="BY67" s="107" t="str">
        <f t="shared" si="62"/>
        <v>17 days ago</v>
      </c>
      <c r="BZ67" s="108"/>
    </row>
    <row r="68">
      <c r="F68" s="94"/>
      <c r="G68" t="str">
        <f>IFERROR(__xludf.DUMMYFUNCTION("""COMPUTED_VALUE"""),"Tràl")</f>
        <v>Tràl</v>
      </c>
      <c r="H68" t="str">
        <f>IFERROR(__xludf.DUMMYFUNCTION("""COMPUTED_VALUE"""),"")</f>
        <v/>
      </c>
      <c r="I68" t="str">
        <f>IFERROR(__xludf.DUMMYFUNCTION("""COMPUTED_VALUE"""),"Kazzak")</f>
        <v>Kazzak</v>
      </c>
      <c r="J68">
        <f>IFERROR(__xludf.DUMMYFUNCTION("""COMPUTED_VALUE"""),406.25)</f>
        <v>406.25</v>
      </c>
      <c r="K68" t="str">
        <f>IFERROR(__xludf.DUMMYFUNCTION("""COMPUTED_VALUE"""),"6 days ago")</f>
        <v>6 days ago</v>
      </c>
      <c r="L68" s="95"/>
      <c r="M68" t="str">
        <f>IFERROR(__xludf.DUMMYFUNCTION("""COMPUTED_VALUE"""),"Jatello")</f>
        <v>Jatello</v>
      </c>
      <c r="N68" t="str">
        <f>IFERROR(__xludf.DUMMYFUNCTION("""COMPUTED_VALUE"""),"The Logical Cube")</f>
        <v>The Logical Cube</v>
      </c>
      <c r="O68" t="str">
        <f>IFERROR(__xludf.DUMMYFUNCTION("""COMPUTED_VALUE"""),"Eonar")</f>
        <v>Eonar</v>
      </c>
      <c r="P68">
        <f>IFERROR(__xludf.DUMMYFUNCTION("""COMPUTED_VALUE"""),404.5)</f>
        <v>404.5</v>
      </c>
      <c r="Q68" t="str">
        <f>IFERROR(__xludf.DUMMYFUNCTION("""COMPUTED_VALUE"""),"26 days ago")</f>
        <v>26 days ago</v>
      </c>
      <c r="R68" s="96"/>
      <c r="S68" t="str">
        <f>IFERROR(__xludf.DUMMYFUNCTION("""COMPUTED_VALUE"""),"Fallenium")</f>
        <v>Fallenium</v>
      </c>
      <c r="T68" t="str">
        <f>IFERROR(__xludf.DUMMYFUNCTION("""COMPUTED_VALUE"""),"FatSharkYes")</f>
        <v>FatSharkYes</v>
      </c>
      <c r="U68" t="str">
        <f>IFERROR(__xludf.DUMMYFUNCTION("""COMPUTED_VALUE"""),"Kazzak")</f>
        <v>Kazzak</v>
      </c>
      <c r="V68">
        <f>IFERROR(__xludf.DUMMYFUNCTION("""COMPUTED_VALUE"""),383.63)</f>
        <v>383.63</v>
      </c>
      <c r="W68" t="str">
        <f>IFERROR(__xludf.DUMMYFUNCTION("""COMPUTED_VALUE"""),"27 days ago")</f>
        <v>27 days ago</v>
      </c>
      <c r="X68" s="97"/>
      <c r="Y68" s="111" t="str">
        <f>IFERROR(__xludf.DUMMYFUNCTION("""COMPUTED_VALUE"""),"Naxmor")</f>
        <v>Naxmor</v>
      </c>
      <c r="Z68" s="111" t="str">
        <f>IFERROR(__xludf.DUMMYFUNCTION("""COMPUTED_VALUE"""),"The Old Timers")</f>
        <v>The Old Timers</v>
      </c>
      <c r="AA68" s="111" t="str">
        <f>IFERROR(__xludf.DUMMYFUNCTION("""COMPUTED_VALUE"""),"Twisting Nether")</f>
        <v>Twisting Nether</v>
      </c>
      <c r="AB68" s="111">
        <f>IFERROR(__xludf.DUMMYFUNCTION("""COMPUTED_VALUE"""),398.13)</f>
        <v>398.13</v>
      </c>
      <c r="AC68" s="111" t="str">
        <f>IFERROR(__xludf.DUMMYFUNCTION("""COMPUTED_VALUE"""),"26 days ago")</f>
        <v>26 days ago</v>
      </c>
      <c r="AD68" s="112"/>
      <c r="AE68" s="111" t="str">
        <f>IFERROR(__xludf.DUMMYFUNCTION("""COMPUTED_VALUE"""),"Shadowchí")</f>
        <v>Shadowchí</v>
      </c>
      <c r="AF68" s="111" t="str">
        <f>IFERROR(__xludf.DUMMYFUNCTION("""COMPUTED_VALUE"""),"")</f>
        <v/>
      </c>
      <c r="AG68" s="111" t="str">
        <f>IFERROR(__xludf.DUMMYFUNCTION("""COMPUTED_VALUE"""),"Frostmane")</f>
        <v>Frostmane</v>
      </c>
      <c r="AH68" s="108">
        <f>IFERROR(__xludf.DUMMYFUNCTION("""COMPUTED_VALUE"""),404.44)</f>
        <v>404.44</v>
      </c>
      <c r="AI68" s="111" t="str">
        <f>IFERROR(__xludf.DUMMYFUNCTION("""COMPUTED_VALUE"""),"21 day ago")</f>
        <v>21 day ago</v>
      </c>
      <c r="AJ68" s="113"/>
      <c r="AK68" s="111" t="str">
        <f>IFERROR(__xludf.DUMMYFUNCTION("""COMPUTED_VALUE"""),"Kdezbz")</f>
        <v>Kdezbz</v>
      </c>
      <c r="AL68" s="111" t="str">
        <f>IFERROR(__xludf.DUMMYFUNCTION("""COMPUTED_VALUE"""),"Innuéndo")</f>
        <v>Innuéndo</v>
      </c>
      <c r="AM68" s="111" t="str">
        <f>IFERROR(__xludf.DUMMYFUNCTION("""COMPUTED_VALUE"""),"Twisting Nether")</f>
        <v>Twisting Nether</v>
      </c>
      <c r="AN68" s="108">
        <f>IFERROR(__xludf.DUMMYFUNCTION("""COMPUTED_VALUE"""),396.75)</f>
        <v>396.75</v>
      </c>
      <c r="AO68" s="111" t="str">
        <f>IFERROR(__xludf.DUMMYFUNCTION("""COMPUTED_VALUE"""),"15 days ago")</f>
        <v>15 days ago</v>
      </c>
      <c r="AP68" s="114"/>
      <c r="AQ68" s="116" t="str">
        <f>IFERROR(__xludf.DUMMYFUNCTION("""COMPUTED_VALUE"""),"Bubbsey")</f>
        <v>Bubbsey</v>
      </c>
      <c r="AR68" s="111" t="str">
        <f>IFERROR(__xludf.DUMMYFUNCTION("""COMPUTED_VALUE"""),"GOT BEEF")</f>
        <v>GOT BEEF</v>
      </c>
      <c r="AS68" s="111" t="str">
        <f>IFERROR(__xludf.DUMMYFUNCTION("""COMPUTED_VALUE"""),"Draenor")</f>
        <v>Draenor</v>
      </c>
      <c r="AT68" s="108">
        <f>IFERROR(__xludf.DUMMYFUNCTION("""COMPUTED_VALUE"""),399.44)</f>
        <v>399.44</v>
      </c>
      <c r="AU68" s="111" t="str">
        <f>IFERROR(__xludf.DUMMYFUNCTION("""COMPUTED_VALUE"""),"2 days ago")</f>
        <v>2 days ago</v>
      </c>
      <c r="AV68" s="115"/>
      <c r="AW68" s="116" t="str">
        <f>IFERROR(__xludf.DUMMYFUNCTION("""COMPUTED_VALUE"""),"Nomércyy")</f>
        <v>Nomércyy</v>
      </c>
      <c r="AX68" s="111" t="str">
        <f>IFERROR(__xludf.DUMMYFUNCTION("""COMPUTED_VALUE"""),"The Old Timers")</f>
        <v>The Old Timers</v>
      </c>
      <c r="AY68" s="111" t="str">
        <f>IFERROR(__xludf.DUMMYFUNCTION("""COMPUTED_VALUE"""),"Twisting Nether")</f>
        <v>Twisting Nether</v>
      </c>
      <c r="AZ68" s="108">
        <f>IFERROR(__xludf.DUMMYFUNCTION("""COMPUTED_VALUE"""),401.69)</f>
        <v>401.69</v>
      </c>
      <c r="BA68" s="111" t="str">
        <f>IFERROR(__xludf.DUMMYFUNCTION("""COMPUTED_VALUE"""),"22 days ago")</f>
        <v>22 days ago</v>
      </c>
      <c r="BB68" s="117"/>
      <c r="BC68" s="116" t="str">
        <f>IFERROR(__xludf.DUMMYFUNCTION("""COMPUTED_VALUE"""),"Øprawindfury")</f>
        <v>Øprawindfury</v>
      </c>
      <c r="BD68" s="111" t="str">
        <f>IFERROR(__xludf.DUMMYFUNCTION("""COMPUTED_VALUE"""),"Dead or Alive")</f>
        <v>Dead or Alive</v>
      </c>
      <c r="BE68" s="111" t="str">
        <f>IFERROR(__xludf.DUMMYFUNCTION("""COMPUTED_VALUE"""),"Ravencrest")</f>
        <v>Ravencrest</v>
      </c>
      <c r="BF68" s="108">
        <f>IFERROR(__xludf.DUMMYFUNCTION("""COMPUTED_VALUE"""),374.19)</f>
        <v>374.19</v>
      </c>
      <c r="BG68" s="111" t="str">
        <f>IFERROR(__xludf.DUMMYFUNCTION("""COMPUTED_VALUE"""),"21 day ago")</f>
        <v>21 day ago</v>
      </c>
      <c r="BH68" s="118"/>
      <c r="BI68" s="116" t="str">
        <f>IFERROR(__xludf.DUMMYFUNCTION("""COMPUTED_VALUE"""),"Herbtheperv")</f>
        <v>Herbtheperv</v>
      </c>
      <c r="BJ68" s="111" t="str">
        <f>IFERROR(__xludf.DUMMYFUNCTION("""COMPUTED_VALUE"""),"Big Noobers")</f>
        <v>Big Noobers</v>
      </c>
      <c r="BK68" s="111" t="str">
        <f>IFERROR(__xludf.DUMMYFUNCTION("""COMPUTED_VALUE"""),"Twisting Nether")</f>
        <v>Twisting Nether</v>
      </c>
      <c r="BL68" s="108">
        <f>IFERROR(__xludf.DUMMYFUNCTION("""COMPUTED_VALUE"""),394.69)</f>
        <v>394.69</v>
      </c>
      <c r="BM68" s="111" t="str">
        <f>IFERROR(__xludf.DUMMYFUNCTION("""COMPUTED_VALUE"""),"19 days ago")</f>
        <v>19 days ago</v>
      </c>
      <c r="BN68" s="119"/>
      <c r="BO68" s="116" t="str">
        <f>IFERROR(__xludf.DUMMYFUNCTION("""COMPUTED_VALUE"""),"Nartangoth")</f>
        <v>Nartangoth</v>
      </c>
      <c r="BP68" s="111" t="str">
        <f>IFERROR(__xludf.DUMMYFUNCTION("""COMPUTED_VALUE"""),"Death Recap")</f>
        <v>Death Recap</v>
      </c>
      <c r="BQ68" s="111" t="str">
        <f>IFERROR(__xludf.DUMMYFUNCTION("""COMPUTED_VALUE"""),"Argent Dawn")</f>
        <v>Argent Dawn</v>
      </c>
      <c r="BR68" s="108">
        <f>IFERROR(__xludf.DUMMYFUNCTION("""COMPUTED_VALUE"""),395.5)</f>
        <v>395.5</v>
      </c>
      <c r="BS68" s="111" t="str">
        <f>IFERROR(__xludf.DUMMYFUNCTION("""COMPUTED_VALUE"""),"25 days ago")</f>
        <v>25 days ago</v>
      </c>
      <c r="BT68" s="120"/>
      <c r="BU68" s="107" t="str">
        <f t="shared" ref="BU68:BY68" si="63">M22</f>
        <v>Ôgñjeñ</v>
      </c>
      <c r="BV68" s="107" t="str">
        <f t="shared" si="63"/>
        <v>teknomafiaa</v>
      </c>
      <c r="BW68" s="107" t="str">
        <f t="shared" si="63"/>
        <v>Kazzak</v>
      </c>
      <c r="BX68" s="107">
        <f t="shared" si="63"/>
        <v>409.44</v>
      </c>
      <c r="BY68" s="107" t="str">
        <f t="shared" si="63"/>
        <v>10 days ago</v>
      </c>
      <c r="BZ68" s="108"/>
    </row>
    <row r="69">
      <c r="F69" s="94"/>
      <c r="G69" t="str">
        <f>IFERROR(__xludf.DUMMYFUNCTION("""COMPUTED_VALUE"""),"Kâlâdin")</f>
        <v>Kâlâdin</v>
      </c>
      <c r="H69" t="str">
        <f>IFERROR(__xludf.DUMMYFUNCTION("""COMPUTED_VALUE"""),"Freshmad")</f>
        <v>Freshmad</v>
      </c>
      <c r="I69" t="str">
        <f>IFERROR(__xludf.DUMMYFUNCTION("""COMPUTED_VALUE"""),"Ragnaros")</f>
        <v>Ragnaros</v>
      </c>
      <c r="J69">
        <f>IFERROR(__xludf.DUMMYFUNCTION("""COMPUTED_VALUE"""),406.06)</f>
        <v>406.06</v>
      </c>
      <c r="K69" t="str">
        <f>IFERROR(__xludf.DUMMYFUNCTION("""COMPUTED_VALUE"""),"27 days ago")</f>
        <v>27 days ago</v>
      </c>
      <c r="L69" s="95"/>
      <c r="M69" t="str">
        <f>IFERROR(__xludf.DUMMYFUNCTION("""COMPUTED_VALUE"""),"Kidsfriendly")</f>
        <v>Kidsfriendly</v>
      </c>
      <c r="N69" t="str">
        <f>IFERROR(__xludf.DUMMYFUNCTION("""COMPUTED_VALUE"""),"")</f>
        <v/>
      </c>
      <c r="O69" t="str">
        <f>IFERROR(__xludf.DUMMYFUNCTION("""COMPUTED_VALUE"""),"Draenor")</f>
        <v>Draenor</v>
      </c>
      <c r="P69">
        <f>IFERROR(__xludf.DUMMYFUNCTION("""COMPUTED_VALUE"""),404.5)</f>
        <v>404.5</v>
      </c>
      <c r="Q69" t="str">
        <f>IFERROR(__xludf.DUMMYFUNCTION("""COMPUTED_VALUE"""),"1 day ago")</f>
        <v>1 day ago</v>
      </c>
      <c r="R69" s="96"/>
      <c r="S69" t="str">
        <f>IFERROR(__xludf.DUMMYFUNCTION("""COMPUTED_VALUE"""),"Lozon")</f>
        <v>Lozon</v>
      </c>
      <c r="T69" t="str">
        <f>IFERROR(__xludf.DUMMYFUNCTION("""COMPUTED_VALUE"""),"")</f>
        <v/>
      </c>
      <c r="U69" t="str">
        <f>IFERROR(__xludf.DUMMYFUNCTION("""COMPUTED_VALUE"""),"Twisting Nether")</f>
        <v>Twisting Nether</v>
      </c>
      <c r="V69">
        <f>IFERROR(__xludf.DUMMYFUNCTION("""COMPUTED_VALUE"""),383.56)</f>
        <v>383.56</v>
      </c>
      <c r="W69" t="str">
        <f>IFERROR(__xludf.DUMMYFUNCTION("""COMPUTED_VALUE"""),"14 hours ago")</f>
        <v>14 hours ago</v>
      </c>
      <c r="X69" s="97"/>
      <c r="Y69" s="111" t="str">
        <f>IFERROR(__xludf.DUMMYFUNCTION("""COMPUTED_VALUE"""),"Xygorr")</f>
        <v>Xygorr</v>
      </c>
      <c r="Z69" s="111" t="str">
        <f>IFERROR(__xludf.DUMMYFUNCTION("""COMPUTED_VALUE"""),"")</f>
        <v/>
      </c>
      <c r="AA69" s="111" t="str">
        <f>IFERROR(__xludf.DUMMYFUNCTION("""COMPUTED_VALUE"""),"Kazzak")</f>
        <v>Kazzak</v>
      </c>
      <c r="AB69" s="111">
        <f>IFERROR(__xludf.DUMMYFUNCTION("""COMPUTED_VALUE"""),396.56)</f>
        <v>396.56</v>
      </c>
      <c r="AC69" s="111" t="str">
        <f>IFERROR(__xludf.DUMMYFUNCTION("""COMPUTED_VALUE"""),"11 days ago")</f>
        <v>11 days ago</v>
      </c>
      <c r="AD69" s="112"/>
      <c r="AE69" s="111" t="str">
        <f>IFERROR(__xludf.DUMMYFUNCTION("""COMPUTED_VALUE"""),"Ähäkuti")</f>
        <v>Ähäkuti</v>
      </c>
      <c r="AF69" s="111" t="str">
        <f>IFERROR(__xludf.DUMMYFUNCTION("""COMPUTED_VALUE"""),"Ironwood")</f>
        <v>Ironwood</v>
      </c>
      <c r="AG69" s="111" t="str">
        <f>IFERROR(__xludf.DUMMYFUNCTION("""COMPUTED_VALUE"""),"Twisting Nether")</f>
        <v>Twisting Nether</v>
      </c>
      <c r="AH69" s="108">
        <f>IFERROR(__xludf.DUMMYFUNCTION("""COMPUTED_VALUE"""),404.31)</f>
        <v>404.31</v>
      </c>
      <c r="AI69" s="111" t="str">
        <f>IFERROR(__xludf.DUMMYFUNCTION("""COMPUTED_VALUE"""),"11 days ago")</f>
        <v>11 days ago</v>
      </c>
      <c r="AJ69" s="113"/>
      <c r="AK69" s="111" t="str">
        <f>IFERROR(__xludf.DUMMYFUNCTION("""COMPUTED_VALUE"""),"Moltan")</f>
        <v>Moltan</v>
      </c>
      <c r="AL69" s="111" t="str">
        <f>IFERROR(__xludf.DUMMYFUNCTION("""COMPUTED_VALUE"""),"")</f>
        <v/>
      </c>
      <c r="AM69" s="111" t="str">
        <f>IFERROR(__xludf.DUMMYFUNCTION("""COMPUTED_VALUE"""),"Silvermoon")</f>
        <v>Silvermoon</v>
      </c>
      <c r="AN69" s="108">
        <f>IFERROR(__xludf.DUMMYFUNCTION("""COMPUTED_VALUE"""),396.69)</f>
        <v>396.69</v>
      </c>
      <c r="AO69" s="111" t="str">
        <f>IFERROR(__xludf.DUMMYFUNCTION("""COMPUTED_VALUE"""),"26 days ago")</f>
        <v>26 days ago</v>
      </c>
      <c r="AP69" s="114"/>
      <c r="AQ69" s="116" t="str">
        <f>IFERROR(__xludf.DUMMYFUNCTION("""COMPUTED_VALUE"""),"Modrystin")</f>
        <v>Modrystin</v>
      </c>
      <c r="AR69" s="111" t="str">
        <f>IFERROR(__xludf.DUMMYFUNCTION("""COMPUTED_VALUE"""),"Quick Oath")</f>
        <v>Quick Oath</v>
      </c>
      <c r="AS69" s="111" t="str">
        <f>IFERROR(__xludf.DUMMYFUNCTION("""COMPUTED_VALUE"""),"Drak'thul")</f>
        <v>Drak'thul</v>
      </c>
      <c r="AT69" s="108">
        <f>IFERROR(__xludf.DUMMYFUNCTION("""COMPUTED_VALUE"""),399.38)</f>
        <v>399.38</v>
      </c>
      <c r="AU69" s="111" t="str">
        <f>IFERROR(__xludf.DUMMYFUNCTION("""COMPUTED_VALUE"""),"19 days ago")</f>
        <v>19 days ago</v>
      </c>
      <c r="AV69" s="115"/>
      <c r="AW69" s="116" t="str">
        <f>IFERROR(__xludf.DUMMYFUNCTION("""COMPUTED_VALUE"""),"Picard")</f>
        <v>Picard</v>
      </c>
      <c r="AX69" s="111" t="str">
        <f>IFERROR(__xludf.DUMMYFUNCTION("""COMPUTED_VALUE"""),"Martyrdom")</f>
        <v>Martyrdom</v>
      </c>
      <c r="AY69" s="111" t="str">
        <f>IFERROR(__xludf.DUMMYFUNCTION("""COMPUTED_VALUE"""),"Tarren Mill")</f>
        <v>Tarren Mill</v>
      </c>
      <c r="AZ69" s="108">
        <f>IFERROR(__xludf.DUMMYFUNCTION("""COMPUTED_VALUE"""),401.69)</f>
        <v>401.69</v>
      </c>
      <c r="BA69" s="111" t="str">
        <f>IFERROR(__xludf.DUMMYFUNCTION("""COMPUTED_VALUE"""),"22 days ago")</f>
        <v>22 days ago</v>
      </c>
      <c r="BB69" s="117"/>
      <c r="BC69" s="116" t="str">
        <f>IFERROR(__xludf.DUMMYFUNCTION("""COMPUTED_VALUE"""),"Ragnakar")</f>
        <v>Ragnakar</v>
      </c>
      <c r="BD69" s="111" t="str">
        <f>IFERROR(__xludf.DUMMYFUNCTION("""COMPUTED_VALUE"""),"Gehenna")</f>
        <v>Gehenna</v>
      </c>
      <c r="BE69" s="111" t="str">
        <f>IFERROR(__xludf.DUMMYFUNCTION("""COMPUTED_VALUE"""),"Stormreaver")</f>
        <v>Stormreaver</v>
      </c>
      <c r="BF69" s="108">
        <f>IFERROR(__xludf.DUMMYFUNCTION("""COMPUTED_VALUE"""),370.63)</f>
        <v>370.63</v>
      </c>
      <c r="BG69" s="111" t="str">
        <f>IFERROR(__xludf.DUMMYFUNCTION("""COMPUTED_VALUE"""),"2 days ago")</f>
        <v>2 days ago</v>
      </c>
      <c r="BH69" s="118"/>
      <c r="BI69" s="116" t="str">
        <f>IFERROR(__xludf.DUMMYFUNCTION("""COMPUTED_VALUE"""),"Murarion")</f>
        <v>Murarion</v>
      </c>
      <c r="BJ69" s="111" t="str">
        <f>IFERROR(__xludf.DUMMYFUNCTION("""COMPUTED_VALUE"""),"Enhanced")</f>
        <v>Enhanced</v>
      </c>
      <c r="BK69" s="111" t="str">
        <f>IFERROR(__xludf.DUMMYFUNCTION("""COMPUTED_VALUE"""),"Silvermoon")</f>
        <v>Silvermoon</v>
      </c>
      <c r="BL69" s="108">
        <f>IFERROR(__xludf.DUMMYFUNCTION("""COMPUTED_VALUE"""),393.94)</f>
        <v>393.94</v>
      </c>
      <c r="BM69" s="111" t="str">
        <f>IFERROR(__xludf.DUMMYFUNCTION("""COMPUTED_VALUE"""),"6 days ago")</f>
        <v>6 days ago</v>
      </c>
      <c r="BN69" s="119"/>
      <c r="BO69" s="116" t="str">
        <f>IFERROR(__xludf.DUMMYFUNCTION("""COMPUTED_VALUE"""),"Tente")</f>
        <v>Tente</v>
      </c>
      <c r="BP69" s="111" t="str">
        <f>IFERROR(__xludf.DUMMYFUNCTION("""COMPUTED_VALUE"""),"Zero to Hero")</f>
        <v>Zero to Hero</v>
      </c>
      <c r="BQ69" s="111" t="str">
        <f>IFERROR(__xludf.DUMMYFUNCTION("""COMPUTED_VALUE"""),"Stormscale")</f>
        <v>Stormscale</v>
      </c>
      <c r="BR69" s="108">
        <f>IFERROR(__xludf.DUMMYFUNCTION("""COMPUTED_VALUE"""),394.81)</f>
        <v>394.81</v>
      </c>
      <c r="BS69" s="111" t="str">
        <f>IFERROR(__xludf.DUMMYFUNCTION("""COMPUTED_VALUE"""),"9 days ago")</f>
        <v>9 days ago</v>
      </c>
      <c r="BT69" s="120"/>
      <c r="BU69" s="107" t="str">
        <f t="shared" ref="BU69:BY69" si="64">M23</f>
        <v>Finurligdood</v>
      </c>
      <c r="BV69" s="107" t="str">
        <f t="shared" si="64"/>
        <v>Hotfix</v>
      </c>
      <c r="BW69" s="107" t="str">
        <f t="shared" si="64"/>
        <v>Tarren Mill</v>
      </c>
      <c r="BX69" s="107">
        <f t="shared" si="64"/>
        <v>409.38</v>
      </c>
      <c r="BY69" s="107" t="str">
        <f t="shared" si="64"/>
        <v>9 days ago</v>
      </c>
      <c r="BZ69" s="108"/>
    </row>
    <row r="70">
      <c r="F70" s="94"/>
      <c r="G70" t="str">
        <f>IFERROR(__xludf.DUMMYFUNCTION("""COMPUTED_VALUE"""),"Anotherdh")</f>
        <v>Anotherdh</v>
      </c>
      <c r="H70" t="str">
        <f>IFERROR(__xludf.DUMMYFUNCTION("""COMPUTED_VALUE"""),"")</f>
        <v/>
      </c>
      <c r="I70" t="str">
        <f>IFERROR(__xludf.DUMMYFUNCTION("""COMPUTED_VALUE"""),"Tarren Mill")</f>
        <v>Tarren Mill</v>
      </c>
      <c r="J70">
        <f>IFERROR(__xludf.DUMMYFUNCTION("""COMPUTED_VALUE"""),406.06)</f>
        <v>406.06</v>
      </c>
      <c r="K70" t="str">
        <f>IFERROR(__xludf.DUMMYFUNCTION("""COMPUTED_VALUE"""),"27 days ago")</f>
        <v>27 days ago</v>
      </c>
      <c r="L70" s="126"/>
      <c r="M70" t="str">
        <f>IFERROR(__xludf.DUMMYFUNCTION("""COMPUTED_VALUE"""),"Heavyfur")</f>
        <v>Heavyfur</v>
      </c>
      <c r="N70" t="str">
        <f>IFERROR(__xludf.DUMMYFUNCTION("""COMPUTED_VALUE"""),"")</f>
        <v/>
      </c>
      <c r="O70" t="str">
        <f>IFERROR(__xludf.DUMMYFUNCTION("""COMPUTED_VALUE"""),"Twisting Nether")</f>
        <v>Twisting Nether</v>
      </c>
      <c r="P70">
        <f>IFERROR(__xludf.DUMMYFUNCTION("""COMPUTED_VALUE"""),404.44)</f>
        <v>404.44</v>
      </c>
      <c r="Q70" t="str">
        <f>IFERROR(__xludf.DUMMYFUNCTION("""COMPUTED_VALUE"""),"18 days ago")</f>
        <v>18 days ago</v>
      </c>
      <c r="R70" s="96"/>
      <c r="S70" t="str">
        <f>IFERROR(__xludf.DUMMYFUNCTION("""COMPUTED_VALUE"""),"Cainhunt")</f>
        <v>Cainhunt</v>
      </c>
      <c r="T70" t="str">
        <f>IFERROR(__xludf.DUMMYFUNCTION("""COMPUTED_VALUE"""),"Superbia")</f>
        <v>Superbia</v>
      </c>
      <c r="U70" t="str">
        <f>IFERROR(__xludf.DUMMYFUNCTION("""COMPUTED_VALUE"""),"Kazzak")</f>
        <v>Kazzak</v>
      </c>
      <c r="V70">
        <f>IFERROR(__xludf.DUMMYFUNCTION("""COMPUTED_VALUE"""),379.75)</f>
        <v>379.75</v>
      </c>
      <c r="W70" t="str">
        <f>IFERROR(__xludf.DUMMYFUNCTION("""COMPUTED_VALUE"""),"5 days ago")</f>
        <v>5 days ago</v>
      </c>
      <c r="X70" s="97"/>
      <c r="Y70" s="111" t="str">
        <f>IFERROR(__xludf.DUMMYFUNCTION("""COMPUTED_VALUE"""),"Freezexd")</f>
        <v>Freezexd</v>
      </c>
      <c r="Z70" s="111" t="str">
        <f>IFERROR(__xludf.DUMMYFUNCTION("""COMPUTED_VALUE"""),"")</f>
        <v/>
      </c>
      <c r="AA70" s="111" t="str">
        <f>IFERROR(__xludf.DUMMYFUNCTION("""COMPUTED_VALUE"""),"Draenor")</f>
        <v>Draenor</v>
      </c>
      <c r="AB70" s="111">
        <f>IFERROR(__xludf.DUMMYFUNCTION("""COMPUTED_VALUE"""),396.0)</f>
        <v>396</v>
      </c>
      <c r="AC70" s="111" t="str">
        <f>IFERROR(__xludf.DUMMYFUNCTION("""COMPUTED_VALUE"""),"4 days ago")</f>
        <v>4 days ago</v>
      </c>
      <c r="AD70" s="112"/>
      <c r="AE70" s="111" t="str">
        <f>IFERROR(__xludf.DUMMYFUNCTION("""COMPUTED_VALUE"""),"Smietnik")</f>
        <v>Smietnik</v>
      </c>
      <c r="AF70" s="111" t="str">
        <f>IFERROR(__xludf.DUMMYFUNCTION("""COMPUTED_VALUE"""),"Shadowstalkers")</f>
        <v>Shadowstalkers</v>
      </c>
      <c r="AG70" s="111" t="str">
        <f>IFERROR(__xludf.DUMMYFUNCTION("""COMPUTED_VALUE"""),"Darkspear")</f>
        <v>Darkspear</v>
      </c>
      <c r="AH70" s="108">
        <f>IFERROR(__xludf.DUMMYFUNCTION("""COMPUTED_VALUE"""),404.19)</f>
        <v>404.19</v>
      </c>
      <c r="AI70" s="111" t="str">
        <f>IFERROR(__xludf.DUMMYFUNCTION("""COMPUTED_VALUE"""),"21 day ago")</f>
        <v>21 day ago</v>
      </c>
      <c r="AJ70" s="113"/>
      <c r="AK70" s="111" t="str">
        <f>IFERROR(__xludf.DUMMYFUNCTION("""COMPUTED_VALUE"""),"Damodari")</f>
        <v>Damodari</v>
      </c>
      <c r="AL70" s="111" t="str">
        <f>IFERROR(__xludf.DUMMYFUNCTION("""COMPUTED_VALUE"""),"Tired")</f>
        <v>Tired</v>
      </c>
      <c r="AM70" s="111" t="str">
        <f>IFERROR(__xludf.DUMMYFUNCTION("""COMPUTED_VALUE"""),"Draenor")</f>
        <v>Draenor</v>
      </c>
      <c r="AN70" s="108">
        <f>IFERROR(__xludf.DUMMYFUNCTION("""COMPUTED_VALUE"""),396.31)</f>
        <v>396.31</v>
      </c>
      <c r="AO70" s="111" t="str">
        <f>IFERROR(__xludf.DUMMYFUNCTION("""COMPUTED_VALUE"""),"11 days ago")</f>
        <v>11 days ago</v>
      </c>
      <c r="AP70" s="114"/>
      <c r="AQ70" s="116" t="str">
        <f>IFERROR(__xludf.DUMMYFUNCTION("""COMPUTED_VALUE"""),"Xyrona")</f>
        <v>Xyrona</v>
      </c>
      <c r="AR70" s="111" t="str">
        <f>IFERROR(__xludf.DUMMYFUNCTION("""COMPUTED_VALUE"""),"No Reason")</f>
        <v>No Reason</v>
      </c>
      <c r="AS70" s="111" t="str">
        <f>IFERROR(__xludf.DUMMYFUNCTION("""COMPUTED_VALUE"""),"Twisting Nether")</f>
        <v>Twisting Nether</v>
      </c>
      <c r="AT70" s="108">
        <f>IFERROR(__xludf.DUMMYFUNCTION("""COMPUTED_VALUE"""),399.31)</f>
        <v>399.31</v>
      </c>
      <c r="AU70" s="111" t="str">
        <f>IFERROR(__xludf.DUMMYFUNCTION("""COMPUTED_VALUE"""),"19 days ago")</f>
        <v>19 days ago</v>
      </c>
      <c r="AV70" s="115"/>
      <c r="AW70" s="116" t="str">
        <f>IFERROR(__xludf.DUMMYFUNCTION("""COMPUTED_VALUE"""),"Atei")</f>
        <v>Atei</v>
      </c>
      <c r="AX70" s="111" t="str">
        <f>IFERROR(__xludf.DUMMYFUNCTION("""COMPUTED_VALUE"""),"")</f>
        <v/>
      </c>
      <c r="AY70" s="111" t="str">
        <f>IFERROR(__xludf.DUMMYFUNCTION("""COMPUTED_VALUE"""),"Emerald Dream")</f>
        <v>Emerald Dream</v>
      </c>
      <c r="AZ70" s="108">
        <f>IFERROR(__xludf.DUMMYFUNCTION("""COMPUTED_VALUE"""),401.5)</f>
        <v>401.5</v>
      </c>
      <c r="BA70" s="111" t="str">
        <f>IFERROR(__xludf.DUMMYFUNCTION("""COMPUTED_VALUE"""),"21 hour ago")</f>
        <v>21 hour ago</v>
      </c>
      <c r="BB70" s="117"/>
      <c r="BC70" s="116" t="str">
        <f>IFERROR(__xludf.DUMMYFUNCTION("""COMPUTED_VALUE"""),"Zakris")</f>
        <v>Zakris</v>
      </c>
      <c r="BD70" s="111" t="str">
        <f>IFERROR(__xludf.DUMMYFUNCTION("""COMPUTED_VALUE"""),"")</f>
        <v/>
      </c>
      <c r="BE70" s="111" t="str">
        <f>IFERROR(__xludf.DUMMYFUNCTION("""COMPUTED_VALUE"""),"Draenor")</f>
        <v>Draenor</v>
      </c>
      <c r="BF70" s="108">
        <f>IFERROR(__xludf.DUMMYFUNCTION("""COMPUTED_VALUE"""),369.19)</f>
        <v>369.19</v>
      </c>
      <c r="BG70" s="111" t="str">
        <f>IFERROR(__xludf.DUMMYFUNCTION("""COMPUTED_VALUE"""),"13 days ago")</f>
        <v>13 days ago</v>
      </c>
      <c r="BH70" s="118"/>
      <c r="BI70" s="116" t="str">
        <f>IFERROR(__xludf.DUMMYFUNCTION("""COMPUTED_VALUE"""),"Locckey")</f>
        <v>Locckey</v>
      </c>
      <c r="BJ70" s="111" t="str">
        <f>IFERROR(__xludf.DUMMYFUNCTION("""COMPUTED_VALUE"""),"Order of the Moon")</f>
        <v>Order of the Moon</v>
      </c>
      <c r="BK70" s="111" t="str">
        <f>IFERROR(__xludf.DUMMYFUNCTION("""COMPUTED_VALUE"""),"Silvermoon")</f>
        <v>Silvermoon</v>
      </c>
      <c r="BL70" s="111">
        <f>IFERROR(__xludf.DUMMYFUNCTION("""COMPUTED_VALUE"""),393.88)</f>
        <v>393.88</v>
      </c>
      <c r="BM70" s="111" t="str">
        <f>IFERROR(__xludf.DUMMYFUNCTION("""COMPUTED_VALUE"""),"2 days ago")</f>
        <v>2 days ago</v>
      </c>
      <c r="BN70" s="119"/>
      <c r="BO70" s="116" t="str">
        <f>IFERROR(__xludf.DUMMYFUNCTION("""COMPUTED_VALUE"""),"Cawie")</f>
        <v>Cawie</v>
      </c>
      <c r="BP70" s="111" t="str">
        <f>IFERROR(__xludf.DUMMYFUNCTION("""COMPUTED_VALUE"""),"Distopia")</f>
        <v>Distopia</v>
      </c>
      <c r="BQ70" s="111" t="str">
        <f>IFERROR(__xludf.DUMMYFUNCTION("""COMPUTED_VALUE"""),"Kazzak")</f>
        <v>Kazzak</v>
      </c>
      <c r="BR70" s="108">
        <f>IFERROR(__xludf.DUMMYFUNCTION("""COMPUTED_VALUE"""),394.38)</f>
        <v>394.38</v>
      </c>
      <c r="BS70" s="111" t="str">
        <f>IFERROR(__xludf.DUMMYFUNCTION("""COMPUTED_VALUE"""),"28 days ago")</f>
        <v>28 days ago</v>
      </c>
      <c r="BT70" s="120"/>
      <c r="BU70" s="107" t="str">
        <f t="shared" ref="BU70:BY70" si="65">M24</f>
        <v>Zoiny</v>
      </c>
      <c r="BV70" s="107" t="str">
        <f t="shared" si="65"/>
        <v>Resolve</v>
      </c>
      <c r="BW70" s="107" t="str">
        <f t="shared" si="65"/>
        <v>Ravenholdt</v>
      </c>
      <c r="BX70" s="107">
        <f t="shared" si="65"/>
        <v>409.19</v>
      </c>
      <c r="BY70" s="107" t="str">
        <f t="shared" si="65"/>
        <v>9 days ago</v>
      </c>
      <c r="BZ70" s="45"/>
    </row>
    <row r="71">
      <c r="F71" s="94"/>
      <c r="G71" t="str">
        <f>IFERROR(__xludf.DUMMYFUNCTION("""COMPUTED_VALUE"""),"Betsyy")</f>
        <v>Betsyy</v>
      </c>
      <c r="H71" t="str">
        <f>IFERROR(__xludf.DUMMYFUNCTION("""COMPUTED_VALUE"""),"All Desire")</f>
        <v>All Desire</v>
      </c>
      <c r="I71" t="str">
        <f>IFERROR(__xludf.DUMMYFUNCTION("""COMPUTED_VALUE"""),"Chamber of Aspects")</f>
        <v>Chamber of Aspects</v>
      </c>
      <c r="J71">
        <f>IFERROR(__xludf.DUMMYFUNCTION("""COMPUTED_VALUE"""),405.94)</f>
        <v>405.94</v>
      </c>
      <c r="K71" t="str">
        <f>IFERROR(__xludf.DUMMYFUNCTION("""COMPUTED_VALUE"""),"21 hour ago")</f>
        <v>21 hour ago</v>
      </c>
      <c r="L71" s="127"/>
      <c r="M71" t="str">
        <f>IFERROR(__xludf.DUMMYFUNCTION("""COMPUTED_VALUE"""),"Darkmx")</f>
        <v>Darkmx</v>
      </c>
      <c r="N71" t="str">
        <f>IFERROR(__xludf.DUMMYFUNCTION("""COMPUTED_VALUE"""),"Lôgic")</f>
        <v>Lôgic</v>
      </c>
      <c r="O71" t="str">
        <f>IFERROR(__xludf.DUMMYFUNCTION("""COMPUTED_VALUE"""),"Stormscale")</f>
        <v>Stormscale</v>
      </c>
      <c r="P71">
        <f>IFERROR(__xludf.DUMMYFUNCTION("""COMPUTED_VALUE"""),404.31)</f>
        <v>404.31</v>
      </c>
      <c r="Q71" t="str">
        <f>IFERROR(__xludf.DUMMYFUNCTION("""COMPUTED_VALUE"""),"20 days ago")</f>
        <v>20 days ago</v>
      </c>
      <c r="R71" s="96"/>
      <c r="S71" t="str">
        <f>IFERROR(__xludf.DUMMYFUNCTION("""COMPUTED_VALUE"""),"Michela")</f>
        <v>Michela</v>
      </c>
      <c r="T71" t="str">
        <f>IFERROR(__xludf.DUMMYFUNCTION("""COMPUTED_VALUE"""),"")</f>
        <v/>
      </c>
      <c r="U71" t="str">
        <f>IFERROR(__xludf.DUMMYFUNCTION("""COMPUTED_VALUE"""),"Draenor")</f>
        <v>Draenor</v>
      </c>
      <c r="V71">
        <f>IFERROR(__xludf.DUMMYFUNCTION("""COMPUTED_VALUE"""),378.75)</f>
        <v>378.75</v>
      </c>
      <c r="W71" t="str">
        <f>IFERROR(__xludf.DUMMYFUNCTION("""COMPUTED_VALUE"""),"14 days ago")</f>
        <v>14 days ago</v>
      </c>
      <c r="X71" s="97"/>
      <c r="Y71" s="111" t="str">
        <f>IFERROR(__xludf.DUMMYFUNCTION("""COMPUTED_VALUE"""),"Omnimagi")</f>
        <v>Omnimagi</v>
      </c>
      <c r="Z71" s="111" t="str">
        <f>IFERROR(__xludf.DUMMYFUNCTION("""COMPUTED_VALUE"""),"DT Reborn")</f>
        <v>DT Reborn</v>
      </c>
      <c r="AA71" s="111" t="str">
        <f>IFERROR(__xludf.DUMMYFUNCTION("""COMPUTED_VALUE"""),"Twisting Nether")</f>
        <v>Twisting Nether</v>
      </c>
      <c r="AB71" s="111">
        <f>IFERROR(__xludf.DUMMYFUNCTION("""COMPUTED_VALUE"""),395.5)</f>
        <v>395.5</v>
      </c>
      <c r="AC71" s="111" t="str">
        <f>IFERROR(__xludf.DUMMYFUNCTION("""COMPUTED_VALUE"""),"21 day ago")</f>
        <v>21 day ago</v>
      </c>
      <c r="AD71" s="112"/>
      <c r="AE71" s="111" t="str">
        <f>IFERROR(__xludf.DUMMYFUNCTION("""COMPUTED_VALUE"""),"Flobmonk")</f>
        <v>Flobmonk</v>
      </c>
      <c r="AF71" s="111" t="str">
        <f>IFERROR(__xludf.DUMMYFUNCTION("""COMPUTED_VALUE"""),"Resolve")</f>
        <v>Resolve</v>
      </c>
      <c r="AG71" s="111" t="str">
        <f>IFERROR(__xludf.DUMMYFUNCTION("""COMPUTED_VALUE"""),"Defias Brotherhood")</f>
        <v>Defias Brotherhood</v>
      </c>
      <c r="AH71" s="108">
        <f>IFERROR(__xludf.DUMMYFUNCTION("""COMPUTED_VALUE"""),404.06)</f>
        <v>404.06</v>
      </c>
      <c r="AI71" s="111" t="str">
        <f>IFERROR(__xludf.DUMMYFUNCTION("""COMPUTED_VALUE"""),"2 days ago")</f>
        <v>2 days ago</v>
      </c>
      <c r="AJ71" s="113"/>
      <c r="AK71" s="111" t="str">
        <f>IFERROR(__xludf.DUMMYFUNCTION("""COMPUTED_VALUE"""),"Garage")</f>
        <v>Garage</v>
      </c>
      <c r="AL71" s="111" t="str">
        <f>IFERROR(__xludf.DUMMYFUNCTION("""COMPUTED_VALUE"""),"Hotfix")</f>
        <v>Hotfix</v>
      </c>
      <c r="AM71" s="111" t="str">
        <f>IFERROR(__xludf.DUMMYFUNCTION("""COMPUTED_VALUE"""),"Tarren Mill")</f>
        <v>Tarren Mill</v>
      </c>
      <c r="AN71" s="108">
        <f>IFERROR(__xludf.DUMMYFUNCTION("""COMPUTED_VALUE"""),395.81)</f>
        <v>395.81</v>
      </c>
      <c r="AO71" s="111" t="str">
        <f>IFERROR(__xludf.DUMMYFUNCTION("""COMPUTED_VALUE"""),"5 days ago")</f>
        <v>5 days ago</v>
      </c>
      <c r="AP71" s="114"/>
      <c r="AQ71" s="116" t="str">
        <f>IFERROR(__xludf.DUMMYFUNCTION("""COMPUTED_VALUE"""),"Didzil")</f>
        <v>Didzil</v>
      </c>
      <c r="AR71" s="111" t="str">
        <f>IFERROR(__xludf.DUMMYFUNCTION("""COMPUTED_VALUE"""),"Order Of Gods")</f>
        <v>Order Of Gods</v>
      </c>
      <c r="AS71" s="111" t="str">
        <f>IFERROR(__xludf.DUMMYFUNCTION("""COMPUTED_VALUE"""),"Twisting Nether")</f>
        <v>Twisting Nether</v>
      </c>
      <c r="AT71" s="108">
        <f>IFERROR(__xludf.DUMMYFUNCTION("""COMPUTED_VALUE"""),399.31)</f>
        <v>399.31</v>
      </c>
      <c r="AU71" s="111" t="str">
        <f>IFERROR(__xludf.DUMMYFUNCTION("""COMPUTED_VALUE"""),"1 day ago")</f>
        <v>1 day ago</v>
      </c>
      <c r="AV71" s="115"/>
      <c r="AW71" s="116" t="str">
        <f>IFERROR(__xludf.DUMMYFUNCTION("""COMPUTED_VALUE"""),"Nimíc")</f>
        <v>Nimíc</v>
      </c>
      <c r="AX71" s="111" t="str">
        <f>IFERROR(__xludf.DUMMYFUNCTION("""COMPUTED_VALUE"""),"")</f>
        <v/>
      </c>
      <c r="AY71" s="111" t="str">
        <f>IFERROR(__xludf.DUMMYFUNCTION("""COMPUTED_VALUE"""),"Ragnaros")</f>
        <v>Ragnaros</v>
      </c>
      <c r="AZ71" s="108">
        <f>IFERROR(__xludf.DUMMYFUNCTION("""COMPUTED_VALUE"""),400.94)</f>
        <v>400.94</v>
      </c>
      <c r="BA71" s="111" t="str">
        <f>IFERROR(__xludf.DUMMYFUNCTION("""COMPUTED_VALUE"""),"17 days ago")</f>
        <v>17 days ago</v>
      </c>
      <c r="BB71" s="117"/>
      <c r="BC71" s="116" t="str">
        <f>IFERROR(__xludf.DUMMYFUNCTION("""COMPUTED_VALUE"""),"Kardris")</f>
        <v>Kardris</v>
      </c>
      <c r="BD71" s="111" t="str">
        <f>IFERROR(__xludf.DUMMYFUNCTION("""COMPUTED_VALUE"""),"")</f>
        <v/>
      </c>
      <c r="BE71" s="111" t="str">
        <f>IFERROR(__xludf.DUMMYFUNCTION("""COMPUTED_VALUE"""),"Ravenholdt")</f>
        <v>Ravenholdt</v>
      </c>
      <c r="BF71" s="108">
        <f>IFERROR(__xludf.DUMMYFUNCTION("""COMPUTED_VALUE"""),296.25)</f>
        <v>296.25</v>
      </c>
      <c r="BG71" s="111" t="str">
        <f>IFERROR(__xludf.DUMMYFUNCTION("""COMPUTED_VALUE"""),"16 days ago")</f>
        <v>16 days ago</v>
      </c>
      <c r="BH71" s="118"/>
      <c r="BI71" s="116" t="str">
        <f>IFERROR(__xludf.DUMMYFUNCTION("""COMPUTED_VALUE"""),"Jesuisdot")</f>
        <v>Jesuisdot</v>
      </c>
      <c r="BJ71" s="111" t="str">
        <f>IFERROR(__xludf.DUMMYFUNCTION("""COMPUTED_VALUE"""),"The five dungeoneers")</f>
        <v>The five dungeoneers</v>
      </c>
      <c r="BK71" s="111" t="str">
        <f>IFERROR(__xludf.DUMMYFUNCTION("""COMPUTED_VALUE"""),"Kazzak")</f>
        <v>Kazzak</v>
      </c>
      <c r="BL71" s="108">
        <f>IFERROR(__xludf.DUMMYFUNCTION("""COMPUTED_VALUE"""),393.81)</f>
        <v>393.81</v>
      </c>
      <c r="BM71" s="111" t="str">
        <f>IFERROR(__xludf.DUMMYFUNCTION("""COMPUTED_VALUE"""),"27 days ago")</f>
        <v>27 days ago</v>
      </c>
      <c r="BN71" s="119"/>
      <c r="BO71" s="116" t="str">
        <f>IFERROR(__xludf.DUMMYFUNCTION("""COMPUTED_VALUE"""),"Kevinkevlar")</f>
        <v>Kevinkevlar</v>
      </c>
      <c r="BP71" s="111" t="str">
        <f>IFERROR(__xludf.DUMMYFUNCTION("""COMPUTED_VALUE"""),"")</f>
        <v/>
      </c>
      <c r="BQ71" s="111" t="str">
        <f>IFERROR(__xludf.DUMMYFUNCTION("""COMPUTED_VALUE"""),"Darksorrow")</f>
        <v>Darksorrow</v>
      </c>
      <c r="BR71" s="108">
        <f>IFERROR(__xludf.DUMMYFUNCTION("""COMPUTED_VALUE"""),393.75)</f>
        <v>393.75</v>
      </c>
      <c r="BS71" s="111" t="str">
        <f>IFERROR(__xludf.DUMMYFUNCTION("""COMPUTED_VALUE"""),"6 days ago")</f>
        <v>6 days ago</v>
      </c>
      <c r="BT71" s="120"/>
      <c r="BU71" s="107" t="str">
        <f t="shared" ref="BU71:BY71" si="66">M25</f>
        <v>Wushuwushu</v>
      </c>
      <c r="BV71" s="107" t="str">
        <f t="shared" si="66"/>
        <v/>
      </c>
      <c r="BW71" s="107" t="str">
        <f t="shared" si="66"/>
        <v>Argent Dawn</v>
      </c>
      <c r="BX71" s="107">
        <f t="shared" si="66"/>
        <v>409.13</v>
      </c>
      <c r="BY71" s="107" t="str">
        <f t="shared" si="66"/>
        <v>19 days ago</v>
      </c>
    </row>
    <row r="72">
      <c r="F72" s="94"/>
      <c r="G72" t="str">
        <f>IFERROR(__xludf.DUMMYFUNCTION("""COMPUTED_VALUE"""),"Asheilda")</f>
        <v>Asheilda</v>
      </c>
      <c r="H72" t="str">
        <f>IFERROR(__xludf.DUMMYFUNCTION("""COMPUTED_VALUE"""),"")</f>
        <v/>
      </c>
      <c r="I72" t="str">
        <f>IFERROR(__xludf.DUMMYFUNCTION("""COMPUTED_VALUE"""),"Draenor")</f>
        <v>Draenor</v>
      </c>
      <c r="J72">
        <f>IFERROR(__xludf.DUMMYFUNCTION("""COMPUTED_VALUE"""),405.81)</f>
        <v>405.81</v>
      </c>
      <c r="K72" t="str">
        <f>IFERROR(__xludf.DUMMYFUNCTION("""COMPUTED_VALUE"""),"6 days ago")</f>
        <v>6 days ago</v>
      </c>
      <c r="L72" s="127"/>
      <c r="M72" t="str">
        <f>IFERROR(__xludf.DUMMYFUNCTION("""COMPUTED_VALUE"""),"Retaenam")</f>
        <v>Retaenam</v>
      </c>
      <c r="N72" t="str">
        <f>IFERROR(__xludf.DUMMYFUNCTION("""COMPUTED_VALUE"""),"")</f>
        <v/>
      </c>
      <c r="O72" t="str">
        <f>IFERROR(__xludf.DUMMYFUNCTION("""COMPUTED_VALUE"""),"Tarren Mill")</f>
        <v>Tarren Mill</v>
      </c>
      <c r="P72">
        <f>IFERROR(__xludf.DUMMYFUNCTION("""COMPUTED_VALUE"""),404.19)</f>
        <v>404.19</v>
      </c>
      <c r="Q72" t="str">
        <f>IFERROR(__xludf.DUMMYFUNCTION("""COMPUTED_VALUE"""),"16 hours ago")</f>
        <v>16 hours ago</v>
      </c>
      <c r="R72" s="96"/>
      <c r="S72" t="str">
        <f>IFERROR(__xludf.DUMMYFUNCTION("""COMPUTED_VALUE"""),"Naxe")</f>
        <v>Naxe</v>
      </c>
      <c r="T72" t="str">
        <f>IFERROR(__xludf.DUMMYFUNCTION("""COMPUTED_VALUE"""),"")</f>
        <v/>
      </c>
      <c r="U72" t="str">
        <f>IFERROR(__xludf.DUMMYFUNCTION("""COMPUTED_VALUE"""),"Burning Legion")</f>
        <v>Burning Legion</v>
      </c>
      <c r="V72">
        <f>IFERROR(__xludf.DUMMYFUNCTION("""COMPUTED_VALUE"""),378.38)</f>
        <v>378.38</v>
      </c>
      <c r="W72" t="str">
        <f>IFERROR(__xludf.DUMMYFUNCTION("""COMPUTED_VALUE"""),"4 days ago")</f>
        <v>4 days ago</v>
      </c>
      <c r="X72" s="97"/>
      <c r="Y72" s="111" t="str">
        <f>IFERROR(__xludf.DUMMYFUNCTION("""COMPUTED_VALUE"""),"Gilta")</f>
        <v>Gilta</v>
      </c>
      <c r="Z72" s="111" t="str">
        <f>IFERROR(__xludf.DUMMYFUNCTION("""COMPUTED_VALUE"""),"The Brotherhood of..")</f>
        <v>The Brotherhood of..</v>
      </c>
      <c r="AA72" s="111" t="str">
        <f>IFERROR(__xludf.DUMMYFUNCTION("""COMPUTED_VALUE"""),"Bloodscalp")</f>
        <v>Bloodscalp</v>
      </c>
      <c r="AB72" s="111">
        <f>IFERROR(__xludf.DUMMYFUNCTION("""COMPUTED_VALUE"""),395.44)</f>
        <v>395.44</v>
      </c>
      <c r="AC72" s="111" t="str">
        <f>IFERROR(__xludf.DUMMYFUNCTION("""COMPUTED_VALUE"""),"6 days ago")</f>
        <v>6 days ago</v>
      </c>
      <c r="AD72" s="112"/>
      <c r="AE72" s="111" t="str">
        <f>IFERROR(__xludf.DUMMYFUNCTION("""COMPUTED_VALUE"""),"Pandamonkium")</f>
        <v>Pandamonkium</v>
      </c>
      <c r="AF72" s="111" t="str">
        <f>IFERROR(__xludf.DUMMYFUNCTION("""COMPUTED_VALUE"""),"Mayhem")</f>
        <v>Mayhem</v>
      </c>
      <c r="AG72" s="111" t="str">
        <f>IFERROR(__xludf.DUMMYFUNCTION("""COMPUTED_VALUE"""),"Emeriss")</f>
        <v>Emeriss</v>
      </c>
      <c r="AH72" s="108">
        <f>IFERROR(__xludf.DUMMYFUNCTION("""COMPUTED_VALUE"""),403.69)</f>
        <v>403.69</v>
      </c>
      <c r="AI72" s="111" t="str">
        <f>IFERROR(__xludf.DUMMYFUNCTION("""COMPUTED_VALUE"""),"9 days ago")</f>
        <v>9 days ago</v>
      </c>
      <c r="AJ72" s="113"/>
      <c r="AK72" s="111" t="str">
        <f>IFERROR(__xludf.DUMMYFUNCTION("""COMPUTED_VALUE"""),"Envyui")</f>
        <v>Envyui</v>
      </c>
      <c r="AL72" s="111" t="str">
        <f>IFERROR(__xludf.DUMMYFUNCTION("""COMPUTED_VALUE"""),"Nelivia")</f>
        <v>Nelivia</v>
      </c>
      <c r="AM72" s="111" t="str">
        <f>IFERROR(__xludf.DUMMYFUNCTION("""COMPUTED_VALUE"""),"Draenor")</f>
        <v>Draenor</v>
      </c>
      <c r="AN72" s="108">
        <f>IFERROR(__xludf.DUMMYFUNCTION("""COMPUTED_VALUE"""),395.63)</f>
        <v>395.63</v>
      </c>
      <c r="AO72" s="111" t="str">
        <f>IFERROR(__xludf.DUMMYFUNCTION("""COMPUTED_VALUE"""),"25 days ago")</f>
        <v>25 days ago</v>
      </c>
      <c r="AP72" s="114"/>
      <c r="AQ72" s="116" t="str">
        <f>IFERROR(__xludf.DUMMYFUNCTION("""COMPUTED_VALUE"""),"Russprime")</f>
        <v>Russprime</v>
      </c>
      <c r="AR72" s="111" t="str">
        <f>IFERROR(__xludf.DUMMYFUNCTION("""COMPUTED_VALUE"""),"Relax")</f>
        <v>Relax</v>
      </c>
      <c r="AS72" s="111" t="str">
        <f>IFERROR(__xludf.DUMMYFUNCTION("""COMPUTED_VALUE"""),"Tarren Mill")</f>
        <v>Tarren Mill</v>
      </c>
      <c r="AT72" s="108">
        <f>IFERROR(__xludf.DUMMYFUNCTION("""COMPUTED_VALUE"""),399.13)</f>
        <v>399.13</v>
      </c>
      <c r="AU72" s="111" t="str">
        <f>IFERROR(__xludf.DUMMYFUNCTION("""COMPUTED_VALUE"""),"5 days ago")</f>
        <v>5 days ago</v>
      </c>
      <c r="AV72" s="115"/>
      <c r="AW72" s="116" t="str">
        <f>IFERROR(__xludf.DUMMYFUNCTION("""COMPUTED_VALUE"""),"Crazyfast")</f>
        <v>Crazyfast</v>
      </c>
      <c r="AX72" s="111" t="str">
        <f>IFERROR(__xludf.DUMMYFUNCTION("""COMPUTED_VALUE"""),"Bad Luck")</f>
        <v>Bad Luck</v>
      </c>
      <c r="AY72" s="111" t="str">
        <f>IFERROR(__xludf.DUMMYFUNCTION("""COMPUTED_VALUE"""),"Drak'thul")</f>
        <v>Drak'thul</v>
      </c>
      <c r="AZ72" s="108">
        <f>IFERROR(__xludf.DUMMYFUNCTION("""COMPUTED_VALUE"""),400.75)</f>
        <v>400.75</v>
      </c>
      <c r="BA72" s="111" t="str">
        <f>IFERROR(__xludf.DUMMYFUNCTION("""COMPUTED_VALUE"""),"14 days ago")</f>
        <v>14 days ago</v>
      </c>
      <c r="BB72" s="117"/>
      <c r="BC72" s="116" t="str">
        <f>IFERROR(__xludf.DUMMYFUNCTION("""COMPUTED_VALUE"""),"Smiskshammy")</f>
        <v>Smiskshammy</v>
      </c>
      <c r="BD72" s="111" t="str">
        <f>IFERROR(__xludf.DUMMYFUNCTION("""COMPUTED_VALUE"""),"")</f>
        <v/>
      </c>
      <c r="BE72" s="111" t="str">
        <f>IFERROR(__xludf.DUMMYFUNCTION("""COMPUTED_VALUE"""),"Twisting Nether")</f>
        <v>Twisting Nether</v>
      </c>
      <c r="BF72" s="108">
        <f>IFERROR(__xludf.DUMMYFUNCTION("""COMPUTED_VALUE"""),253.94)</f>
        <v>253.94</v>
      </c>
      <c r="BG72" s="111" t="str">
        <f>IFERROR(__xludf.DUMMYFUNCTION("""COMPUTED_VALUE"""),"7 days ago")</f>
        <v>7 days ago</v>
      </c>
      <c r="BH72" s="118"/>
      <c r="BI72" s="116" t="str">
        <f>IFERROR(__xludf.DUMMYFUNCTION("""COMPUTED_VALUE"""),"Músclebrah")</f>
        <v>Músclebrah</v>
      </c>
      <c r="BJ72" s="111" t="str">
        <f>IFERROR(__xludf.DUMMYFUNCTION("""COMPUTED_VALUE"""),"")</f>
        <v/>
      </c>
      <c r="BK72" s="111" t="str">
        <f>IFERROR(__xludf.DUMMYFUNCTION("""COMPUTED_VALUE"""),"Tarren Mill")</f>
        <v>Tarren Mill</v>
      </c>
      <c r="BL72" s="108">
        <f>IFERROR(__xludf.DUMMYFUNCTION("""COMPUTED_VALUE"""),393.25)</f>
        <v>393.25</v>
      </c>
      <c r="BM72" s="111" t="str">
        <f>IFERROR(__xludf.DUMMYFUNCTION("""COMPUTED_VALUE"""),"18 days ago")</f>
        <v>18 days ago</v>
      </c>
      <c r="BN72" s="119"/>
      <c r="BO72" s="116" t="str">
        <f>IFERROR(__xludf.DUMMYFUNCTION("""COMPUTED_VALUE"""),"Eocho")</f>
        <v>Eocho</v>
      </c>
      <c r="BP72" s="111" t="str">
        <f>IFERROR(__xludf.DUMMYFUNCTION("""COMPUTED_VALUE"""),"Turtles")</f>
        <v>Turtles</v>
      </c>
      <c r="BQ72" s="111" t="str">
        <f>IFERROR(__xludf.DUMMYFUNCTION("""COMPUTED_VALUE"""),"Tarren Mill")</f>
        <v>Tarren Mill</v>
      </c>
      <c r="BR72" s="108">
        <f>IFERROR(__xludf.DUMMYFUNCTION("""COMPUTED_VALUE"""),393.13)</f>
        <v>393.13</v>
      </c>
      <c r="BS72" s="111" t="str">
        <f>IFERROR(__xludf.DUMMYFUNCTION("""COMPUTED_VALUE"""),"26 days ago")</f>
        <v>26 days ago</v>
      </c>
      <c r="BT72" s="120"/>
      <c r="BU72" s="107" t="str">
        <f t="shared" ref="BU72:BY72" si="67">M26</f>
        <v>Grizzlos</v>
      </c>
      <c r="BV72" s="107" t="str">
        <f t="shared" si="67"/>
        <v>Break</v>
      </c>
      <c r="BW72" s="107" t="str">
        <f t="shared" si="67"/>
        <v>Burning Legion</v>
      </c>
      <c r="BX72" s="107">
        <f t="shared" si="67"/>
        <v>408.81</v>
      </c>
      <c r="BY72" s="107" t="str">
        <f t="shared" si="67"/>
        <v>10 days ago</v>
      </c>
    </row>
    <row r="73">
      <c r="F73" s="94"/>
      <c r="G73" t="str">
        <f>IFERROR(__xludf.DUMMYFUNCTION("""COMPUTED_VALUE"""),"Lorelex")</f>
        <v>Lorelex</v>
      </c>
      <c r="H73" t="str">
        <f>IFERROR(__xludf.DUMMYFUNCTION("""COMPUTED_VALUE"""),"PogU")</f>
        <v>PogU</v>
      </c>
      <c r="I73" t="str">
        <f>IFERROR(__xludf.DUMMYFUNCTION("""COMPUTED_VALUE"""),"Kazzak")</f>
        <v>Kazzak</v>
      </c>
      <c r="J73">
        <f>IFERROR(__xludf.DUMMYFUNCTION("""COMPUTED_VALUE"""),405.81)</f>
        <v>405.81</v>
      </c>
      <c r="K73" t="str">
        <f>IFERROR(__xludf.DUMMYFUNCTION("""COMPUTED_VALUE"""),"16 days ago")</f>
        <v>16 days ago</v>
      </c>
      <c r="L73" s="127"/>
      <c r="M73" t="str">
        <f>IFERROR(__xludf.DUMMYFUNCTION("""COMPUTED_VALUE"""),"Badutski")</f>
        <v>Badutski</v>
      </c>
      <c r="N73" t="str">
        <f>IFERROR(__xludf.DUMMYFUNCTION("""COMPUTED_VALUE"""),"Fysikbasserne")</f>
        <v>Fysikbasserne</v>
      </c>
      <c r="O73" t="str">
        <f>IFERROR(__xludf.DUMMYFUNCTION("""COMPUTED_VALUE"""),"Outland")</f>
        <v>Outland</v>
      </c>
      <c r="P73">
        <f>IFERROR(__xludf.DUMMYFUNCTION("""COMPUTED_VALUE"""),404.13)</f>
        <v>404.13</v>
      </c>
      <c r="Q73" t="str">
        <f>IFERROR(__xludf.DUMMYFUNCTION("""COMPUTED_VALUE"""),"9 days ago")</f>
        <v>9 days ago</v>
      </c>
      <c r="R73" s="96"/>
      <c r="S73" t="str">
        <f>IFERROR(__xludf.DUMMYFUNCTION("""COMPUTED_VALUE"""),"Durandoe")</f>
        <v>Durandoe</v>
      </c>
      <c r="T73" t="str">
        <f>IFERROR(__xludf.DUMMYFUNCTION("""COMPUTED_VALUE"""),"The Heroic Lunatics")</f>
        <v>The Heroic Lunatics</v>
      </c>
      <c r="U73" t="str">
        <f>IFERROR(__xludf.DUMMYFUNCTION("""COMPUTED_VALUE"""),"Stormrage")</f>
        <v>Stormrage</v>
      </c>
      <c r="V73">
        <f>IFERROR(__xludf.DUMMYFUNCTION("""COMPUTED_VALUE"""),378.13)</f>
        <v>378.13</v>
      </c>
      <c r="W73" t="str">
        <f>IFERROR(__xludf.DUMMYFUNCTION("""COMPUTED_VALUE"""),"29 days ago")</f>
        <v>29 days ago</v>
      </c>
      <c r="X73" s="97"/>
      <c r="Y73" s="111" t="str">
        <f>IFERROR(__xludf.DUMMYFUNCTION("""COMPUTED_VALUE"""),"Riipper")</f>
        <v>Riipper</v>
      </c>
      <c r="Z73" s="111" t="str">
        <f>IFERROR(__xludf.DUMMYFUNCTION("""COMPUTED_VALUE"""),"European Elite")</f>
        <v>European Elite</v>
      </c>
      <c r="AA73" s="111" t="str">
        <f>IFERROR(__xludf.DUMMYFUNCTION("""COMPUTED_VALUE"""),"Terokkar")</f>
        <v>Terokkar</v>
      </c>
      <c r="AB73" s="111">
        <f>IFERROR(__xludf.DUMMYFUNCTION("""COMPUTED_VALUE"""),395.06)</f>
        <v>395.06</v>
      </c>
      <c r="AC73" s="111" t="str">
        <f>IFERROR(__xludf.DUMMYFUNCTION("""COMPUTED_VALUE"""),"14 days ago")</f>
        <v>14 days ago</v>
      </c>
      <c r="AD73" s="112"/>
      <c r="AE73" s="111" t="str">
        <f>IFERROR(__xludf.DUMMYFUNCTION("""COMPUTED_VALUE"""),"Zironk")</f>
        <v>Zironk</v>
      </c>
      <c r="AF73" s="111" t="str">
        <f>IFERROR(__xludf.DUMMYFUNCTION("""COMPUTED_VALUE"""),"")</f>
        <v/>
      </c>
      <c r="AG73" s="111" t="str">
        <f>IFERROR(__xludf.DUMMYFUNCTION("""COMPUTED_VALUE"""),"Kazzak")</f>
        <v>Kazzak</v>
      </c>
      <c r="AH73" s="108">
        <f>IFERROR(__xludf.DUMMYFUNCTION("""COMPUTED_VALUE"""),403.63)</f>
        <v>403.63</v>
      </c>
      <c r="AI73" s="111" t="str">
        <f>IFERROR(__xludf.DUMMYFUNCTION("""COMPUTED_VALUE"""),"24 days ago")</f>
        <v>24 days ago</v>
      </c>
      <c r="AJ73" s="113"/>
      <c r="AK73" s="111" t="str">
        <f>IFERROR(__xludf.DUMMYFUNCTION("""COMPUTED_VALUE"""),"Reformp")</f>
        <v>Reformp</v>
      </c>
      <c r="AL73" s="111" t="str">
        <f>IFERROR(__xludf.DUMMYFUNCTION("""COMPUTED_VALUE"""),"Clique")</f>
        <v>Clique</v>
      </c>
      <c r="AM73" s="111" t="str">
        <f>IFERROR(__xludf.DUMMYFUNCTION("""COMPUTED_VALUE"""),"Draenor")</f>
        <v>Draenor</v>
      </c>
      <c r="AN73" s="108">
        <f>IFERROR(__xludf.DUMMYFUNCTION("""COMPUTED_VALUE"""),395.38)</f>
        <v>395.38</v>
      </c>
      <c r="AO73" s="111" t="str">
        <f>IFERROR(__xludf.DUMMYFUNCTION("""COMPUTED_VALUE"""),"10 days ago")</f>
        <v>10 days ago</v>
      </c>
      <c r="AP73" s="114"/>
      <c r="AQ73" s="116" t="str">
        <f>IFERROR(__xludf.DUMMYFUNCTION("""COMPUTED_VALUE"""),"Goblinagent")</f>
        <v>Goblinagent</v>
      </c>
      <c r="AR73" s="111" t="str">
        <f>IFERROR(__xludf.DUMMYFUNCTION("""COMPUTED_VALUE"""),"Ad Elysium")</f>
        <v>Ad Elysium</v>
      </c>
      <c r="AS73" s="111" t="str">
        <f>IFERROR(__xludf.DUMMYFUNCTION("""COMPUTED_VALUE"""),"Draenor")</f>
        <v>Draenor</v>
      </c>
      <c r="AT73" s="108">
        <f>IFERROR(__xludf.DUMMYFUNCTION("""COMPUTED_VALUE"""),399.13)</f>
        <v>399.13</v>
      </c>
      <c r="AU73" s="111" t="str">
        <f>IFERROR(__xludf.DUMMYFUNCTION("""COMPUTED_VALUE"""),"12 days ago")</f>
        <v>12 days ago</v>
      </c>
      <c r="AV73" s="115"/>
      <c r="AW73" s="116" t="str">
        <f>IFERROR(__xludf.DUMMYFUNCTION("""COMPUTED_VALUE"""),"Yahuei")</f>
        <v>Yahuei</v>
      </c>
      <c r="AX73" s="111" t="str">
        <f>IFERROR(__xludf.DUMMYFUNCTION("""COMPUTED_VALUE"""),"")</f>
        <v/>
      </c>
      <c r="AY73" s="111" t="str">
        <f>IFERROR(__xludf.DUMMYFUNCTION("""COMPUTED_VALUE"""),"Draenor")</f>
        <v>Draenor</v>
      </c>
      <c r="AZ73" s="108">
        <f>IFERROR(__xludf.DUMMYFUNCTION("""COMPUTED_VALUE"""),400.0)</f>
        <v>400</v>
      </c>
      <c r="BA73" s="111" t="str">
        <f>IFERROR(__xludf.DUMMYFUNCTION("""COMPUTED_VALUE"""),"26 days ago")</f>
        <v>26 days ago</v>
      </c>
      <c r="BB73" s="117"/>
      <c r="BC73" s="116" t="str">
        <f>IFERROR(__xludf.DUMMYFUNCTION("""COMPUTED_VALUE"""),"Ashkimuro")</f>
        <v>Ashkimuro</v>
      </c>
      <c r="BD73" s="111" t="str">
        <f>IFERROR(__xludf.DUMMYFUNCTION("""COMPUTED_VALUE"""),"Psycho Clan")</f>
        <v>Psycho Clan</v>
      </c>
      <c r="BE73" s="111" t="str">
        <f>IFERROR(__xludf.DUMMYFUNCTION("""COMPUTED_VALUE"""),"Kazzak")</f>
        <v>Kazzak</v>
      </c>
      <c r="BF73" s="108" t="str">
        <f>IFERROR(__xludf.DUMMYFUNCTION("""COMPUTED_VALUE"""),"")</f>
        <v/>
      </c>
      <c r="BG73" s="111" t="str">
        <f>IFERROR(__xludf.DUMMYFUNCTION("""COMPUTED_VALUE"""),"20 days ago")</f>
        <v>20 days ago</v>
      </c>
      <c r="BH73" s="118"/>
      <c r="BI73" s="116" t="str">
        <f>IFERROR(__xludf.DUMMYFUNCTION("""COMPUTED_VALUE"""),"Agonize")</f>
        <v>Agonize</v>
      </c>
      <c r="BJ73" s="111" t="str">
        <f>IFERROR(__xludf.DUMMYFUNCTION("""COMPUTED_VALUE"""),"Noted")</f>
        <v>Noted</v>
      </c>
      <c r="BK73" s="111" t="str">
        <f>IFERROR(__xludf.DUMMYFUNCTION("""COMPUTED_VALUE"""),"Twisting Nether")</f>
        <v>Twisting Nether</v>
      </c>
      <c r="BL73" s="108">
        <f>IFERROR(__xludf.DUMMYFUNCTION("""COMPUTED_VALUE"""),392.75)</f>
        <v>392.75</v>
      </c>
      <c r="BM73" s="111" t="str">
        <f>IFERROR(__xludf.DUMMYFUNCTION("""COMPUTED_VALUE"""),"6 days ago")</f>
        <v>6 days ago</v>
      </c>
      <c r="BN73" s="119"/>
      <c r="BO73" s="116" t="str">
        <f>IFERROR(__xludf.DUMMYFUNCTION("""COMPUTED_VALUE"""),"Argaron")</f>
        <v>Argaron</v>
      </c>
      <c r="BP73" s="111" t="str">
        <f>IFERROR(__xludf.DUMMYFUNCTION("""COMPUTED_VALUE"""),"")</f>
        <v/>
      </c>
      <c r="BQ73" s="111" t="str">
        <f>IFERROR(__xludf.DUMMYFUNCTION("""COMPUTED_VALUE"""),"Silvermoon")</f>
        <v>Silvermoon</v>
      </c>
      <c r="BR73" s="108">
        <f>IFERROR(__xludf.DUMMYFUNCTION("""COMPUTED_VALUE"""),389.06)</f>
        <v>389.06</v>
      </c>
      <c r="BS73" s="111" t="str">
        <f>IFERROR(__xludf.DUMMYFUNCTION("""COMPUTED_VALUE"""),"26 days ago")</f>
        <v>26 days ago</v>
      </c>
      <c r="BT73" s="120"/>
      <c r="BU73" s="107" t="str">
        <f t="shared" ref="BU73:BY73" si="68">M27</f>
        <v>Trameragon</v>
      </c>
      <c r="BV73" s="107" t="str">
        <f t="shared" si="68"/>
        <v>Perpetua</v>
      </c>
      <c r="BW73" s="107" t="str">
        <f t="shared" si="68"/>
        <v>Draenor</v>
      </c>
      <c r="BX73" s="107">
        <f t="shared" si="68"/>
        <v>408.81</v>
      </c>
      <c r="BY73" s="107" t="str">
        <f t="shared" si="68"/>
        <v>6 days ago</v>
      </c>
    </row>
    <row r="74">
      <c r="F74" s="94"/>
      <c r="G74" t="str">
        <f>IFERROR(__xludf.DUMMYFUNCTION("""COMPUTED_VALUE"""),"Ruxii")</f>
        <v>Ruxii</v>
      </c>
      <c r="H74" t="str">
        <f>IFERROR(__xludf.DUMMYFUNCTION("""COMPUTED_VALUE"""),"")</f>
        <v/>
      </c>
      <c r="I74" t="str">
        <f>IFERROR(__xludf.DUMMYFUNCTION("""COMPUTED_VALUE"""),"Tarren Mill")</f>
        <v>Tarren Mill</v>
      </c>
      <c r="J74">
        <f>IFERROR(__xludf.DUMMYFUNCTION("""COMPUTED_VALUE"""),405.5)</f>
        <v>405.5</v>
      </c>
      <c r="K74" t="str">
        <f>IFERROR(__xludf.DUMMYFUNCTION("""COMPUTED_VALUE"""),"21 day ago")</f>
        <v>21 day ago</v>
      </c>
      <c r="L74" s="127"/>
      <c r="M74" t="str">
        <f>IFERROR(__xludf.DUMMYFUNCTION("""COMPUTED_VALUE"""),"Saiboth")</f>
        <v>Saiboth</v>
      </c>
      <c r="N74" t="str">
        <f>IFERROR(__xludf.DUMMYFUNCTION("""COMPUTED_VALUE"""),"Fysikbasserne")</f>
        <v>Fysikbasserne</v>
      </c>
      <c r="O74" t="str">
        <f>IFERROR(__xludf.DUMMYFUNCTION("""COMPUTED_VALUE"""),"Outland")</f>
        <v>Outland</v>
      </c>
      <c r="P74">
        <f>IFERROR(__xludf.DUMMYFUNCTION("""COMPUTED_VALUE"""),404.0)</f>
        <v>404</v>
      </c>
      <c r="Q74" t="str">
        <f>IFERROR(__xludf.DUMMYFUNCTION("""COMPUTED_VALUE"""),"9 days ago")</f>
        <v>9 days ago</v>
      </c>
      <c r="R74" s="96"/>
      <c r="S74" t="str">
        <f>IFERROR(__xludf.DUMMYFUNCTION("""COMPUTED_VALUE"""),"Jokuváa")</f>
        <v>Jokuváa</v>
      </c>
      <c r="T74" t="str">
        <f>IFERROR(__xludf.DUMMYFUNCTION("""COMPUTED_VALUE"""),"Pohjosen Susilauma")</f>
        <v>Pohjosen Susilauma</v>
      </c>
      <c r="U74" t="str">
        <f>IFERROR(__xludf.DUMMYFUNCTION("""COMPUTED_VALUE"""),"Stormreaver")</f>
        <v>Stormreaver</v>
      </c>
      <c r="V74">
        <f>IFERROR(__xludf.DUMMYFUNCTION("""COMPUTED_VALUE"""),365.06)</f>
        <v>365.06</v>
      </c>
      <c r="W74" t="str">
        <f>IFERROR(__xludf.DUMMYFUNCTION("""COMPUTED_VALUE"""),"14 days ago")</f>
        <v>14 days ago</v>
      </c>
      <c r="X74" s="97"/>
      <c r="Y74" s="111" t="str">
        <f>IFERROR(__xludf.DUMMYFUNCTION("""COMPUTED_VALUE"""),"Zanrea")</f>
        <v>Zanrea</v>
      </c>
      <c r="Z74" s="111" t="str">
        <f>IFERROR(__xludf.DUMMYFUNCTION("""COMPUTED_VALUE"""),"")</f>
        <v/>
      </c>
      <c r="AA74" s="111" t="str">
        <f>IFERROR(__xludf.DUMMYFUNCTION("""COMPUTED_VALUE"""),"Kazzak")</f>
        <v>Kazzak</v>
      </c>
      <c r="AB74" s="111">
        <f>IFERROR(__xludf.DUMMYFUNCTION("""COMPUTED_VALUE"""),393.94)</f>
        <v>393.94</v>
      </c>
      <c r="AC74" s="111" t="str">
        <f>IFERROR(__xludf.DUMMYFUNCTION("""COMPUTED_VALUE"""),"22 days ago")</f>
        <v>22 days ago</v>
      </c>
      <c r="AD74" s="112"/>
      <c r="AE74" s="111" t="str">
        <f>IFERROR(__xludf.DUMMYFUNCTION("""COMPUTED_VALUE"""),"Lewandowskí")</f>
        <v>Lewandowskí</v>
      </c>
      <c r="AF74" s="111" t="str">
        <f>IFERROR(__xludf.DUMMYFUNCTION("""COMPUTED_VALUE"""),"")</f>
        <v/>
      </c>
      <c r="AG74" s="111" t="str">
        <f>IFERROR(__xludf.DUMMYFUNCTION("""COMPUTED_VALUE"""),"Draenor")</f>
        <v>Draenor</v>
      </c>
      <c r="AH74" s="108">
        <f>IFERROR(__xludf.DUMMYFUNCTION("""COMPUTED_VALUE"""),403.56)</f>
        <v>403.56</v>
      </c>
      <c r="AI74" s="111" t="str">
        <f>IFERROR(__xludf.DUMMYFUNCTION("""COMPUTED_VALUE"""),"16 days ago")</f>
        <v>16 days ago</v>
      </c>
      <c r="AJ74" s="113"/>
      <c r="AK74" s="111" t="str">
        <f>IFERROR(__xludf.DUMMYFUNCTION("""COMPUTED_VALUE"""),"Nighswann")</f>
        <v>Nighswann</v>
      </c>
      <c r="AL74" s="111" t="str">
        <f>IFERROR(__xludf.DUMMYFUNCTION("""COMPUTED_VALUE"""),"Last Sanctuary")</f>
        <v>Last Sanctuary</v>
      </c>
      <c r="AM74" s="111" t="str">
        <f>IFERROR(__xludf.DUMMYFUNCTION("""COMPUTED_VALUE"""),"Draenor")</f>
        <v>Draenor</v>
      </c>
      <c r="AN74" s="108">
        <f>IFERROR(__xludf.DUMMYFUNCTION("""COMPUTED_VALUE"""),394.69)</f>
        <v>394.69</v>
      </c>
      <c r="AO74" s="111" t="str">
        <f>IFERROR(__xludf.DUMMYFUNCTION("""COMPUTED_VALUE"""),"20 days ago")</f>
        <v>20 days ago</v>
      </c>
      <c r="AP74" s="114"/>
      <c r="AQ74" s="116" t="str">
        <f>IFERROR(__xludf.DUMMYFUNCTION("""COMPUTED_VALUE"""),"Nezugrál")</f>
        <v>Nezugrál</v>
      </c>
      <c r="AR74" s="111" t="str">
        <f>IFERROR(__xludf.DUMMYFUNCTION("""COMPUTED_VALUE"""),"Flask Up")</f>
        <v>Flask Up</v>
      </c>
      <c r="AS74" s="111" t="str">
        <f>IFERROR(__xludf.DUMMYFUNCTION("""COMPUTED_VALUE"""),"Kazzak")</f>
        <v>Kazzak</v>
      </c>
      <c r="AT74" s="108">
        <f>IFERROR(__xludf.DUMMYFUNCTION("""COMPUTED_VALUE"""),398.94)</f>
        <v>398.94</v>
      </c>
      <c r="AU74" s="111" t="str">
        <f>IFERROR(__xludf.DUMMYFUNCTION("""COMPUTED_VALUE"""),"10 days ago")</f>
        <v>10 days ago</v>
      </c>
      <c r="AV74" s="115"/>
      <c r="AW74" s="116" t="str">
        <f>IFERROR(__xludf.DUMMYFUNCTION("""COMPUTED_VALUE"""),"Xeard")</f>
        <v>Xeard</v>
      </c>
      <c r="AX74" s="111" t="str">
        <f>IFERROR(__xludf.DUMMYFUNCTION("""COMPUTED_VALUE"""),"No Honor")</f>
        <v>No Honor</v>
      </c>
      <c r="AY74" s="111" t="str">
        <f>IFERROR(__xludf.DUMMYFUNCTION("""COMPUTED_VALUE"""),"Burning Legion")</f>
        <v>Burning Legion</v>
      </c>
      <c r="AZ74" s="108">
        <f>IFERROR(__xludf.DUMMYFUNCTION("""COMPUTED_VALUE"""),399.94)</f>
        <v>399.94</v>
      </c>
      <c r="BA74" s="111" t="str">
        <f>IFERROR(__xludf.DUMMYFUNCTION("""COMPUTED_VALUE"""),"10 days ago")</f>
        <v>10 days ago</v>
      </c>
      <c r="BB74" s="117"/>
      <c r="BC74" s="116" t="str">
        <f>IFERROR(__xludf.DUMMYFUNCTION("""COMPUTED_VALUE"""),"Partalis")</f>
        <v>Partalis</v>
      </c>
      <c r="BD74" s="111" t="str">
        <f>IFERROR(__xludf.DUMMYFUNCTION("""COMPUTED_VALUE"""),"")</f>
        <v/>
      </c>
      <c r="BE74" s="111" t="str">
        <f>IFERROR(__xludf.DUMMYFUNCTION("""COMPUTED_VALUE"""),"Twilight's Hammer")</f>
        <v>Twilight's Hammer</v>
      </c>
      <c r="BF74" s="108" t="str">
        <f>IFERROR(__xludf.DUMMYFUNCTION("""COMPUTED_VALUE"""),"")</f>
        <v/>
      </c>
      <c r="BG74" s="111" t="str">
        <f>IFERROR(__xludf.DUMMYFUNCTION("""COMPUTED_VALUE"""),"3 days ago")</f>
        <v>3 days ago</v>
      </c>
      <c r="BH74" s="118"/>
      <c r="BI74" s="116" t="str">
        <f>IFERROR(__xludf.DUMMYFUNCTION("""COMPUTED_VALUE"""),"Aerria")</f>
        <v>Aerria</v>
      </c>
      <c r="BJ74" s="111" t="str">
        <f>IFERROR(__xludf.DUMMYFUNCTION("""COMPUTED_VALUE"""),"Made for More")</f>
        <v>Made for More</v>
      </c>
      <c r="BK74" s="111" t="str">
        <f>IFERROR(__xludf.DUMMYFUNCTION("""COMPUTED_VALUE"""),"Kazzak")</f>
        <v>Kazzak</v>
      </c>
      <c r="BL74" s="108">
        <f>IFERROR(__xludf.DUMMYFUNCTION("""COMPUTED_VALUE"""),391.5)</f>
        <v>391.5</v>
      </c>
      <c r="BM74" s="111" t="str">
        <f>IFERROR(__xludf.DUMMYFUNCTION("""COMPUTED_VALUE"""),"23 days ago")</f>
        <v>23 days ago</v>
      </c>
      <c r="BN74" s="119"/>
      <c r="BO74" s="116" t="str">
        <f>IFERROR(__xludf.DUMMYFUNCTION("""COMPUTED_VALUE"""),"Itsnotcoming")</f>
        <v>Itsnotcoming</v>
      </c>
      <c r="BP74" s="111" t="str">
        <f>IFERROR(__xludf.DUMMYFUNCTION("""COMPUTED_VALUE"""),"")</f>
        <v/>
      </c>
      <c r="BQ74" s="111" t="str">
        <f>IFERROR(__xludf.DUMMYFUNCTION("""COMPUTED_VALUE"""),"Tarren Mill")</f>
        <v>Tarren Mill</v>
      </c>
      <c r="BR74" s="108">
        <f>IFERROR(__xludf.DUMMYFUNCTION("""COMPUTED_VALUE"""),387.88)</f>
        <v>387.88</v>
      </c>
      <c r="BS74" s="111" t="str">
        <f>IFERROR(__xludf.DUMMYFUNCTION("""COMPUTED_VALUE"""),"26 days ago")</f>
        <v>26 days ago</v>
      </c>
      <c r="BT74" s="120"/>
      <c r="BU74" s="107" t="str">
        <f t="shared" ref="BU74:BY74" si="69">M28</f>
        <v>Zovdruid</v>
      </c>
      <c r="BV74" s="107" t="str">
        <f t="shared" si="69"/>
        <v/>
      </c>
      <c r="BW74" s="107" t="str">
        <f t="shared" si="69"/>
        <v>Draenor</v>
      </c>
      <c r="BX74" s="107">
        <f t="shared" si="69"/>
        <v>408.5</v>
      </c>
      <c r="BY74" s="107" t="str">
        <f t="shared" si="69"/>
        <v>2 days ago</v>
      </c>
    </row>
    <row r="75">
      <c r="BU75" t="str">
        <f t="shared" ref="BU75:BY75" si="70">S6</f>
        <v>Butterinho</v>
      </c>
      <c r="BV75" t="str">
        <f t="shared" si="70"/>
        <v>Vengeance Incarnate</v>
      </c>
      <c r="BW75" t="str">
        <f t="shared" si="70"/>
        <v>Burning Legion</v>
      </c>
      <c r="BX75">
        <f t="shared" si="70"/>
        <v>413.31</v>
      </c>
      <c r="BY75" t="str">
        <f t="shared" si="70"/>
        <v>2 days ago</v>
      </c>
    </row>
    <row r="76">
      <c r="BU76" t="str">
        <f t="shared" ref="BU76:BY76" si="71">S7</f>
        <v>Mazaw</v>
      </c>
      <c r="BV76" t="str">
        <f t="shared" si="71"/>
        <v>The Knife</v>
      </c>
      <c r="BW76" t="str">
        <f t="shared" si="71"/>
        <v>Burning Legion</v>
      </c>
      <c r="BX76">
        <f t="shared" si="71"/>
        <v>412.94</v>
      </c>
      <c r="BY76" t="str">
        <f t="shared" si="71"/>
        <v>3 days ago</v>
      </c>
    </row>
    <row r="77">
      <c r="BU77" t="str">
        <f t="shared" ref="BU77:BY77" si="72">S8</f>
        <v>Kite</v>
      </c>
      <c r="BV77" t="str">
        <f t="shared" si="72"/>
        <v>Innominatum</v>
      </c>
      <c r="BW77" t="str">
        <f t="shared" si="72"/>
        <v>Twisting Nether</v>
      </c>
      <c r="BX77">
        <f t="shared" si="72"/>
        <v>411.19</v>
      </c>
      <c r="BY77" t="str">
        <f t="shared" si="72"/>
        <v>14 days ago</v>
      </c>
    </row>
    <row r="78">
      <c r="BU78" t="str">
        <f t="shared" ref="BU78:BY78" si="73">S9</f>
        <v>Dingxi</v>
      </c>
      <c r="BV78" t="str">
        <f t="shared" si="73"/>
        <v/>
      </c>
      <c r="BW78" t="str">
        <f t="shared" si="73"/>
        <v>Ravencrest</v>
      </c>
      <c r="BX78">
        <f t="shared" si="73"/>
        <v>411.13</v>
      </c>
      <c r="BY78" t="str">
        <f t="shared" si="73"/>
        <v>1 day ago</v>
      </c>
    </row>
    <row r="79">
      <c r="BU79" t="str">
        <f t="shared" ref="BU79:BY79" si="74">S10</f>
        <v>Üprising</v>
      </c>
      <c r="BV79" t="str">
        <f t="shared" si="74"/>
        <v>Once Again</v>
      </c>
      <c r="BW79" t="str">
        <f t="shared" si="74"/>
        <v>Kazzak</v>
      </c>
      <c r="BX79">
        <f t="shared" si="74"/>
        <v>410.5</v>
      </c>
      <c r="BY79" t="str">
        <f t="shared" si="74"/>
        <v>24 days ago</v>
      </c>
    </row>
    <row r="80">
      <c r="BU80" t="str">
        <f t="shared" ref="BU80:BY80" si="75">S11</f>
        <v>Mcpuffin</v>
      </c>
      <c r="BV80" t="str">
        <f t="shared" si="75"/>
        <v>Martyrdom</v>
      </c>
      <c r="BW80" t="str">
        <f t="shared" si="75"/>
        <v>Tarren Mill</v>
      </c>
      <c r="BX80">
        <f t="shared" si="75"/>
        <v>410.44</v>
      </c>
      <c r="BY80" t="str">
        <f t="shared" si="75"/>
        <v>6 days ago</v>
      </c>
    </row>
    <row r="81">
      <c r="BU81" t="str">
        <f t="shared" ref="BU81:BY81" si="76">S12</f>
        <v>Paskk</v>
      </c>
      <c r="BV81" t="str">
        <f t="shared" si="76"/>
        <v>Acoustic</v>
      </c>
      <c r="BW81" t="str">
        <f t="shared" si="76"/>
        <v>Twisting Nether</v>
      </c>
      <c r="BX81">
        <f t="shared" si="76"/>
        <v>410.13</v>
      </c>
      <c r="BY81" t="str">
        <f t="shared" si="76"/>
        <v>1 day ago</v>
      </c>
    </row>
    <row r="82">
      <c r="BU82" t="str">
        <f t="shared" ref="BU82:BY82" si="77">S13</f>
        <v>Faxxen</v>
      </c>
      <c r="BV82" t="str">
        <f t="shared" si="77"/>
        <v>Made for More</v>
      </c>
      <c r="BW82" t="str">
        <f t="shared" si="77"/>
        <v>Kazzak</v>
      </c>
      <c r="BX82">
        <f t="shared" si="77"/>
        <v>410.06</v>
      </c>
      <c r="BY82" t="str">
        <f t="shared" si="77"/>
        <v>12 days ago</v>
      </c>
    </row>
    <row r="83">
      <c r="BU83" t="str">
        <f t="shared" ref="BU83:BY83" si="78">S14</f>
        <v>Stormbreaks</v>
      </c>
      <c r="BV83" t="str">
        <f t="shared" si="78"/>
        <v>Pulse</v>
      </c>
      <c r="BW83" t="str">
        <f t="shared" si="78"/>
        <v>Silvermoon</v>
      </c>
      <c r="BX83">
        <f t="shared" si="78"/>
        <v>409.75</v>
      </c>
      <c r="BY83" t="str">
        <f t="shared" si="78"/>
        <v>2 days ago</v>
      </c>
    </row>
    <row r="84">
      <c r="BU84" t="str">
        <f t="shared" ref="BU84:BY84" si="79">S15</f>
        <v>Klapigolas</v>
      </c>
      <c r="BV84" t="str">
        <f t="shared" si="79"/>
        <v>Clique</v>
      </c>
      <c r="BW84" t="str">
        <f t="shared" si="79"/>
        <v>Draenor</v>
      </c>
      <c r="BX84">
        <f t="shared" si="79"/>
        <v>409.25</v>
      </c>
      <c r="BY84" t="str">
        <f t="shared" si="79"/>
        <v>17 days ago</v>
      </c>
    </row>
    <row r="85">
      <c r="BU85" t="str">
        <f t="shared" ref="BU85:BY85" si="80">S16</f>
        <v>Melatos</v>
      </c>
      <c r="BV85" t="str">
        <f t="shared" si="80"/>
        <v>Artificial Incompe..</v>
      </c>
      <c r="BW85" t="str">
        <f t="shared" si="80"/>
        <v>Twisting Nether</v>
      </c>
      <c r="BX85">
        <f t="shared" si="80"/>
        <v>409.25</v>
      </c>
      <c r="BY85" t="str">
        <f t="shared" si="80"/>
        <v>24 days ago</v>
      </c>
    </row>
    <row r="86">
      <c r="BU86" t="str">
        <f t="shared" ref="BU86:BY86" si="81">S17</f>
        <v>Huntoper</v>
      </c>
      <c r="BV86" t="str">
        <f t="shared" si="81"/>
        <v/>
      </c>
      <c r="BW86" t="str">
        <f t="shared" si="81"/>
        <v>Defias Brotherhood</v>
      </c>
      <c r="BX86">
        <f t="shared" si="81"/>
        <v>409.19</v>
      </c>
      <c r="BY86" t="str">
        <f t="shared" si="81"/>
        <v>17 hours ago</v>
      </c>
    </row>
    <row r="87">
      <c r="BU87" t="str">
        <f t="shared" ref="BU87:BY87" si="82">S18</f>
        <v>Ionora</v>
      </c>
      <c r="BV87" t="str">
        <f t="shared" si="82"/>
        <v>Flex Army</v>
      </c>
      <c r="BW87" t="str">
        <f t="shared" si="82"/>
        <v>Silvermoon</v>
      </c>
      <c r="BX87">
        <f t="shared" si="82"/>
        <v>409.13</v>
      </c>
      <c r="BY87" t="str">
        <f t="shared" si="82"/>
        <v>20 days ago</v>
      </c>
    </row>
    <row r="88">
      <c r="BU88" t="str">
        <f t="shared" ref="BU88:BY88" si="83">S19</f>
        <v>Hêlios</v>
      </c>
      <c r="BV88" t="str">
        <f t="shared" si="83"/>
        <v/>
      </c>
      <c r="BW88" t="str">
        <f t="shared" si="83"/>
        <v>Stormreaver</v>
      </c>
      <c r="BX88">
        <f t="shared" si="83"/>
        <v>409.06</v>
      </c>
      <c r="BY88" t="str">
        <f t="shared" si="83"/>
        <v>7 days ago</v>
      </c>
    </row>
    <row r="89">
      <c r="BU89" t="str">
        <f t="shared" ref="BU89:BY89" si="84">S20</f>
        <v>Hutsé</v>
      </c>
      <c r="BV89" t="str">
        <f t="shared" si="84"/>
        <v>PogU</v>
      </c>
      <c r="BW89" t="str">
        <f t="shared" si="84"/>
        <v>Kazzak</v>
      </c>
      <c r="BX89">
        <f t="shared" si="84"/>
        <v>408.94</v>
      </c>
      <c r="BY89" t="str">
        <f t="shared" si="84"/>
        <v>12 days ago</v>
      </c>
    </row>
    <row r="90">
      <c r="BU90" t="str">
        <f t="shared" ref="BU90:BY90" si="85">S21</f>
        <v>Nakedhousee</v>
      </c>
      <c r="BV90" t="str">
        <f t="shared" si="85"/>
        <v>Flawless</v>
      </c>
      <c r="BW90" t="str">
        <f t="shared" si="85"/>
        <v>Ravencrest</v>
      </c>
      <c r="BX90">
        <f t="shared" si="85"/>
        <v>408.63</v>
      </c>
      <c r="BY90" t="str">
        <f t="shared" si="85"/>
        <v>13 days ago</v>
      </c>
    </row>
    <row r="91">
      <c r="BU91" t="str">
        <f t="shared" ref="BU91:BY91" si="86">S22</f>
        <v>Huaman</v>
      </c>
      <c r="BV91" t="str">
        <f t="shared" si="86"/>
        <v>Family Dinner</v>
      </c>
      <c r="BW91" t="str">
        <f t="shared" si="86"/>
        <v>Twisting Nether</v>
      </c>
      <c r="BX91">
        <f t="shared" si="86"/>
        <v>408.31</v>
      </c>
      <c r="BY91" t="str">
        <f t="shared" si="86"/>
        <v>15 days ago</v>
      </c>
    </row>
    <row r="92">
      <c r="BU92" t="str">
        <f t="shared" ref="BU92:BY92" si="87">S23</f>
        <v>Kakmil</v>
      </c>
      <c r="BV92" t="str">
        <f t="shared" si="87"/>
        <v>Safety Dance</v>
      </c>
      <c r="BW92" t="str">
        <f t="shared" si="87"/>
        <v>Burning Legion</v>
      </c>
      <c r="BX92">
        <f t="shared" si="87"/>
        <v>407.94</v>
      </c>
      <c r="BY92" t="str">
        <f t="shared" si="87"/>
        <v>1 day ago</v>
      </c>
    </row>
    <row r="93">
      <c r="BU93" t="str">
        <f t="shared" ref="BU93:BY93" si="88">S24</f>
        <v>Venomax</v>
      </c>
      <c r="BV93" t="str">
        <f t="shared" si="88"/>
        <v/>
      </c>
      <c r="BW93" t="str">
        <f t="shared" si="88"/>
        <v>Tarren Mill</v>
      </c>
      <c r="BX93">
        <f t="shared" si="88"/>
        <v>407.56</v>
      </c>
      <c r="BY93" t="str">
        <f t="shared" si="88"/>
        <v>1 day ago</v>
      </c>
    </row>
    <row r="94">
      <c r="BU94" t="str">
        <f t="shared" ref="BU94:BY94" si="89">S25</f>
        <v>Yeapuwin</v>
      </c>
      <c r="BV94" t="str">
        <f t="shared" si="89"/>
        <v>Ordo Hereticus</v>
      </c>
      <c r="BW94" t="str">
        <f t="shared" si="89"/>
        <v>Quel'Thalas</v>
      </c>
      <c r="BX94">
        <f t="shared" si="89"/>
        <v>407.5</v>
      </c>
      <c r="BY94" t="str">
        <f t="shared" si="89"/>
        <v>28 days ago</v>
      </c>
    </row>
    <row r="95">
      <c r="BU95" t="str">
        <f t="shared" ref="BU95:BY95" si="90">S26</f>
        <v>Renehuntz</v>
      </c>
      <c r="BV95" t="str">
        <f t="shared" si="90"/>
        <v>BIG CITY LIFE</v>
      </c>
      <c r="BW95" t="str">
        <f t="shared" si="90"/>
        <v>Terokkar</v>
      </c>
      <c r="BX95">
        <f t="shared" si="90"/>
        <v>407.44</v>
      </c>
      <c r="BY95" t="str">
        <f t="shared" si="90"/>
        <v>4 days ago</v>
      </c>
    </row>
    <row r="96">
      <c r="BU96" t="str">
        <f t="shared" ref="BU96:BY96" si="91">S27</f>
        <v>Deffcom</v>
      </c>
      <c r="BV96" t="str">
        <f t="shared" si="91"/>
        <v/>
      </c>
      <c r="BW96" t="str">
        <f t="shared" si="91"/>
        <v>Talnivarr</v>
      </c>
      <c r="BX96">
        <f t="shared" si="91"/>
        <v>407.31</v>
      </c>
      <c r="BY96" t="str">
        <f t="shared" si="91"/>
        <v>5 days ago</v>
      </c>
    </row>
    <row r="97">
      <c r="BU97" t="str">
        <f t="shared" ref="BU97:BY97" si="92">S28</f>
        <v>Hydratalon</v>
      </c>
      <c r="BV97" t="str">
        <f t="shared" si="92"/>
        <v>Nihilism</v>
      </c>
      <c r="BW97" t="str">
        <f t="shared" si="92"/>
        <v>Draenor</v>
      </c>
      <c r="BX97">
        <f t="shared" si="92"/>
        <v>407.31</v>
      </c>
      <c r="BY97" t="str">
        <f t="shared" si="92"/>
        <v>1 day ago</v>
      </c>
    </row>
    <row r="98">
      <c r="BU98" t="str">
        <f t="shared" ref="BU98:BY98" si="93">Y6</f>
        <v>Cual</v>
      </c>
      <c r="BV98" t="str">
        <f t="shared" si="93"/>
        <v/>
      </c>
      <c r="BW98" t="str">
        <f t="shared" si="93"/>
        <v>Twisting Nether</v>
      </c>
      <c r="BX98">
        <f t="shared" si="93"/>
        <v>414.63</v>
      </c>
      <c r="BY98" t="str">
        <f t="shared" si="93"/>
        <v>1 day ago</v>
      </c>
    </row>
    <row r="99">
      <c r="BU99" t="str">
        <f t="shared" ref="BU99:BY99" si="94">Y7</f>
        <v>Strowman</v>
      </c>
      <c r="BV99" t="str">
        <f t="shared" si="94"/>
        <v>Just Kill the Boss</v>
      </c>
      <c r="BW99" t="str">
        <f t="shared" si="94"/>
        <v>Kazzak</v>
      </c>
      <c r="BX99">
        <f t="shared" si="94"/>
        <v>414.19</v>
      </c>
      <c r="BY99" t="str">
        <f t="shared" si="94"/>
        <v>1 day ago</v>
      </c>
    </row>
    <row r="100">
      <c r="BU100" t="str">
        <f t="shared" ref="BU100:BY100" si="95">Y8</f>
        <v>Dragdoma</v>
      </c>
      <c r="BV100" t="str">
        <f t="shared" si="95"/>
        <v/>
      </c>
      <c r="BW100" t="str">
        <f t="shared" si="95"/>
        <v>Terokkar</v>
      </c>
      <c r="BX100">
        <f t="shared" si="95"/>
        <v>414.06</v>
      </c>
      <c r="BY100" t="str">
        <f t="shared" si="95"/>
        <v>1 day ago</v>
      </c>
    </row>
    <row r="101">
      <c r="BU101" t="str">
        <f t="shared" ref="BU101:BY101" si="96">Y9</f>
        <v>Marchqt</v>
      </c>
      <c r="BV101" t="str">
        <f t="shared" si="96"/>
        <v>The Harvest</v>
      </c>
      <c r="BW101" t="str">
        <f t="shared" si="96"/>
        <v>Twisting Nether</v>
      </c>
      <c r="BX101">
        <f t="shared" si="96"/>
        <v>413.69</v>
      </c>
      <c r="BY101" t="str">
        <f t="shared" si="96"/>
        <v>3 days ago</v>
      </c>
    </row>
    <row r="102">
      <c r="BU102" t="str">
        <f t="shared" ref="BU102:BY102" si="97">Y10</f>
        <v>Nhyxe</v>
      </c>
      <c r="BV102" t="str">
        <f t="shared" si="97"/>
        <v>Ineffable</v>
      </c>
      <c r="BW102" t="str">
        <f t="shared" si="97"/>
        <v>Tarren Mill</v>
      </c>
      <c r="BX102">
        <f t="shared" si="97"/>
        <v>412.06</v>
      </c>
      <c r="BY102" t="str">
        <f t="shared" si="97"/>
        <v>19 hours ago</v>
      </c>
    </row>
    <row r="103">
      <c r="BU103" t="str">
        <f t="shared" ref="BU103:BY103" si="98">Y11</f>
        <v>Ezcon</v>
      </c>
      <c r="BV103" t="str">
        <f t="shared" si="98"/>
        <v>Tilting at Windmills</v>
      </c>
      <c r="BW103" t="str">
        <f t="shared" si="98"/>
        <v>Ravencrest</v>
      </c>
      <c r="BX103">
        <f t="shared" si="98"/>
        <v>411.94</v>
      </c>
      <c r="BY103" t="str">
        <f t="shared" si="98"/>
        <v>7 days ago</v>
      </c>
    </row>
    <row r="104">
      <c r="BU104" t="str">
        <f t="shared" ref="BU104:BY104" si="99">Y12</f>
        <v>Cfenny</v>
      </c>
      <c r="BV104" t="str">
        <f t="shared" si="99"/>
        <v>Vengeance Incarnate</v>
      </c>
      <c r="BW104" t="str">
        <f t="shared" si="99"/>
        <v>Burning Legion</v>
      </c>
      <c r="BX104">
        <f t="shared" si="99"/>
        <v>411.44</v>
      </c>
      <c r="BY104" t="str">
        <f t="shared" si="99"/>
        <v>4 days ago</v>
      </c>
    </row>
    <row r="105">
      <c r="BU105" t="str">
        <f t="shared" ref="BU105:BY105" si="100">Y13</f>
        <v>Brelshar</v>
      </c>
      <c r="BV105" t="str">
        <f t="shared" si="100"/>
        <v/>
      </c>
      <c r="BW105" t="str">
        <f t="shared" si="100"/>
        <v>Twisting Nether</v>
      </c>
      <c r="BX105">
        <f t="shared" si="100"/>
        <v>411.38</v>
      </c>
      <c r="BY105" t="str">
        <f t="shared" si="100"/>
        <v>3 days ago</v>
      </c>
    </row>
    <row r="106">
      <c r="BU106" t="str">
        <f t="shared" ref="BU106:BY106" si="101">Y14</f>
        <v>Teapea</v>
      </c>
      <c r="BV106" t="str">
        <f t="shared" si="101"/>
        <v>IS PRO</v>
      </c>
      <c r="BW106" t="str">
        <f t="shared" si="101"/>
        <v>Sylvanas</v>
      </c>
      <c r="BX106">
        <f t="shared" si="101"/>
        <v>411.06</v>
      </c>
      <c r="BY106" t="str">
        <f t="shared" si="101"/>
        <v>13 hours ago</v>
      </c>
    </row>
    <row r="107">
      <c r="BU107" t="str">
        <f t="shared" ref="BU107:BY107" si="102">Y15</f>
        <v>Papoolee</v>
      </c>
      <c r="BV107" t="str">
        <f t="shared" si="102"/>
        <v/>
      </c>
      <c r="BW107" t="str">
        <f t="shared" si="102"/>
        <v>Kazzak</v>
      </c>
      <c r="BX107">
        <f t="shared" si="102"/>
        <v>410.88</v>
      </c>
      <c r="BY107" t="str">
        <f t="shared" si="102"/>
        <v>7 days ago</v>
      </c>
    </row>
    <row r="108">
      <c r="BU108" t="str">
        <f t="shared" ref="BU108:BY108" si="103">Y16</f>
        <v>Castalina</v>
      </c>
      <c r="BV108" t="str">
        <f t="shared" si="103"/>
        <v>Taco</v>
      </c>
      <c r="BW108" t="str">
        <f t="shared" si="103"/>
        <v>Tarren Mill</v>
      </c>
      <c r="BX108">
        <f t="shared" si="103"/>
        <v>410.75</v>
      </c>
      <c r="BY108" t="str">
        <f t="shared" si="103"/>
        <v>15 hours ago</v>
      </c>
    </row>
    <row r="109">
      <c r="BU109" t="str">
        <f t="shared" ref="BU109:BY109" si="104">Y17</f>
        <v>Swistaké</v>
      </c>
      <c r="BV109" t="str">
        <f t="shared" si="104"/>
        <v>Vengeance Incarnate</v>
      </c>
      <c r="BW109" t="str">
        <f t="shared" si="104"/>
        <v>Burning Legion</v>
      </c>
      <c r="BX109">
        <f t="shared" si="104"/>
        <v>410.31</v>
      </c>
      <c r="BY109" t="str">
        <f t="shared" si="104"/>
        <v>3 days ago</v>
      </c>
    </row>
    <row r="110">
      <c r="BU110" t="str">
        <f t="shared" ref="BU110:BY110" si="105">Y18</f>
        <v>Marcarrian</v>
      </c>
      <c r="BV110" t="str">
        <f t="shared" si="105"/>
        <v>Kinetic</v>
      </c>
      <c r="BW110" t="str">
        <f t="shared" si="105"/>
        <v>Tarren Mill</v>
      </c>
      <c r="BX110">
        <f t="shared" si="105"/>
        <v>410.31</v>
      </c>
      <c r="BY110" t="str">
        <f t="shared" si="105"/>
        <v>1 day ago</v>
      </c>
    </row>
    <row r="111">
      <c r="BU111" t="str">
        <f t="shared" ref="BU111:BY111" si="106">Y19</f>
        <v>Sób</v>
      </c>
      <c r="BV111" t="str">
        <f t="shared" si="106"/>
        <v>Black Division</v>
      </c>
      <c r="BW111" t="str">
        <f t="shared" si="106"/>
        <v>Drak'thul</v>
      </c>
      <c r="BX111">
        <f t="shared" si="106"/>
        <v>410.06</v>
      </c>
      <c r="BY111" t="str">
        <f t="shared" si="106"/>
        <v>26 days ago</v>
      </c>
    </row>
    <row r="112">
      <c r="BU112" t="str">
        <f t="shared" ref="BU112:BY112" si="107">Y20</f>
        <v>Huggelele</v>
      </c>
      <c r="BV112" t="str">
        <f t="shared" si="107"/>
        <v/>
      </c>
      <c r="BW112" t="str">
        <f t="shared" si="107"/>
        <v>Tarren Mill</v>
      </c>
      <c r="BX112">
        <f t="shared" si="107"/>
        <v>410.06</v>
      </c>
      <c r="BY112" t="str">
        <f t="shared" si="107"/>
        <v>12 hours ago</v>
      </c>
    </row>
    <row r="113">
      <c r="BU113" t="str">
        <f t="shared" ref="BU113:BY113" si="108">Y21</f>
        <v>Rezista</v>
      </c>
      <c r="BV113" t="str">
        <f t="shared" si="108"/>
        <v>Tilting at Windmills</v>
      </c>
      <c r="BW113" t="str">
        <f t="shared" si="108"/>
        <v>Ravencrest</v>
      </c>
      <c r="BX113">
        <f t="shared" si="108"/>
        <v>409.69</v>
      </c>
      <c r="BY113" t="str">
        <f t="shared" si="108"/>
        <v>7 days ago</v>
      </c>
    </row>
    <row r="114">
      <c r="BU114" t="str">
        <f t="shared" ref="BU114:BY114" si="109">Y22</f>
        <v>Malpiyt</v>
      </c>
      <c r="BV114" t="str">
        <f t="shared" si="109"/>
        <v>Team Epic</v>
      </c>
      <c r="BW114" t="str">
        <f t="shared" si="109"/>
        <v>Moonglade</v>
      </c>
      <c r="BX114">
        <f t="shared" si="109"/>
        <v>409.38</v>
      </c>
      <c r="BY114" t="str">
        <f t="shared" si="109"/>
        <v>3 days ago</v>
      </c>
    </row>
    <row r="115">
      <c r="BU115" t="str">
        <f t="shared" ref="BU115:BY115" si="110">Y23</f>
        <v>Klápek</v>
      </c>
      <c r="BV115" t="str">
        <f t="shared" si="110"/>
        <v>Anima Ignis</v>
      </c>
      <c r="BW115" t="str">
        <f t="shared" si="110"/>
        <v>Burning Legion</v>
      </c>
      <c r="BX115">
        <f t="shared" si="110"/>
        <v>408.94</v>
      </c>
      <c r="BY115" t="str">
        <f t="shared" si="110"/>
        <v>17 days ago</v>
      </c>
    </row>
    <row r="116">
      <c r="BU116" t="str">
        <f t="shared" ref="BU116:BY116" si="111">Y24</f>
        <v>Birthdays</v>
      </c>
      <c r="BV116" t="str">
        <f t="shared" si="111"/>
        <v/>
      </c>
      <c r="BW116" t="str">
        <f t="shared" si="111"/>
        <v>Tarren Mill</v>
      </c>
      <c r="BX116">
        <f t="shared" si="111"/>
        <v>408.94</v>
      </c>
      <c r="BY116" t="str">
        <f t="shared" si="111"/>
        <v>2 days ago</v>
      </c>
    </row>
    <row r="117">
      <c r="BU117" t="str">
        <f t="shared" ref="BU117:BY117" si="112">Y25</f>
        <v>Icybites</v>
      </c>
      <c r="BV117" t="str">
        <f t="shared" si="112"/>
        <v/>
      </c>
      <c r="BW117" t="str">
        <f t="shared" si="112"/>
        <v>Twisting Nether</v>
      </c>
      <c r="BX117">
        <f t="shared" si="112"/>
        <v>408.75</v>
      </c>
      <c r="BY117" t="str">
        <f t="shared" si="112"/>
        <v>11 days ago</v>
      </c>
    </row>
    <row r="118">
      <c r="BU118" t="str">
        <f t="shared" ref="BU118:BY118" si="113">Y26</f>
        <v>Mitiz</v>
      </c>
      <c r="BV118" t="str">
        <f t="shared" si="113"/>
        <v>Road Warriors</v>
      </c>
      <c r="BW118" t="str">
        <f t="shared" si="113"/>
        <v>Twisting Nether</v>
      </c>
      <c r="BX118">
        <f t="shared" si="113"/>
        <v>408.56</v>
      </c>
      <c r="BY118" t="str">
        <f t="shared" si="113"/>
        <v>3 days ago</v>
      </c>
    </row>
    <row r="119">
      <c r="BU119" t="str">
        <f t="shared" ref="BU119:BY119" si="114">Y27</f>
        <v>Pedrodepacas</v>
      </c>
      <c r="BV119" t="str">
        <f t="shared" si="114"/>
        <v/>
      </c>
      <c r="BW119" t="str">
        <f t="shared" si="114"/>
        <v>Tarren Mill</v>
      </c>
      <c r="BX119">
        <f t="shared" si="114"/>
        <v>408.25</v>
      </c>
      <c r="BY119" t="str">
        <f t="shared" si="114"/>
        <v>23 days ago</v>
      </c>
    </row>
    <row r="120">
      <c r="BU120" t="str">
        <f t="shared" ref="BU120:BY120" si="115">Y28</f>
        <v>Hansolof</v>
      </c>
      <c r="BV120" t="str">
        <f t="shared" si="115"/>
        <v>Caedite Eos</v>
      </c>
      <c r="BW120" t="str">
        <f t="shared" si="115"/>
        <v>Tarren Mill</v>
      </c>
      <c r="BX120">
        <f t="shared" si="115"/>
        <v>408.19</v>
      </c>
      <c r="BY120" t="str">
        <f t="shared" si="115"/>
        <v>10 days ago</v>
      </c>
    </row>
    <row r="121">
      <c r="BU121" t="str">
        <f t="shared" ref="BU121:BY121" si="116">AE6</f>
        <v>Munky</v>
      </c>
      <c r="BV121" t="str">
        <f t="shared" si="116"/>
        <v>Team Epic</v>
      </c>
      <c r="BW121" t="str">
        <f t="shared" si="116"/>
        <v>Steamwheedle Cartel</v>
      </c>
      <c r="BX121">
        <f t="shared" si="116"/>
        <v>413.38</v>
      </c>
      <c r="BY121" t="str">
        <f t="shared" si="116"/>
        <v>2 days ago</v>
      </c>
    </row>
    <row r="122">
      <c r="BU122" t="str">
        <f t="shared" ref="BU122:BY122" si="117">AE7</f>
        <v>Carl</v>
      </c>
      <c r="BV122" t="str">
        <f t="shared" si="117"/>
        <v>Team Epic</v>
      </c>
      <c r="BW122" t="str">
        <f t="shared" si="117"/>
        <v>Steamwheedle Cartel</v>
      </c>
      <c r="BX122">
        <f t="shared" si="117"/>
        <v>412.5</v>
      </c>
      <c r="BY122" t="str">
        <f t="shared" si="117"/>
        <v>1 day ago</v>
      </c>
    </row>
    <row r="123">
      <c r="BU123" t="str">
        <f t="shared" ref="BU123:BY123" si="118">AE8</f>
        <v>Tobakm</v>
      </c>
      <c r="BV123" t="str">
        <f t="shared" si="118"/>
        <v/>
      </c>
      <c r="BW123" t="str">
        <f t="shared" si="118"/>
        <v>Defias Brotherhood</v>
      </c>
      <c r="BX123">
        <f t="shared" si="118"/>
        <v>412.31</v>
      </c>
      <c r="BY123" t="str">
        <f t="shared" si="118"/>
        <v>23 hours ago</v>
      </c>
    </row>
    <row r="124">
      <c r="BU124" t="str">
        <f t="shared" ref="BU124:BY124" si="119">AE9</f>
        <v>Teoll</v>
      </c>
      <c r="BV124" t="str">
        <f t="shared" si="119"/>
        <v/>
      </c>
      <c r="BW124" t="str">
        <f t="shared" si="119"/>
        <v>Twisting Nether</v>
      </c>
      <c r="BX124">
        <f t="shared" si="119"/>
        <v>412.06</v>
      </c>
      <c r="BY124" t="str">
        <f t="shared" si="119"/>
        <v>9 days ago</v>
      </c>
    </row>
    <row r="125">
      <c r="BU125" t="str">
        <f t="shared" ref="BU125:BY125" si="120">AE10</f>
        <v>Nadinne</v>
      </c>
      <c r="BV125" t="str">
        <f t="shared" si="120"/>
        <v>Balanced</v>
      </c>
      <c r="BW125" t="str">
        <f t="shared" si="120"/>
        <v>Silvermoon</v>
      </c>
      <c r="BX125">
        <f t="shared" si="120"/>
        <v>412</v>
      </c>
      <c r="BY125" t="str">
        <f t="shared" si="120"/>
        <v>18 days ago</v>
      </c>
    </row>
    <row r="126">
      <c r="BU126" t="str">
        <f t="shared" ref="BU126:BY126" si="121">AE11</f>
        <v>Scurch</v>
      </c>
      <c r="BV126" t="str">
        <f t="shared" si="121"/>
        <v>Renovo</v>
      </c>
      <c r="BW126" t="str">
        <f t="shared" si="121"/>
        <v>Twisting Nether</v>
      </c>
      <c r="BX126">
        <f t="shared" si="121"/>
        <v>412</v>
      </c>
      <c r="BY126" t="str">
        <f t="shared" si="121"/>
        <v>3 days ago</v>
      </c>
    </row>
    <row r="127">
      <c r="BU127" t="str">
        <f t="shared" ref="BU127:BY127" si="122">AE12</f>
        <v>Onepunchmän</v>
      </c>
      <c r="BV127" t="str">
        <f t="shared" si="122"/>
        <v>Whisky</v>
      </c>
      <c r="BW127" t="str">
        <f t="shared" si="122"/>
        <v>Tarren Mill</v>
      </c>
      <c r="BX127">
        <f t="shared" si="122"/>
        <v>411.75</v>
      </c>
      <c r="BY127" t="str">
        <f t="shared" si="122"/>
        <v>24 days ago</v>
      </c>
    </row>
    <row r="128">
      <c r="BU128" t="str">
        <f t="shared" ref="BU128:BY128" si="123">AE13</f>
        <v>Ixxiinka</v>
      </c>
      <c r="BV128" t="str">
        <f t="shared" si="123"/>
        <v>Hi Goat</v>
      </c>
      <c r="BW128" t="str">
        <f t="shared" si="123"/>
        <v>Tarren Mill</v>
      </c>
      <c r="BX128">
        <f t="shared" si="123"/>
        <v>411.75</v>
      </c>
      <c r="BY128" t="str">
        <f t="shared" si="123"/>
        <v>3 days ago</v>
      </c>
    </row>
    <row r="129">
      <c r="BU129" t="str">
        <f t="shared" ref="BU129:BY129" si="124">AE14</f>
        <v>Prvda</v>
      </c>
      <c r="BV129" t="str">
        <f t="shared" si="124"/>
        <v>Improve</v>
      </c>
      <c r="BW129" t="str">
        <f t="shared" si="124"/>
        <v>Tarren Mill</v>
      </c>
      <c r="BX129">
        <f t="shared" si="124"/>
        <v>411.69</v>
      </c>
      <c r="BY129" t="str">
        <f t="shared" si="124"/>
        <v>10 days ago</v>
      </c>
    </row>
    <row r="130">
      <c r="BU130" t="str">
        <f t="shared" ref="BU130:BY130" si="125">AE15</f>
        <v>Haalbrew</v>
      </c>
      <c r="BV130" t="str">
        <f t="shared" si="125"/>
        <v>Stormwall</v>
      </c>
      <c r="BW130" t="str">
        <f t="shared" si="125"/>
        <v>Draenor</v>
      </c>
      <c r="BX130">
        <f t="shared" si="125"/>
        <v>411.13</v>
      </c>
      <c r="BY130" t="str">
        <f t="shared" si="125"/>
        <v>2 days ago</v>
      </c>
    </row>
    <row r="131">
      <c r="BU131" t="str">
        <f t="shared" ref="BU131:BY131" si="126">AE16</f>
        <v>Cainin</v>
      </c>
      <c r="BV131" t="str">
        <f t="shared" si="126"/>
        <v>Superbia</v>
      </c>
      <c r="BW131" t="str">
        <f t="shared" si="126"/>
        <v>Kazzak</v>
      </c>
      <c r="BX131">
        <f t="shared" si="126"/>
        <v>410.94</v>
      </c>
      <c r="BY131" t="str">
        <f t="shared" si="126"/>
        <v>2 days ago</v>
      </c>
    </row>
    <row r="132">
      <c r="BU132" t="str">
        <f t="shared" ref="BU132:BY132" si="127">AE17</f>
        <v>Shuffledozer</v>
      </c>
      <c r="BV132" t="str">
        <f t="shared" si="127"/>
        <v>Fang</v>
      </c>
      <c r="BW132" t="str">
        <f t="shared" si="127"/>
        <v>Kazzak</v>
      </c>
      <c r="BX132">
        <f t="shared" si="127"/>
        <v>410.81</v>
      </c>
      <c r="BY132" t="str">
        <f t="shared" si="127"/>
        <v>2 days ago</v>
      </c>
    </row>
    <row r="133">
      <c r="BU133" t="str">
        <f t="shared" ref="BU133:BY133" si="128">AE18</f>
        <v>Monkykongfu</v>
      </c>
      <c r="BV133" t="str">
        <f t="shared" si="128"/>
        <v>Vivid</v>
      </c>
      <c r="BW133" t="str">
        <f t="shared" si="128"/>
        <v>Tarren Mill</v>
      </c>
      <c r="BX133">
        <f t="shared" si="128"/>
        <v>410.81</v>
      </c>
      <c r="BY133" t="str">
        <f t="shared" si="128"/>
        <v>10 days ago</v>
      </c>
    </row>
    <row r="134">
      <c r="BU134" t="str">
        <f t="shared" ref="BU134:BY134" si="129">AE19</f>
        <v>Jjah</v>
      </c>
      <c r="BV134" t="str">
        <f t="shared" si="129"/>
        <v>Ðevious</v>
      </c>
      <c r="BW134" t="str">
        <f t="shared" si="129"/>
        <v>Kazzak</v>
      </c>
      <c r="BX134">
        <f t="shared" si="129"/>
        <v>410.69</v>
      </c>
      <c r="BY134" t="str">
        <f t="shared" si="129"/>
        <v>20 days ago</v>
      </c>
    </row>
    <row r="135">
      <c r="BU135" t="str">
        <f t="shared" ref="BU135:BY135" si="130">AE20</f>
        <v>Pinkym</v>
      </c>
      <c r="BV135" t="str">
        <f t="shared" si="130"/>
        <v>Innominatum</v>
      </c>
      <c r="BW135" t="str">
        <f t="shared" si="130"/>
        <v>Twisting Nether</v>
      </c>
      <c r="BX135">
        <f t="shared" si="130"/>
        <v>410.5</v>
      </c>
      <c r="BY135" t="str">
        <f t="shared" si="130"/>
        <v>14 days ago</v>
      </c>
    </row>
    <row r="136">
      <c r="BU136" t="str">
        <f t="shared" ref="BU136:BY136" si="131">AE21</f>
        <v>Achirá</v>
      </c>
      <c r="BV136" t="str">
        <f t="shared" si="131"/>
        <v>Sylvanas Refugees</v>
      </c>
      <c r="BW136" t="str">
        <f t="shared" si="131"/>
        <v>Ravencrest</v>
      </c>
      <c r="BX136">
        <f t="shared" si="131"/>
        <v>410.25</v>
      </c>
      <c r="BY136" t="str">
        <f t="shared" si="131"/>
        <v>6 days ago</v>
      </c>
    </row>
    <row r="137">
      <c r="BU137" t="str">
        <f t="shared" ref="BU137:BY137" si="132">AE22</f>
        <v>Néymar</v>
      </c>
      <c r="BV137" t="str">
        <f t="shared" si="132"/>
        <v>Superstition</v>
      </c>
      <c r="BW137" t="str">
        <f t="shared" si="132"/>
        <v>Tarren Mill</v>
      </c>
      <c r="BX137">
        <f t="shared" si="132"/>
        <v>410.19</v>
      </c>
      <c r="BY137" t="str">
        <f t="shared" si="132"/>
        <v>26 days ago</v>
      </c>
    </row>
    <row r="138">
      <c r="BU138" t="str">
        <f t="shared" ref="BU138:BY138" si="133">AE23</f>
        <v>Grizlo</v>
      </c>
      <c r="BV138" t="str">
        <f t="shared" si="133"/>
        <v>Break</v>
      </c>
      <c r="BW138" t="str">
        <f t="shared" si="133"/>
        <v>Burning Legion</v>
      </c>
      <c r="BX138">
        <f t="shared" si="133"/>
        <v>410.13</v>
      </c>
      <c r="BY138" t="str">
        <f t="shared" si="133"/>
        <v>10 days ago</v>
      </c>
    </row>
    <row r="139">
      <c r="BU139" t="str">
        <f t="shared" ref="BU139:BY139" si="134">AE24</f>
        <v>Healbrewedit</v>
      </c>
      <c r="BV139" t="str">
        <f t="shared" si="134"/>
        <v>Safety Dance</v>
      </c>
      <c r="BW139" t="str">
        <f t="shared" si="134"/>
        <v>Argent Dawn</v>
      </c>
      <c r="BX139">
        <f t="shared" si="134"/>
        <v>410.06</v>
      </c>
      <c r="BY139" t="str">
        <f t="shared" si="134"/>
        <v>3 days ago</v>
      </c>
    </row>
    <row r="140">
      <c r="BU140" t="str">
        <f t="shared" ref="BU140:BY140" si="135">AE25</f>
        <v>Lío</v>
      </c>
      <c r="BV140" t="str">
        <f t="shared" si="135"/>
        <v>Vengeance Incarnate</v>
      </c>
      <c r="BW140" t="str">
        <f t="shared" si="135"/>
        <v>Burning Legion</v>
      </c>
      <c r="BX140">
        <f t="shared" si="135"/>
        <v>409.94</v>
      </c>
      <c r="BY140" t="str">
        <f t="shared" si="135"/>
        <v>5 days ago</v>
      </c>
    </row>
    <row r="141">
      <c r="BU141" t="str">
        <f t="shared" ref="BU141:BY141" si="136">AE26</f>
        <v>Zonca</v>
      </c>
      <c r="BV141" t="str">
        <f t="shared" si="136"/>
        <v>When Fat Kids Attack</v>
      </c>
      <c r="BW141" t="str">
        <f t="shared" si="136"/>
        <v>Tarren Mill</v>
      </c>
      <c r="BX141">
        <f t="shared" si="136"/>
        <v>409.94</v>
      </c>
      <c r="BY141" t="str">
        <f t="shared" si="136"/>
        <v>22 days ago</v>
      </c>
    </row>
    <row r="142">
      <c r="BU142" t="str">
        <f t="shared" ref="BU142:BY142" si="137">AE27</f>
        <v>Nóxia</v>
      </c>
      <c r="BV142" t="str">
        <f t="shared" si="137"/>
        <v>Fang</v>
      </c>
      <c r="BW142" t="str">
        <f t="shared" si="137"/>
        <v>Kazzak</v>
      </c>
      <c r="BX142">
        <f t="shared" si="137"/>
        <v>409.94</v>
      </c>
      <c r="BY142" t="str">
        <f t="shared" si="137"/>
        <v>5 days ago</v>
      </c>
    </row>
    <row r="143">
      <c r="BU143" t="str">
        <f t="shared" ref="BU143:BY143" si="138">AE28</f>
        <v>Jalalx</v>
      </c>
      <c r="BV143" t="str">
        <f t="shared" si="138"/>
        <v>Nothing</v>
      </c>
      <c r="BW143" t="str">
        <f t="shared" si="138"/>
        <v>Magtheridon</v>
      </c>
      <c r="BX143">
        <f t="shared" si="138"/>
        <v>409.63</v>
      </c>
      <c r="BY143" t="str">
        <f t="shared" si="138"/>
        <v>25 days ago</v>
      </c>
    </row>
    <row r="144">
      <c r="BU144" t="str">
        <f t="shared" ref="BU144:BY144" si="139">AK6</f>
        <v>Ëroth</v>
      </c>
      <c r="BV144" t="str">
        <f t="shared" si="139"/>
        <v>Sylvanas Refugees</v>
      </c>
      <c r="BW144" t="str">
        <f t="shared" si="139"/>
        <v>Ravencrest</v>
      </c>
      <c r="BX144">
        <f t="shared" si="139"/>
        <v>413.81</v>
      </c>
      <c r="BY144" t="str">
        <f t="shared" si="139"/>
        <v>12 days ago</v>
      </c>
    </row>
    <row r="145">
      <c r="BU145" t="str">
        <f t="shared" ref="BU145:BY145" si="140">AK7</f>
        <v>Truehearted</v>
      </c>
      <c r="BV145" t="str">
        <f t="shared" si="140"/>
        <v>Safety Dance</v>
      </c>
      <c r="BW145" t="str">
        <f t="shared" si="140"/>
        <v>Argent Dawn</v>
      </c>
      <c r="BX145">
        <f t="shared" si="140"/>
        <v>412.81</v>
      </c>
      <c r="BY145" t="str">
        <f t="shared" si="140"/>
        <v>7 days ago</v>
      </c>
    </row>
    <row r="146">
      <c r="BU146" t="str">
        <f t="shared" ref="BU146:BY146" si="141">AK8</f>
        <v>Fibbo</v>
      </c>
      <c r="BV146" t="str">
        <f t="shared" si="141"/>
        <v>Fysikbasserne</v>
      </c>
      <c r="BW146" t="str">
        <f t="shared" si="141"/>
        <v>Outland</v>
      </c>
      <c r="BX146">
        <f t="shared" si="141"/>
        <v>412.5</v>
      </c>
      <c r="BY146" t="str">
        <f t="shared" si="141"/>
        <v>16 days ago</v>
      </c>
    </row>
    <row r="147">
      <c r="BU147" t="str">
        <f t="shared" ref="BU147:BY147" si="142">AK9</f>
        <v>Läcyn</v>
      </c>
      <c r="BV147" t="str">
        <f t="shared" si="142"/>
        <v>Perfection</v>
      </c>
      <c r="BW147" t="str">
        <f t="shared" si="142"/>
        <v>Tarren Mill</v>
      </c>
      <c r="BX147">
        <f t="shared" si="142"/>
        <v>411.63</v>
      </c>
      <c r="BY147" t="str">
        <f t="shared" si="142"/>
        <v>17 days ago</v>
      </c>
    </row>
    <row r="148">
      <c r="BU148" t="str">
        <f t="shared" ref="BU148:BY148" si="143">AK10</f>
        <v>Dragu</v>
      </c>
      <c r="BV148" t="str">
        <f t="shared" si="143"/>
        <v>Outdated</v>
      </c>
      <c r="BW148" t="str">
        <f t="shared" si="143"/>
        <v>Twisting Nether</v>
      </c>
      <c r="BX148">
        <f t="shared" si="143"/>
        <v>411.25</v>
      </c>
      <c r="BY148" t="str">
        <f t="shared" si="143"/>
        <v>4 days ago</v>
      </c>
    </row>
    <row r="149">
      <c r="BU149" t="str">
        <f t="shared" ref="BU149:BY149" si="144">AK11</f>
        <v>Malbay</v>
      </c>
      <c r="BV149" t="str">
        <f t="shared" si="144"/>
        <v/>
      </c>
      <c r="BW149" t="str">
        <f t="shared" si="144"/>
        <v>Draenor</v>
      </c>
      <c r="BX149">
        <f t="shared" si="144"/>
        <v>411.06</v>
      </c>
      <c r="BY149" t="str">
        <f t="shared" si="144"/>
        <v>14 days ago</v>
      </c>
    </row>
    <row r="150">
      <c r="BU150" t="str">
        <f t="shared" ref="BU150:BY150" si="145">AK12</f>
        <v>Mîdørï</v>
      </c>
      <c r="BV150" t="str">
        <f t="shared" si="145"/>
        <v>Clique</v>
      </c>
      <c r="BW150" t="str">
        <f t="shared" si="145"/>
        <v>Draenor</v>
      </c>
      <c r="BX150">
        <f t="shared" si="145"/>
        <v>411.06</v>
      </c>
      <c r="BY150" t="str">
        <f t="shared" si="145"/>
        <v>8 days ago</v>
      </c>
    </row>
    <row r="151">
      <c r="BU151" t="str">
        <f t="shared" ref="BU151:BY151" si="146">AK13</f>
        <v>Noobochief</v>
      </c>
      <c r="BV151" t="str">
        <f t="shared" si="146"/>
        <v/>
      </c>
      <c r="BW151" t="str">
        <f t="shared" si="146"/>
        <v>Terokkar</v>
      </c>
      <c r="BX151">
        <f t="shared" si="146"/>
        <v>411.06</v>
      </c>
      <c r="BY151" t="str">
        <f t="shared" si="146"/>
        <v>5 days ago</v>
      </c>
    </row>
    <row r="152">
      <c r="BU152" t="str">
        <f t="shared" ref="BU152:BY152" si="147">AK14</f>
        <v>Celestekun</v>
      </c>
      <c r="BV152" t="str">
        <f t="shared" si="147"/>
        <v>Be Humble</v>
      </c>
      <c r="BW152" t="str">
        <f t="shared" si="147"/>
        <v>Twisting Nether</v>
      </c>
      <c r="BX152">
        <f t="shared" si="147"/>
        <v>410.56</v>
      </c>
      <c r="BY152" t="str">
        <f t="shared" si="147"/>
        <v>2 days ago</v>
      </c>
    </row>
    <row r="153">
      <c r="BU153" t="str">
        <f t="shared" ref="BU153:BY153" si="148">AK15</f>
        <v>Flaudran</v>
      </c>
      <c r="BV153" t="str">
        <f t="shared" si="148"/>
        <v>Borderline Violent</v>
      </c>
      <c r="BW153" t="str">
        <f t="shared" si="148"/>
        <v>Kazzak</v>
      </c>
      <c r="BX153">
        <f t="shared" si="148"/>
        <v>410.5</v>
      </c>
      <c r="BY153" t="str">
        <f t="shared" si="148"/>
        <v>25 days ago</v>
      </c>
    </row>
    <row r="154">
      <c r="BU154" t="str">
        <f t="shared" ref="BU154:BY154" si="149">AK16</f>
        <v>Arasaronka</v>
      </c>
      <c r="BV154" t="str">
        <f t="shared" si="149"/>
        <v>Blacklisted</v>
      </c>
      <c r="BW154" t="str">
        <f t="shared" si="149"/>
        <v>Burning Blade</v>
      </c>
      <c r="BX154">
        <f t="shared" si="149"/>
        <v>410.38</v>
      </c>
      <c r="BY154" t="str">
        <f t="shared" si="149"/>
        <v>25 days ago</v>
      </c>
    </row>
    <row r="155">
      <c r="BU155" t="str">
        <f t="shared" ref="BU155:BY155" si="150">AK17</f>
        <v>Holten</v>
      </c>
      <c r="BV155" t="str">
        <f t="shared" si="150"/>
        <v/>
      </c>
      <c r="BW155" t="str">
        <f t="shared" si="150"/>
        <v>Talnivarr</v>
      </c>
      <c r="BX155">
        <f t="shared" si="150"/>
        <v>410</v>
      </c>
      <c r="BY155" t="str">
        <f t="shared" si="150"/>
        <v>4 days ago</v>
      </c>
    </row>
    <row r="156">
      <c r="BU156" t="str">
        <f t="shared" ref="BU156:BY156" si="151">AK18</f>
        <v>Aranthor</v>
      </c>
      <c r="BV156" t="str">
        <f t="shared" si="151"/>
        <v>Entmoot</v>
      </c>
      <c r="BW156" t="str">
        <f t="shared" si="151"/>
        <v>Twisting Nether</v>
      </c>
      <c r="BX156">
        <f t="shared" si="151"/>
        <v>409.88</v>
      </c>
      <c r="BY156" t="str">
        <f t="shared" si="151"/>
        <v>16 days ago</v>
      </c>
    </row>
    <row r="157">
      <c r="BU157" t="str">
        <f t="shared" ref="BU157:BY157" si="152">AK19</f>
        <v>Drozd</v>
      </c>
      <c r="BV157" t="str">
        <f t="shared" si="152"/>
        <v>Vicious N Delicious</v>
      </c>
      <c r="BW157" t="str">
        <f t="shared" si="152"/>
        <v>Draenor</v>
      </c>
      <c r="BX157">
        <f t="shared" si="152"/>
        <v>409.69</v>
      </c>
      <c r="BY157" t="str">
        <f t="shared" si="152"/>
        <v>19 days ago</v>
      </c>
    </row>
    <row r="158">
      <c r="BU158" t="str">
        <f t="shared" ref="BU158:BY158" si="153">AK20</f>
        <v>Sieraa</v>
      </c>
      <c r="BV158" t="str">
        <f t="shared" si="153"/>
        <v>Be Humble</v>
      </c>
      <c r="BW158" t="str">
        <f t="shared" si="153"/>
        <v>Twisting Nether</v>
      </c>
      <c r="BX158">
        <f t="shared" si="153"/>
        <v>409.44</v>
      </c>
      <c r="BY158" t="str">
        <f t="shared" si="153"/>
        <v>11 days ago</v>
      </c>
    </row>
    <row r="159">
      <c r="BU159" t="str">
        <f t="shared" ref="BU159:BY159" si="154">AK21</f>
        <v>Vysi</v>
      </c>
      <c r="BV159" t="str">
        <f t="shared" si="154"/>
        <v>Noted</v>
      </c>
      <c r="BW159" t="str">
        <f t="shared" si="154"/>
        <v>Twisting Nether</v>
      </c>
      <c r="BX159">
        <f t="shared" si="154"/>
        <v>409.13</v>
      </c>
      <c r="BY159" t="str">
        <f t="shared" si="154"/>
        <v>6 days ago</v>
      </c>
    </row>
    <row r="160">
      <c r="BU160" t="str">
        <f t="shared" ref="BU160:BY160" si="155">AK22</f>
        <v>Corronica</v>
      </c>
      <c r="BV160" t="str">
        <f t="shared" si="155"/>
        <v>Acoustic</v>
      </c>
      <c r="BW160" t="str">
        <f t="shared" si="155"/>
        <v>Twisting Nether</v>
      </c>
      <c r="BX160">
        <f t="shared" si="155"/>
        <v>408.63</v>
      </c>
      <c r="BY160" t="str">
        <f t="shared" si="155"/>
        <v>10 hours ago</v>
      </c>
    </row>
    <row r="161">
      <c r="BU161" t="str">
        <f t="shared" ref="BU161:BY161" si="156">AK23</f>
        <v>Suolappi</v>
      </c>
      <c r="BV161" t="str">
        <f t="shared" si="156"/>
        <v>Ebrius</v>
      </c>
      <c r="BW161" t="str">
        <f t="shared" si="156"/>
        <v>Stormreaver</v>
      </c>
      <c r="BX161">
        <f t="shared" si="156"/>
        <v>408.5</v>
      </c>
      <c r="BY161" t="str">
        <f t="shared" si="156"/>
        <v>5 days ago</v>
      </c>
    </row>
    <row r="162">
      <c r="BU162" t="str">
        <f t="shared" ref="BU162:BY162" si="157">AK24</f>
        <v>Thaurando</v>
      </c>
      <c r="BV162" t="str">
        <f t="shared" si="157"/>
        <v>Zanity</v>
      </c>
      <c r="BW162" t="str">
        <f t="shared" si="157"/>
        <v>Tarren Mill</v>
      </c>
      <c r="BX162">
        <f t="shared" si="157"/>
        <v>408.19</v>
      </c>
      <c r="BY162" t="str">
        <f t="shared" si="157"/>
        <v>18 hours ago</v>
      </c>
    </row>
    <row r="163">
      <c r="BU163" t="str">
        <f t="shared" ref="BU163:BY163" si="158">AK25</f>
        <v>Feenux</v>
      </c>
      <c r="BV163" t="str">
        <f t="shared" si="158"/>
        <v>SAVIORS</v>
      </c>
      <c r="BW163" t="str">
        <f t="shared" si="158"/>
        <v>Drak'thul</v>
      </c>
      <c r="BX163">
        <f t="shared" si="158"/>
        <v>407.81</v>
      </c>
      <c r="BY163" t="str">
        <f t="shared" si="158"/>
        <v>4 days ago</v>
      </c>
    </row>
    <row r="164">
      <c r="BU164" t="str">
        <f t="shared" ref="BU164:BY164" si="159">AK26</f>
        <v>Ezpzpalasqz</v>
      </c>
      <c r="BV164" t="str">
        <f t="shared" si="159"/>
        <v>PogU</v>
      </c>
      <c r="BW164" t="str">
        <f t="shared" si="159"/>
        <v>Kazzak</v>
      </c>
      <c r="BX164">
        <f t="shared" si="159"/>
        <v>407.25</v>
      </c>
      <c r="BY164" t="str">
        <f t="shared" si="159"/>
        <v>3 hours ago</v>
      </c>
    </row>
    <row r="165">
      <c r="BU165" t="str">
        <f t="shared" ref="BU165:BY165" si="160">AK27</f>
        <v>Pyhätkonstit</v>
      </c>
      <c r="BV165" t="str">
        <f t="shared" si="160"/>
        <v>Kirous</v>
      </c>
      <c r="BW165" t="str">
        <f t="shared" si="160"/>
        <v>Twisting Nether</v>
      </c>
      <c r="BX165">
        <f t="shared" si="160"/>
        <v>407.25</v>
      </c>
      <c r="BY165" t="str">
        <f t="shared" si="160"/>
        <v>26 days ago</v>
      </c>
    </row>
    <row r="166">
      <c r="BU166" t="str">
        <f t="shared" ref="BU166:BY166" si="161">AK28</f>
        <v>Kyrla</v>
      </c>
      <c r="BV166" t="str">
        <f t="shared" si="161"/>
        <v/>
      </c>
      <c r="BW166" t="str">
        <f t="shared" si="161"/>
        <v>Tarren Mill</v>
      </c>
      <c r="BX166">
        <f t="shared" si="161"/>
        <v>407.13</v>
      </c>
      <c r="BY166" t="str">
        <f t="shared" si="161"/>
        <v>20 days ago</v>
      </c>
    </row>
    <row r="167">
      <c r="BU167" t="str">
        <f t="shared" ref="BU167:BY167" si="162">AQ6</f>
        <v>Eyrion</v>
      </c>
      <c r="BV167" t="str">
        <f t="shared" si="162"/>
        <v/>
      </c>
      <c r="BW167" t="str">
        <f t="shared" si="162"/>
        <v>Twisting Nether</v>
      </c>
      <c r="BX167">
        <f t="shared" si="162"/>
        <v>413.75</v>
      </c>
      <c r="BY167" t="str">
        <f t="shared" si="162"/>
        <v>1 day ago</v>
      </c>
    </row>
    <row r="168">
      <c r="BU168" t="str">
        <f t="shared" ref="BU168:BY168" si="163">AQ7</f>
        <v>Silmämies</v>
      </c>
      <c r="BV168" t="str">
        <f t="shared" si="163"/>
        <v>KHG</v>
      </c>
      <c r="BW168" t="str">
        <f t="shared" si="163"/>
        <v>Stormreaver</v>
      </c>
      <c r="BX168">
        <f t="shared" si="163"/>
        <v>410.69</v>
      </c>
      <c r="BY168" t="str">
        <f t="shared" si="163"/>
        <v>2 days ago</v>
      </c>
    </row>
    <row r="169">
      <c r="BU169" t="str">
        <f t="shared" ref="BU169:BY169" si="164">AQ8</f>
        <v>Consanguine</v>
      </c>
      <c r="BV169" t="str">
        <f t="shared" si="164"/>
        <v>Fysikbasserne</v>
      </c>
      <c r="BW169" t="str">
        <f t="shared" si="164"/>
        <v>Outland</v>
      </c>
      <c r="BX169">
        <f t="shared" si="164"/>
        <v>410.69</v>
      </c>
      <c r="BY169" t="str">
        <f t="shared" si="164"/>
        <v>9 days ago</v>
      </c>
    </row>
    <row r="170">
      <c r="BU170" t="str">
        <f t="shared" ref="BU170:BY170" si="165">AQ9</f>
        <v>Zupsy</v>
      </c>
      <c r="BV170" t="str">
        <f t="shared" si="165"/>
        <v>Method Plus</v>
      </c>
      <c r="BW170" t="str">
        <f t="shared" si="165"/>
        <v>Ragnaros</v>
      </c>
      <c r="BX170">
        <f t="shared" si="165"/>
        <v>410.31</v>
      </c>
      <c r="BY170" t="str">
        <f t="shared" si="165"/>
        <v>11 days ago</v>
      </c>
    </row>
    <row r="171">
      <c r="BU171" t="str">
        <f t="shared" ref="BU171:BY171" si="166">AQ10</f>
        <v>Sawry</v>
      </c>
      <c r="BV171" t="str">
        <f t="shared" si="166"/>
        <v/>
      </c>
      <c r="BW171" t="str">
        <f t="shared" si="166"/>
        <v>Draenor</v>
      </c>
      <c r="BX171">
        <f t="shared" si="166"/>
        <v>410.25</v>
      </c>
      <c r="BY171" t="str">
        <f t="shared" si="166"/>
        <v>1 day ago</v>
      </c>
    </row>
    <row r="172">
      <c r="BU172" t="str">
        <f t="shared" ref="BU172:BY172" si="167">AQ11</f>
        <v>Nödtveidt</v>
      </c>
      <c r="BV172" t="str">
        <f t="shared" si="167"/>
        <v/>
      </c>
      <c r="BW172" t="str">
        <f t="shared" si="167"/>
        <v>Draenor</v>
      </c>
      <c r="BX172">
        <f t="shared" si="167"/>
        <v>410.25</v>
      </c>
      <c r="BY172" t="str">
        <f t="shared" si="167"/>
        <v>4 days ago</v>
      </c>
    </row>
    <row r="173">
      <c r="BU173" t="str">
        <f t="shared" ref="BU173:BY173" si="168">AQ12</f>
        <v>Dále</v>
      </c>
      <c r="BV173" t="str">
        <f t="shared" si="168"/>
        <v>Proper PoHNage</v>
      </c>
      <c r="BW173" t="str">
        <f t="shared" si="168"/>
        <v>Twisting Nether</v>
      </c>
      <c r="BX173">
        <f t="shared" si="168"/>
        <v>410.19</v>
      </c>
      <c r="BY173" t="str">
        <f t="shared" si="168"/>
        <v>3 days ago</v>
      </c>
    </row>
    <row r="174">
      <c r="BU174" t="str">
        <f t="shared" ref="BU174:BY174" si="169">AQ13</f>
        <v>Slickpriest</v>
      </c>
      <c r="BV174" t="str">
        <f t="shared" si="169"/>
        <v>Send Help</v>
      </c>
      <c r="BW174" t="str">
        <f t="shared" si="169"/>
        <v>Frostwhisper</v>
      </c>
      <c r="BX174">
        <f t="shared" si="169"/>
        <v>409.75</v>
      </c>
      <c r="BY174" t="str">
        <f t="shared" si="169"/>
        <v>22 hours ago</v>
      </c>
    </row>
    <row r="175">
      <c r="BU175" t="str">
        <f t="shared" ref="BU175:BY175" si="170">AQ14</f>
        <v>Géhenna</v>
      </c>
      <c r="BV175" t="str">
        <f t="shared" si="170"/>
        <v>Acoustic</v>
      </c>
      <c r="BW175" t="str">
        <f t="shared" si="170"/>
        <v>Twisting Nether</v>
      </c>
      <c r="BX175">
        <f t="shared" si="170"/>
        <v>409.19</v>
      </c>
      <c r="BY175" t="str">
        <f t="shared" si="170"/>
        <v>1 day ago</v>
      </c>
    </row>
    <row r="176">
      <c r="BU176" t="str">
        <f t="shared" ref="BU176:BY176" si="171">AQ15</f>
        <v>Astrellia</v>
      </c>
      <c r="BV176" t="str">
        <f t="shared" si="171"/>
        <v>Solacium</v>
      </c>
      <c r="BW176" t="str">
        <f t="shared" si="171"/>
        <v>Kazzak</v>
      </c>
      <c r="BX176">
        <f t="shared" si="171"/>
        <v>409.06</v>
      </c>
      <c r="BY176" t="str">
        <f t="shared" si="171"/>
        <v>10 days ago</v>
      </c>
    </row>
    <row r="177">
      <c r="BU177" t="str">
        <f t="shared" ref="BU177:BY177" si="172">AQ16</f>
        <v>Tuzzapriest</v>
      </c>
      <c r="BV177" t="str">
        <f t="shared" si="172"/>
        <v>Family Dinner</v>
      </c>
      <c r="BW177" t="str">
        <f t="shared" si="172"/>
        <v>Twisting Nether</v>
      </c>
      <c r="BX177">
        <f t="shared" si="172"/>
        <v>408.38</v>
      </c>
      <c r="BY177" t="str">
        <f t="shared" si="172"/>
        <v>1 day ago</v>
      </c>
    </row>
    <row r="178">
      <c r="BU178" t="str">
        <f t="shared" ref="BU178:BY178" si="173">AQ17</f>
        <v>Amoxyz</v>
      </c>
      <c r="BV178" t="str">
        <f t="shared" si="173"/>
        <v>Novella</v>
      </c>
      <c r="BW178" t="str">
        <f t="shared" si="173"/>
        <v>Draenor</v>
      </c>
      <c r="BX178">
        <f t="shared" si="173"/>
        <v>408.19</v>
      </c>
      <c r="BY178" t="str">
        <f t="shared" si="173"/>
        <v>5 days ago</v>
      </c>
    </row>
    <row r="179">
      <c r="BU179" t="str">
        <f t="shared" ref="BU179:BY179" si="174">AQ18</f>
        <v>Millsonek</v>
      </c>
      <c r="BV179" t="str">
        <f t="shared" si="174"/>
        <v/>
      </c>
      <c r="BW179" t="str">
        <f t="shared" si="174"/>
        <v>Burning Legion</v>
      </c>
      <c r="BX179">
        <f t="shared" si="174"/>
        <v>408.13</v>
      </c>
      <c r="BY179" t="str">
        <f t="shared" si="174"/>
        <v>3 days ago</v>
      </c>
    </row>
    <row r="180">
      <c r="BU180" t="str">
        <f t="shared" ref="BU180:BY180" si="175">AQ19</f>
        <v>Sicrina</v>
      </c>
      <c r="BV180" t="str">
        <f t="shared" si="175"/>
        <v>Fight Club Penguin</v>
      </c>
      <c r="BW180" t="str">
        <f t="shared" si="175"/>
        <v>Tarren Mill</v>
      </c>
      <c r="BX180">
        <f t="shared" si="175"/>
        <v>407.81</v>
      </c>
      <c r="BY180" t="str">
        <f t="shared" si="175"/>
        <v>11 days ago</v>
      </c>
    </row>
    <row r="181">
      <c r="BU181" t="str">
        <f t="shared" ref="BU181:BY181" si="176">AQ20</f>
        <v>Nîjura</v>
      </c>
      <c r="BV181" t="str">
        <f t="shared" si="176"/>
        <v>Team Epic</v>
      </c>
      <c r="BW181" t="str">
        <f t="shared" si="176"/>
        <v>Steamwheedle Cartel</v>
      </c>
      <c r="BX181">
        <f t="shared" si="176"/>
        <v>407.81</v>
      </c>
      <c r="BY181" t="str">
        <f t="shared" si="176"/>
        <v>1 day ago</v>
      </c>
    </row>
    <row r="182">
      <c r="BU182" t="str">
        <f t="shared" ref="BU182:BY182" si="177">AQ21</f>
        <v>Fattycute</v>
      </c>
      <c r="BV182" t="str">
        <f t="shared" si="177"/>
        <v/>
      </c>
      <c r="BW182" t="str">
        <f t="shared" si="177"/>
        <v>Twisting Nether</v>
      </c>
      <c r="BX182">
        <f t="shared" si="177"/>
        <v>407.69</v>
      </c>
      <c r="BY182" t="str">
        <f t="shared" si="177"/>
        <v>6 days ago</v>
      </c>
    </row>
    <row r="183">
      <c r="BU183" t="str">
        <f t="shared" ref="BU183:BY183" si="178">AQ22</f>
        <v>Lightspace</v>
      </c>
      <c r="BV183" t="str">
        <f t="shared" si="178"/>
        <v>Laser Kittens</v>
      </c>
      <c r="BW183" t="str">
        <f t="shared" si="178"/>
        <v>Ragnaros</v>
      </c>
      <c r="BX183">
        <f t="shared" si="178"/>
        <v>407.63</v>
      </c>
      <c r="BY183" t="str">
        <f t="shared" si="178"/>
        <v>16 days ago</v>
      </c>
    </row>
    <row r="184">
      <c r="BU184" t="str">
        <f t="shared" ref="BU184:BY184" si="179">AQ23</f>
        <v>Sunnyxd</v>
      </c>
      <c r="BV184" t="str">
        <f t="shared" si="179"/>
        <v/>
      </c>
      <c r="BW184" t="str">
        <f t="shared" si="179"/>
        <v>Twisting Nether</v>
      </c>
      <c r="BX184">
        <f t="shared" si="179"/>
        <v>407.56</v>
      </c>
      <c r="BY184" t="str">
        <f t="shared" si="179"/>
        <v>13 days ago</v>
      </c>
    </row>
    <row r="185">
      <c r="BU185" t="str">
        <f t="shared" ref="BU185:BY185" si="180">AQ24</f>
        <v>Holywingz</v>
      </c>
      <c r="BV185" t="str">
        <f t="shared" si="180"/>
        <v/>
      </c>
      <c r="BW185" t="str">
        <f t="shared" si="180"/>
        <v>Twisting Nether</v>
      </c>
      <c r="BX185">
        <f t="shared" si="180"/>
        <v>407.38</v>
      </c>
      <c r="BY185" t="str">
        <f t="shared" si="180"/>
        <v>9 days ago</v>
      </c>
    </row>
    <row r="186">
      <c r="BU186" t="str">
        <f t="shared" ref="BU186:BY186" si="181">AQ25</f>
        <v>Kènt</v>
      </c>
      <c r="BV186" t="str">
        <f t="shared" si="181"/>
        <v>Lagom</v>
      </c>
      <c r="BW186" t="str">
        <f t="shared" si="181"/>
        <v>Kazzak</v>
      </c>
      <c r="BX186">
        <f t="shared" si="181"/>
        <v>407.19</v>
      </c>
      <c r="BY186" t="str">
        <f t="shared" si="181"/>
        <v>3 days ago</v>
      </c>
    </row>
    <row r="187">
      <c r="BU187" t="str">
        <f t="shared" ref="BU187:BY187" si="182">AQ26</f>
        <v>Myune</v>
      </c>
      <c r="BV187" t="str">
        <f t="shared" si="182"/>
        <v>Bulwark</v>
      </c>
      <c r="BW187" t="str">
        <f t="shared" si="182"/>
        <v>Kazzak</v>
      </c>
      <c r="BX187">
        <f t="shared" si="182"/>
        <v>406.94</v>
      </c>
      <c r="BY187" t="str">
        <f t="shared" si="182"/>
        <v>2 days ago</v>
      </c>
    </row>
    <row r="188">
      <c r="BU188" t="str">
        <f t="shared" ref="BU188:BY188" si="183">AQ27</f>
        <v>Socksoflight</v>
      </c>
      <c r="BV188" t="str">
        <f t="shared" si="183"/>
        <v/>
      </c>
      <c r="BW188" t="str">
        <f t="shared" si="183"/>
        <v>Draenor</v>
      </c>
      <c r="BX188">
        <f t="shared" si="183"/>
        <v>406.81</v>
      </c>
      <c r="BY188" t="str">
        <f t="shared" si="183"/>
        <v>2 days ago</v>
      </c>
    </row>
    <row r="189">
      <c r="BU189" t="str">
        <f t="shared" ref="BU189:BY189" si="184">AQ28</f>
        <v>Tryvia</v>
      </c>
      <c r="BV189" t="str">
        <f t="shared" si="184"/>
        <v>Clique</v>
      </c>
      <c r="BW189" t="str">
        <f t="shared" si="184"/>
        <v>Draenor</v>
      </c>
      <c r="BX189">
        <f t="shared" si="184"/>
        <v>406.44</v>
      </c>
      <c r="BY189" t="str">
        <f t="shared" si="184"/>
        <v>17 days ago</v>
      </c>
    </row>
    <row r="190">
      <c r="BU190" t="str">
        <f t="shared" ref="BU190:BY190" si="185">AW6</f>
        <v>Dadjokes</v>
      </c>
      <c r="BV190" t="str">
        <f t="shared" si="185"/>
        <v>Basement Dwellers</v>
      </c>
      <c r="BW190" t="str">
        <f t="shared" si="185"/>
        <v>Kazzak</v>
      </c>
      <c r="BX190">
        <f t="shared" si="185"/>
        <v>414.19</v>
      </c>
      <c r="BY190" t="str">
        <f t="shared" si="185"/>
        <v>2 days ago</v>
      </c>
    </row>
    <row r="191">
      <c r="BU191" t="str">
        <f t="shared" ref="BU191:BY191" si="186">AW7</f>
        <v>Rise</v>
      </c>
      <c r="BV191" t="str">
        <f t="shared" si="186"/>
        <v>Time</v>
      </c>
      <c r="BW191" t="str">
        <f t="shared" si="186"/>
        <v>Tarren Mill</v>
      </c>
      <c r="BX191">
        <f t="shared" si="186"/>
        <v>413.63</v>
      </c>
      <c r="BY191" t="str">
        <f t="shared" si="186"/>
        <v>21 day ago</v>
      </c>
    </row>
    <row r="192">
      <c r="BU192" t="str">
        <f t="shared" ref="BU192:BY192" si="187">AW8</f>
        <v>Vvin</v>
      </c>
      <c r="BV192" t="str">
        <f t="shared" si="187"/>
        <v>Alternative</v>
      </c>
      <c r="BW192" t="str">
        <f t="shared" si="187"/>
        <v>Kazzak</v>
      </c>
      <c r="BX192">
        <f t="shared" si="187"/>
        <v>412.38</v>
      </c>
      <c r="BY192" t="str">
        <f t="shared" si="187"/>
        <v>20 days ago</v>
      </c>
    </row>
    <row r="193">
      <c r="BU193" t="str">
        <f t="shared" ref="BU193:BY193" si="188">AW9</f>
        <v>Nozaw</v>
      </c>
      <c r="BV193" t="str">
        <f t="shared" si="188"/>
        <v>Plaga</v>
      </c>
      <c r="BW193" t="str">
        <f t="shared" si="188"/>
        <v>Burning Legion</v>
      </c>
      <c r="BX193">
        <f t="shared" si="188"/>
        <v>411.69</v>
      </c>
      <c r="BY193" t="str">
        <f t="shared" si="188"/>
        <v>28 days ago</v>
      </c>
    </row>
    <row r="194">
      <c r="BU194" t="str">
        <f t="shared" ref="BU194:BY194" si="189">AW10</f>
        <v>Domf</v>
      </c>
      <c r="BV194" t="str">
        <f t="shared" si="189"/>
        <v>eXsto</v>
      </c>
      <c r="BW194" t="str">
        <f t="shared" si="189"/>
        <v>Tarren Mill</v>
      </c>
      <c r="BX194">
        <f t="shared" si="189"/>
        <v>411.5</v>
      </c>
      <c r="BY194" t="str">
        <f t="shared" si="189"/>
        <v>3 days ago</v>
      </c>
    </row>
    <row r="195">
      <c r="BU195" t="str">
        <f t="shared" ref="BU195:BY195" si="190">AW11</f>
        <v>Rhythm</v>
      </c>
      <c r="BV195" t="str">
        <f t="shared" si="190"/>
        <v>Outreach</v>
      </c>
      <c r="BW195" t="str">
        <f t="shared" si="190"/>
        <v>Al'Akir</v>
      </c>
      <c r="BX195">
        <f t="shared" si="190"/>
        <v>411.44</v>
      </c>
      <c r="BY195" t="str">
        <f t="shared" si="190"/>
        <v>4 days ago</v>
      </c>
    </row>
    <row r="196">
      <c r="BU196" t="str">
        <f t="shared" ref="BU196:BY196" si="191">AW12</f>
        <v>Sneãky</v>
      </c>
      <c r="BV196" t="str">
        <f t="shared" si="191"/>
        <v>Angry sausage</v>
      </c>
      <c r="BW196" t="str">
        <f t="shared" si="191"/>
        <v>Sylvanas</v>
      </c>
      <c r="BX196">
        <f t="shared" si="191"/>
        <v>411.38</v>
      </c>
      <c r="BY196" t="str">
        <f t="shared" si="191"/>
        <v>16 days ago</v>
      </c>
    </row>
    <row r="197">
      <c r="BU197" t="str">
        <f t="shared" ref="BU197:BY197" si="192">AW13</f>
        <v>Visperax</v>
      </c>
      <c r="BV197" t="str">
        <f t="shared" si="192"/>
        <v>Acoustic</v>
      </c>
      <c r="BW197" t="str">
        <f t="shared" si="192"/>
        <v>Twisting Nether</v>
      </c>
      <c r="BX197">
        <f t="shared" si="192"/>
        <v>411.19</v>
      </c>
      <c r="BY197" t="str">
        <f t="shared" si="192"/>
        <v>3 hours ago</v>
      </c>
    </row>
    <row r="198">
      <c r="BU198" t="str">
        <f t="shared" ref="BU198:BY198" si="193">AW14</f>
        <v>Yoguys</v>
      </c>
      <c r="BV198" t="str">
        <f t="shared" si="193"/>
        <v>Hypoxic</v>
      </c>
      <c r="BW198" t="str">
        <f t="shared" si="193"/>
        <v>Ahn'Qiraj</v>
      </c>
      <c r="BX198">
        <f t="shared" si="193"/>
        <v>411.19</v>
      </c>
      <c r="BY198" t="str">
        <f t="shared" si="193"/>
        <v>1 day ago</v>
      </c>
    </row>
    <row r="199">
      <c r="BU199" t="str">
        <f t="shared" ref="BU199:BY199" si="194">AW15</f>
        <v>Shådôwröùgëx</v>
      </c>
      <c r="BV199" t="str">
        <f t="shared" si="194"/>
        <v/>
      </c>
      <c r="BW199" t="str">
        <f t="shared" si="194"/>
        <v>Ravencrest</v>
      </c>
      <c r="BX199">
        <f t="shared" si="194"/>
        <v>410.88</v>
      </c>
      <c r="BY199" t="str">
        <f t="shared" si="194"/>
        <v>3 days ago</v>
      </c>
    </row>
    <row r="200">
      <c r="BU200" t="str">
        <f t="shared" ref="BU200:BY200" si="195">AW16</f>
        <v>Resistánce</v>
      </c>
      <c r="BV200" t="str">
        <f t="shared" si="195"/>
        <v>Encore</v>
      </c>
      <c r="BW200" t="str">
        <f t="shared" si="195"/>
        <v>Burning Legion</v>
      </c>
      <c r="BX200">
        <f t="shared" si="195"/>
        <v>410.75</v>
      </c>
      <c r="BY200" t="str">
        <f t="shared" si="195"/>
        <v>3 days ago</v>
      </c>
    </row>
    <row r="201">
      <c r="BU201" t="str">
        <f t="shared" ref="BU201:BY201" si="196">AW17</f>
        <v>Nìco</v>
      </c>
      <c r="BV201" t="str">
        <f t="shared" si="196"/>
        <v>PogU</v>
      </c>
      <c r="BW201" t="str">
        <f t="shared" si="196"/>
        <v>Kazzak</v>
      </c>
      <c r="BX201">
        <f t="shared" si="196"/>
        <v>410.06</v>
      </c>
      <c r="BY201" t="str">
        <f t="shared" si="196"/>
        <v>5 days ago</v>
      </c>
    </row>
    <row r="202">
      <c r="BU202" t="str">
        <f t="shared" ref="BU202:BY202" si="197">AW18</f>
        <v>Nodrak</v>
      </c>
      <c r="BV202" t="str">
        <f t="shared" si="197"/>
        <v>Kimchiforged</v>
      </c>
      <c r="BW202" t="str">
        <f t="shared" si="197"/>
        <v>Twisting Nether</v>
      </c>
      <c r="BX202">
        <f t="shared" si="197"/>
        <v>410.06</v>
      </c>
      <c r="BY202" t="str">
        <f t="shared" si="197"/>
        <v>3 days ago</v>
      </c>
    </row>
    <row r="203">
      <c r="BU203" t="str">
        <f t="shared" ref="BU203:BY203" si="198">AW19</f>
        <v>Azazyel</v>
      </c>
      <c r="BV203" t="str">
        <f t="shared" si="198"/>
        <v>Do You Need</v>
      </c>
      <c r="BW203" t="str">
        <f t="shared" si="198"/>
        <v>Tarren Mill</v>
      </c>
      <c r="BX203">
        <f t="shared" si="198"/>
        <v>408.94</v>
      </c>
      <c r="BY203" t="str">
        <f t="shared" si="198"/>
        <v>5 days ago</v>
      </c>
    </row>
    <row r="204">
      <c r="BU204" t="str">
        <f t="shared" ref="BU204:BY204" si="199">AW20</f>
        <v>Scottishstab</v>
      </c>
      <c r="BV204" t="str">
        <f t="shared" si="199"/>
        <v>YouKnowWhatTheySay</v>
      </c>
      <c r="BW204" t="str">
        <f t="shared" si="199"/>
        <v>Kazzak</v>
      </c>
      <c r="BX204">
        <f t="shared" si="199"/>
        <v>408.88</v>
      </c>
      <c r="BY204" t="str">
        <f t="shared" si="199"/>
        <v>13 days ago</v>
      </c>
    </row>
    <row r="205">
      <c r="BU205" t="str">
        <f t="shared" ref="BU205:BY205" si="200">AW21</f>
        <v>Blowjoe</v>
      </c>
      <c r="BV205" t="str">
        <f t="shared" si="200"/>
        <v>Cartel</v>
      </c>
      <c r="BW205" t="str">
        <f t="shared" si="200"/>
        <v>Kazzak</v>
      </c>
      <c r="BX205">
        <f t="shared" si="200"/>
        <v>408.81</v>
      </c>
      <c r="BY205" t="str">
        <f t="shared" si="200"/>
        <v>19 days ago</v>
      </c>
    </row>
    <row r="206">
      <c r="BU206" t="str">
        <f t="shared" ref="BU206:BY206" si="201">AW22</f>
        <v>Riljrak</v>
      </c>
      <c r="BV206" t="str">
        <f t="shared" si="201"/>
        <v>Meridies</v>
      </c>
      <c r="BW206" t="str">
        <f t="shared" si="201"/>
        <v>Silvermoon</v>
      </c>
      <c r="BX206">
        <f t="shared" si="201"/>
        <v>408.75</v>
      </c>
      <c r="BY206" t="str">
        <f t="shared" si="201"/>
        <v>25 days ago</v>
      </c>
    </row>
    <row r="207">
      <c r="BU207" t="str">
        <f t="shared" ref="BU207:BY207" si="202">AW23</f>
        <v>Perwool</v>
      </c>
      <c r="BV207" t="str">
        <f t="shared" si="202"/>
        <v>The Knife</v>
      </c>
      <c r="BW207" t="str">
        <f t="shared" si="202"/>
        <v>Burning Legion</v>
      </c>
      <c r="BX207">
        <f t="shared" si="202"/>
        <v>408.75</v>
      </c>
      <c r="BY207" t="str">
        <f t="shared" si="202"/>
        <v>4 days ago</v>
      </c>
    </row>
    <row r="208">
      <c r="BU208" t="str">
        <f t="shared" ref="BU208:BY208" si="203">AW24</f>
        <v>Asaruta</v>
      </c>
      <c r="BV208" t="str">
        <f t="shared" si="203"/>
        <v>Drift</v>
      </c>
      <c r="BW208" t="str">
        <f t="shared" si="203"/>
        <v>Twisting Nether</v>
      </c>
      <c r="BX208">
        <f t="shared" si="203"/>
        <v>408.5</v>
      </c>
      <c r="BY208" t="str">
        <f t="shared" si="203"/>
        <v>9 days ago</v>
      </c>
    </row>
    <row r="209">
      <c r="BU209" t="str">
        <f t="shared" ref="BU209:BY209" si="204">AW25</f>
        <v>Dunse</v>
      </c>
      <c r="BV209" t="str">
        <f t="shared" si="204"/>
        <v>Det Bare Banter</v>
      </c>
      <c r="BW209" t="str">
        <f t="shared" si="204"/>
        <v>Tarren Mill</v>
      </c>
      <c r="BX209">
        <f t="shared" si="204"/>
        <v>408.13</v>
      </c>
      <c r="BY209" t="str">
        <f t="shared" si="204"/>
        <v>4 days ago</v>
      </c>
    </row>
    <row r="210">
      <c r="BU210" t="str">
        <f t="shared" ref="BU210:BY210" si="205">AW26</f>
        <v>Balanced</v>
      </c>
      <c r="BV210" t="str">
        <f t="shared" si="205"/>
        <v/>
      </c>
      <c r="BW210" t="str">
        <f t="shared" si="205"/>
        <v>Stormreaver</v>
      </c>
      <c r="BX210">
        <f t="shared" si="205"/>
        <v>408</v>
      </c>
      <c r="BY210" t="str">
        <f t="shared" si="205"/>
        <v>1 day ago</v>
      </c>
    </row>
    <row r="211">
      <c r="BU211" t="str">
        <f t="shared" ref="BU211:BY211" si="206">AW27</f>
        <v>Ðavey</v>
      </c>
      <c r="BV211" t="str">
        <f t="shared" si="206"/>
        <v>ScrubBusters</v>
      </c>
      <c r="BW211" t="str">
        <f t="shared" si="206"/>
        <v>Twisting Nether</v>
      </c>
      <c r="BX211">
        <f t="shared" si="206"/>
        <v>408</v>
      </c>
      <c r="BY211" t="str">
        <f t="shared" si="206"/>
        <v>10 days ago</v>
      </c>
    </row>
    <row r="212">
      <c r="BU212" t="str">
        <f t="shared" ref="BU212:BY212" si="207">AW28</f>
        <v>Bobufarlig</v>
      </c>
      <c r="BV212" t="str">
        <f t="shared" si="207"/>
        <v>Aurora Nox</v>
      </c>
      <c r="BW212" t="str">
        <f t="shared" si="207"/>
        <v>Kazzak</v>
      </c>
      <c r="BX212">
        <f t="shared" si="207"/>
        <v>408</v>
      </c>
      <c r="BY212" t="str">
        <f t="shared" si="207"/>
        <v>7 days ago</v>
      </c>
    </row>
    <row r="213">
      <c r="BU213" t="str">
        <f t="shared" ref="BU213:BY213" si="208">BC6</f>
        <v>Bodygard</v>
      </c>
      <c r="BV213" t="str">
        <f t="shared" si="208"/>
        <v>Elevation</v>
      </c>
      <c r="BW213" t="str">
        <f t="shared" si="208"/>
        <v>Ravencrest</v>
      </c>
      <c r="BX213">
        <f t="shared" si="208"/>
        <v>413.38</v>
      </c>
      <c r="BY213" t="str">
        <f t="shared" si="208"/>
        <v>2 days ago</v>
      </c>
    </row>
    <row r="214">
      <c r="BU214" t="str">
        <f t="shared" ref="BU214:BY214" si="209">BC7</f>
        <v>Craineysha</v>
      </c>
      <c r="BV214" t="str">
        <f t="shared" si="209"/>
        <v>The Phantom Troupe</v>
      </c>
      <c r="BW214" t="str">
        <f t="shared" si="209"/>
        <v>Draenor</v>
      </c>
      <c r="BX214">
        <f t="shared" si="209"/>
        <v>412.19</v>
      </c>
      <c r="BY214" t="str">
        <f t="shared" si="209"/>
        <v>5 days ago</v>
      </c>
    </row>
    <row r="215">
      <c r="BU215" t="str">
        <f t="shared" ref="BU215:BY215" si="210">BC8</f>
        <v>Qoxxy</v>
      </c>
      <c r="BV215" t="str">
        <f t="shared" si="210"/>
        <v/>
      </c>
      <c r="BW215" t="str">
        <f t="shared" si="210"/>
        <v>Draenor</v>
      </c>
      <c r="BX215">
        <f t="shared" si="210"/>
        <v>411.5</v>
      </c>
      <c r="BY215" t="str">
        <f t="shared" si="210"/>
        <v>7 days ago</v>
      </c>
    </row>
    <row r="216">
      <c r="BU216" t="str">
        <f t="shared" ref="BU216:BY216" si="211">BC9</f>
        <v>Droeloè</v>
      </c>
      <c r="BV216" t="str">
        <f t="shared" si="211"/>
        <v/>
      </c>
      <c r="BW216" t="str">
        <f t="shared" si="211"/>
        <v>Draenor</v>
      </c>
      <c r="BX216">
        <f t="shared" si="211"/>
        <v>411.5</v>
      </c>
      <c r="BY216" t="str">
        <f t="shared" si="211"/>
        <v>2 days ago</v>
      </c>
    </row>
    <row r="217">
      <c r="BU217" t="str">
        <f t="shared" ref="BU217:BY217" si="212">BC10</f>
        <v>Reegenn</v>
      </c>
      <c r="BV217" t="str">
        <f t="shared" si="212"/>
        <v>Hård</v>
      </c>
      <c r="BW217" t="str">
        <f t="shared" si="212"/>
        <v>Kazzak</v>
      </c>
      <c r="BX217">
        <f t="shared" si="212"/>
        <v>411.06</v>
      </c>
      <c r="BY217" t="str">
        <f t="shared" si="212"/>
        <v>22 days ago</v>
      </c>
    </row>
    <row r="218">
      <c r="BU218" t="str">
        <f t="shared" ref="BU218:BY218" si="213">BC11</f>
        <v>Tatsuoo</v>
      </c>
      <c r="BV218" t="str">
        <f t="shared" si="213"/>
        <v>Dialectic</v>
      </c>
      <c r="BW218" t="str">
        <f t="shared" si="213"/>
        <v>Kazzak</v>
      </c>
      <c r="BX218">
        <f t="shared" si="213"/>
        <v>410.63</v>
      </c>
      <c r="BY218" t="str">
        <f t="shared" si="213"/>
        <v>8 days ago</v>
      </c>
    </row>
    <row r="219">
      <c r="BU219" t="str">
        <f t="shared" ref="BU219:BY219" si="214">BC12</f>
        <v>Totempie</v>
      </c>
      <c r="BV219" t="str">
        <f t="shared" si="214"/>
        <v>Be Humble</v>
      </c>
      <c r="BW219" t="str">
        <f t="shared" si="214"/>
        <v>Twisting Nether</v>
      </c>
      <c r="BX219">
        <f t="shared" si="214"/>
        <v>410.56</v>
      </c>
      <c r="BY219" t="str">
        <f t="shared" si="214"/>
        <v>9 days ago</v>
      </c>
    </row>
    <row r="220">
      <c r="BU220" t="str">
        <f t="shared" ref="BU220:BY220" si="215">BC13</f>
        <v>Essendy</v>
      </c>
      <c r="BV220" t="str">
        <f t="shared" si="215"/>
        <v/>
      </c>
      <c r="BW220" t="str">
        <f t="shared" si="215"/>
        <v>Kazzak</v>
      </c>
      <c r="BX220">
        <f t="shared" si="215"/>
        <v>410</v>
      </c>
      <c r="BY220" t="str">
        <f t="shared" si="215"/>
        <v>4 days ago</v>
      </c>
    </row>
    <row r="221">
      <c r="BU221" t="str">
        <f t="shared" ref="BU221:BY221" si="216">BC14</f>
        <v>Marvzy</v>
      </c>
      <c r="BV221" t="str">
        <f t="shared" si="216"/>
        <v>YouKnowWhatTheySay</v>
      </c>
      <c r="BW221" t="str">
        <f t="shared" si="216"/>
        <v>Kazzak</v>
      </c>
      <c r="BX221">
        <f t="shared" si="216"/>
        <v>409.44</v>
      </c>
      <c r="BY221" t="str">
        <f t="shared" si="216"/>
        <v>9 days ago</v>
      </c>
    </row>
    <row r="222">
      <c r="BU222" t="str">
        <f t="shared" ref="BU222:BY222" si="217">BC15</f>
        <v>Pälli</v>
      </c>
      <c r="BV222" t="str">
        <f t="shared" si="217"/>
        <v>Send Help</v>
      </c>
      <c r="BW222" t="str">
        <f t="shared" si="217"/>
        <v>Frostwhisper</v>
      </c>
      <c r="BX222">
        <f t="shared" si="217"/>
        <v>408.88</v>
      </c>
      <c r="BY222" t="str">
        <f t="shared" si="217"/>
        <v>1 day ago</v>
      </c>
    </row>
    <row r="223">
      <c r="BU223" t="str">
        <f t="shared" ref="BU223:BY223" si="218">BC16</f>
        <v>Thallasha</v>
      </c>
      <c r="BV223" t="str">
        <f t="shared" si="218"/>
        <v>Not Envy</v>
      </c>
      <c r="BW223" t="str">
        <f t="shared" si="218"/>
        <v>Kazzak</v>
      </c>
      <c r="BX223">
        <f t="shared" si="218"/>
        <v>408.75</v>
      </c>
      <c r="BY223" t="str">
        <f t="shared" si="218"/>
        <v>3 days ago</v>
      </c>
    </row>
    <row r="224">
      <c r="BU224" t="str">
        <f t="shared" ref="BU224:BY224" si="219">BC17</f>
        <v>Kogeshaman</v>
      </c>
      <c r="BV224" t="str">
        <f t="shared" si="219"/>
        <v/>
      </c>
      <c r="BW224" t="str">
        <f t="shared" si="219"/>
        <v>Kazzak</v>
      </c>
      <c r="BX224">
        <f t="shared" si="219"/>
        <v>408.44</v>
      </c>
      <c r="BY224" t="str">
        <f t="shared" si="219"/>
        <v>1 day ago</v>
      </c>
    </row>
    <row r="225">
      <c r="BU225" t="str">
        <f t="shared" ref="BU225:BY225" si="220">BC18</f>
        <v>Barika</v>
      </c>
      <c r="BV225" t="str">
        <f t="shared" si="220"/>
        <v>Smoke Squad</v>
      </c>
      <c r="BW225" t="str">
        <f t="shared" si="220"/>
        <v>Silvermoon</v>
      </c>
      <c r="BX225">
        <f t="shared" si="220"/>
        <v>408.13</v>
      </c>
      <c r="BY225" t="str">
        <f t="shared" si="220"/>
        <v>21 day ago</v>
      </c>
    </row>
    <row r="226">
      <c r="BU226" t="str">
        <f t="shared" ref="BU226:BY226" si="221">BC19</f>
        <v>Dauban</v>
      </c>
      <c r="BV226" t="str">
        <f t="shared" si="221"/>
        <v>The Phantom Troupe</v>
      </c>
      <c r="BW226" t="str">
        <f t="shared" si="221"/>
        <v>Draenor</v>
      </c>
      <c r="BX226">
        <f t="shared" si="221"/>
        <v>408.13</v>
      </c>
      <c r="BY226" t="str">
        <f t="shared" si="221"/>
        <v>5 days ago</v>
      </c>
    </row>
    <row r="227">
      <c r="BU227" t="str">
        <f t="shared" ref="BU227:BY227" si="222">BC20</f>
        <v>Rektarius</v>
      </c>
      <c r="BV227" t="str">
        <f t="shared" si="222"/>
        <v>Sequence</v>
      </c>
      <c r="BW227" t="str">
        <f t="shared" si="222"/>
        <v>Ragnaros</v>
      </c>
      <c r="BX227">
        <f t="shared" si="222"/>
        <v>408</v>
      </c>
      <c r="BY227" t="str">
        <f t="shared" si="222"/>
        <v>23 days ago</v>
      </c>
    </row>
    <row r="228">
      <c r="BU228" t="str">
        <f t="shared" ref="BU228:BY228" si="223">BC21</f>
        <v>Sayrah</v>
      </c>
      <c r="BV228" t="str">
        <f t="shared" si="223"/>
        <v>Blood Syndicate</v>
      </c>
      <c r="BW228" t="str">
        <f t="shared" si="223"/>
        <v>Ravencrest</v>
      </c>
      <c r="BX228">
        <f t="shared" si="223"/>
        <v>407.63</v>
      </c>
      <c r="BY228" t="str">
        <f t="shared" si="223"/>
        <v>21 day ago</v>
      </c>
    </row>
    <row r="229">
      <c r="BU229" t="str">
        <f t="shared" ref="BU229:BY229" si="224">BC22</f>
        <v>Elisiah</v>
      </c>
      <c r="BV229" t="str">
        <f t="shared" si="224"/>
        <v/>
      </c>
      <c r="BW229" t="str">
        <f t="shared" si="224"/>
        <v>Tarren Mill</v>
      </c>
      <c r="BX229">
        <f t="shared" si="224"/>
        <v>407.38</v>
      </c>
      <c r="BY229" t="str">
        <f t="shared" si="224"/>
        <v>14 days ago</v>
      </c>
    </row>
    <row r="230">
      <c r="BU230" t="str">
        <f t="shared" ref="BU230:BY230" si="225">BC23</f>
        <v>Shv</v>
      </c>
      <c r="BV230" t="str">
        <f t="shared" si="225"/>
        <v>On Thin Ice</v>
      </c>
      <c r="BW230" t="str">
        <f t="shared" si="225"/>
        <v>Kazzak</v>
      </c>
      <c r="BX230">
        <f t="shared" si="225"/>
        <v>406.75</v>
      </c>
      <c r="BY230" t="str">
        <f t="shared" si="225"/>
        <v>4 days ago</v>
      </c>
    </row>
    <row r="231">
      <c r="BU231" t="str">
        <f t="shared" ref="BU231:BY231" si="226">BC24</f>
        <v>Kodac</v>
      </c>
      <c r="BV231" t="str">
        <f t="shared" si="226"/>
        <v>Bulwark</v>
      </c>
      <c r="BW231" t="str">
        <f t="shared" si="226"/>
        <v>Twisting Nether</v>
      </c>
      <c r="BX231">
        <f t="shared" si="226"/>
        <v>406.38</v>
      </c>
      <c r="BY231" t="str">
        <f t="shared" si="226"/>
        <v>5 days ago</v>
      </c>
    </row>
    <row r="232">
      <c r="BU232" t="str">
        <f t="shared" ref="BU232:BY232" si="227">BC25</f>
        <v>Nevaisen</v>
      </c>
      <c r="BV232" t="str">
        <f t="shared" si="227"/>
        <v>Ordo Hereticus</v>
      </c>
      <c r="BW232" t="str">
        <f t="shared" si="227"/>
        <v>Quel'Thalas</v>
      </c>
      <c r="BX232">
        <f t="shared" si="227"/>
        <v>406.38</v>
      </c>
      <c r="BY232" t="str">
        <f t="shared" si="227"/>
        <v>2 days ago</v>
      </c>
    </row>
    <row r="233">
      <c r="BU233" t="str">
        <f t="shared" ref="BU233:BY233" si="228">BC26</f>
        <v>Lexual</v>
      </c>
      <c r="BV233" t="str">
        <f t="shared" si="228"/>
        <v>Parallel</v>
      </c>
      <c r="BW233" t="str">
        <f t="shared" si="228"/>
        <v>Silvermoon</v>
      </c>
      <c r="BX233">
        <f t="shared" si="228"/>
        <v>405.63</v>
      </c>
      <c r="BY233" t="str">
        <f t="shared" si="228"/>
        <v>3 days ago</v>
      </c>
    </row>
    <row r="234">
      <c r="BU234" t="str">
        <f t="shared" ref="BU234:BY234" si="229">BC27</f>
        <v>Zarog</v>
      </c>
      <c r="BV234" t="str">
        <f t="shared" si="229"/>
        <v>Goodbye Kitty</v>
      </c>
      <c r="BW234" t="str">
        <f t="shared" si="229"/>
        <v>Drak'thul</v>
      </c>
      <c r="BX234">
        <f t="shared" si="229"/>
        <v>404.31</v>
      </c>
      <c r="BY234" t="str">
        <f t="shared" si="229"/>
        <v>29 days ago</v>
      </c>
    </row>
    <row r="235">
      <c r="BU235" t="str">
        <f t="shared" ref="BU235:BY235" si="230">BC28</f>
        <v>Jimjones</v>
      </c>
      <c r="BV235" t="str">
        <f t="shared" si="230"/>
        <v/>
      </c>
      <c r="BW235" t="str">
        <f t="shared" si="230"/>
        <v>Kazzak</v>
      </c>
      <c r="BX235">
        <f t="shared" si="230"/>
        <v>404.25</v>
      </c>
      <c r="BY235" t="str">
        <f t="shared" si="230"/>
        <v>16 hours ago</v>
      </c>
    </row>
    <row r="236">
      <c r="BU236" t="str">
        <f t="shared" ref="BU236:BY236" si="231">BI6</f>
        <v>Däng</v>
      </c>
      <c r="BV236" t="str">
        <f t="shared" si="231"/>
        <v>High Five</v>
      </c>
      <c r="BW236" t="str">
        <f t="shared" si="231"/>
        <v>Draenor</v>
      </c>
      <c r="BX236">
        <f t="shared" si="231"/>
        <v>414.06</v>
      </c>
      <c r="BY236" t="str">
        <f t="shared" si="231"/>
        <v>12 days ago</v>
      </c>
    </row>
    <row r="237">
      <c r="BU237" t="str">
        <f t="shared" ref="BU237:BY237" si="232">BI7</f>
        <v>Najty</v>
      </c>
      <c r="BV237" t="str">
        <f t="shared" si="232"/>
        <v>Lagom</v>
      </c>
      <c r="BW237" t="str">
        <f t="shared" si="232"/>
        <v>Kazzak</v>
      </c>
      <c r="BX237">
        <f t="shared" si="232"/>
        <v>412.06</v>
      </c>
      <c r="BY237" t="str">
        <f t="shared" si="232"/>
        <v>9 days ago</v>
      </c>
    </row>
    <row r="238">
      <c r="BU238" t="str">
        <f t="shared" ref="BU238:BY238" si="233">BI8</f>
        <v>Sejay</v>
      </c>
      <c r="BV238" t="str">
        <f t="shared" si="233"/>
        <v>Coach</v>
      </c>
      <c r="BW238" t="str">
        <f t="shared" si="233"/>
        <v>Kazzak</v>
      </c>
      <c r="BX238">
        <f t="shared" si="233"/>
        <v>411.69</v>
      </c>
      <c r="BY238" t="str">
        <f t="shared" si="233"/>
        <v>1 day ago</v>
      </c>
    </row>
    <row r="239">
      <c r="BU239" t="str">
        <f t="shared" ref="BU239:BY239" si="234">BI9</f>
        <v>Wlocksey</v>
      </c>
      <c r="BV239" t="str">
        <f t="shared" si="234"/>
        <v>GOT BEEF</v>
      </c>
      <c r="BW239" t="str">
        <f t="shared" si="234"/>
        <v>Draenor</v>
      </c>
      <c r="BX239">
        <f t="shared" si="234"/>
        <v>409.94</v>
      </c>
      <c r="BY239" t="str">
        <f t="shared" si="234"/>
        <v>1 day ago</v>
      </c>
    </row>
    <row r="240">
      <c r="BU240" t="str">
        <f t="shared" ref="BU240:BY240" si="235">BI10</f>
        <v>Plaguefetch</v>
      </c>
      <c r="BV240" t="str">
        <f t="shared" si="235"/>
        <v/>
      </c>
      <c r="BW240" t="str">
        <f t="shared" si="235"/>
        <v>Tarren Mill</v>
      </c>
      <c r="BX240">
        <f t="shared" si="235"/>
        <v>409.81</v>
      </c>
      <c r="BY240" t="str">
        <f t="shared" si="235"/>
        <v>6 days ago</v>
      </c>
    </row>
    <row r="241">
      <c r="BU241" t="str">
        <f t="shared" ref="BU241:BY241" si="236">BI11</f>
        <v>Shàdé</v>
      </c>
      <c r="BV241" t="str">
        <f t="shared" si="236"/>
        <v>When Fat Kids Attack</v>
      </c>
      <c r="BW241" t="str">
        <f t="shared" si="236"/>
        <v>Tarren Mill</v>
      </c>
      <c r="BX241">
        <f t="shared" si="236"/>
        <v>409.38</v>
      </c>
      <c r="BY241" t="str">
        <f t="shared" si="236"/>
        <v>18 days ago</v>
      </c>
    </row>
    <row r="242">
      <c r="BU242" t="str">
        <f t="shared" ref="BU242:BY242" si="237">BI12</f>
        <v>Topysan</v>
      </c>
      <c r="BV242" t="str">
        <f t="shared" si="237"/>
        <v/>
      </c>
      <c r="BW242" t="str">
        <f t="shared" si="237"/>
        <v>Draenor</v>
      </c>
      <c r="BX242">
        <f t="shared" si="237"/>
        <v>409</v>
      </c>
      <c r="BY242" t="str">
        <f t="shared" si="237"/>
        <v>14 days ago</v>
      </c>
    </row>
    <row r="243">
      <c r="BU243" t="str">
        <f t="shared" ref="BU243:BY243" si="238">BI13</f>
        <v>Redumtion</v>
      </c>
      <c r="BV243" t="str">
        <f t="shared" si="238"/>
        <v>Team Epic</v>
      </c>
      <c r="BW243" t="str">
        <f t="shared" si="238"/>
        <v>Steamwheedle Cartel</v>
      </c>
      <c r="BX243">
        <f t="shared" si="238"/>
        <v>409</v>
      </c>
      <c r="BY243" t="str">
        <f t="shared" si="238"/>
        <v>4 days ago</v>
      </c>
    </row>
    <row r="244">
      <c r="BU244" t="str">
        <f t="shared" ref="BU244:BY244" si="239">BI14</f>
        <v>Demonizser</v>
      </c>
      <c r="BV244" t="str">
        <f t="shared" si="239"/>
        <v>Project Nemesis</v>
      </c>
      <c r="BW244" t="str">
        <f t="shared" si="239"/>
        <v>Kazzak</v>
      </c>
      <c r="BX244">
        <f t="shared" si="239"/>
        <v>408.69</v>
      </c>
      <c r="BY244" t="str">
        <f t="shared" si="239"/>
        <v>4 days ago</v>
      </c>
    </row>
    <row r="245">
      <c r="BU245" t="str">
        <f t="shared" ref="BU245:BY245" si="240">BI15</f>
        <v>Yondy</v>
      </c>
      <c r="BV245" t="str">
        <f t="shared" si="240"/>
        <v>Team Epic</v>
      </c>
      <c r="BW245" t="str">
        <f t="shared" si="240"/>
        <v>The Sha'tar</v>
      </c>
      <c r="BX245">
        <f t="shared" si="240"/>
        <v>408.25</v>
      </c>
      <c r="BY245" t="str">
        <f t="shared" si="240"/>
        <v>1 hour ago</v>
      </c>
    </row>
    <row r="246">
      <c r="BU246" t="str">
        <f t="shared" ref="BU246:BY246" si="241">BI16</f>
        <v>Ondskab</v>
      </c>
      <c r="BV246" t="str">
        <f t="shared" si="241"/>
        <v>Animal Faction</v>
      </c>
      <c r="BW246" t="str">
        <f t="shared" si="241"/>
        <v>Draenor</v>
      </c>
      <c r="BX246">
        <f t="shared" si="241"/>
        <v>408.19</v>
      </c>
      <c r="BY246" t="str">
        <f t="shared" si="241"/>
        <v>19 hours ago</v>
      </c>
    </row>
    <row r="247">
      <c r="BU247" t="str">
        <f t="shared" ref="BU247:BY247" si="242">BI17</f>
        <v>Demonscream</v>
      </c>
      <c r="BV247" t="str">
        <f t="shared" si="242"/>
        <v>Hoax</v>
      </c>
      <c r="BW247" t="str">
        <f t="shared" si="242"/>
        <v>Kazzak</v>
      </c>
      <c r="BX247">
        <f t="shared" si="242"/>
        <v>407.81</v>
      </c>
      <c r="BY247" t="str">
        <f t="shared" si="242"/>
        <v>19 days ago</v>
      </c>
    </row>
    <row r="248">
      <c r="BU248" t="str">
        <f t="shared" ref="BU248:BY248" si="243">BI18</f>
        <v>Resistànce</v>
      </c>
      <c r="BV248" t="str">
        <f t="shared" si="243"/>
        <v/>
      </c>
      <c r="BW248" t="str">
        <f t="shared" si="243"/>
        <v>Burning Legion</v>
      </c>
      <c r="BX248">
        <f t="shared" si="243"/>
        <v>407.69</v>
      </c>
      <c r="BY248" t="str">
        <f t="shared" si="243"/>
        <v>3 days ago</v>
      </c>
    </row>
    <row r="249">
      <c r="BU249" t="str">
        <f t="shared" ref="BU249:BY249" si="244">BI19</f>
        <v>Seor</v>
      </c>
      <c r="BV249" t="str">
        <f t="shared" si="244"/>
        <v>CyaThursday</v>
      </c>
      <c r="BW249" t="str">
        <f t="shared" si="244"/>
        <v>Stormscale</v>
      </c>
      <c r="BX249">
        <f t="shared" si="244"/>
        <v>407.63</v>
      </c>
      <c r="BY249" t="str">
        <f t="shared" si="244"/>
        <v>7 days ago</v>
      </c>
    </row>
    <row r="250">
      <c r="BU250" t="str">
        <f t="shared" ref="BU250:BY250" si="245">BI20</f>
        <v>Lødi</v>
      </c>
      <c r="BV250" t="str">
        <f t="shared" si="245"/>
        <v>Wîpefest</v>
      </c>
      <c r="BW250" t="str">
        <f t="shared" si="245"/>
        <v>Ragnaros</v>
      </c>
      <c r="BX250">
        <f t="shared" si="245"/>
        <v>407.56</v>
      </c>
      <c r="BY250" t="str">
        <f t="shared" si="245"/>
        <v>29 days ago</v>
      </c>
    </row>
    <row r="251">
      <c r="BU251" t="str">
        <f t="shared" ref="BU251:BY251" si="246">BI21</f>
        <v>Nightend</v>
      </c>
      <c r="BV251" t="str">
        <f t="shared" si="246"/>
        <v>Abort Mission</v>
      </c>
      <c r="BW251" t="str">
        <f t="shared" si="246"/>
        <v>Ravencrest</v>
      </c>
      <c r="BX251">
        <f t="shared" si="246"/>
        <v>407.19</v>
      </c>
      <c r="BY251" t="str">
        <f t="shared" si="246"/>
        <v>16 hours ago</v>
      </c>
    </row>
    <row r="252">
      <c r="BU252" t="str">
        <f t="shared" ref="BU252:BY252" si="247">BI22</f>
        <v>Cixxa</v>
      </c>
      <c r="BV252" t="str">
        <f t="shared" si="247"/>
        <v>Zero Logic</v>
      </c>
      <c r="BW252" t="str">
        <f t="shared" si="247"/>
        <v>Kazzak</v>
      </c>
      <c r="BX252">
        <f t="shared" si="247"/>
        <v>407.06</v>
      </c>
      <c r="BY252" t="str">
        <f t="shared" si="247"/>
        <v>4 days ago</v>
      </c>
    </row>
    <row r="253">
      <c r="BU253" t="str">
        <f t="shared" ref="BU253:BY253" si="248">BI23</f>
        <v>Tnklock</v>
      </c>
      <c r="BV253" t="str">
        <f t="shared" si="248"/>
        <v>Law</v>
      </c>
      <c r="BW253" t="str">
        <f t="shared" si="248"/>
        <v>Draenor</v>
      </c>
      <c r="BX253">
        <f t="shared" si="248"/>
        <v>407.06</v>
      </c>
      <c r="BY253" t="str">
        <f t="shared" si="248"/>
        <v>5 days ago</v>
      </c>
    </row>
    <row r="254">
      <c r="BU254" t="str">
        <f t="shared" ref="BU254:BY254" si="249">BI24</f>
        <v>Yewda</v>
      </c>
      <c r="BV254" t="str">
        <f t="shared" si="249"/>
        <v>Martyrdom</v>
      </c>
      <c r="BW254" t="str">
        <f t="shared" si="249"/>
        <v>Tarren Mill</v>
      </c>
      <c r="BX254">
        <f t="shared" si="249"/>
        <v>406.81</v>
      </c>
      <c r="BY254" t="str">
        <f t="shared" si="249"/>
        <v>22 days ago</v>
      </c>
    </row>
    <row r="255">
      <c r="BU255" t="str">
        <f t="shared" ref="BU255:BY255" si="250">BI25</f>
        <v>Ravìus</v>
      </c>
      <c r="BV255" t="str">
        <f t="shared" si="250"/>
        <v>Break</v>
      </c>
      <c r="BW255" t="str">
        <f t="shared" si="250"/>
        <v>Burning Legion</v>
      </c>
      <c r="BX255">
        <f t="shared" si="250"/>
        <v>406.75</v>
      </c>
      <c r="BY255" t="str">
        <f t="shared" si="250"/>
        <v>15 days ago</v>
      </c>
    </row>
    <row r="256">
      <c r="BU256" t="str">
        <f t="shared" ref="BU256:BY256" si="251">BI26</f>
        <v>Bishlock</v>
      </c>
      <c r="BV256" t="str">
        <f t="shared" si="251"/>
        <v/>
      </c>
      <c r="BW256" t="str">
        <f t="shared" si="251"/>
        <v>Ravencrest</v>
      </c>
      <c r="BX256">
        <f t="shared" si="251"/>
        <v>406.75</v>
      </c>
      <c r="BY256" t="str">
        <f t="shared" si="251"/>
        <v>10 days ago</v>
      </c>
    </row>
    <row r="257">
      <c r="BU257" t="str">
        <f t="shared" ref="BU257:BY257" si="252">BI27</f>
        <v>Kallebahh</v>
      </c>
      <c r="BV257" t="str">
        <f t="shared" si="252"/>
        <v>Absolute Vikings</v>
      </c>
      <c r="BW257" t="str">
        <f t="shared" si="252"/>
        <v>Stormrage</v>
      </c>
      <c r="BX257">
        <f t="shared" si="252"/>
        <v>406.69</v>
      </c>
      <c r="BY257" t="str">
        <f t="shared" si="252"/>
        <v>3 hours ago</v>
      </c>
    </row>
    <row r="258">
      <c r="BU258" t="str">
        <f t="shared" ref="BU258:BY258" si="253">BI28</f>
        <v>Fuumi</v>
      </c>
      <c r="BV258" t="str">
        <f t="shared" si="253"/>
        <v>Braccae Asinae</v>
      </c>
      <c r="BW258" t="str">
        <f t="shared" si="253"/>
        <v>Kazzak</v>
      </c>
      <c r="BX258">
        <f t="shared" si="253"/>
        <v>406.56</v>
      </c>
      <c r="BY258" t="str">
        <f t="shared" si="253"/>
        <v>6 days ago</v>
      </c>
    </row>
    <row r="259">
      <c r="BU259" t="str">
        <f t="shared" ref="BU259:BY259" si="254">BO6</f>
        <v>Ñìlsson</v>
      </c>
      <c r="BV259" t="str">
        <f t="shared" si="254"/>
        <v>Arctic Avengers</v>
      </c>
      <c r="BW259" t="str">
        <f t="shared" si="254"/>
        <v>Ravencrest</v>
      </c>
      <c r="BX259">
        <f t="shared" si="254"/>
        <v>415.69</v>
      </c>
      <c r="BY259" t="str">
        <f t="shared" si="254"/>
        <v>17 days ago</v>
      </c>
    </row>
    <row r="260">
      <c r="BU260" t="str">
        <f t="shared" ref="BU260:BY260" si="255">BO7</f>
        <v>Ghoras</v>
      </c>
      <c r="BV260" t="str">
        <f t="shared" si="255"/>
        <v>The Danish Bacon C..</v>
      </c>
      <c r="BW260" t="str">
        <f t="shared" si="255"/>
        <v>Ravencrest</v>
      </c>
      <c r="BX260">
        <f t="shared" si="255"/>
        <v>412.19</v>
      </c>
      <c r="BY260" t="str">
        <f t="shared" si="255"/>
        <v>6 days ago</v>
      </c>
    </row>
    <row r="261">
      <c r="BU261" t="str">
        <f t="shared" ref="BU261:BY261" si="256">BO8</f>
        <v>Zurol</v>
      </c>
      <c r="BV261" t="str">
        <f t="shared" si="256"/>
        <v/>
      </c>
      <c r="BW261" t="str">
        <f t="shared" si="256"/>
        <v>Draenor</v>
      </c>
      <c r="BX261">
        <f t="shared" si="256"/>
        <v>412</v>
      </c>
      <c r="BY261" t="str">
        <f t="shared" si="256"/>
        <v>5 days ago</v>
      </c>
    </row>
    <row r="262">
      <c r="BU262" t="str">
        <f t="shared" ref="BU262:BY262" si="257">BO9</f>
        <v>Biigshaaq</v>
      </c>
      <c r="BV262" t="str">
        <f t="shared" si="257"/>
        <v>Acoustic</v>
      </c>
      <c r="BW262" t="str">
        <f t="shared" si="257"/>
        <v>Twisting Nether</v>
      </c>
      <c r="BX262">
        <f t="shared" si="257"/>
        <v>411.5</v>
      </c>
      <c r="BY262" t="str">
        <f t="shared" si="257"/>
        <v>32 minutes ago</v>
      </c>
    </row>
    <row r="263">
      <c r="BU263" t="str">
        <f t="shared" ref="BU263:BY263" si="258">BO10</f>
        <v>Bigdikrik</v>
      </c>
      <c r="BV263" t="str">
        <f t="shared" si="258"/>
        <v>Disposition</v>
      </c>
      <c r="BW263" t="str">
        <f t="shared" si="258"/>
        <v>Stormscale</v>
      </c>
      <c r="BX263">
        <f t="shared" si="258"/>
        <v>410.94</v>
      </c>
      <c r="BY263" t="str">
        <f t="shared" si="258"/>
        <v>5 days ago</v>
      </c>
    </row>
    <row r="264">
      <c r="BU264" t="str">
        <f t="shared" ref="BU264:BY264" si="259">BO11</f>
        <v>Steaklover</v>
      </c>
      <c r="BV264" t="str">
        <f t="shared" si="259"/>
        <v>PwnStarz</v>
      </c>
      <c r="BW264" t="str">
        <f t="shared" si="259"/>
        <v>Sylvanas</v>
      </c>
      <c r="BX264">
        <f t="shared" si="259"/>
        <v>410.25</v>
      </c>
      <c r="BY264" t="str">
        <f t="shared" si="259"/>
        <v>14 days ago</v>
      </c>
    </row>
    <row r="265">
      <c r="BU265" t="str">
        <f t="shared" ref="BU265:BY265" si="260">BO12</f>
        <v>Flashfartxd</v>
      </c>
      <c r="BV265" t="str">
        <f t="shared" si="260"/>
        <v>Lagom</v>
      </c>
      <c r="BW265" t="str">
        <f t="shared" si="260"/>
        <v>Kazzak</v>
      </c>
      <c r="BX265">
        <f t="shared" si="260"/>
        <v>409.94</v>
      </c>
      <c r="BY265" t="str">
        <f t="shared" si="260"/>
        <v>19 hours ago</v>
      </c>
    </row>
    <row r="266">
      <c r="BU266" t="str">
        <f t="shared" ref="BU266:BY266" si="261">BO13</f>
        <v>Gasmidis</v>
      </c>
      <c r="BV266" t="str">
        <f t="shared" si="261"/>
        <v>Gehenna</v>
      </c>
      <c r="BW266" t="str">
        <f t="shared" si="261"/>
        <v>Stormreaver</v>
      </c>
      <c r="BX266">
        <f t="shared" si="261"/>
        <v>409.69</v>
      </c>
      <c r="BY266" t="str">
        <f t="shared" si="261"/>
        <v>2 days ago</v>
      </c>
    </row>
    <row r="267">
      <c r="BU267" t="str">
        <f t="shared" ref="BU267:BY267" si="262">BO14</f>
        <v>Sortus</v>
      </c>
      <c r="BV267" t="str">
        <f t="shared" si="262"/>
        <v>Way to Toxic</v>
      </c>
      <c r="BW267" t="str">
        <f t="shared" si="262"/>
        <v>Burning Legion</v>
      </c>
      <c r="BX267">
        <f t="shared" si="262"/>
        <v>409.63</v>
      </c>
      <c r="BY267" t="str">
        <f t="shared" si="262"/>
        <v>4 days ago</v>
      </c>
    </row>
    <row r="268">
      <c r="BU268" t="str">
        <f t="shared" ref="BU268:BY268" si="263">BO15</f>
        <v>Laukagen</v>
      </c>
      <c r="BV268" t="str">
        <f t="shared" si="263"/>
        <v>Blonde</v>
      </c>
      <c r="BW268" t="str">
        <f t="shared" si="263"/>
        <v>Draenor</v>
      </c>
      <c r="BX268">
        <f t="shared" si="263"/>
        <v>409.5</v>
      </c>
      <c r="BY268" t="str">
        <f t="shared" si="263"/>
        <v>3 days ago</v>
      </c>
    </row>
    <row r="269">
      <c r="BU269" t="str">
        <f t="shared" ref="BU269:BY269" si="264">BO16</f>
        <v>Breddie</v>
      </c>
      <c r="BV269" t="str">
        <f t="shared" si="264"/>
        <v>Prydaz</v>
      </c>
      <c r="BW269" t="str">
        <f t="shared" si="264"/>
        <v>Tarren Mill</v>
      </c>
      <c r="BX269">
        <f t="shared" si="264"/>
        <v>408.94</v>
      </c>
      <c r="BY269" t="str">
        <f t="shared" si="264"/>
        <v>14 days ago</v>
      </c>
    </row>
    <row r="270">
      <c r="BU270" t="str">
        <f t="shared" ref="BU270:BY270" si="265">BO17</f>
        <v>Dixxy</v>
      </c>
      <c r="BV270" t="str">
        <f t="shared" si="265"/>
        <v>Impressive</v>
      </c>
      <c r="BW270" t="str">
        <f t="shared" si="265"/>
        <v>Tarren Mill</v>
      </c>
      <c r="BX270">
        <f t="shared" si="265"/>
        <v>408.13</v>
      </c>
      <c r="BY270" t="str">
        <f t="shared" si="265"/>
        <v>9 days ago</v>
      </c>
    </row>
    <row r="271">
      <c r="BU271" t="str">
        <f t="shared" ref="BU271:BY271" si="266">BO18</f>
        <v>Rouph</v>
      </c>
      <c r="BV271" t="str">
        <f t="shared" si="266"/>
        <v/>
      </c>
      <c r="BW271" t="str">
        <f t="shared" si="266"/>
        <v>Kazzak</v>
      </c>
      <c r="BX271">
        <f t="shared" si="266"/>
        <v>407.81</v>
      </c>
      <c r="BY271" t="str">
        <f t="shared" si="266"/>
        <v>7 days ago</v>
      </c>
    </row>
    <row r="272">
      <c r="BU272" t="str">
        <f t="shared" ref="BU272:BY272" si="267">BO19</f>
        <v>Ragincritty</v>
      </c>
      <c r="BV272" t="str">
        <f t="shared" si="267"/>
        <v>Gamad</v>
      </c>
      <c r="BW272" t="str">
        <f t="shared" si="267"/>
        <v>Silvermoon</v>
      </c>
      <c r="BX272">
        <f t="shared" si="267"/>
        <v>407.81</v>
      </c>
      <c r="BY272" t="str">
        <f t="shared" si="267"/>
        <v>5 days ago</v>
      </c>
    </row>
    <row r="273">
      <c r="BU273" t="str">
        <f t="shared" ref="BU273:BY273" si="268">BO20</f>
        <v>Órri</v>
      </c>
      <c r="BV273" t="str">
        <f t="shared" si="268"/>
        <v/>
      </c>
      <c r="BW273" t="str">
        <f t="shared" si="268"/>
        <v>Kazzak</v>
      </c>
      <c r="BX273">
        <f t="shared" si="268"/>
        <v>407.56</v>
      </c>
      <c r="BY273" t="str">
        <f t="shared" si="268"/>
        <v>10 days ago</v>
      </c>
    </row>
    <row r="274">
      <c r="BU274" t="str">
        <f t="shared" ref="BU274:BY274" si="269">BO21</f>
        <v>Leythia</v>
      </c>
      <c r="BV274" t="str">
        <f t="shared" si="269"/>
        <v/>
      </c>
      <c r="BW274" t="str">
        <f t="shared" si="269"/>
        <v>Argent Dawn</v>
      </c>
      <c r="BX274">
        <f t="shared" si="269"/>
        <v>407.44</v>
      </c>
      <c r="BY274" t="str">
        <f t="shared" si="269"/>
        <v>16 days ago</v>
      </c>
    </row>
    <row r="275">
      <c r="BU275" t="str">
        <f t="shared" ref="BU275:BY275" si="270">BO22</f>
        <v>Warru</v>
      </c>
      <c r="BV275" t="str">
        <f t="shared" si="270"/>
        <v/>
      </c>
      <c r="BW275" t="str">
        <f t="shared" si="270"/>
        <v>Drak'thul</v>
      </c>
      <c r="BX275">
        <f t="shared" si="270"/>
        <v>407.38</v>
      </c>
      <c r="BY275" t="str">
        <f t="shared" si="270"/>
        <v>9 days ago</v>
      </c>
    </row>
    <row r="276">
      <c r="BU276" t="str">
        <f t="shared" ref="BU276:BY276" si="271">BO23</f>
        <v>Imrecky</v>
      </c>
      <c r="BV276" t="str">
        <f t="shared" si="271"/>
        <v>Clique</v>
      </c>
      <c r="BW276" t="str">
        <f t="shared" si="271"/>
        <v>Draenor</v>
      </c>
      <c r="BX276">
        <f t="shared" si="271"/>
        <v>406.75</v>
      </c>
      <c r="BY276" t="str">
        <f t="shared" si="271"/>
        <v>17 days ago</v>
      </c>
    </row>
    <row r="277">
      <c r="BU277" t="str">
        <f t="shared" ref="BU277:BY277" si="272">BO24</f>
        <v>Celestiaa</v>
      </c>
      <c r="BV277" t="str">
        <f t="shared" si="272"/>
        <v>Resolve</v>
      </c>
      <c r="BW277" t="str">
        <f t="shared" si="272"/>
        <v>Defias Brotherhood</v>
      </c>
      <c r="BX277">
        <f t="shared" si="272"/>
        <v>406.69</v>
      </c>
      <c r="BY277" t="str">
        <f t="shared" si="272"/>
        <v>12 days ago</v>
      </c>
    </row>
    <row r="278">
      <c r="BU278" t="str">
        <f t="shared" ref="BU278:BY278" si="273">BO25</f>
        <v>Gouca</v>
      </c>
      <c r="BV278" t="str">
        <f t="shared" si="273"/>
        <v>Aalto</v>
      </c>
      <c r="BW278" t="str">
        <f t="shared" si="273"/>
        <v>Silvermoon</v>
      </c>
      <c r="BX278">
        <f t="shared" si="273"/>
        <v>406.31</v>
      </c>
      <c r="BY278" t="str">
        <f t="shared" si="273"/>
        <v>2 days ago</v>
      </c>
    </row>
    <row r="279">
      <c r="BU279" t="str">
        <f t="shared" ref="BU279:BY279" si="274">BO26</f>
        <v>Makwara</v>
      </c>
      <c r="BV279" t="str">
        <f t="shared" si="274"/>
        <v>Atom</v>
      </c>
      <c r="BW279" t="str">
        <f t="shared" si="274"/>
        <v>Ragnaros</v>
      </c>
      <c r="BX279">
        <f t="shared" si="274"/>
        <v>406.31</v>
      </c>
      <c r="BY279" t="str">
        <f t="shared" si="274"/>
        <v>2 days ago</v>
      </c>
    </row>
    <row r="280">
      <c r="BU280" t="str">
        <f t="shared" ref="BU280:BY280" si="275">BO27</f>
        <v>Jezior</v>
      </c>
      <c r="BV280" t="str">
        <f t="shared" si="275"/>
        <v>Lej Horde W Morde</v>
      </c>
      <c r="BW280" t="str">
        <f t="shared" si="275"/>
        <v>Wildhammer</v>
      </c>
      <c r="BX280">
        <f t="shared" si="275"/>
        <v>406.06</v>
      </c>
      <c r="BY280" t="str">
        <f t="shared" si="275"/>
        <v>18 days ago</v>
      </c>
    </row>
    <row r="281">
      <c r="BU281" t="str">
        <f t="shared" ref="BU281:BY281" si="276">BO28</f>
        <v>Brekkstein</v>
      </c>
      <c r="BV281" t="str">
        <f t="shared" si="276"/>
        <v>Sylvanas Refugees</v>
      </c>
      <c r="BW281" t="str">
        <f t="shared" si="276"/>
        <v>Ravencrest</v>
      </c>
      <c r="BX281">
        <f t="shared" si="276"/>
        <v>406.06</v>
      </c>
      <c r="BY281" t="str">
        <f t="shared" si="276"/>
        <v>17 days ago</v>
      </c>
    </row>
  </sheetData>
  <drawing r:id="rId1"/>
</worksheet>
</file>